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1925" tabRatio="753" activeTab="1"/>
  </bookViews>
  <sheets>
    <sheet name="77673" sheetId="23" r:id="rId1"/>
    <sheet name="77711" sheetId="26" r:id="rId2"/>
    <sheet name="77673包装MA" sheetId="24" r:id="rId3"/>
    <sheet name="77711包装MA" sheetId="30" r:id="rId4"/>
    <sheet name="77711半成品MA" sheetId="29" r:id="rId5"/>
    <sheet name="77673半成品MA" sheetId="18" r:id="rId6"/>
    <sheet name="取消单" sheetId="15" r:id="rId7"/>
    <sheet name="Sheet1" sheetId="31" r:id="rId8"/>
  </sheets>
  <externalReferences>
    <externalReference r:id="rId9"/>
  </externalReferences>
  <definedNames>
    <definedName name="_xlnm._FilterDatabase" localSheetId="0" hidden="1">'77673'!$1:$918</definedName>
    <definedName name="_xlnm._FilterDatabase" localSheetId="1" hidden="1">'77711'!$1:$1234</definedName>
    <definedName name="_xlnm._FilterDatabase" localSheetId="2" hidden="1">'77673包装MA'!$2:$144</definedName>
    <definedName name="_xlnm._FilterDatabase" localSheetId="3" hidden="1">'77711包装MA'!$A$2:$AQ$297</definedName>
    <definedName name="_xlnm._FilterDatabase" localSheetId="5" hidden="1">'77673半成品MA'!$A$1:$AE$27</definedName>
    <definedName name="_xlnm._FilterDatabase" localSheetId="6" hidden="1">取消单!$A$1:$CS$85</definedName>
    <definedName name="_xlnm._FilterDatabase" localSheetId="7" hidden="1">Sheet1!$A$1:$Z$61</definedName>
    <definedName name="_xlnm._FilterDatabase" localSheetId="4" hidden="1">'77711半成品MA'!$A$6:$AJ$88</definedName>
    <definedName name="_xlnm.Print_Area" localSheetId="0">'77673'!$A$1:$AH$921</definedName>
    <definedName name="_xlnm.Print_Titles" localSheetId="0">'77673'!$1:$1</definedName>
    <definedName name="_xlnm.Print_Area" localSheetId="1">'77711'!$A$1:$AG$1231</definedName>
    <definedName name="_xlnm.Print_Titles" localSheetId="1">'77711'!$1:$1</definedName>
  </definedNames>
  <calcPr calcId="191029" iterate="1" iterateCount="1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RR</author>
  </authors>
  <commentList>
    <comment ref="AJ3" authorId="0">
      <text>
        <r>
          <rPr>
            <b/>
            <sz val="9"/>
            <rFont val="宋体"/>
            <charset val="134"/>
          </rPr>
          <t>Administrator:</t>
        </r>
        <r>
          <rPr>
            <sz val="9"/>
            <rFont val="宋体"/>
            <charset val="134"/>
          </rPr>
          <t xml:space="preserve">
5/29 收到UPc贴纸144pcs</t>
        </r>
      </text>
    </comment>
    <comment ref="AJ7" authorId="0">
      <text>
        <r>
          <rPr>
            <b/>
            <sz val="9"/>
            <rFont val="宋体"/>
            <charset val="134"/>
          </rPr>
          <t>Administrator:</t>
        </r>
        <r>
          <rPr>
            <sz val="9"/>
            <rFont val="宋体"/>
            <charset val="134"/>
          </rPr>
          <t xml:space="preserve">
3/21 上客供RFID贴纸616pcs
4/11 上粉色艾利贴纸154pcs
</t>
        </r>
      </text>
    </comment>
    <comment ref="AG8" authorId="0">
      <text>
        <r>
          <rPr>
            <b/>
            <sz val="9"/>
            <rFont val="宋体"/>
            <charset val="134"/>
          </rPr>
          <t>Administrator:</t>
        </r>
        <r>
          <rPr>
            <sz val="9"/>
            <rFont val="宋体"/>
            <charset val="134"/>
          </rPr>
          <t xml:space="preserve">
0000680 4/28 720pcs
没登记</t>
        </r>
      </text>
    </comment>
    <comment ref="AG11" authorId="0">
      <text>
        <r>
          <rPr>
            <b/>
            <sz val="9"/>
            <rFont val="宋体"/>
            <charset val="134"/>
          </rPr>
          <t>Administrator:</t>
        </r>
        <r>
          <rPr>
            <sz val="9"/>
            <rFont val="宋体"/>
            <charset val="134"/>
          </rPr>
          <t xml:space="preserve">
0000680 4/28 4548pcs华3B16</t>
        </r>
      </text>
    </comment>
    <comment ref="AG12" authorId="0">
      <text>
        <r>
          <rPr>
            <b/>
            <sz val="9"/>
            <rFont val="宋体"/>
            <charset val="134"/>
          </rPr>
          <t>Administrator:</t>
        </r>
        <r>
          <rPr>
            <sz val="9"/>
            <rFont val="宋体"/>
            <charset val="134"/>
          </rPr>
          <t xml:space="preserve">
0000680 4/28 1800pcs
华3A16</t>
        </r>
      </text>
    </comment>
    <comment ref="AJ12" authorId="0">
      <text>
        <r>
          <rPr>
            <b/>
            <sz val="9"/>
            <rFont val="宋体"/>
            <charset val="134"/>
          </rPr>
          <t>Administrator:</t>
        </r>
        <r>
          <rPr>
            <sz val="9"/>
            <rFont val="宋体"/>
            <charset val="134"/>
          </rPr>
          <t xml:space="preserve">
4/3 上小纽扣电池警告语贴纸1800pcs
大纽扣警告语贴纸3600pcs
</t>
        </r>
      </text>
    </comment>
    <comment ref="AG13" authorId="0">
      <text>
        <r>
          <rPr>
            <b/>
            <sz val="9"/>
            <rFont val="宋体"/>
            <charset val="134"/>
          </rPr>
          <t>Administrator:</t>
        </r>
        <r>
          <rPr>
            <sz val="9"/>
            <rFont val="宋体"/>
            <charset val="134"/>
          </rPr>
          <t xml:space="preserve">
0000662 5/6 3300pcs华一F11</t>
        </r>
      </text>
    </comment>
    <comment ref="AJ13" authorId="0">
      <text>
        <r>
          <rPr>
            <b/>
            <sz val="9"/>
            <rFont val="宋体"/>
            <charset val="134"/>
          </rPr>
          <t>Administrator:</t>
        </r>
        <r>
          <rPr>
            <sz val="9"/>
            <rFont val="宋体"/>
            <charset val="134"/>
          </rPr>
          <t xml:space="preserve">
4/11 上说明书纽扣电池警告贴纸6600pcs
收缩膜纽扣电池警告语贴纸3300pcs
4/17 上KM外箱贴纸275pcs</t>
        </r>
      </text>
    </comment>
    <comment ref="AG14" authorId="0">
      <text>
        <r>
          <rPr>
            <b/>
            <sz val="9"/>
            <rFont val="宋体"/>
            <charset val="134"/>
          </rPr>
          <t>Administrator:</t>
        </r>
        <r>
          <rPr>
            <sz val="9"/>
            <rFont val="宋体"/>
            <charset val="134"/>
          </rPr>
          <t xml:space="preserve">
0000662 5/6 432pcs一F11</t>
        </r>
      </text>
    </comment>
    <comment ref="AJ14" authorId="0">
      <text>
        <r>
          <rPr>
            <b/>
            <sz val="9"/>
            <rFont val="宋体"/>
            <charset val="134"/>
          </rPr>
          <t>Administrator:</t>
        </r>
        <r>
          <rPr>
            <sz val="9"/>
            <rFont val="宋体"/>
            <charset val="134"/>
          </rPr>
          <t xml:space="preserve">
4/11 上说明书纽扣电池警告贴纸864pcs
收缩膜纽扣电池警告语贴纸432pcs
4/17 上KM外箱贴纸36pcs
</t>
        </r>
      </text>
    </comment>
    <comment ref="AG15" authorId="0">
      <text>
        <r>
          <rPr>
            <b/>
            <sz val="9"/>
            <rFont val="宋体"/>
            <charset val="134"/>
          </rPr>
          <t>Administrator:</t>
        </r>
        <r>
          <rPr>
            <sz val="9"/>
            <rFont val="宋体"/>
            <charset val="134"/>
          </rPr>
          <t xml:space="preserve">
0000655 5/7 512pcs因托盘卡纸未上需帮忙返工装-东莞验货 华一F3</t>
        </r>
      </text>
    </comment>
    <comment ref="AJ15" authorId="0">
      <text>
        <r>
          <rPr>
            <b/>
            <sz val="9"/>
            <rFont val="宋体"/>
            <charset val="134"/>
          </rPr>
          <t>Administrator:</t>
        </r>
        <r>
          <rPr>
            <sz val="9"/>
            <rFont val="宋体"/>
            <charset val="134"/>
          </rPr>
          <t xml:space="preserve">
4/15 上客供RFID贴纸512pcs
</t>
        </r>
      </text>
    </comment>
    <comment ref="AG16" authorId="0">
      <text>
        <r>
          <rPr>
            <b/>
            <sz val="9"/>
            <rFont val="宋体"/>
            <charset val="134"/>
          </rPr>
          <t>Administrator:</t>
        </r>
        <r>
          <rPr>
            <sz val="9"/>
            <rFont val="宋体"/>
            <charset val="134"/>
          </rPr>
          <t xml:space="preserve">
0000655 5/7 656pcs因托盘卡纸未上需帮忙返工装-东莞验货
华一F3</t>
        </r>
      </text>
    </comment>
    <comment ref="AJ16" authorId="0">
      <text>
        <r>
          <rPr>
            <b/>
            <sz val="9"/>
            <rFont val="宋体"/>
            <charset val="134"/>
          </rPr>
          <t>Administrator:</t>
        </r>
        <r>
          <rPr>
            <sz val="9"/>
            <rFont val="宋体"/>
            <charset val="134"/>
          </rPr>
          <t xml:space="preserve">
4/15 上客供RFID贴纸656pcs
</t>
        </r>
      </text>
    </comment>
    <comment ref="AG17" authorId="0">
      <text>
        <r>
          <rPr>
            <b/>
            <sz val="9"/>
            <rFont val="宋体"/>
            <charset val="134"/>
          </rPr>
          <t>Administrator:</t>
        </r>
        <r>
          <rPr>
            <sz val="9"/>
            <rFont val="宋体"/>
            <charset val="134"/>
          </rPr>
          <t xml:space="preserve">
0000655 5/7 800pcs因托盘卡纸未上需帮忙返工装
华一F3</t>
        </r>
      </text>
    </comment>
    <comment ref="AJ17" authorId="0">
      <text>
        <r>
          <rPr>
            <b/>
            <sz val="9"/>
            <rFont val="宋体"/>
            <charset val="134"/>
          </rPr>
          <t>Administrator:</t>
        </r>
        <r>
          <rPr>
            <sz val="9"/>
            <rFont val="宋体"/>
            <charset val="134"/>
          </rPr>
          <t xml:space="preserve">
4/3 上WEEE通用黑色书纸带电池800pcs
4/15 上多语折叠警告语贴纸800pcs
</t>
        </r>
      </text>
    </comment>
    <comment ref="AG18" authorId="0">
      <text>
        <r>
          <rPr>
            <b/>
            <sz val="9"/>
            <rFont val="宋体"/>
            <charset val="134"/>
          </rPr>
          <t>Administrator:</t>
        </r>
        <r>
          <rPr>
            <sz val="9"/>
            <rFont val="宋体"/>
            <charset val="134"/>
          </rPr>
          <t xml:space="preserve">
0001028 5/9 3008pcs华3B9</t>
        </r>
      </text>
    </comment>
    <comment ref="AJ18" authorId="0">
      <text>
        <r>
          <rPr>
            <b/>
            <sz val="9"/>
            <rFont val="宋体"/>
            <charset val="134"/>
          </rPr>
          <t>Administrator:</t>
        </r>
        <r>
          <rPr>
            <sz val="9"/>
            <rFont val="宋体"/>
            <charset val="134"/>
          </rPr>
          <t xml:space="preserve">
4/30 上客版WEEE声明通用说明书(带电池)3008pcs</t>
        </r>
      </text>
    </comment>
    <comment ref="AJ20" authorId="0">
      <text>
        <r>
          <rPr>
            <b/>
            <sz val="9"/>
            <rFont val="宋体"/>
            <charset val="134"/>
          </rPr>
          <t>Administrator:</t>
        </r>
        <r>
          <rPr>
            <sz val="9"/>
            <rFont val="宋体"/>
            <charset val="134"/>
          </rPr>
          <t xml:space="preserve">
4/21 上UPC贴纸15396pcs
</t>
        </r>
      </text>
    </comment>
    <comment ref="AG21" authorId="0">
      <text>
        <r>
          <rPr>
            <b/>
            <sz val="9"/>
            <rFont val="宋体"/>
            <charset val="134"/>
          </rPr>
          <t>Administrator:</t>
        </r>
        <r>
          <rPr>
            <sz val="9"/>
            <rFont val="宋体"/>
            <charset val="134"/>
          </rPr>
          <t xml:space="preserve">
0001023 5/13 760pcs莫4-B10</t>
        </r>
      </text>
    </comment>
    <comment ref="AJ21" authorId="0">
      <text>
        <r>
          <rPr>
            <b/>
            <sz val="9"/>
            <rFont val="宋体"/>
            <charset val="134"/>
          </rPr>
          <t>Administrator:</t>
        </r>
        <r>
          <rPr>
            <sz val="9"/>
            <rFont val="宋体"/>
            <charset val="134"/>
          </rPr>
          <t xml:space="preserve">
4/15 上客供RFID贴纸760pcs
</t>
        </r>
      </text>
    </comment>
    <comment ref="AG22" authorId="0">
      <text>
        <r>
          <rPr>
            <b/>
            <sz val="9"/>
            <rFont val="宋体"/>
            <charset val="134"/>
          </rPr>
          <t>Administrator:</t>
        </r>
        <r>
          <rPr>
            <sz val="9"/>
            <rFont val="宋体"/>
            <charset val="134"/>
          </rPr>
          <t xml:space="preserve">
0001023 5/13 2768pcs
莫4-B10</t>
        </r>
      </text>
    </comment>
    <comment ref="AJ22" authorId="0">
      <text>
        <r>
          <rPr>
            <b/>
            <sz val="9"/>
            <rFont val="宋体"/>
            <charset val="134"/>
          </rPr>
          <t>Administrator:</t>
        </r>
        <r>
          <rPr>
            <sz val="9"/>
            <rFont val="宋体"/>
            <charset val="134"/>
          </rPr>
          <t xml:space="preserve">
3/21 上客供RFID贴纸2768pcs
4/11 上粉色艾利贴纸692pcs
</t>
        </r>
      </text>
    </comment>
    <comment ref="AG23" authorId="0">
      <text>
        <r>
          <rPr>
            <b/>
            <sz val="9"/>
            <rFont val="宋体"/>
            <charset val="134"/>
          </rPr>
          <t>Administrator:</t>
        </r>
        <r>
          <rPr>
            <sz val="9"/>
            <rFont val="宋体"/>
            <charset val="134"/>
          </rPr>
          <t xml:space="preserve">
0001023 5/13 3560pcs
莫4-B10</t>
        </r>
      </text>
    </comment>
    <comment ref="AJ23" authorId="0">
      <text>
        <r>
          <rPr>
            <b/>
            <sz val="9"/>
            <rFont val="宋体"/>
            <charset val="134"/>
          </rPr>
          <t>Administrator:</t>
        </r>
        <r>
          <rPr>
            <sz val="9"/>
            <rFont val="宋体"/>
            <charset val="134"/>
          </rPr>
          <t xml:space="preserve">
3/21 上客供RFID贴纸3560pcs
4/11 上粉色艾利贴纸890pcs
</t>
        </r>
      </text>
    </comment>
    <comment ref="AG24" authorId="0">
      <text>
        <r>
          <rPr>
            <b/>
            <sz val="9"/>
            <rFont val="宋体"/>
            <charset val="134"/>
          </rPr>
          <t>Administrator:</t>
        </r>
        <r>
          <rPr>
            <sz val="9"/>
            <rFont val="宋体"/>
            <charset val="134"/>
          </rPr>
          <t xml:space="preserve">
0001023 5/13 3344pcs
莫4-B10</t>
        </r>
      </text>
    </comment>
    <comment ref="AJ24" authorId="0">
      <text>
        <r>
          <rPr>
            <b/>
            <sz val="9"/>
            <rFont val="宋体"/>
            <charset val="134"/>
          </rPr>
          <t>Administrator:</t>
        </r>
        <r>
          <rPr>
            <sz val="9"/>
            <rFont val="宋体"/>
            <charset val="134"/>
          </rPr>
          <t xml:space="preserve">
3/21 上客供RFID贴纸3344pcs
4/11 上粉色艾利贴纸836pcs
</t>
        </r>
      </text>
    </comment>
    <comment ref="AG25" authorId="0">
      <text>
        <r>
          <rPr>
            <b/>
            <sz val="9"/>
            <rFont val="宋体"/>
            <charset val="134"/>
          </rPr>
          <t>Administrator:</t>
        </r>
        <r>
          <rPr>
            <sz val="9"/>
            <rFont val="宋体"/>
            <charset val="134"/>
          </rPr>
          <t xml:space="preserve">
0001019 5/13 2444pcs华一F5</t>
        </r>
      </text>
    </comment>
    <comment ref="AJ25" authorId="0">
      <text>
        <r>
          <rPr>
            <b/>
            <sz val="9"/>
            <rFont val="宋体"/>
            <charset val="134"/>
          </rPr>
          <t>Administrator:</t>
        </r>
        <r>
          <rPr>
            <sz val="9"/>
            <rFont val="宋体"/>
            <charset val="134"/>
          </rPr>
          <t xml:space="preserve">
4/30 多语警语折叠贴纸2444pcs
</t>
        </r>
      </text>
    </comment>
    <comment ref="AG26" authorId="0">
      <text>
        <r>
          <rPr>
            <b/>
            <sz val="9"/>
            <rFont val="宋体"/>
            <charset val="134"/>
          </rPr>
          <t>Administrator:</t>
        </r>
        <r>
          <rPr>
            <sz val="9"/>
            <rFont val="宋体"/>
            <charset val="134"/>
          </rPr>
          <t xml:space="preserve">
0001003 5/16 108pcsA1楼B5</t>
        </r>
      </text>
    </comment>
    <comment ref="AG27" authorId="0">
      <text>
        <r>
          <rPr>
            <b/>
            <sz val="9"/>
            <rFont val="宋体"/>
            <charset val="134"/>
          </rPr>
          <t>Administrator:</t>
        </r>
        <r>
          <rPr>
            <sz val="9"/>
            <rFont val="宋体"/>
            <charset val="134"/>
          </rPr>
          <t xml:space="preserve">
0001011 5/15 800pcs华3B12</t>
        </r>
      </text>
    </comment>
    <comment ref="AG28" authorId="0">
      <text>
        <r>
          <rPr>
            <b/>
            <sz val="9"/>
            <rFont val="宋体"/>
            <charset val="134"/>
          </rPr>
          <t>Administrator:</t>
        </r>
        <r>
          <rPr>
            <sz val="9"/>
            <rFont val="宋体"/>
            <charset val="134"/>
          </rPr>
          <t xml:space="preserve">
0001011 5/15 600pcs
华3B12</t>
        </r>
      </text>
    </comment>
    <comment ref="AG29" authorId="0">
      <text>
        <r>
          <rPr>
            <b/>
            <sz val="9"/>
            <rFont val="宋体"/>
            <charset val="134"/>
          </rPr>
          <t>Administrator:</t>
        </r>
        <r>
          <rPr>
            <sz val="9"/>
            <rFont val="宋体"/>
            <charset val="134"/>
          </rPr>
          <t xml:space="preserve">
0001002 5/16 608pcs莫4B4</t>
        </r>
      </text>
    </comment>
    <comment ref="AJ29" authorId="0">
      <text>
        <r>
          <rPr>
            <b/>
            <sz val="9"/>
            <rFont val="宋体"/>
            <charset val="134"/>
          </rPr>
          <t>Administrator:</t>
        </r>
        <r>
          <rPr>
            <sz val="9"/>
            <rFont val="宋体"/>
            <charset val="134"/>
          </rPr>
          <t xml:space="preserve">
4/14 上客供警语贴纸632pcs
客供电池 警语贴纸630pcs
客供中文警告说明书630pcs
</t>
        </r>
      </text>
    </comment>
    <comment ref="AG30" authorId="0">
      <text>
        <r>
          <rPr>
            <b/>
            <sz val="9"/>
            <rFont val="宋体"/>
            <charset val="134"/>
          </rPr>
          <t>Administrator:</t>
        </r>
        <r>
          <rPr>
            <sz val="9"/>
            <rFont val="宋体"/>
            <charset val="134"/>
          </rPr>
          <t xml:space="preserve">
0001003 5/16 240pcs莫4B4</t>
        </r>
      </text>
    </comment>
    <comment ref="AJ30" authorId="0">
      <text>
        <r>
          <rPr>
            <b/>
            <sz val="9"/>
            <rFont val="宋体"/>
            <charset val="134"/>
          </rPr>
          <t>Administrator:</t>
        </r>
        <r>
          <rPr>
            <sz val="9"/>
            <rFont val="宋体"/>
            <charset val="134"/>
          </rPr>
          <t xml:space="preserve">
4/14 上警语贴纸240pcs</t>
        </r>
      </text>
    </comment>
    <comment ref="AJ31" authorId="0">
      <text>
        <r>
          <rPr>
            <b/>
            <sz val="9"/>
            <rFont val="宋体"/>
            <charset val="134"/>
          </rPr>
          <t>Administrator:</t>
        </r>
        <r>
          <rPr>
            <sz val="9"/>
            <rFont val="宋体"/>
            <charset val="134"/>
          </rPr>
          <t xml:space="preserve">
4/21 上进口商贴纸720pcs</t>
        </r>
      </text>
    </comment>
    <comment ref="AG32" authorId="0">
      <text>
        <r>
          <rPr>
            <b/>
            <sz val="9"/>
            <rFont val="宋体"/>
            <charset val="134"/>
          </rPr>
          <t>Administrator:</t>
        </r>
        <r>
          <rPr>
            <sz val="9"/>
            <rFont val="宋体"/>
            <charset val="134"/>
          </rPr>
          <t xml:space="preserve">
0001002 5/16 10pcs莫4B9</t>
        </r>
      </text>
    </comment>
    <comment ref="AJ32" authorId="0">
      <text>
        <r>
          <rPr>
            <b/>
            <sz val="9"/>
            <rFont val="宋体"/>
            <charset val="134"/>
          </rPr>
          <t>Administrator:</t>
        </r>
        <r>
          <rPr>
            <sz val="9"/>
            <rFont val="宋体"/>
            <charset val="134"/>
          </rPr>
          <t xml:space="preserve">
4/10 上外箱黄色贴纸20pcs</t>
        </r>
      </text>
    </comment>
    <comment ref="AG33" authorId="0">
      <text>
        <r>
          <rPr>
            <b/>
            <sz val="9"/>
            <rFont val="宋体"/>
            <charset val="134"/>
          </rPr>
          <t>Administrator:</t>
        </r>
        <r>
          <rPr>
            <sz val="9"/>
            <rFont val="宋体"/>
            <charset val="134"/>
          </rPr>
          <t xml:space="preserve">
0001002 5/16 1968pcs
莫4B9
0001001 5/17 28pcs兴信</t>
        </r>
      </text>
    </comment>
    <comment ref="AG34" authorId="0">
      <text>
        <r>
          <rPr>
            <b/>
            <sz val="9"/>
            <rFont val="宋体"/>
            <charset val="134"/>
          </rPr>
          <t>Administrator:</t>
        </r>
        <r>
          <rPr>
            <sz val="9"/>
            <rFont val="宋体"/>
            <charset val="134"/>
          </rPr>
          <t xml:space="preserve">
0001002 5/16 912pcs莫4B4</t>
        </r>
      </text>
    </comment>
    <comment ref="AJ34" authorId="0">
      <text>
        <r>
          <rPr>
            <b/>
            <sz val="9"/>
            <rFont val="宋体"/>
            <charset val="134"/>
          </rPr>
          <t>Administrator:</t>
        </r>
        <r>
          <rPr>
            <sz val="9"/>
            <rFont val="宋体"/>
            <charset val="134"/>
          </rPr>
          <t xml:space="preserve">
4/15 上客供RFID贴纸912pcs
</t>
        </r>
      </text>
    </comment>
    <comment ref="AG35" authorId="0">
      <text>
        <r>
          <rPr>
            <b/>
            <sz val="9"/>
            <rFont val="宋体"/>
            <charset val="134"/>
          </rPr>
          <t>Administrator:</t>
        </r>
        <r>
          <rPr>
            <sz val="9"/>
            <rFont val="宋体"/>
            <charset val="134"/>
          </rPr>
          <t xml:space="preserve">
0001003 5/16 240pcs莫4C4</t>
        </r>
      </text>
    </comment>
    <comment ref="AJ35" authorId="0">
      <text>
        <r>
          <rPr>
            <b/>
            <sz val="9"/>
            <rFont val="宋体"/>
            <charset val="134"/>
          </rPr>
          <t>Administrator:</t>
        </r>
        <r>
          <rPr>
            <sz val="9"/>
            <rFont val="宋体"/>
            <charset val="134"/>
          </rPr>
          <t xml:space="preserve">
4/16 上警告语/客人进口商地址贴纸240pcs
4/21 WEEE__带电池走货北欧六
语通用黑白说明书240pcs</t>
        </r>
      </text>
    </comment>
    <comment ref="AG38" authorId="0">
      <text>
        <r>
          <rPr>
            <b/>
            <sz val="9"/>
            <rFont val="宋体"/>
            <charset val="134"/>
          </rPr>
          <t>Administrator:</t>
        </r>
        <r>
          <rPr>
            <sz val="9"/>
            <rFont val="宋体"/>
            <charset val="134"/>
          </rPr>
          <t xml:space="preserve">
0001084 5/21 3000pcs华3B15
0000922 5/21 8pcs华3B15</t>
        </r>
      </text>
    </comment>
    <comment ref="AJ38" authorId="0">
      <text>
        <r>
          <rPr>
            <b/>
            <sz val="9"/>
            <rFont val="宋体"/>
            <charset val="134"/>
          </rPr>
          <t>Administrator:</t>
        </r>
        <r>
          <rPr>
            <sz val="9"/>
            <rFont val="宋体"/>
            <charset val="134"/>
          </rPr>
          <t xml:space="preserve">
4/15 上WEEE声明通用说明书带电池3008pcs</t>
        </r>
      </text>
    </comment>
    <comment ref="AG39" authorId="0">
      <text>
        <r>
          <rPr>
            <b/>
            <sz val="9"/>
            <rFont val="宋体"/>
            <charset val="134"/>
          </rPr>
          <t>Administrator:</t>
        </r>
        <r>
          <rPr>
            <sz val="9"/>
            <rFont val="宋体"/>
            <charset val="134"/>
          </rPr>
          <t xml:space="preserve">
0001084 5/21 1504pcs直走</t>
        </r>
      </text>
    </comment>
    <comment ref="AJ39" authorId="0">
      <text>
        <r>
          <rPr>
            <b/>
            <sz val="9"/>
            <rFont val="宋体"/>
            <charset val="134"/>
          </rPr>
          <t>Administrator:</t>
        </r>
        <r>
          <rPr>
            <sz val="9"/>
            <rFont val="宋体"/>
            <charset val="134"/>
          </rPr>
          <t xml:space="preserve">
4/15 上WEEE声明通用说明书带电池1504pcs
</t>
        </r>
      </text>
    </comment>
    <comment ref="AG40" authorId="0">
      <text>
        <r>
          <rPr>
            <b/>
            <sz val="9"/>
            <rFont val="宋体"/>
            <charset val="134"/>
          </rPr>
          <t>Administrator:</t>
        </r>
        <r>
          <rPr>
            <sz val="9"/>
            <rFont val="宋体"/>
            <charset val="134"/>
          </rPr>
          <t xml:space="preserve">
0001001 5/17 1104pcs华3B14</t>
        </r>
      </text>
    </comment>
    <comment ref="AJ40" authorId="0">
      <text>
        <r>
          <rPr>
            <b/>
            <sz val="9"/>
            <rFont val="宋体"/>
            <charset val="134"/>
          </rPr>
          <t>Administrator:</t>
        </r>
        <r>
          <rPr>
            <sz val="9"/>
            <rFont val="宋体"/>
            <charset val="134"/>
          </rPr>
          <t xml:space="preserve">
4/30 上UPC贴纸1104pcs</t>
        </r>
      </text>
    </comment>
    <comment ref="AJ41" authorId="0">
      <text>
        <r>
          <rPr>
            <b/>
            <sz val="9"/>
            <rFont val="宋体"/>
            <charset val="134"/>
          </rPr>
          <t>Administrator:</t>
        </r>
        <r>
          <rPr>
            <sz val="9"/>
            <rFont val="宋体"/>
            <charset val="134"/>
          </rPr>
          <t xml:space="preserve">
3/21 上客供RFID贴纸4960pcs
4/11 上粉色艾利贴纸1240pcs
</t>
        </r>
      </text>
    </comment>
    <comment ref="AG42" authorId="0">
      <text>
        <r>
          <rPr>
            <b/>
            <sz val="9"/>
            <rFont val="宋体"/>
            <charset val="134"/>
          </rPr>
          <t>Administrator:</t>
        </r>
        <r>
          <rPr>
            <sz val="9"/>
            <rFont val="宋体"/>
            <charset val="134"/>
          </rPr>
          <t xml:space="preserve">
0001001 5/17 4112pcs华3A10</t>
        </r>
      </text>
    </comment>
    <comment ref="AJ42" authorId="0">
      <text>
        <r>
          <rPr>
            <b/>
            <sz val="9"/>
            <rFont val="宋体"/>
            <charset val="134"/>
          </rPr>
          <t>Administrator:</t>
        </r>
        <r>
          <rPr>
            <sz val="9"/>
            <rFont val="宋体"/>
            <charset val="134"/>
          </rPr>
          <t xml:space="preserve">
3/21 上客供RFID贴纸4112pcs
4/11 上粉色艾利贴纸1028pcs
</t>
        </r>
      </text>
    </comment>
    <comment ref="AJ43" authorId="0">
      <text>
        <r>
          <rPr>
            <b/>
            <sz val="9"/>
            <rFont val="宋体"/>
            <charset val="134"/>
          </rPr>
          <t>Administrator:</t>
        </r>
        <r>
          <rPr>
            <sz val="9"/>
            <rFont val="宋体"/>
            <charset val="134"/>
          </rPr>
          <t xml:space="preserve">
4/15 上大黄圆防盗贴纸2656pcs</t>
        </r>
      </text>
    </comment>
    <comment ref="AG44" authorId="0">
      <text>
        <r>
          <rPr>
            <b/>
            <sz val="9"/>
            <rFont val="宋体"/>
            <charset val="134"/>
          </rPr>
          <t>Administrator:</t>
        </r>
        <r>
          <rPr>
            <sz val="9"/>
            <rFont val="宋体"/>
            <charset val="134"/>
          </rPr>
          <t xml:space="preserve">
0000995 5/19 592pcs
0000993 6/20 16pcs华3B6</t>
        </r>
      </text>
    </comment>
    <comment ref="AJ44" authorId="0">
      <text>
        <r>
          <rPr>
            <b/>
            <sz val="9"/>
            <rFont val="宋体"/>
            <charset val="134"/>
          </rPr>
          <t>Administrator:</t>
        </r>
        <r>
          <rPr>
            <sz val="9"/>
            <rFont val="宋体"/>
            <charset val="134"/>
          </rPr>
          <t xml:space="preserve">
4/15 上客供RFID贴纸608pcs
</t>
        </r>
      </text>
    </comment>
    <comment ref="AG45" authorId="0">
      <text>
        <r>
          <rPr>
            <b/>
            <sz val="9"/>
            <rFont val="宋体"/>
            <charset val="134"/>
          </rPr>
          <t>Administrator:</t>
        </r>
        <r>
          <rPr>
            <sz val="9"/>
            <rFont val="宋体"/>
            <charset val="134"/>
          </rPr>
          <t xml:space="preserve">
0000995 5/19 600pcs
0000993 6/20 8pcs
华3B6</t>
        </r>
      </text>
    </comment>
    <comment ref="AJ45" authorId="0">
      <text>
        <r>
          <rPr>
            <b/>
            <sz val="9"/>
            <rFont val="宋体"/>
            <charset val="134"/>
          </rPr>
          <t>Administrator:</t>
        </r>
        <r>
          <rPr>
            <sz val="9"/>
            <rFont val="宋体"/>
            <charset val="134"/>
          </rPr>
          <t xml:space="preserve">
4/15 上客供RFID贴纸608pcs
</t>
        </r>
      </text>
    </comment>
    <comment ref="AG46" authorId="0">
      <text>
        <r>
          <rPr>
            <b/>
            <sz val="9"/>
            <rFont val="宋体"/>
            <charset val="134"/>
          </rPr>
          <t>Administrator:</t>
        </r>
        <r>
          <rPr>
            <sz val="9"/>
            <rFont val="宋体"/>
            <charset val="134"/>
          </rPr>
          <t xml:space="preserve">
0000995 5/19 608pcs
0000993 6/20 8pcs华3B5</t>
        </r>
      </text>
    </comment>
    <comment ref="AJ46" authorId="0">
      <text>
        <r>
          <rPr>
            <b/>
            <sz val="9"/>
            <rFont val="宋体"/>
            <charset val="134"/>
          </rPr>
          <t>Administrator:</t>
        </r>
        <r>
          <rPr>
            <sz val="9"/>
            <rFont val="宋体"/>
            <charset val="134"/>
          </rPr>
          <t xml:space="preserve">
4/15 上客供RFID贴纸616pcs
</t>
        </r>
      </text>
    </comment>
    <comment ref="AG47" authorId="0">
      <text>
        <r>
          <rPr>
            <b/>
            <sz val="9"/>
            <rFont val="宋体"/>
            <charset val="134"/>
          </rPr>
          <t>Administrator:</t>
        </r>
        <r>
          <rPr>
            <sz val="9"/>
            <rFont val="宋体"/>
            <charset val="134"/>
          </rPr>
          <t xml:space="preserve">
0000995 5/19 792pcs
</t>
        </r>
      </text>
    </comment>
    <comment ref="AJ47" authorId="0">
      <text>
        <r>
          <rPr>
            <b/>
            <sz val="9"/>
            <rFont val="宋体"/>
            <charset val="134"/>
          </rPr>
          <t>Administrator:</t>
        </r>
        <r>
          <rPr>
            <sz val="9"/>
            <rFont val="宋体"/>
            <charset val="134"/>
          </rPr>
          <t xml:space="preserve">
4/15 上客供RFID贴纸792pcs
</t>
        </r>
      </text>
    </comment>
    <comment ref="AG48" authorId="0">
      <text>
        <r>
          <rPr>
            <b/>
            <sz val="9"/>
            <rFont val="宋体"/>
            <charset val="134"/>
          </rPr>
          <t>Administrator:</t>
        </r>
        <r>
          <rPr>
            <sz val="9"/>
            <rFont val="宋体"/>
            <charset val="134"/>
          </rPr>
          <t xml:space="preserve">
0000995 5/19 740pcs
0000993 6/20 4pcs
华3B6</t>
        </r>
      </text>
    </comment>
    <comment ref="AJ48" authorId="0">
      <text>
        <r>
          <rPr>
            <b/>
            <sz val="9"/>
            <rFont val="宋体"/>
            <charset val="134"/>
          </rPr>
          <t>Administrator:</t>
        </r>
        <r>
          <rPr>
            <sz val="9"/>
            <rFont val="宋体"/>
            <charset val="134"/>
          </rPr>
          <t xml:space="preserve">
4/15 上客供RFID贴纸744pcs
</t>
        </r>
      </text>
    </comment>
    <comment ref="AG49" authorId="0">
      <text>
        <r>
          <rPr>
            <b/>
            <sz val="9"/>
            <rFont val="宋体"/>
            <charset val="134"/>
          </rPr>
          <t>Administrator:</t>
        </r>
        <r>
          <rPr>
            <sz val="9"/>
            <rFont val="宋体"/>
            <charset val="134"/>
          </rPr>
          <t xml:space="preserve">
0001003 5/16 252pcs莫4C4</t>
        </r>
      </text>
    </comment>
    <comment ref="AJ49" authorId="0">
      <text>
        <r>
          <rPr>
            <b/>
            <sz val="9"/>
            <rFont val="宋体"/>
            <charset val="134"/>
          </rPr>
          <t>Administrator:</t>
        </r>
        <r>
          <rPr>
            <sz val="9"/>
            <rFont val="宋体"/>
            <charset val="134"/>
          </rPr>
          <t xml:space="preserve">
4/28 上警示语贴纸252pcs
5/6 带纽扣电池走货北欧六语通用黑白电池说明书252pcs</t>
        </r>
      </text>
    </comment>
    <comment ref="AG50" authorId="0">
      <text>
        <r>
          <rPr>
            <b/>
            <sz val="9"/>
            <rFont val="宋体"/>
            <charset val="134"/>
          </rPr>
          <t>Administrator:</t>
        </r>
        <r>
          <rPr>
            <sz val="9"/>
            <rFont val="宋体"/>
            <charset val="134"/>
          </rPr>
          <t xml:space="preserve">
0000922 5/21 3352pcs华3A30</t>
        </r>
      </text>
    </comment>
    <comment ref="AJ50" authorId="0">
      <text>
        <r>
          <rPr>
            <b/>
            <sz val="9"/>
            <rFont val="宋体"/>
            <charset val="134"/>
          </rPr>
          <t>Administrator:</t>
        </r>
        <r>
          <rPr>
            <sz val="9"/>
            <rFont val="宋体"/>
            <charset val="134"/>
          </rPr>
          <t xml:space="preserve">
4/25 WEEE电池垃圾桶的回收声明说明书3352pcs
4/30 多语警语折叠贴纸3352pcs</t>
        </r>
      </text>
    </comment>
    <comment ref="AG51" authorId="0">
      <text>
        <r>
          <rPr>
            <b/>
            <sz val="9"/>
            <rFont val="宋体"/>
            <charset val="134"/>
          </rPr>
          <t>Administrator:</t>
        </r>
        <r>
          <rPr>
            <sz val="9"/>
            <rFont val="宋体"/>
            <charset val="134"/>
          </rPr>
          <t xml:space="preserve">
0000922 5/21 2040pcs华3B16
0000915 5/22 24pcs</t>
        </r>
      </text>
    </comment>
    <comment ref="AG52" authorId="0">
      <text>
        <r>
          <rPr>
            <b/>
            <sz val="9"/>
            <rFont val="宋体"/>
            <charset val="134"/>
          </rPr>
          <t>Administrator:</t>
        </r>
        <r>
          <rPr>
            <sz val="9"/>
            <rFont val="宋体"/>
            <charset val="134"/>
          </rPr>
          <t xml:space="preserve">
0000922 5/21 2976pcs华3B16
0000915 5/22 32pcs</t>
        </r>
      </text>
    </comment>
    <comment ref="AJ52" authorId="0">
      <text>
        <r>
          <rPr>
            <b/>
            <sz val="9"/>
            <rFont val="宋体"/>
            <charset val="134"/>
          </rPr>
          <t>Administrator:</t>
        </r>
        <r>
          <rPr>
            <sz val="9"/>
            <rFont val="宋体"/>
            <charset val="134"/>
          </rPr>
          <t xml:space="preserve">
4/25 上2国语言电池说明书3008pcs
5/9 上UPC条码贴纸3008pcs</t>
        </r>
      </text>
    </comment>
    <comment ref="AG53" authorId="0">
      <text>
        <r>
          <rPr>
            <b/>
            <sz val="9"/>
            <rFont val="宋体"/>
            <charset val="134"/>
          </rPr>
          <t>Administrator:</t>
        </r>
        <r>
          <rPr>
            <sz val="9"/>
            <rFont val="宋体"/>
            <charset val="134"/>
          </rPr>
          <t xml:space="preserve">
0001069 5/24 1608pcs华3B15</t>
        </r>
      </text>
    </comment>
    <comment ref="AJ53" authorId="0">
      <text>
        <r>
          <rPr>
            <b/>
            <sz val="9"/>
            <rFont val="宋体"/>
            <charset val="134"/>
          </rPr>
          <t>Administrator:</t>
        </r>
        <r>
          <rPr>
            <sz val="9"/>
            <rFont val="宋体"/>
            <charset val="134"/>
          </rPr>
          <t xml:space="preserve">
4/30 上UPC贴纸1608pcs</t>
        </r>
      </text>
    </comment>
    <comment ref="AG54" authorId="0">
      <text>
        <r>
          <rPr>
            <b/>
            <sz val="9"/>
            <rFont val="宋体"/>
            <charset val="134"/>
          </rPr>
          <t>Administrator:</t>
        </r>
        <r>
          <rPr>
            <sz val="9"/>
            <rFont val="宋体"/>
            <charset val="134"/>
          </rPr>
          <t xml:space="preserve">
0001076 5/23 6000pcs华一F3</t>
        </r>
      </text>
    </comment>
    <comment ref="AG55" authorId="0">
      <text>
        <r>
          <rPr>
            <b/>
            <sz val="9"/>
            <rFont val="宋体"/>
            <charset val="134"/>
          </rPr>
          <t>Administrator:</t>
        </r>
        <r>
          <rPr>
            <sz val="9"/>
            <rFont val="宋体"/>
            <charset val="134"/>
          </rPr>
          <t xml:space="preserve">
0001076 5/23 1000pcs华3B14</t>
        </r>
      </text>
    </comment>
    <comment ref="AJ55" authorId="0">
      <text>
        <r>
          <rPr>
            <b/>
            <sz val="9"/>
            <rFont val="宋体"/>
            <charset val="134"/>
          </rPr>
          <t>Administrator:</t>
        </r>
        <r>
          <rPr>
            <sz val="9"/>
            <rFont val="宋体"/>
            <charset val="134"/>
          </rPr>
          <t xml:space="preserve">
4/15 上WEEE声明通用说明书带电池1000pcs
</t>
        </r>
      </text>
    </comment>
    <comment ref="AG56" authorId="0">
      <text>
        <r>
          <rPr>
            <b/>
            <sz val="9"/>
            <rFont val="宋体"/>
            <charset val="134"/>
          </rPr>
          <t>Administrator:</t>
        </r>
        <r>
          <rPr>
            <sz val="9"/>
            <rFont val="宋体"/>
            <charset val="134"/>
          </rPr>
          <t xml:space="preserve">
0001070 5/24 360pcs华3B8</t>
        </r>
      </text>
    </comment>
    <comment ref="AJ56" authorId="0">
      <text>
        <r>
          <rPr>
            <b/>
            <sz val="9"/>
            <rFont val="宋体"/>
            <charset val="134"/>
          </rPr>
          <t>Administrator:</t>
        </r>
        <r>
          <rPr>
            <sz val="9"/>
            <rFont val="宋体"/>
            <charset val="134"/>
          </rPr>
          <t xml:space="preserve">
4/25 上UPC条码贴纸360pcs
进口商贴纸360pcs
</t>
        </r>
      </text>
    </comment>
    <comment ref="AG57" authorId="0">
      <text>
        <r>
          <rPr>
            <b/>
            <sz val="9"/>
            <rFont val="宋体"/>
            <charset val="134"/>
          </rPr>
          <t>Administrator:</t>
        </r>
        <r>
          <rPr>
            <sz val="9"/>
            <rFont val="宋体"/>
            <charset val="134"/>
          </rPr>
          <t xml:space="preserve">
0001070 5/24 396pcs华3B8</t>
        </r>
      </text>
    </comment>
    <comment ref="AJ57" authorId="0">
      <text>
        <r>
          <rPr>
            <b/>
            <sz val="9"/>
            <rFont val="宋体"/>
            <charset val="134"/>
          </rPr>
          <t>Administrator:</t>
        </r>
        <r>
          <rPr>
            <sz val="9"/>
            <rFont val="宋体"/>
            <charset val="134"/>
          </rPr>
          <t xml:space="preserve">
4/25 上UPC条码贴纸396pcs
进口商贴纸396pcs</t>
        </r>
      </text>
    </comment>
    <comment ref="AG58" authorId="0">
      <text>
        <r>
          <rPr>
            <b/>
            <sz val="9"/>
            <rFont val="宋体"/>
            <charset val="134"/>
          </rPr>
          <t>Administrator:</t>
        </r>
        <r>
          <rPr>
            <sz val="9"/>
            <rFont val="宋体"/>
            <charset val="134"/>
          </rPr>
          <t xml:space="preserve">
0001070 5/24 540pcs华3B14</t>
        </r>
      </text>
    </comment>
    <comment ref="AJ58" authorId="0">
      <text>
        <r>
          <rPr>
            <b/>
            <sz val="9"/>
            <rFont val="宋体"/>
            <charset val="134"/>
          </rPr>
          <t>Administrator:</t>
        </r>
        <r>
          <rPr>
            <sz val="9"/>
            <rFont val="宋体"/>
            <charset val="134"/>
          </rPr>
          <t xml:space="preserve">
4/25 上UPC条码贴纸540pcs
进口商贴纸540pcs
</t>
        </r>
      </text>
    </comment>
    <comment ref="AG59" authorId="0">
      <text>
        <r>
          <rPr>
            <b/>
            <sz val="9"/>
            <rFont val="宋体"/>
            <charset val="134"/>
          </rPr>
          <t>Administrator:</t>
        </r>
        <r>
          <rPr>
            <sz val="9"/>
            <rFont val="宋体"/>
            <charset val="134"/>
          </rPr>
          <t xml:space="preserve">
0000915 5/22 640pcs</t>
        </r>
      </text>
    </comment>
    <comment ref="AG60" authorId="0">
      <text>
        <r>
          <rPr>
            <b/>
            <sz val="9"/>
            <rFont val="宋体"/>
            <charset val="134"/>
          </rPr>
          <t>Administrator:</t>
        </r>
        <r>
          <rPr>
            <sz val="9"/>
            <rFont val="宋体"/>
            <charset val="134"/>
          </rPr>
          <t xml:space="preserve">
0000915 5/22 1440pcs
</t>
        </r>
      </text>
    </comment>
    <comment ref="AG61" authorId="0">
      <text>
        <r>
          <rPr>
            <b/>
            <sz val="9"/>
            <rFont val="宋体"/>
            <charset val="134"/>
          </rPr>
          <t>Administrator:</t>
        </r>
        <r>
          <rPr>
            <sz val="9"/>
            <rFont val="宋体"/>
            <charset val="134"/>
          </rPr>
          <t xml:space="preserve">
2000722 5/27 3304pcs华3A24</t>
        </r>
      </text>
    </comment>
    <comment ref="AJ61" authorId="0">
      <text>
        <r>
          <rPr>
            <b/>
            <sz val="9"/>
            <rFont val="宋体"/>
            <charset val="134"/>
          </rPr>
          <t>Administrator:</t>
        </r>
        <r>
          <rPr>
            <sz val="9"/>
            <rFont val="宋体"/>
            <charset val="134"/>
          </rPr>
          <t xml:space="preserve">
3/21 上客供RFID贴纸3304pcs
4/11 上粉色艾利贴纸826pcs</t>
        </r>
      </text>
    </comment>
    <comment ref="AG62" authorId="0">
      <text>
        <r>
          <rPr>
            <b/>
            <sz val="9"/>
            <rFont val="宋体"/>
            <charset val="134"/>
          </rPr>
          <t>Administrator:</t>
        </r>
        <r>
          <rPr>
            <sz val="9"/>
            <rFont val="宋体"/>
            <charset val="134"/>
          </rPr>
          <t xml:space="preserve">
2000722 5/27 3320pcs
华3A24</t>
        </r>
      </text>
    </comment>
    <comment ref="AJ62" authorId="0">
      <text>
        <r>
          <rPr>
            <b/>
            <sz val="9"/>
            <rFont val="宋体"/>
            <charset val="134"/>
          </rPr>
          <t>Administrator:</t>
        </r>
        <r>
          <rPr>
            <sz val="9"/>
            <rFont val="宋体"/>
            <charset val="134"/>
          </rPr>
          <t xml:space="preserve">
3/21 上客供RFID贴纸3320pcs
4/11 上粉色艾利贴纸830pcs
</t>
        </r>
      </text>
    </comment>
    <comment ref="AG63" authorId="0">
      <text>
        <r>
          <rPr>
            <b/>
            <sz val="9"/>
            <rFont val="宋体"/>
            <charset val="134"/>
          </rPr>
          <t>Administrator:</t>
        </r>
        <r>
          <rPr>
            <sz val="9"/>
            <rFont val="宋体"/>
            <charset val="134"/>
          </rPr>
          <t xml:space="preserve">
2000713 5/28 912pcs华3B11</t>
        </r>
      </text>
    </comment>
    <comment ref="AJ63" authorId="0">
      <text>
        <r>
          <rPr>
            <b/>
            <sz val="9"/>
            <rFont val="宋体"/>
            <charset val="134"/>
          </rPr>
          <t>Administrator:</t>
        </r>
        <r>
          <rPr>
            <sz val="9"/>
            <rFont val="宋体"/>
            <charset val="134"/>
          </rPr>
          <t xml:space="preserve">
4/15 上客供RFID贴纸912pcs
</t>
        </r>
      </text>
    </comment>
    <comment ref="AG64" authorId="0">
      <text>
        <r>
          <rPr>
            <b/>
            <sz val="9"/>
            <rFont val="宋体"/>
            <charset val="134"/>
          </rPr>
          <t>Administrator:</t>
        </r>
        <r>
          <rPr>
            <sz val="9"/>
            <rFont val="宋体"/>
            <charset val="134"/>
          </rPr>
          <t xml:space="preserve">
2000726 5/26 196pcs莫4B8
2000720 5/27 4pcs
兴信</t>
        </r>
      </text>
    </comment>
    <comment ref="AK64" authorId="0">
      <text>
        <r>
          <rPr>
            <b/>
            <sz val="9"/>
            <rFont val="宋体"/>
            <charset val="134"/>
          </rPr>
          <t>Administrator:</t>
        </r>
        <r>
          <rPr>
            <sz val="9"/>
            <rFont val="宋体"/>
            <charset val="134"/>
          </rPr>
          <t xml:space="preserve">
5/12 上挪威语警语贴纸200pcs
5/12 带纽扣电池走货北欧六语通用黑白电池说明书200pcs</t>
        </r>
      </text>
    </comment>
    <comment ref="AG65" authorId="0">
      <text>
        <r>
          <rPr>
            <b/>
            <sz val="9"/>
            <rFont val="宋体"/>
            <charset val="134"/>
          </rPr>
          <t>Administrator:</t>
        </r>
        <r>
          <rPr>
            <sz val="9"/>
            <rFont val="宋体"/>
            <charset val="134"/>
          </rPr>
          <t xml:space="preserve">
2000720 5/27 240pcs
华3B9</t>
        </r>
      </text>
    </comment>
    <comment ref="AJ65" authorId="0">
      <text>
        <r>
          <rPr>
            <b/>
            <sz val="9"/>
            <rFont val="宋体"/>
            <charset val="134"/>
          </rPr>
          <t>Administrator:</t>
        </r>
        <r>
          <rPr>
            <sz val="9"/>
            <rFont val="宋体"/>
            <charset val="134"/>
          </rPr>
          <t xml:space="preserve">
4/21 带纽扣电池走货北欧六语通用黑白电池说明书240pcs
4/25 上警告语贴纸240pcs</t>
        </r>
      </text>
    </comment>
    <comment ref="AG66" authorId="0">
      <text>
        <r>
          <rPr>
            <b/>
            <sz val="9"/>
            <rFont val="宋体"/>
            <charset val="134"/>
          </rPr>
          <t>Administrator:</t>
        </r>
        <r>
          <rPr>
            <sz val="9"/>
            <rFont val="宋体"/>
            <charset val="134"/>
          </rPr>
          <t xml:space="preserve">
2000707 5/28 800pcs华一B2</t>
        </r>
      </text>
    </comment>
    <comment ref="AG67" authorId="0">
      <text>
        <r>
          <rPr>
            <b/>
            <sz val="9"/>
            <rFont val="宋体"/>
            <charset val="134"/>
          </rPr>
          <t>Administrator:</t>
        </r>
        <r>
          <rPr>
            <sz val="9"/>
            <rFont val="宋体"/>
            <charset val="134"/>
          </rPr>
          <t xml:space="preserve">
2000713 5/28 1200pcs直走</t>
        </r>
      </text>
    </comment>
    <comment ref="AJ67" authorId="0">
      <text>
        <r>
          <rPr>
            <b/>
            <sz val="9"/>
            <rFont val="宋体"/>
            <charset val="134"/>
          </rPr>
          <t>Administrator:</t>
        </r>
        <r>
          <rPr>
            <sz val="9"/>
            <rFont val="宋体"/>
            <charset val="134"/>
          </rPr>
          <t xml:space="preserve">
5/6 上多语警语折叠贴纸1200pcs
5/12 30L WEEE带电池走货说明书1200pcs
5/14 5L（PL+HU+CZ+SK+RO )贴纸1200pcs
</t>
        </r>
      </text>
    </comment>
    <comment ref="AG68" authorId="0">
      <text>
        <r>
          <rPr>
            <b/>
            <sz val="9"/>
            <rFont val="宋体"/>
            <charset val="134"/>
          </rPr>
          <t>Administrator:</t>
        </r>
        <r>
          <rPr>
            <sz val="9"/>
            <rFont val="宋体"/>
            <charset val="134"/>
          </rPr>
          <t xml:space="preserve">
2000707 5/28 540pcs兴信</t>
        </r>
      </text>
    </comment>
    <comment ref="AJ68" authorId="0">
      <text>
        <r>
          <rPr>
            <b/>
            <sz val="9"/>
            <rFont val="宋体"/>
            <charset val="134"/>
          </rPr>
          <t>Administrator:</t>
        </r>
        <r>
          <rPr>
            <sz val="9"/>
            <rFont val="宋体"/>
            <charset val="134"/>
          </rPr>
          <t xml:space="preserve">
5/7 WEEE 带电池走货 通用30L 说明书540pcs
德语警告语贴纸540pcs
 产品图片贴纸540pcs</t>
        </r>
      </text>
    </comment>
    <comment ref="AG69" authorId="0">
      <text>
        <r>
          <rPr>
            <b/>
            <sz val="9"/>
            <rFont val="宋体"/>
            <charset val="134"/>
          </rPr>
          <t>Administrator:</t>
        </r>
        <r>
          <rPr>
            <sz val="9"/>
            <rFont val="宋体"/>
            <charset val="134"/>
          </rPr>
          <t xml:space="preserve">
2000720 5/27 1104pcs华3A18</t>
        </r>
      </text>
    </comment>
    <comment ref="AJ69" authorId="0">
      <text>
        <r>
          <rPr>
            <b/>
            <sz val="9"/>
            <rFont val="宋体"/>
            <charset val="134"/>
          </rPr>
          <t>Administrator:</t>
        </r>
        <r>
          <rPr>
            <sz val="9"/>
            <rFont val="宋体"/>
            <charset val="134"/>
          </rPr>
          <t xml:space="preserve">
4/15 上客供RFID贴纸1104pcs
</t>
        </r>
      </text>
    </comment>
    <comment ref="AG70" authorId="0">
      <text>
        <r>
          <rPr>
            <b/>
            <sz val="9"/>
            <rFont val="宋体"/>
            <charset val="134"/>
          </rPr>
          <t>Administrator:</t>
        </r>
        <r>
          <rPr>
            <sz val="9"/>
            <rFont val="宋体"/>
            <charset val="134"/>
          </rPr>
          <t xml:space="preserve">
2000682 5/26 240pcs华3B14</t>
        </r>
      </text>
    </comment>
    <comment ref="AJ70" authorId="0">
      <text>
        <r>
          <rPr>
            <b/>
            <sz val="9"/>
            <rFont val="宋体"/>
            <charset val="134"/>
          </rPr>
          <t>Administrator:</t>
        </r>
        <r>
          <rPr>
            <sz val="9"/>
            <rFont val="宋体"/>
            <charset val="134"/>
          </rPr>
          <t xml:space="preserve">
4/21 上西班牙环保标/邮箱贴纸240pcs</t>
        </r>
      </text>
    </comment>
    <comment ref="AG71" authorId="0">
      <text>
        <r>
          <rPr>
            <b/>
            <sz val="9"/>
            <rFont val="宋体"/>
            <charset val="134"/>
          </rPr>
          <t>Administrator:</t>
        </r>
        <r>
          <rPr>
            <sz val="9"/>
            <rFont val="宋体"/>
            <charset val="134"/>
          </rPr>
          <t xml:space="preserve">
2000720 5/27 156pcs
华3B9</t>
        </r>
      </text>
    </comment>
    <comment ref="AJ71" authorId="0">
      <text>
        <r>
          <rPr>
            <b/>
            <sz val="9"/>
            <rFont val="宋体"/>
            <charset val="134"/>
          </rPr>
          <t>Administrator:</t>
        </r>
        <r>
          <rPr>
            <sz val="9"/>
            <rFont val="宋体"/>
            <charset val="134"/>
          </rPr>
          <t xml:space="preserve">
5/7 上客人白色CALLABEL贴纸156pcs
</t>
        </r>
      </text>
    </comment>
    <comment ref="AG72" authorId="0">
      <text>
        <r>
          <rPr>
            <b/>
            <sz val="9"/>
            <rFont val="宋体"/>
            <charset val="134"/>
          </rPr>
          <t>Administrator:</t>
        </r>
        <r>
          <rPr>
            <sz val="9"/>
            <rFont val="宋体"/>
            <charset val="134"/>
          </rPr>
          <t xml:space="preserve">
2002571 6/2 320pcs华3B4</t>
        </r>
      </text>
    </comment>
    <comment ref="AJ72" authorId="0">
      <text>
        <r>
          <rPr>
            <b/>
            <sz val="9"/>
            <rFont val="宋体"/>
            <charset val="134"/>
          </rPr>
          <t>Administrator:</t>
        </r>
        <r>
          <rPr>
            <sz val="9"/>
            <rFont val="宋体"/>
            <charset val="134"/>
          </rPr>
          <t xml:space="preserve">
5/14 上WEE
E电池垃圾桶的回收声明说明书320pcs
5/14 上警语贴纸320pcs</t>
        </r>
      </text>
    </comment>
    <comment ref="AG73" authorId="0">
      <text>
        <r>
          <rPr>
            <b/>
            <sz val="9"/>
            <rFont val="宋体"/>
            <charset val="134"/>
          </rPr>
          <t>Administrator:</t>
        </r>
        <r>
          <rPr>
            <sz val="9"/>
            <rFont val="宋体"/>
            <charset val="134"/>
          </rPr>
          <t xml:space="preserve">
2002440 6/2 12pcs华3B14</t>
        </r>
      </text>
    </comment>
    <comment ref="AG74" authorId="0">
      <text>
        <r>
          <rPr>
            <b/>
            <sz val="9"/>
            <rFont val="宋体"/>
            <charset val="134"/>
          </rPr>
          <t>Administrator:</t>
        </r>
        <r>
          <rPr>
            <sz val="9"/>
            <rFont val="宋体"/>
            <charset val="134"/>
          </rPr>
          <t xml:space="preserve">
2002440 6/2 300pcs华3A16
</t>
        </r>
      </text>
    </comment>
    <comment ref="AG75" authorId="0">
      <text>
        <r>
          <rPr>
            <b/>
            <sz val="9"/>
            <rFont val="宋体"/>
            <charset val="134"/>
          </rPr>
          <t>Administrator:</t>
        </r>
        <r>
          <rPr>
            <sz val="9"/>
            <rFont val="宋体"/>
            <charset val="134"/>
          </rPr>
          <t xml:space="preserve">
2002440 6/2 960pcs华3B11
</t>
        </r>
      </text>
    </comment>
    <comment ref="AJ75" authorId="0">
      <text>
        <r>
          <rPr>
            <b/>
            <sz val="9"/>
            <rFont val="宋体"/>
            <charset val="134"/>
          </rPr>
          <t>Administrator:</t>
        </r>
        <r>
          <rPr>
            <sz val="9"/>
            <rFont val="宋体"/>
            <charset val="134"/>
          </rPr>
          <t xml:space="preserve">
5/16 警告语/进口商贴纸960pcs
带纽扣电池走货北欧六语通用黑白电池说
 明书960pcs</t>
        </r>
      </text>
    </comment>
    <comment ref="AG76" authorId="0">
      <text>
        <r>
          <rPr>
            <b/>
            <sz val="9"/>
            <rFont val="宋体"/>
            <charset val="134"/>
          </rPr>
          <t>Administrator:</t>
        </r>
        <r>
          <rPr>
            <sz val="9"/>
            <rFont val="宋体"/>
            <charset val="134"/>
          </rPr>
          <t xml:space="preserve">
2000720 5/27 504pcs
华3A26</t>
        </r>
      </text>
    </comment>
    <comment ref="AJ76" authorId="0">
      <text>
        <r>
          <rPr>
            <b/>
            <sz val="9"/>
            <rFont val="宋体"/>
            <charset val="134"/>
          </rPr>
          <t>Administrator:</t>
        </r>
        <r>
          <rPr>
            <sz val="9"/>
            <rFont val="宋体"/>
            <charset val="134"/>
          </rPr>
          <t xml:space="preserve">
4/25 上包装电池警告语贴纸504pcs
包装+说明书电池警告语贴纸1008pcs</t>
        </r>
      </text>
    </comment>
    <comment ref="AG77" authorId="0">
      <text>
        <r>
          <rPr>
            <b/>
            <sz val="9"/>
            <rFont val="宋体"/>
            <charset val="134"/>
          </rPr>
          <t>Administrator:</t>
        </r>
        <r>
          <rPr>
            <sz val="9"/>
            <rFont val="宋体"/>
            <charset val="134"/>
          </rPr>
          <t xml:space="preserve">
0001069 5/24 1500pcs华3B16</t>
        </r>
      </text>
    </comment>
    <comment ref="AJ77" authorId="0">
      <text>
        <r>
          <rPr>
            <b/>
            <sz val="9"/>
            <rFont val="宋体"/>
            <charset val="134"/>
          </rPr>
          <t>Administrator:</t>
        </r>
        <r>
          <rPr>
            <sz val="9"/>
            <rFont val="宋体"/>
            <charset val="134"/>
          </rPr>
          <t xml:space="preserve">
5/12 上说明书纽扣电池警告语贴纸1500pcs
收缩膜纽扣电池警告语贴纸1500pcs
白色防盗贴纸1500pcs
KM单外箱贴纸125pcs</t>
        </r>
      </text>
    </comment>
    <comment ref="AG78" authorId="0">
      <text>
        <r>
          <rPr>
            <b/>
            <sz val="9"/>
            <rFont val="宋体"/>
            <charset val="134"/>
          </rPr>
          <t>Administrator:</t>
        </r>
        <r>
          <rPr>
            <sz val="9"/>
            <rFont val="宋体"/>
            <charset val="134"/>
          </rPr>
          <t xml:space="preserve">
2002555 6/4 168pcs兴信</t>
        </r>
      </text>
    </comment>
    <comment ref="AG79" authorId="0">
      <text>
        <r>
          <rPr>
            <b/>
            <sz val="9"/>
            <rFont val="宋体"/>
            <charset val="134"/>
          </rPr>
          <t>Administrator:</t>
        </r>
        <r>
          <rPr>
            <sz val="9"/>
            <rFont val="宋体"/>
            <charset val="134"/>
          </rPr>
          <t xml:space="preserve">
2002555 6/4 20 王付健
2002552 6/4 6680pcs王1-B1</t>
        </r>
      </text>
    </comment>
    <comment ref="AJ79" authorId="0">
      <text>
        <r>
          <rPr>
            <b/>
            <sz val="9"/>
            <rFont val="宋体"/>
            <charset val="134"/>
          </rPr>
          <t>Administrator:</t>
        </r>
        <r>
          <rPr>
            <sz val="9"/>
            <rFont val="宋体"/>
            <charset val="134"/>
          </rPr>
          <t xml:space="preserve">
5/14 WEEE电池垃圾桶的回收声明说明书6700pcs
5/26 上可折叠语贴纸6700pcs
</t>
        </r>
      </text>
    </comment>
    <comment ref="AG80" authorId="0">
      <text>
        <r>
          <rPr>
            <b/>
            <sz val="9"/>
            <rFont val="宋体"/>
            <charset val="134"/>
          </rPr>
          <t>Administrator:</t>
        </r>
        <r>
          <rPr>
            <sz val="9"/>
            <rFont val="宋体"/>
            <charset val="134"/>
          </rPr>
          <t xml:space="preserve">
2002571 6/2 1600pcs华3B12</t>
        </r>
      </text>
    </comment>
    <comment ref="AJ80" authorId="0">
      <text>
        <r>
          <rPr>
            <b/>
            <sz val="9"/>
            <rFont val="宋体"/>
            <charset val="134"/>
          </rPr>
          <t>Administrator:</t>
        </r>
        <r>
          <rPr>
            <sz val="9"/>
            <rFont val="宋体"/>
            <charset val="134"/>
          </rPr>
          <t xml:space="preserve">
5/14 上进口含意大利环保贴纸3040pcs
5/14 上展示架条码贴纸180pcs
5/27 收到展示架条码贴纸220pcs</t>
        </r>
      </text>
    </comment>
    <comment ref="AG81" authorId="0">
      <text>
        <r>
          <rPr>
            <b/>
            <sz val="9"/>
            <rFont val="宋体"/>
            <charset val="134"/>
          </rPr>
          <t>Administrator:</t>
        </r>
        <r>
          <rPr>
            <sz val="9"/>
            <rFont val="宋体"/>
            <charset val="134"/>
          </rPr>
          <t xml:space="preserve">
2002392 6/5 480pcs 王 1-A5</t>
        </r>
      </text>
    </comment>
    <comment ref="AJ81" authorId="0">
      <text>
        <r>
          <rPr>
            <b/>
            <sz val="9"/>
            <rFont val="宋体"/>
            <charset val="134"/>
          </rPr>
          <t>Administrator:</t>
        </r>
        <r>
          <rPr>
            <sz val="9"/>
            <rFont val="宋体"/>
            <charset val="134"/>
          </rPr>
          <t xml:space="preserve">
5/20 上PDQ进口商贴纸160pcs</t>
        </r>
      </text>
    </comment>
    <comment ref="AG82" authorId="0">
      <text>
        <r>
          <rPr>
            <b/>
            <sz val="9"/>
            <rFont val="宋体"/>
            <charset val="134"/>
          </rPr>
          <t>Administrator:</t>
        </r>
        <r>
          <rPr>
            <sz val="9"/>
            <rFont val="宋体"/>
            <charset val="134"/>
          </rPr>
          <t xml:space="preserve">
2002369 6/5 1800pcs
王 1-A4</t>
        </r>
      </text>
    </comment>
    <comment ref="AJ82" authorId="0">
      <text>
        <r>
          <rPr>
            <b/>
            <sz val="9"/>
            <rFont val="宋体"/>
            <charset val="134"/>
          </rPr>
          <t>Administrator:</t>
        </r>
        <r>
          <rPr>
            <sz val="9"/>
            <rFont val="宋体"/>
            <charset val="134"/>
          </rPr>
          <t xml:space="preserve">
5/14 上进口商贴纸1800pcs</t>
        </r>
      </text>
    </comment>
    <comment ref="AG83" authorId="0">
      <text>
        <r>
          <rPr>
            <b/>
            <sz val="9"/>
            <rFont val="宋体"/>
            <charset val="134"/>
          </rPr>
          <t>Administrator:</t>
        </r>
        <r>
          <rPr>
            <sz val="9"/>
            <rFont val="宋体"/>
            <charset val="134"/>
          </rPr>
          <t xml:space="preserve">
2002530 6/6 504PCS
 WANG 1-A8</t>
        </r>
      </text>
    </comment>
    <comment ref="AJ83" authorId="0">
      <text>
        <r>
          <rPr>
            <b/>
            <sz val="9"/>
            <rFont val="宋体"/>
            <charset val="134"/>
          </rPr>
          <t>Administrator:</t>
        </r>
        <r>
          <rPr>
            <sz val="9"/>
            <rFont val="宋体"/>
            <charset val="134"/>
          </rPr>
          <t xml:space="preserve">
5/19 上亚马逊外箱贴纸42pcs
5/20 上UPC贴纸504pcs
5/26 上可折叠语贴纸504pcs
</t>
        </r>
      </text>
    </comment>
    <comment ref="AG84" authorId="0">
      <text>
        <r>
          <rPr>
            <b/>
            <sz val="9"/>
            <rFont val="宋体"/>
            <charset val="134"/>
          </rPr>
          <t>Administrator:</t>
        </r>
        <r>
          <rPr>
            <sz val="9"/>
            <rFont val="宋体"/>
            <charset val="134"/>
          </rPr>
          <t xml:space="preserve">
2002510 6/7 504pcs华 3B16</t>
        </r>
      </text>
    </comment>
    <comment ref="AJ84" authorId="0">
      <text>
        <r>
          <rPr>
            <b/>
            <sz val="9"/>
            <rFont val="宋体"/>
            <charset val="134"/>
          </rPr>
          <t>Administrator:</t>
        </r>
        <r>
          <rPr>
            <sz val="9"/>
            <rFont val="宋体"/>
            <charset val="134"/>
          </rPr>
          <t xml:space="preserve">
5/14 WEEE带电池 走货欧洲30L通用黑白说明书504pcs</t>
        </r>
      </text>
    </comment>
    <comment ref="AG85" authorId="0">
      <text>
        <r>
          <rPr>
            <b/>
            <sz val="9"/>
            <rFont val="宋体"/>
            <charset val="134"/>
          </rPr>
          <t>Administrator:</t>
        </r>
        <r>
          <rPr>
            <sz val="9"/>
            <rFont val="宋体"/>
            <charset val="134"/>
          </rPr>
          <t xml:space="preserve">
2002496 6/14 48pcs</t>
        </r>
      </text>
    </comment>
    <comment ref="AG86" authorId="0">
      <text>
        <r>
          <rPr>
            <b/>
            <sz val="9"/>
            <rFont val="宋体"/>
            <charset val="134"/>
          </rPr>
          <t>Administrator:</t>
        </r>
        <r>
          <rPr>
            <sz val="9"/>
            <rFont val="宋体"/>
            <charset val="134"/>
          </rPr>
          <t xml:space="preserve">
2002297 6/9 728pcs莫
2002262 6/11 4pcsa</t>
        </r>
      </text>
    </comment>
    <comment ref="AJ86" authorId="0">
      <text>
        <r>
          <rPr>
            <b/>
            <sz val="9"/>
            <rFont val="宋体"/>
            <charset val="134"/>
          </rPr>
          <t>Administrator:</t>
        </r>
        <r>
          <rPr>
            <sz val="9"/>
            <rFont val="宋体"/>
            <charset val="134"/>
          </rPr>
          <t xml:space="preserve">
5/12 上客供RFID 贴纸732pcs</t>
        </r>
      </text>
    </comment>
    <comment ref="AG87" authorId="0">
      <text>
        <r>
          <rPr>
            <b/>
            <sz val="9"/>
            <rFont val="宋体"/>
            <charset val="134"/>
          </rPr>
          <t>Administrator:</t>
        </r>
        <r>
          <rPr>
            <sz val="9"/>
            <rFont val="宋体"/>
            <charset val="134"/>
          </rPr>
          <t xml:space="preserve">
2002297 6/9 740pcs莫</t>
        </r>
      </text>
    </comment>
    <comment ref="AJ87" authorId="0">
      <text>
        <r>
          <rPr>
            <b/>
            <sz val="9"/>
            <rFont val="宋体"/>
            <charset val="134"/>
          </rPr>
          <t>Administrator:</t>
        </r>
        <r>
          <rPr>
            <sz val="9"/>
            <rFont val="宋体"/>
            <charset val="134"/>
          </rPr>
          <t xml:space="preserve">
5/12 上客供RFID贴纸740pcs
</t>
        </r>
      </text>
    </comment>
    <comment ref="AG88" authorId="0">
      <text>
        <r>
          <rPr>
            <b/>
            <sz val="9"/>
            <rFont val="宋体"/>
            <charset val="134"/>
          </rPr>
          <t>Administrator:</t>
        </r>
        <r>
          <rPr>
            <sz val="9"/>
            <rFont val="宋体"/>
            <charset val="134"/>
          </rPr>
          <t xml:space="preserve">
2002297 6/9 652pcs莫
2002262 6/11 4pcs</t>
        </r>
      </text>
    </comment>
    <comment ref="AJ88" authorId="0">
      <text>
        <r>
          <rPr>
            <b/>
            <sz val="9"/>
            <rFont val="宋体"/>
            <charset val="134"/>
          </rPr>
          <t>Administrator:</t>
        </r>
        <r>
          <rPr>
            <sz val="9"/>
            <rFont val="宋体"/>
            <charset val="134"/>
          </rPr>
          <t xml:space="preserve">
5/12 上客供RFID贴纸656pcs
</t>
        </r>
      </text>
    </comment>
    <comment ref="AG89" authorId="0">
      <text>
        <r>
          <rPr>
            <b/>
            <sz val="9"/>
            <rFont val="宋体"/>
            <charset val="134"/>
          </rPr>
          <t>Administrator:</t>
        </r>
        <r>
          <rPr>
            <sz val="9"/>
            <rFont val="宋体"/>
            <charset val="134"/>
          </rPr>
          <t xml:space="preserve">
2002297 6/9 836pcs莫
2002262 6/11 12pcs</t>
        </r>
      </text>
    </comment>
    <comment ref="AJ89" authorId="0">
      <text>
        <r>
          <rPr>
            <b/>
            <sz val="9"/>
            <rFont val="宋体"/>
            <charset val="134"/>
          </rPr>
          <t>Administrator:</t>
        </r>
        <r>
          <rPr>
            <sz val="9"/>
            <rFont val="宋体"/>
            <charset val="134"/>
          </rPr>
          <t xml:space="preserve">
5/12 上客供RFID贴纸848pcs</t>
        </r>
      </text>
    </comment>
    <comment ref="AG90" authorId="0">
      <text>
        <r>
          <rPr>
            <b/>
            <sz val="9"/>
            <rFont val="宋体"/>
            <charset val="134"/>
          </rPr>
          <t>Administrator:</t>
        </r>
        <r>
          <rPr>
            <sz val="9"/>
            <rFont val="宋体"/>
            <charset val="134"/>
          </rPr>
          <t xml:space="preserve">
2002297 6/9 792pcs莫
2002262 6/11 4pcs</t>
        </r>
      </text>
    </comment>
    <comment ref="AJ90" authorId="0">
      <text>
        <r>
          <rPr>
            <b/>
            <sz val="9"/>
            <rFont val="宋体"/>
            <charset val="134"/>
          </rPr>
          <t>Administrator:</t>
        </r>
        <r>
          <rPr>
            <sz val="9"/>
            <rFont val="宋体"/>
            <charset val="134"/>
          </rPr>
          <t xml:space="preserve">
5/12 上客供RFID贴纸796pcs</t>
        </r>
      </text>
    </comment>
    <comment ref="AG91" authorId="0">
      <text>
        <r>
          <rPr>
            <b/>
            <sz val="9"/>
            <rFont val="宋体"/>
            <charset val="134"/>
          </rPr>
          <t>Administrator:</t>
        </r>
        <r>
          <rPr>
            <sz val="9"/>
            <rFont val="宋体"/>
            <charset val="134"/>
          </rPr>
          <t xml:space="preserve">
2002308 6/7 512pcs直走</t>
        </r>
      </text>
    </comment>
    <comment ref="AJ91" authorId="0">
      <text>
        <r>
          <rPr>
            <b/>
            <sz val="9"/>
            <rFont val="宋体"/>
            <charset val="134"/>
          </rPr>
          <t>Administrator:</t>
        </r>
        <r>
          <rPr>
            <sz val="9"/>
            <rFont val="宋体"/>
            <charset val="134"/>
          </rPr>
          <t xml:space="preserve">
5/14 WEEE电池垃圾桶的回收声明说明书512pcs
</t>
        </r>
      </text>
    </comment>
    <comment ref="AG92" authorId="0">
      <text>
        <r>
          <rPr>
            <b/>
            <sz val="9"/>
            <rFont val="宋体"/>
            <charset val="134"/>
          </rPr>
          <t>Administrator:</t>
        </r>
        <r>
          <rPr>
            <sz val="9"/>
            <rFont val="宋体"/>
            <charset val="134"/>
          </rPr>
          <t xml:space="preserve">
2002523 6/6 480pcs 王1-A9</t>
        </r>
      </text>
    </comment>
    <comment ref="AJ92" authorId="0">
      <text>
        <r>
          <rPr>
            <b/>
            <sz val="9"/>
            <rFont val="宋体"/>
            <charset val="134"/>
          </rPr>
          <t>Administrator:</t>
        </r>
        <r>
          <rPr>
            <sz val="9"/>
            <rFont val="宋体"/>
            <charset val="134"/>
          </rPr>
          <t xml:space="preserve">
5/9 上彩盒+收缩膜进口商贴纸600pcs
5/19 上说明书480pcs
5/21 上彩盒+收缩膜进口商贴纸480pcs补订
</t>
        </r>
      </text>
    </comment>
    <comment ref="AG93" authorId="0">
      <text>
        <r>
          <rPr>
            <b/>
            <sz val="9"/>
            <rFont val="宋体"/>
            <charset val="134"/>
          </rPr>
          <t>Administrator:</t>
        </r>
        <r>
          <rPr>
            <sz val="9"/>
            <rFont val="宋体"/>
            <charset val="134"/>
          </rPr>
          <t xml:space="preserve">
2002541 6/5 540pcs</t>
        </r>
      </text>
    </comment>
    <comment ref="AJ93" authorId="0">
      <text>
        <r>
          <rPr>
            <b/>
            <sz val="9"/>
            <rFont val="宋体"/>
            <charset val="134"/>
          </rPr>
          <t>Administrator:</t>
        </r>
        <r>
          <rPr>
            <sz val="9"/>
            <rFont val="宋体"/>
            <charset val="134"/>
          </rPr>
          <t xml:space="preserve">
5/9 上意大利环保标通用地址贴纸540pcs
6/10 上30LWEEE说明书540pcs</t>
        </r>
      </text>
    </comment>
    <comment ref="AJ95" authorId="0">
      <text>
        <r>
          <rPr>
            <b/>
            <sz val="9"/>
            <rFont val="宋体"/>
            <charset val="134"/>
          </rPr>
          <t>Administrator:</t>
        </r>
        <r>
          <rPr>
            <sz val="9"/>
            <rFont val="宋体"/>
            <charset val="134"/>
          </rPr>
          <t xml:space="preserve">
4/14 上客供警语贴纸1240pcs
客供电池 警语贴纸1242pcs
客供中文警告说明书630pcs</t>
        </r>
      </text>
    </comment>
    <comment ref="AG96" authorId="0">
      <text>
        <r>
          <rPr>
            <b/>
            <sz val="9"/>
            <rFont val="宋体"/>
            <charset val="134"/>
          </rPr>
          <t>Administrator:</t>
        </r>
        <r>
          <rPr>
            <sz val="9"/>
            <rFont val="宋体"/>
            <charset val="134"/>
          </rPr>
          <t xml:space="preserve">
2002280 6/9 1800pcs直走</t>
        </r>
      </text>
    </comment>
    <comment ref="AJ96" authorId="0">
      <text>
        <r>
          <rPr>
            <b/>
            <sz val="9"/>
            <rFont val="宋体"/>
            <charset val="134"/>
          </rPr>
          <t>Administrator:</t>
        </r>
        <r>
          <rPr>
            <sz val="9"/>
            <rFont val="宋体"/>
            <charset val="134"/>
          </rPr>
          <t xml:space="preserve">
5/21 上保证书1800pcs
6/29 上外箱贴纸150pcs
进口商贴纸1800pcs
产品贴纸1800pcs
UPC贴纸1800pcs
说明书1800pcs</t>
        </r>
      </text>
    </comment>
    <comment ref="AG98" authorId="0">
      <text>
        <r>
          <rPr>
            <b/>
            <sz val="9"/>
            <rFont val="宋体"/>
            <charset val="134"/>
          </rPr>
          <t>Administrator:</t>
        </r>
        <r>
          <rPr>
            <sz val="9"/>
            <rFont val="宋体"/>
            <charset val="134"/>
          </rPr>
          <t xml:space="preserve">
2000727 5/26 1440pcs送回半成品东莞混装</t>
        </r>
      </text>
    </comment>
    <comment ref="AG99" authorId="0">
      <text>
        <r>
          <rPr>
            <b/>
            <sz val="9"/>
            <rFont val="宋体"/>
            <charset val="134"/>
          </rPr>
          <t>Administrator:</t>
        </r>
        <r>
          <rPr>
            <sz val="9"/>
            <rFont val="宋体"/>
            <charset val="134"/>
          </rPr>
          <t xml:space="preserve">
2002276 6/9 976pcs罗3B8
2002267 6/10 24pcs
华3B8</t>
        </r>
      </text>
    </comment>
    <comment ref="AJ99" authorId="0">
      <text>
        <r>
          <rPr>
            <b/>
            <sz val="9"/>
            <rFont val="宋体"/>
            <charset val="134"/>
          </rPr>
          <t>Administrator:</t>
        </r>
        <r>
          <rPr>
            <sz val="9"/>
            <rFont val="宋体"/>
            <charset val="134"/>
          </rPr>
          <t xml:space="preserve">
5/14 WEEE电池垃圾桶的回收声明说明书1000pcs</t>
        </r>
      </text>
    </comment>
    <comment ref="AG100" authorId="0">
      <text>
        <r>
          <rPr>
            <b/>
            <sz val="9"/>
            <rFont val="宋体"/>
            <charset val="134"/>
          </rPr>
          <t>Administrator:</t>
        </r>
        <r>
          <rPr>
            <sz val="9"/>
            <rFont val="宋体"/>
            <charset val="134"/>
          </rPr>
          <t xml:space="preserve">
2002287 6/10 480pcs华3B12
2002262 6/11 12pcs华3B12</t>
        </r>
      </text>
    </comment>
    <comment ref="AJ100" authorId="0">
      <text>
        <r>
          <rPr>
            <b/>
            <sz val="9"/>
            <rFont val="宋体"/>
            <charset val="134"/>
          </rPr>
          <t>Administrator:</t>
        </r>
        <r>
          <rPr>
            <sz val="9"/>
            <rFont val="宋体"/>
            <charset val="134"/>
          </rPr>
          <t xml:space="preserve">
5/12 亚马逊外箱贴纸41pcs
5/26 上可折叠语贴纸492pcs
5/12 上UPc贴纸492pcs</t>
        </r>
      </text>
    </comment>
    <comment ref="AG101" authorId="0">
      <text>
        <r>
          <rPr>
            <b/>
            <sz val="9"/>
            <rFont val="宋体"/>
            <charset val="134"/>
          </rPr>
          <t>Administrator:</t>
        </r>
        <r>
          <rPr>
            <sz val="9"/>
            <rFont val="宋体"/>
            <charset val="134"/>
          </rPr>
          <t xml:space="preserve">
2002287 6/10 480pcs华3B12
2002262 6/11 12pcs华3B12</t>
        </r>
      </text>
    </comment>
    <comment ref="AJ101" authorId="0">
      <text>
        <r>
          <rPr>
            <b/>
            <sz val="9"/>
            <rFont val="宋体"/>
            <charset val="134"/>
          </rPr>
          <t>Administrator:</t>
        </r>
        <r>
          <rPr>
            <sz val="9"/>
            <rFont val="宋体"/>
            <charset val="134"/>
          </rPr>
          <t xml:space="preserve">
5/12 亚马逊外箱贴纸41pcs
5/26 上可折叠语贴纸492pcs
5/12 上UPc贴纸492pcs
</t>
        </r>
      </text>
    </comment>
    <comment ref="AG102" authorId="0">
      <text>
        <r>
          <rPr>
            <b/>
            <sz val="9"/>
            <rFont val="宋体"/>
            <charset val="134"/>
          </rPr>
          <t>Administrator:</t>
        </r>
        <r>
          <rPr>
            <sz val="9"/>
            <rFont val="宋体"/>
            <charset val="134"/>
          </rPr>
          <t xml:space="preserve">
2002287 6/10 1380pcs华3A23</t>
        </r>
      </text>
    </comment>
    <comment ref="AJ102" authorId="0">
      <text>
        <r>
          <rPr>
            <b/>
            <sz val="9"/>
            <rFont val="宋体"/>
            <charset val="134"/>
          </rPr>
          <t>Administrator:</t>
        </r>
        <r>
          <rPr>
            <sz val="9"/>
            <rFont val="宋体"/>
            <charset val="134"/>
          </rPr>
          <t xml:space="preserve">
5/19 上亚马逊外箱贴纸115pcs
5/26 上可折叠语贴纸1380pcs
5/12 上UPc贴纸1380pcs</t>
        </r>
      </text>
    </comment>
    <comment ref="AG103" authorId="0">
      <text>
        <r>
          <rPr>
            <b/>
            <sz val="9"/>
            <rFont val="宋体"/>
            <charset val="134"/>
          </rPr>
          <t>Administrator:</t>
        </r>
        <r>
          <rPr>
            <sz val="9"/>
            <rFont val="宋体"/>
            <charset val="134"/>
          </rPr>
          <t xml:space="preserve">
2002287 6/10 756pcs华3B14</t>
        </r>
      </text>
    </comment>
    <comment ref="AJ103" authorId="0">
      <text>
        <r>
          <rPr>
            <b/>
            <sz val="9"/>
            <rFont val="宋体"/>
            <charset val="134"/>
          </rPr>
          <t>Administrator:</t>
        </r>
        <r>
          <rPr>
            <sz val="9"/>
            <rFont val="宋体"/>
            <charset val="134"/>
          </rPr>
          <t xml:space="preserve">
5/19 上亚马逊外箱贴纸115pcs
5/26 上可折叠语贴纸756pcs
5/12 上UPc贴纸756pcs</t>
        </r>
      </text>
    </comment>
    <comment ref="AG104" authorId="0">
      <text>
        <r>
          <rPr>
            <b/>
            <sz val="9"/>
            <rFont val="宋体"/>
            <charset val="134"/>
          </rPr>
          <t>Administrator:</t>
        </r>
        <r>
          <rPr>
            <sz val="9"/>
            <rFont val="宋体"/>
            <charset val="134"/>
          </rPr>
          <t xml:space="preserve">
2002287 6/10 492pcs华3B12</t>
        </r>
      </text>
    </comment>
    <comment ref="AJ104" authorId="0">
      <text>
        <r>
          <rPr>
            <b/>
            <sz val="9"/>
            <rFont val="宋体"/>
            <charset val="134"/>
          </rPr>
          <t>Administrator:</t>
        </r>
        <r>
          <rPr>
            <sz val="9"/>
            <rFont val="宋体"/>
            <charset val="134"/>
          </rPr>
          <t xml:space="preserve">
5/19 上亚马逊外箱贴纸115pcs
5/26 上可折叠语贴纸492pcs
5/12 上UPc贴纸292pcs</t>
        </r>
      </text>
    </comment>
    <comment ref="AG105" authorId="0">
      <text>
        <r>
          <rPr>
            <b/>
            <sz val="9"/>
            <rFont val="宋体"/>
            <charset val="134"/>
          </rPr>
          <t>Administrator:</t>
        </r>
        <r>
          <rPr>
            <sz val="9"/>
            <rFont val="宋体"/>
            <charset val="134"/>
          </rPr>
          <t xml:space="preserve">
2002465 5/29 504pcs莫4B9 送回半成品车间混凝</t>
        </r>
      </text>
    </comment>
    <comment ref="AJ105" authorId="0">
      <text>
        <r>
          <rPr>
            <b/>
            <sz val="9"/>
            <rFont val="宋体"/>
            <charset val="134"/>
          </rPr>
          <t>Administrator:</t>
        </r>
        <r>
          <rPr>
            <sz val="9"/>
            <rFont val="宋体"/>
            <charset val="134"/>
          </rPr>
          <t xml:space="preserve">
5/19 上UPC贴纸504pcs</t>
        </r>
      </text>
    </comment>
    <comment ref="AG106" authorId="0">
      <text>
        <r>
          <rPr>
            <b/>
            <sz val="9"/>
            <rFont val="宋体"/>
            <charset val="134"/>
          </rPr>
          <t>Administrator:</t>
        </r>
        <r>
          <rPr>
            <sz val="9"/>
            <rFont val="宋体"/>
            <charset val="134"/>
          </rPr>
          <t xml:space="preserve">
2002267 6/10 240pcs
华3B14</t>
        </r>
      </text>
    </comment>
    <comment ref="AJ106" authorId="0">
      <text>
        <r>
          <rPr>
            <b/>
            <sz val="9"/>
            <rFont val="宋体"/>
            <charset val="134"/>
          </rPr>
          <t>Administrator:</t>
        </r>
        <r>
          <rPr>
            <sz val="9"/>
            <rFont val="宋体"/>
            <charset val="134"/>
          </rPr>
          <t xml:space="preserve">
5/26 上可折叠语贴纸240pcs</t>
        </r>
      </text>
    </comment>
    <comment ref="AG107" authorId="0">
      <text>
        <r>
          <rPr>
            <b/>
            <sz val="9"/>
            <rFont val="宋体"/>
            <charset val="134"/>
          </rPr>
          <t>Administrator:</t>
        </r>
        <r>
          <rPr>
            <sz val="9"/>
            <rFont val="宋体"/>
            <charset val="134"/>
          </rPr>
          <t xml:space="preserve">
2002500 6/10 1200pcs华一B2</t>
        </r>
      </text>
    </comment>
    <comment ref="AJ107" authorId="0">
      <text>
        <r>
          <rPr>
            <b/>
            <sz val="9"/>
            <rFont val="宋体"/>
            <charset val="134"/>
          </rPr>
          <t>Administrator:</t>
        </r>
        <r>
          <rPr>
            <sz val="9"/>
            <rFont val="宋体"/>
            <charset val="134"/>
          </rPr>
          <t xml:space="preserve">
5/21 上进口商贴纸1200pcs</t>
        </r>
      </text>
    </comment>
    <comment ref="AG110" authorId="0">
      <text>
        <r>
          <rPr>
            <b/>
            <sz val="9"/>
            <rFont val="宋体"/>
            <charset val="134"/>
          </rPr>
          <t>Administrator:</t>
        </r>
        <r>
          <rPr>
            <sz val="9"/>
            <rFont val="宋体"/>
            <charset val="134"/>
          </rPr>
          <t xml:space="preserve">
2002516 6/9 792pcs
罗 3B15</t>
        </r>
      </text>
    </comment>
    <comment ref="AJ110" authorId="0">
      <text>
        <r>
          <rPr>
            <b/>
            <sz val="9"/>
            <rFont val="宋体"/>
            <charset val="134"/>
          </rPr>
          <t>Administrator:</t>
        </r>
        <r>
          <rPr>
            <sz val="9"/>
            <rFont val="宋体"/>
            <charset val="134"/>
          </rPr>
          <t xml:space="preserve">
5/27 上进口商贴纸792pcs</t>
        </r>
      </text>
    </comment>
    <comment ref="AG111" authorId="0">
      <text>
        <r>
          <rPr>
            <b/>
            <sz val="9"/>
            <rFont val="宋体"/>
            <charset val="134"/>
          </rPr>
          <t>Administrator:</t>
        </r>
        <r>
          <rPr>
            <sz val="9"/>
            <rFont val="宋体"/>
            <charset val="134"/>
          </rPr>
          <t xml:space="preserve">
2002487 6/12 48pcs华3B14</t>
        </r>
      </text>
    </comment>
    <comment ref="AG112" authorId="0">
      <text>
        <r>
          <rPr>
            <b/>
            <sz val="9"/>
            <rFont val="宋体"/>
            <charset val="134"/>
          </rPr>
          <t>Administrator:</t>
        </r>
        <r>
          <rPr>
            <sz val="9"/>
            <rFont val="宋体"/>
            <charset val="134"/>
          </rPr>
          <t xml:space="preserve">
2002487 6/12 16pcs
华3B14</t>
        </r>
      </text>
    </comment>
    <comment ref="AG113" authorId="0">
      <text>
        <r>
          <rPr>
            <b/>
            <sz val="9"/>
            <rFont val="宋体"/>
            <charset val="134"/>
          </rPr>
          <t>Administrator:</t>
        </r>
        <r>
          <rPr>
            <sz val="9"/>
            <rFont val="宋体"/>
            <charset val="134"/>
          </rPr>
          <t xml:space="preserve">
2002487 6/12 128pcs
华3B14</t>
        </r>
      </text>
    </comment>
    <comment ref="AG114" authorId="0">
      <text>
        <r>
          <rPr>
            <b/>
            <sz val="9"/>
            <rFont val="宋体"/>
            <charset val="134"/>
          </rPr>
          <t>Administrator:</t>
        </r>
        <r>
          <rPr>
            <sz val="9"/>
            <rFont val="宋体"/>
            <charset val="134"/>
          </rPr>
          <t xml:space="preserve">
2002489 6/1184pcs
w华3B4</t>
        </r>
      </text>
    </comment>
    <comment ref="AG116" authorId="0">
      <text>
        <r>
          <rPr>
            <b/>
            <sz val="9"/>
            <rFont val="宋体"/>
            <charset val="134"/>
          </rPr>
          <t>Administrator:</t>
        </r>
        <r>
          <rPr>
            <sz val="9"/>
            <rFont val="宋体"/>
            <charset val="134"/>
          </rPr>
          <t xml:space="preserve">
2002489 6/12 1644pcs华3B2</t>
        </r>
      </text>
    </comment>
    <comment ref="AJ116" authorId="0">
      <text>
        <r>
          <rPr>
            <b/>
            <sz val="9"/>
            <rFont val="宋体"/>
            <charset val="134"/>
          </rPr>
          <t>Administrator:</t>
        </r>
        <r>
          <rPr>
            <sz val="9"/>
            <rFont val="宋体"/>
            <charset val="134"/>
          </rPr>
          <t xml:space="preserve">
5/19 上进口商贴纸1644pcs</t>
        </r>
      </text>
    </comment>
    <comment ref="AG117" authorId="0">
      <text>
        <r>
          <rPr>
            <b/>
            <sz val="9"/>
            <rFont val="宋体"/>
            <charset val="134"/>
          </rPr>
          <t>Administrator:</t>
        </r>
        <r>
          <rPr>
            <sz val="9"/>
            <rFont val="宋体"/>
            <charset val="134"/>
          </rPr>
          <t xml:space="preserve">
2002507 6/11 1184pcs华3A10</t>
        </r>
      </text>
    </comment>
    <comment ref="AJ117" authorId="0">
      <text>
        <r>
          <rPr>
            <b/>
            <sz val="9"/>
            <rFont val="宋体"/>
            <charset val="134"/>
          </rPr>
          <t>Administrator:</t>
        </r>
        <r>
          <rPr>
            <sz val="9"/>
            <rFont val="宋体"/>
            <charset val="134"/>
          </rPr>
          <t xml:space="preserve">
5/12 上客供RFID贴纸1184pcs</t>
        </r>
      </text>
    </comment>
    <comment ref="AG118" authorId="0">
      <text>
        <r>
          <rPr>
            <b/>
            <sz val="9"/>
            <rFont val="宋体"/>
            <charset val="134"/>
          </rPr>
          <t>Administrator:</t>
        </r>
        <r>
          <rPr>
            <sz val="9"/>
            <rFont val="宋体"/>
            <charset val="134"/>
          </rPr>
          <t xml:space="preserve">
2002507 6/11 980pcs华3A12</t>
        </r>
      </text>
    </comment>
    <comment ref="AJ118" authorId="0">
      <text>
        <r>
          <rPr>
            <b/>
            <sz val="9"/>
            <rFont val="宋体"/>
            <charset val="134"/>
          </rPr>
          <t>Administrator:</t>
        </r>
        <r>
          <rPr>
            <sz val="9"/>
            <rFont val="宋体"/>
            <charset val="134"/>
          </rPr>
          <t xml:space="preserve">
5/12 上客供RFID贴纸980pcs</t>
        </r>
      </text>
    </comment>
    <comment ref="AG119" authorId="0">
      <text>
        <r>
          <rPr>
            <b/>
            <sz val="9"/>
            <rFont val="宋体"/>
            <charset val="134"/>
          </rPr>
          <t>Administrator:</t>
        </r>
        <r>
          <rPr>
            <sz val="9"/>
            <rFont val="宋体"/>
            <charset val="134"/>
          </rPr>
          <t xml:space="preserve">
2002500 6/10 1880pcs 华一B2</t>
        </r>
      </text>
    </comment>
    <comment ref="AJ119" authorId="0">
      <text>
        <r>
          <rPr>
            <b/>
            <sz val="9"/>
            <rFont val="宋体"/>
            <charset val="134"/>
          </rPr>
          <t>Administrator:</t>
        </r>
        <r>
          <rPr>
            <sz val="9"/>
            <rFont val="宋体"/>
            <charset val="134"/>
          </rPr>
          <t xml:space="preserve">
5/26 上多语警语折叠贴纸2000pcs
5/27 上WEEE电池垃圾桶的回收声明说明书2000pcs</t>
        </r>
      </text>
    </comment>
    <comment ref="AG120" authorId="0">
      <text>
        <r>
          <rPr>
            <b/>
            <sz val="9"/>
            <rFont val="宋体"/>
            <charset val="134"/>
          </rPr>
          <t>Administrator:</t>
        </r>
        <r>
          <rPr>
            <sz val="9"/>
            <rFont val="宋体"/>
            <charset val="134"/>
          </rPr>
          <t xml:space="preserve">
2002507 6/11 1996pcs华3A14</t>
        </r>
      </text>
    </comment>
    <comment ref="AJ120" authorId="0">
      <text>
        <r>
          <rPr>
            <b/>
            <sz val="9"/>
            <rFont val="宋体"/>
            <charset val="134"/>
          </rPr>
          <t>Administrator:</t>
        </r>
        <r>
          <rPr>
            <sz val="9"/>
            <rFont val="宋体"/>
            <charset val="134"/>
          </rPr>
          <t xml:space="preserve">
5/26 上UPC贴纸1996pcs</t>
        </r>
      </text>
    </comment>
    <comment ref="AG121" authorId="0">
      <text>
        <r>
          <rPr>
            <b/>
            <sz val="9"/>
            <rFont val="宋体"/>
            <charset val="134"/>
          </rPr>
          <t>Administrator:</t>
        </r>
        <r>
          <rPr>
            <sz val="9"/>
            <rFont val="宋体"/>
            <charset val="134"/>
          </rPr>
          <t xml:space="preserve">
2002500 6/10 3000pcs华一B1</t>
        </r>
      </text>
    </comment>
    <comment ref="AJ121" authorId="0">
      <text>
        <r>
          <rPr>
            <b/>
            <sz val="9"/>
            <rFont val="宋体"/>
            <charset val="134"/>
          </rPr>
          <t>Administrator:</t>
        </r>
        <r>
          <rPr>
            <sz val="9"/>
            <rFont val="宋体"/>
            <charset val="134"/>
          </rPr>
          <t xml:space="preserve">
5/26 WEEE电池通用30L说明书（带电池）3000pcs</t>
        </r>
      </text>
    </comment>
    <comment ref="AG122" authorId="0">
      <text>
        <r>
          <rPr>
            <b/>
            <sz val="9"/>
            <rFont val="宋体"/>
            <charset val="134"/>
          </rPr>
          <t>Administrator:</t>
        </r>
        <r>
          <rPr>
            <sz val="9"/>
            <rFont val="宋体"/>
            <charset val="134"/>
          </rPr>
          <t xml:space="preserve">
2002507 6/11 504pcs华3A15</t>
        </r>
      </text>
    </comment>
    <comment ref="AJ122" authorId="0">
      <text>
        <r>
          <rPr>
            <b/>
            <sz val="9"/>
            <rFont val="宋体"/>
            <charset val="134"/>
          </rPr>
          <t>Administrator:</t>
        </r>
        <r>
          <rPr>
            <sz val="9"/>
            <rFont val="宋体"/>
            <charset val="134"/>
          </rPr>
          <t xml:space="preserve">
5/7 上WEEE带电池走货-说明书504pcs
客人款号EAN条码贴纸504pcs</t>
        </r>
      </text>
    </comment>
    <comment ref="AG123" authorId="0">
      <text>
        <r>
          <rPr>
            <b/>
            <sz val="9"/>
            <rFont val="宋体"/>
            <charset val="134"/>
          </rPr>
          <t>Administrator:</t>
        </r>
        <r>
          <rPr>
            <sz val="9"/>
            <rFont val="宋体"/>
            <charset val="134"/>
          </rPr>
          <t xml:space="preserve">
2002487 6/12 640pcs
华3B16</t>
        </r>
      </text>
    </comment>
    <comment ref="AJ123" authorId="0">
      <text>
        <r>
          <rPr>
            <b/>
            <sz val="9"/>
            <rFont val="宋体"/>
            <charset val="134"/>
          </rPr>
          <t>Administrator:</t>
        </r>
        <r>
          <rPr>
            <sz val="9"/>
            <rFont val="宋体"/>
            <charset val="134"/>
          </rPr>
          <t xml:space="preserve">
5/24 上进口商贴纸640pcs
说明书贴纸640pcs</t>
        </r>
      </text>
    </comment>
    <comment ref="AG124" authorId="0">
      <text>
        <r>
          <rPr>
            <b/>
            <sz val="9"/>
            <rFont val="宋体"/>
            <charset val="134"/>
          </rPr>
          <t>Administrator:</t>
        </r>
        <r>
          <rPr>
            <sz val="9"/>
            <rFont val="宋体"/>
            <charset val="134"/>
          </rPr>
          <t xml:space="preserve">
2002155 6/17 26pcs张全 一楼
</t>
        </r>
      </text>
    </comment>
    <comment ref="AG125" authorId="0">
      <text>
        <r>
          <rPr>
            <b/>
            <sz val="9"/>
            <rFont val="宋体"/>
            <charset val="134"/>
          </rPr>
          <t>Administrator:</t>
        </r>
        <r>
          <rPr>
            <sz val="9"/>
            <rFont val="宋体"/>
            <charset val="134"/>
          </rPr>
          <t xml:space="preserve">
2002475 6/16 240pcs华3B2</t>
        </r>
      </text>
    </comment>
    <comment ref="AG126" authorId="0">
      <text>
        <r>
          <rPr>
            <b/>
            <sz val="9"/>
            <rFont val="宋体"/>
            <charset val="134"/>
          </rPr>
          <t>Administrator:</t>
        </r>
        <r>
          <rPr>
            <sz val="9"/>
            <rFont val="宋体"/>
            <charset val="134"/>
          </rPr>
          <t xml:space="preserve">
2002475 6/16 432pcs
华3B4</t>
        </r>
      </text>
    </comment>
    <comment ref="AG127" authorId="0">
      <text>
        <r>
          <rPr>
            <b/>
            <sz val="9"/>
            <rFont val="宋体"/>
            <charset val="134"/>
          </rPr>
          <t>Administrator:</t>
        </r>
        <r>
          <rPr>
            <sz val="9"/>
            <rFont val="宋体"/>
            <charset val="134"/>
          </rPr>
          <t xml:space="preserve">
20024852 6/17 512pcs华3B10</t>
        </r>
      </text>
    </comment>
    <comment ref="AG128" authorId="0">
      <text>
        <r>
          <rPr>
            <b/>
            <sz val="9"/>
            <rFont val="宋体"/>
            <charset val="134"/>
          </rPr>
          <t>Administrator:</t>
        </r>
        <r>
          <rPr>
            <sz val="9"/>
            <rFont val="宋体"/>
            <charset val="134"/>
          </rPr>
          <t xml:space="preserve">
2000830 6/18 840pcs莫4B4</t>
        </r>
      </text>
    </comment>
    <comment ref="AG129" authorId="0">
      <text>
        <r>
          <rPr>
            <b/>
            <sz val="9"/>
            <rFont val="宋体"/>
            <charset val="134"/>
          </rPr>
          <t>Administrator:</t>
        </r>
        <r>
          <rPr>
            <sz val="9"/>
            <rFont val="宋体"/>
            <charset val="134"/>
          </rPr>
          <t xml:space="preserve">
2002183 6/19 8pcs
直走
2002139 6/19 2964pcs直走</t>
        </r>
      </text>
    </comment>
    <comment ref="AJ129" authorId="0">
      <text>
        <r>
          <rPr>
            <b/>
            <sz val="9"/>
            <rFont val="宋体"/>
            <charset val="134"/>
          </rPr>
          <t>Administrator:</t>
        </r>
        <r>
          <rPr>
            <sz val="9"/>
            <rFont val="宋体"/>
            <charset val="134"/>
          </rPr>
          <t xml:space="preserve">
5/30 上客供外箱条码贴纸750pcs
</t>
        </r>
      </text>
    </comment>
    <comment ref="AG130" authorId="0">
      <text>
        <r>
          <rPr>
            <b/>
            <sz val="9"/>
            <rFont val="宋体"/>
            <charset val="134"/>
          </rPr>
          <t>Administrator:</t>
        </r>
        <r>
          <rPr>
            <sz val="9"/>
            <rFont val="宋体"/>
            <charset val="134"/>
          </rPr>
          <t xml:space="preserve">
2002475 6/16 2160pcs
华一B3</t>
        </r>
      </text>
    </comment>
    <comment ref="AJ130" authorId="0">
      <text>
        <r>
          <rPr>
            <b/>
            <sz val="9"/>
            <rFont val="宋体"/>
            <charset val="134"/>
          </rPr>
          <t>Administrator:</t>
        </r>
        <r>
          <rPr>
            <sz val="9"/>
            <rFont val="宋体"/>
            <charset val="134"/>
          </rPr>
          <t xml:space="preserve">
5/30 上客供外箱条码贴纸545pcs
</t>
        </r>
      </text>
    </comment>
    <comment ref="AG131" authorId="0">
      <text>
        <r>
          <rPr>
            <b/>
            <sz val="9"/>
            <rFont val="宋体"/>
            <charset val="134"/>
          </rPr>
          <t>Administrator:</t>
        </r>
        <r>
          <rPr>
            <sz val="9"/>
            <rFont val="宋体"/>
            <charset val="134"/>
          </rPr>
          <t xml:space="preserve">
2002482 6/17 1000pcs华3A23</t>
        </r>
      </text>
    </comment>
    <comment ref="AJ131" authorId="0">
      <text>
        <r>
          <rPr>
            <b/>
            <sz val="9"/>
            <rFont val="宋体"/>
            <charset val="134"/>
          </rPr>
          <t>Administrator:</t>
        </r>
        <r>
          <rPr>
            <sz val="9"/>
            <rFont val="宋体"/>
            <charset val="134"/>
          </rPr>
          <t xml:space="preserve">
5/6 上多语警语折叠贴纸1000pcs
5/12 上多语版WEEE电池垃圾桶的回收声明说明书1000pcs
6/14 上多语折叠警告语贴纸1000pcs因贴纸有问题重订</t>
        </r>
      </text>
    </comment>
    <comment ref="AG132" authorId="0">
      <text>
        <r>
          <rPr>
            <b/>
            <sz val="9"/>
            <rFont val="宋体"/>
            <charset val="134"/>
          </rPr>
          <t>Administrator:</t>
        </r>
        <r>
          <rPr>
            <sz val="9"/>
            <rFont val="宋体"/>
            <charset val="134"/>
          </rPr>
          <t xml:space="preserve">
2002183 6/19 16pcs
华3A29
2002144 6/19 2996pcs华3A29</t>
        </r>
      </text>
    </comment>
    <comment ref="AJ132" authorId="0">
      <text>
        <r>
          <rPr>
            <b/>
            <sz val="9"/>
            <rFont val="宋体"/>
            <charset val="134"/>
          </rPr>
          <t>Administrator:</t>
        </r>
        <r>
          <rPr>
            <sz val="9"/>
            <rFont val="宋体"/>
            <charset val="134"/>
          </rPr>
          <t xml:space="preserve">
5/30 上客供外箱条码贴纸761pcs</t>
        </r>
      </text>
    </comment>
    <comment ref="AG133" authorId="0">
      <text>
        <r>
          <rPr>
            <b/>
            <sz val="9"/>
            <rFont val="宋体"/>
            <charset val="134"/>
          </rPr>
          <t>Administrator:</t>
        </r>
        <r>
          <rPr>
            <sz val="9"/>
            <rFont val="宋体"/>
            <charset val="134"/>
          </rPr>
          <t xml:space="preserve">
2000836 6/21 3180pcs王1-A8-B8</t>
        </r>
      </text>
    </comment>
    <comment ref="AJ133" authorId="0">
      <text>
        <r>
          <rPr>
            <b/>
            <sz val="9"/>
            <rFont val="宋体"/>
            <charset val="134"/>
          </rPr>
          <t>Administrator:</t>
        </r>
        <r>
          <rPr>
            <sz val="9"/>
            <rFont val="宋体"/>
            <charset val="134"/>
          </rPr>
          <t xml:space="preserve">
6/11 上多语折叠贴纸3180pcs</t>
        </r>
      </text>
    </comment>
    <comment ref="AG134" authorId="0">
      <text>
        <r>
          <rPr>
            <b/>
            <sz val="9"/>
            <rFont val="宋体"/>
            <charset val="134"/>
          </rPr>
          <t>Administrator:</t>
        </r>
        <r>
          <rPr>
            <sz val="9"/>
            <rFont val="宋体"/>
            <charset val="134"/>
          </rPr>
          <t xml:space="preserve">
2002500 6/10 600pcs华一B3</t>
        </r>
      </text>
    </comment>
    <comment ref="AJ134" authorId="0">
      <text>
        <r>
          <rPr>
            <b/>
            <sz val="9"/>
            <rFont val="宋体"/>
            <charset val="134"/>
          </rPr>
          <t>Administrator:</t>
        </r>
        <r>
          <rPr>
            <sz val="9"/>
            <rFont val="宋体"/>
            <charset val="134"/>
          </rPr>
          <t xml:space="preserve">
5/21 上警告语/信息翻译贴纸600pcs
带纽扣电池走货北欧六语通用黑白电池说明书600pcs
1 袋子警告语贴纸1800pcs
1 袋子警告语贴纸600pcs</t>
        </r>
      </text>
    </comment>
    <comment ref="AG135" authorId="0">
      <text>
        <r>
          <rPr>
            <b/>
            <sz val="9"/>
            <rFont val="宋体"/>
            <charset val="134"/>
          </rPr>
          <t>Administrator:</t>
        </r>
        <r>
          <rPr>
            <sz val="9"/>
            <rFont val="宋体"/>
            <charset val="134"/>
          </rPr>
          <t xml:space="preserve">
2000845 6/20 788pcs华3A25</t>
        </r>
      </text>
    </comment>
    <comment ref="AJ135" authorId="0">
      <text>
        <r>
          <rPr>
            <b/>
            <sz val="9"/>
            <rFont val="宋体"/>
            <charset val="134"/>
          </rPr>
          <t>Administrator:</t>
        </r>
        <r>
          <rPr>
            <sz val="9"/>
            <rFont val="宋体"/>
            <charset val="134"/>
          </rPr>
          <t xml:space="preserve">
5/12 上客供RFID贴纸788pcs</t>
        </r>
      </text>
    </comment>
    <comment ref="AG136" authorId="0">
      <text>
        <r>
          <rPr>
            <b/>
            <sz val="9"/>
            <rFont val="宋体"/>
            <charset val="134"/>
          </rPr>
          <t>Administrator:</t>
        </r>
        <r>
          <rPr>
            <sz val="9"/>
            <rFont val="宋体"/>
            <charset val="134"/>
          </rPr>
          <t xml:space="preserve">
2000845 6/20 788pcs华3A25
</t>
        </r>
      </text>
    </comment>
    <comment ref="AJ136" authorId="0">
      <text>
        <r>
          <rPr>
            <b/>
            <sz val="9"/>
            <rFont val="宋体"/>
            <charset val="134"/>
          </rPr>
          <t>Administrator:</t>
        </r>
        <r>
          <rPr>
            <sz val="9"/>
            <rFont val="宋体"/>
            <charset val="134"/>
          </rPr>
          <t xml:space="preserve">
5/12 上客供RFID贴纸788pcs</t>
        </r>
      </text>
    </comment>
    <comment ref="AG137" authorId="0">
      <text>
        <r>
          <rPr>
            <b/>
            <sz val="9"/>
            <rFont val="宋体"/>
            <charset val="134"/>
          </rPr>
          <t>Administrator:</t>
        </r>
        <r>
          <rPr>
            <sz val="9"/>
            <rFont val="宋体"/>
            <charset val="134"/>
          </rPr>
          <t xml:space="preserve">
2000845 6/20 948pcs华3A25
</t>
        </r>
      </text>
    </comment>
    <comment ref="AJ137" authorId="0">
      <text>
        <r>
          <rPr>
            <b/>
            <sz val="9"/>
            <rFont val="宋体"/>
            <charset val="134"/>
          </rPr>
          <t>Administrator:</t>
        </r>
        <r>
          <rPr>
            <sz val="9"/>
            <rFont val="宋体"/>
            <charset val="134"/>
          </rPr>
          <t xml:space="preserve">
5/12 上客供RFID贴纸948pcs</t>
        </r>
      </text>
    </comment>
    <comment ref="AG138" authorId="0">
      <text>
        <r>
          <rPr>
            <b/>
            <sz val="9"/>
            <rFont val="宋体"/>
            <charset val="134"/>
          </rPr>
          <t>Administrator:</t>
        </r>
        <r>
          <rPr>
            <sz val="9"/>
            <rFont val="宋体"/>
            <charset val="134"/>
          </rPr>
          <t xml:space="preserve">
2000845 6/20 1144pcs华3A25
</t>
        </r>
      </text>
    </comment>
    <comment ref="AJ138" authorId="0">
      <text>
        <r>
          <rPr>
            <b/>
            <sz val="9"/>
            <rFont val="宋体"/>
            <charset val="134"/>
          </rPr>
          <t>Administrator:</t>
        </r>
        <r>
          <rPr>
            <sz val="9"/>
            <rFont val="宋体"/>
            <charset val="134"/>
          </rPr>
          <t xml:space="preserve">
5/12 上客供RFID贴纸1144pcs</t>
        </r>
      </text>
    </comment>
    <comment ref="AG139" authorId="0">
      <text>
        <r>
          <rPr>
            <b/>
            <sz val="9"/>
            <rFont val="宋体"/>
            <charset val="134"/>
          </rPr>
          <t>Administrator:</t>
        </r>
        <r>
          <rPr>
            <sz val="9"/>
            <rFont val="宋体"/>
            <charset val="134"/>
          </rPr>
          <t xml:space="preserve">
2000832 6/19 1220pcs华3A17</t>
        </r>
      </text>
    </comment>
    <comment ref="AJ139" authorId="0">
      <text>
        <r>
          <rPr>
            <b/>
            <sz val="9"/>
            <rFont val="宋体"/>
            <charset val="134"/>
          </rPr>
          <t>Administrator:</t>
        </r>
        <r>
          <rPr>
            <sz val="9"/>
            <rFont val="宋体"/>
            <charset val="134"/>
          </rPr>
          <t xml:space="preserve">
5/12 上客供RFID贴纸1220pcs</t>
        </r>
      </text>
    </comment>
    <comment ref="AG140" authorId="0">
      <text>
        <r>
          <rPr>
            <b/>
            <sz val="9"/>
            <rFont val="宋体"/>
            <charset val="134"/>
          </rPr>
          <t>Administrator:</t>
        </r>
        <r>
          <rPr>
            <sz val="9"/>
            <rFont val="宋体"/>
            <charset val="134"/>
          </rPr>
          <t xml:space="preserve">
2000836 6/21 540pcs王1-A4</t>
        </r>
      </text>
    </comment>
    <comment ref="AJ140" authorId="0">
      <text>
        <r>
          <rPr>
            <b/>
            <sz val="9"/>
            <rFont val="宋体"/>
            <charset val="134"/>
          </rPr>
          <t>Administrator:</t>
        </r>
        <r>
          <rPr>
            <sz val="9"/>
            <rFont val="宋体"/>
            <charset val="134"/>
          </rPr>
          <t xml:space="preserve">
5/26 上德语警告语贴纸540pcs
WEEE 带电池走货540pcs
5/30 上客供价格贴纸540pcs
6/13 Kinderherz 2025 Logo贴纸540pcs</t>
        </r>
      </text>
    </comment>
    <comment ref="AG141" authorId="0">
      <text>
        <r>
          <rPr>
            <b/>
            <sz val="9"/>
            <rFont val="宋体"/>
            <charset val="134"/>
          </rPr>
          <t>Administrator:</t>
        </r>
        <r>
          <rPr>
            <sz val="9"/>
            <rFont val="宋体"/>
            <charset val="134"/>
          </rPr>
          <t xml:space="preserve">
20000836 6/21 640pcs王1-A3</t>
        </r>
      </text>
    </comment>
    <comment ref="AJ141" authorId="0">
      <text>
        <r>
          <rPr>
            <b/>
            <sz val="9"/>
            <rFont val="宋体"/>
            <charset val="134"/>
          </rPr>
          <t>Administrator:</t>
        </r>
        <r>
          <rPr>
            <sz val="9"/>
            <rFont val="宋体"/>
            <charset val="134"/>
          </rPr>
          <t xml:space="preserve">
5/30 上警语/进口商贴纸640pcs
</t>
        </r>
      </text>
    </comment>
    <comment ref="AG142" authorId="0">
      <text>
        <r>
          <rPr>
            <b/>
            <sz val="9"/>
            <rFont val="宋体"/>
            <charset val="134"/>
          </rPr>
          <t>Administrator:</t>
        </r>
        <r>
          <rPr>
            <sz val="9"/>
            <rFont val="宋体"/>
            <charset val="134"/>
          </rPr>
          <t xml:space="preserve">
2000845 6/20 656pcs直走</t>
        </r>
      </text>
    </comment>
    <comment ref="AJ142" authorId="0">
      <text>
        <r>
          <rPr>
            <b/>
            <sz val="9"/>
            <rFont val="宋体"/>
            <charset val="134"/>
          </rPr>
          <t>Administrator:</t>
        </r>
        <r>
          <rPr>
            <sz val="9"/>
            <rFont val="宋体"/>
            <charset val="134"/>
          </rPr>
          <t xml:space="preserve">
5/29 上进口商贴纸656pcs</t>
        </r>
      </text>
    </comment>
    <comment ref="AG143" authorId="0">
      <text>
        <r>
          <rPr>
            <b/>
            <sz val="9"/>
            <rFont val="宋体"/>
            <charset val="134"/>
          </rPr>
          <t>Administrator:</t>
        </r>
        <r>
          <rPr>
            <sz val="9"/>
            <rFont val="宋体"/>
            <charset val="134"/>
          </rPr>
          <t xml:space="preserve">
2002189 6/19 4704pcs华3A7
2002061 6/20 32pcs</t>
        </r>
      </text>
    </comment>
    <comment ref="AG144" authorId="0">
      <text>
        <r>
          <rPr>
            <b/>
            <sz val="9"/>
            <rFont val="宋体"/>
            <charset val="134"/>
          </rPr>
          <t>Administrator:</t>
        </r>
        <r>
          <rPr>
            <sz val="9"/>
            <rFont val="宋体"/>
            <charset val="134"/>
          </rPr>
          <t xml:space="preserve">
2002189 6/19 4544pcs
华3A7
2002061 6/20 192pcs华3A7</t>
        </r>
      </text>
    </comment>
    <comment ref="AG145" authorId="0">
      <text>
        <r>
          <rPr>
            <b/>
            <sz val="9"/>
            <rFont val="宋体"/>
            <charset val="134"/>
          </rPr>
          <t>Administrator:</t>
        </r>
        <r>
          <rPr>
            <sz val="9"/>
            <rFont val="宋体"/>
            <charset val="134"/>
          </rPr>
          <t xml:space="preserve">
2000836 6/21 420pcs王1-A4</t>
        </r>
      </text>
    </comment>
    <comment ref="AJ145" authorId="0">
      <text>
        <r>
          <rPr>
            <b/>
            <sz val="9"/>
            <rFont val="宋体"/>
            <charset val="134"/>
          </rPr>
          <t>Administrator:</t>
        </r>
        <r>
          <rPr>
            <sz val="9"/>
            <rFont val="宋体"/>
            <charset val="134"/>
          </rPr>
          <t xml:space="preserve">
6/10 上进口商贴纸420pcs
UPC贴纸420pcs</t>
        </r>
      </text>
    </comment>
    <comment ref="AG146" authorId="0">
      <text>
        <r>
          <rPr>
            <b/>
            <sz val="9"/>
            <rFont val="宋体"/>
            <charset val="134"/>
          </rPr>
          <t>Administrator:</t>
        </r>
        <r>
          <rPr>
            <sz val="9"/>
            <rFont val="宋体"/>
            <charset val="134"/>
          </rPr>
          <t xml:space="preserve">
2001675 6/24 1602pcs王3-C6</t>
        </r>
      </text>
    </comment>
    <comment ref="AJ146" authorId="0">
      <text>
        <r>
          <rPr>
            <b/>
            <sz val="9"/>
            <rFont val="宋体"/>
            <charset val="134"/>
          </rPr>
          <t>Administrator:</t>
        </r>
        <r>
          <rPr>
            <sz val="9"/>
            <rFont val="宋体"/>
            <charset val="134"/>
          </rPr>
          <t xml:space="preserve">
6/11 上3C贴纸2100pcs三个同PO共用</t>
        </r>
      </text>
    </comment>
    <comment ref="AG147" authorId="0">
      <text>
        <r>
          <rPr>
            <b/>
            <sz val="9"/>
            <rFont val="宋体"/>
            <charset val="134"/>
          </rPr>
          <t>Administrator:</t>
        </r>
        <r>
          <rPr>
            <sz val="9"/>
            <rFont val="宋体"/>
            <charset val="134"/>
          </rPr>
          <t xml:space="preserve">
2001675 6/24 96pcs
王3-C6</t>
        </r>
      </text>
    </comment>
    <comment ref="AG148" authorId="0">
      <text>
        <r>
          <rPr>
            <b/>
            <sz val="9"/>
            <rFont val="宋体"/>
            <charset val="134"/>
          </rPr>
          <t>Administrator:</t>
        </r>
        <r>
          <rPr>
            <sz val="9"/>
            <rFont val="宋体"/>
            <charset val="134"/>
          </rPr>
          <t xml:space="preserve">
3001817 6/26 1828pcs
3001777 6/27 24pcs华3A21</t>
        </r>
      </text>
    </comment>
    <comment ref="AJ148" authorId="0">
      <text>
        <r>
          <rPr>
            <b/>
            <sz val="9"/>
            <rFont val="宋体"/>
            <charset val="134"/>
          </rPr>
          <t>Administrator:</t>
        </r>
        <r>
          <rPr>
            <sz val="9"/>
            <rFont val="宋体"/>
            <charset val="134"/>
          </rPr>
          <t xml:space="preserve">
5/26 上多语警语折叠贴纸1852pcs
5/27 上WEEE电池垃圾桶的回收声明说明书1852pcs
</t>
        </r>
      </text>
    </comment>
    <comment ref="AG149" authorId="0">
      <text>
        <r>
          <rPr>
            <b/>
            <sz val="9"/>
            <rFont val="宋体"/>
            <charset val="134"/>
          </rPr>
          <t>Administrator:</t>
        </r>
        <r>
          <rPr>
            <sz val="9"/>
            <rFont val="宋体"/>
            <charset val="134"/>
          </rPr>
          <t xml:space="preserve">
2001647 6/28 504pcs莫3B8</t>
        </r>
      </text>
    </comment>
    <comment ref="AJ149" authorId="0">
      <text>
        <r>
          <rPr>
            <b/>
            <sz val="9"/>
            <rFont val="宋体"/>
            <charset val="134"/>
          </rPr>
          <t>Administrator:</t>
        </r>
        <r>
          <rPr>
            <sz val="9"/>
            <rFont val="宋体"/>
            <charset val="134"/>
          </rPr>
          <t xml:space="preserve">
6/13 上进口商贴纸504pcs
UPC贴纸504pcs</t>
        </r>
      </text>
    </comment>
    <comment ref="AG150" authorId="0">
      <text>
        <r>
          <rPr>
            <b/>
            <sz val="9"/>
            <rFont val="宋体"/>
            <charset val="134"/>
          </rPr>
          <t>Administrator:</t>
        </r>
        <r>
          <rPr>
            <sz val="9"/>
            <rFont val="宋体"/>
            <charset val="134"/>
          </rPr>
          <t xml:space="preserve">
2001643 6/27 1000pcs华3B15</t>
        </r>
      </text>
    </comment>
    <comment ref="AJ150" authorId="0">
      <text>
        <r>
          <rPr>
            <b/>
            <sz val="9"/>
            <rFont val="宋体"/>
            <charset val="134"/>
          </rPr>
          <t>Administrator:</t>
        </r>
        <r>
          <rPr>
            <sz val="9"/>
            <rFont val="宋体"/>
            <charset val="134"/>
          </rPr>
          <t xml:space="preserve">
6/10 上4国警告贴纸1000pcs</t>
        </r>
      </text>
    </comment>
    <comment ref="AG151" authorId="0">
      <text>
        <r>
          <rPr>
            <b/>
            <sz val="9"/>
            <rFont val="宋体"/>
            <charset val="134"/>
          </rPr>
          <t>Administrator:</t>
        </r>
        <r>
          <rPr>
            <sz val="9"/>
            <rFont val="宋体"/>
            <charset val="134"/>
          </rPr>
          <t xml:space="preserve">
2001658 6/25 828pcs王1-A9</t>
        </r>
      </text>
    </comment>
    <comment ref="AJ151" authorId="0">
      <text>
        <r>
          <rPr>
            <b/>
            <sz val="9"/>
            <rFont val="宋体"/>
            <charset val="134"/>
          </rPr>
          <t>Administrator:</t>
        </r>
        <r>
          <rPr>
            <sz val="9"/>
            <rFont val="宋体"/>
            <charset val="134"/>
          </rPr>
          <t xml:space="preserve">
5/30 上UPC贴纸828pcs</t>
        </r>
      </text>
    </comment>
    <comment ref="AG152" authorId="0">
      <text>
        <r>
          <rPr>
            <b/>
            <sz val="9"/>
            <rFont val="宋体"/>
            <charset val="134"/>
          </rPr>
          <t>Administrator:</t>
        </r>
        <r>
          <rPr>
            <sz val="9"/>
            <rFont val="宋体"/>
            <charset val="134"/>
          </rPr>
          <t xml:space="preserve">
2001658 6/25 3384pcs
王1-B</t>
        </r>
      </text>
    </comment>
    <comment ref="AJ152" authorId="0">
      <text>
        <r>
          <rPr>
            <b/>
            <sz val="9"/>
            <rFont val="宋体"/>
            <charset val="134"/>
          </rPr>
          <t>Administrator:</t>
        </r>
        <r>
          <rPr>
            <sz val="9"/>
            <rFont val="宋体"/>
            <charset val="134"/>
          </rPr>
          <t xml:space="preserve">
6/3 上UPC贴纸3384pcs</t>
        </r>
      </text>
    </comment>
    <comment ref="AG153" authorId="0">
      <text>
        <r>
          <rPr>
            <b/>
            <sz val="9"/>
            <rFont val="宋体"/>
            <charset val="134"/>
          </rPr>
          <t>Administrator:</t>
        </r>
        <r>
          <rPr>
            <sz val="9"/>
            <rFont val="宋体"/>
            <charset val="134"/>
          </rPr>
          <t xml:space="preserve">
2001647 6/28 120pcs华3A24</t>
        </r>
      </text>
    </comment>
    <comment ref="AJ153" authorId="0">
      <text>
        <r>
          <rPr>
            <b/>
            <sz val="9"/>
            <rFont val="宋体"/>
            <charset val="134"/>
          </rPr>
          <t>Administrator:</t>
        </r>
        <r>
          <rPr>
            <sz val="9"/>
            <rFont val="宋体"/>
            <charset val="134"/>
          </rPr>
          <t xml:space="preserve">
6/13 上UPC贴纸120pcs</t>
        </r>
      </text>
    </comment>
    <comment ref="AG154" authorId="0">
      <text>
        <r>
          <rPr>
            <b/>
            <sz val="9"/>
            <rFont val="宋体"/>
            <charset val="134"/>
          </rPr>
          <t>Administrator:</t>
        </r>
        <r>
          <rPr>
            <sz val="9"/>
            <rFont val="宋体"/>
            <charset val="134"/>
          </rPr>
          <t xml:space="preserve">
3001839 6/25 560pcs
华3B12
3001809 6/26 48pcs</t>
        </r>
      </text>
    </comment>
    <comment ref="AG155" authorId="0">
      <text>
        <r>
          <rPr>
            <b/>
            <sz val="9"/>
            <rFont val="宋体"/>
            <charset val="134"/>
          </rPr>
          <t>Administrator:</t>
        </r>
        <r>
          <rPr>
            <sz val="9"/>
            <rFont val="宋体"/>
            <charset val="134"/>
          </rPr>
          <t xml:space="preserve">
3001786 6/26 1404pcs华3B9</t>
        </r>
      </text>
    </comment>
    <comment ref="AJ155" authorId="0">
      <text>
        <r>
          <rPr>
            <b/>
            <sz val="9"/>
            <rFont val="宋体"/>
            <charset val="134"/>
          </rPr>
          <t>Administrator:</t>
        </r>
        <r>
          <rPr>
            <sz val="9"/>
            <rFont val="宋体"/>
            <charset val="134"/>
          </rPr>
          <t xml:space="preserve">
5/12 上客供RFID贴纸1408pcs</t>
        </r>
      </text>
    </comment>
    <comment ref="AG156" authorId="0">
      <text>
        <r>
          <rPr>
            <b/>
            <sz val="9"/>
            <rFont val="宋体"/>
            <charset val="134"/>
          </rPr>
          <t>Administrator:</t>
        </r>
        <r>
          <rPr>
            <sz val="9"/>
            <rFont val="宋体"/>
            <charset val="134"/>
          </rPr>
          <t xml:space="preserve">
3001839 6/25 344pcs华3A27
3001777 6/27 4pcs华3A27</t>
        </r>
      </text>
    </comment>
    <comment ref="AJ156" authorId="0">
      <text>
        <r>
          <rPr>
            <b/>
            <sz val="9"/>
            <rFont val="宋体"/>
            <charset val="134"/>
          </rPr>
          <t>Administrator:</t>
        </r>
        <r>
          <rPr>
            <sz val="9"/>
            <rFont val="宋体"/>
            <charset val="134"/>
          </rPr>
          <t xml:space="preserve">
6/4 上欧洲通用30L WEEE_带电池走货声明书348pcs</t>
        </r>
      </text>
    </comment>
    <comment ref="AG157" authorId="0">
      <text>
        <r>
          <rPr>
            <b/>
            <sz val="9"/>
            <rFont val="宋体"/>
            <charset val="134"/>
          </rPr>
          <t>Administrator:</t>
        </r>
        <r>
          <rPr>
            <sz val="9"/>
            <rFont val="宋体"/>
            <charset val="134"/>
          </rPr>
          <t xml:space="preserve">
3001839 6/25 168pcs
兴信</t>
        </r>
      </text>
    </comment>
    <comment ref="AG158" authorId="0">
      <text>
        <r>
          <rPr>
            <b/>
            <sz val="9"/>
            <rFont val="宋体"/>
            <charset val="134"/>
          </rPr>
          <t>Administrator:</t>
        </r>
        <r>
          <rPr>
            <sz val="9"/>
            <rFont val="宋体"/>
            <charset val="134"/>
          </rPr>
          <t xml:space="preserve">
3001839 6/25 512pcs
华3B13
3001809 6/26 48pcs
</t>
        </r>
      </text>
    </comment>
    <comment ref="AG159" authorId="0">
      <text>
        <r>
          <rPr>
            <b/>
            <sz val="9"/>
            <rFont val="宋体"/>
            <charset val="134"/>
          </rPr>
          <t>Administrator:</t>
        </r>
        <r>
          <rPr>
            <sz val="9"/>
            <rFont val="宋体"/>
            <charset val="134"/>
          </rPr>
          <t xml:space="preserve">
3001839 6/25 800pcs
华3B11</t>
        </r>
      </text>
    </comment>
    <comment ref="AJ159" authorId="0">
      <text>
        <r>
          <rPr>
            <b/>
            <sz val="9"/>
            <rFont val="宋体"/>
            <charset val="134"/>
          </rPr>
          <t>Administrator:</t>
        </r>
        <r>
          <rPr>
            <sz val="9"/>
            <rFont val="宋体"/>
            <charset val="134"/>
          </rPr>
          <t xml:space="preserve">
6/10 上进口商贴纸800pcs</t>
        </r>
      </text>
    </comment>
    <comment ref="AG160" authorId="0">
      <text>
        <r>
          <rPr>
            <b/>
            <sz val="9"/>
            <rFont val="宋体"/>
            <charset val="134"/>
          </rPr>
          <t>Administrator:</t>
        </r>
        <r>
          <rPr>
            <sz val="9"/>
            <rFont val="宋体"/>
            <charset val="134"/>
          </rPr>
          <t xml:space="preserve">
3001817 6/26 100pcs</t>
        </r>
      </text>
    </comment>
    <comment ref="AG161" authorId="0">
      <text>
        <r>
          <rPr>
            <b/>
            <sz val="9"/>
            <rFont val="宋体"/>
            <charset val="134"/>
          </rPr>
          <t>Administrator:</t>
        </r>
        <r>
          <rPr>
            <sz val="9"/>
            <rFont val="宋体"/>
            <charset val="134"/>
          </rPr>
          <t xml:space="preserve">
3001817 6/26 80pcs
</t>
        </r>
      </text>
    </comment>
    <comment ref="AG163" authorId="0">
      <text>
        <r>
          <rPr>
            <b/>
            <sz val="9"/>
            <rFont val="宋体"/>
            <charset val="134"/>
          </rPr>
          <t>Administrator:</t>
        </r>
        <r>
          <rPr>
            <sz val="9"/>
            <rFont val="宋体"/>
            <charset val="134"/>
          </rPr>
          <t xml:space="preserve">
2002516 6/9 3600pcs
东莞混装</t>
        </r>
      </text>
    </comment>
    <comment ref="AJ163" authorId="0">
      <text>
        <r>
          <rPr>
            <b/>
            <sz val="9"/>
            <rFont val="宋体"/>
            <charset val="134"/>
          </rPr>
          <t>Administrator:</t>
        </r>
        <r>
          <rPr>
            <sz val="9"/>
            <rFont val="宋体"/>
            <charset val="134"/>
          </rPr>
          <t xml:space="preserve">
5/6 上多语警语折叠贴纸3600pcs
多语版WEEE电池垃圾桶的回收声明说明书3600pcs
6/14 收到多语折叠警告语贴纸3600pcs留车间返工</t>
        </r>
      </text>
    </comment>
    <comment ref="AJ166" authorId="0">
      <text>
        <r>
          <rPr>
            <b/>
            <sz val="9"/>
            <rFont val="宋体"/>
            <charset val="134"/>
          </rPr>
          <t>Administrator:</t>
        </r>
        <r>
          <rPr>
            <sz val="9"/>
            <rFont val="宋体"/>
            <charset val="134"/>
          </rPr>
          <t xml:space="preserve">
6/4 上欧洲通用30L WEEE_带电池走货声明书1002pcs
6/10 上德语意大利警告语贴纸1002pcs</t>
        </r>
      </text>
    </comment>
    <comment ref="AG168" authorId="0">
      <text>
        <r>
          <rPr>
            <b/>
            <sz val="9"/>
            <rFont val="宋体"/>
            <charset val="134"/>
          </rPr>
          <t>Administrator:</t>
        </r>
        <r>
          <rPr>
            <sz val="9"/>
            <rFont val="宋体"/>
            <charset val="134"/>
          </rPr>
          <t xml:space="preserve">
3001915 7/3 600pcs华3B2</t>
        </r>
      </text>
    </comment>
    <comment ref="AJ168" authorId="0">
      <text>
        <r>
          <rPr>
            <b/>
            <sz val="9"/>
            <rFont val="宋体"/>
            <charset val="134"/>
          </rPr>
          <t>Administrator:</t>
        </r>
        <r>
          <rPr>
            <sz val="9"/>
            <rFont val="宋体"/>
            <charset val="134"/>
          </rPr>
          <t xml:space="preserve">
6/21 上进口商贴纸600pcs</t>
        </r>
      </text>
    </comment>
    <comment ref="AG169" authorId="0">
      <text>
        <r>
          <rPr>
            <b/>
            <sz val="9"/>
            <rFont val="宋体"/>
            <charset val="134"/>
          </rPr>
          <t>Administrator:</t>
        </r>
        <r>
          <rPr>
            <sz val="9"/>
            <rFont val="宋体"/>
            <charset val="134"/>
          </rPr>
          <t xml:space="preserve">
3001565 7/2 1676pcs
莫4A1
3001915 7/3 24pcs兴信</t>
        </r>
      </text>
    </comment>
    <comment ref="AJ169" authorId="0">
      <text>
        <r>
          <rPr>
            <b/>
            <sz val="9"/>
            <rFont val="宋体"/>
            <charset val="134"/>
          </rPr>
          <t>Administrator:</t>
        </r>
        <r>
          <rPr>
            <sz val="9"/>
            <rFont val="宋体"/>
            <charset val="134"/>
          </rPr>
          <t xml:space="preserve">
5/12 上客供RFID贴纸1700pcs</t>
        </r>
      </text>
    </comment>
    <comment ref="AG170" authorId="0">
      <text>
        <r>
          <rPr>
            <b/>
            <sz val="9"/>
            <rFont val="宋体"/>
            <charset val="134"/>
          </rPr>
          <t>Administrator:</t>
        </r>
        <r>
          <rPr>
            <sz val="9"/>
            <rFont val="宋体"/>
            <charset val="134"/>
          </rPr>
          <t xml:space="preserve">
3001366 6/28 4000pcs华3A26</t>
        </r>
      </text>
    </comment>
    <comment ref="AJ170" authorId="0">
      <text>
        <r>
          <rPr>
            <b/>
            <sz val="9"/>
            <rFont val="宋体"/>
            <charset val="134"/>
          </rPr>
          <t>Administrator:</t>
        </r>
        <r>
          <rPr>
            <sz val="9"/>
            <rFont val="宋体"/>
            <charset val="134"/>
          </rPr>
          <t xml:space="preserve">
6/4 上欧洲通用30L WEEE_带电池走货声明书4000pcs
</t>
        </r>
      </text>
    </comment>
    <comment ref="AG171" authorId="0">
      <text>
        <r>
          <rPr>
            <b/>
            <sz val="9"/>
            <rFont val="宋体"/>
            <charset val="134"/>
          </rPr>
          <t>Administrator:</t>
        </r>
        <r>
          <rPr>
            <sz val="9"/>
            <rFont val="宋体"/>
            <charset val="134"/>
          </rPr>
          <t xml:space="preserve">
3001592 6/30 3480pcs华3A26
3001915 7/3 24pcs华3A26</t>
        </r>
      </text>
    </comment>
    <comment ref="AJ171" authorId="0">
      <text>
        <r>
          <rPr>
            <b/>
            <sz val="9"/>
            <rFont val="宋体"/>
            <charset val="134"/>
          </rPr>
          <t>Administrator:</t>
        </r>
        <r>
          <rPr>
            <sz val="9"/>
            <rFont val="宋体"/>
            <charset val="134"/>
          </rPr>
          <t xml:space="preserve">
5/30 上WEEE说明书3504pcs
6/13 上2025LOGO贴纸3504pcs</t>
        </r>
      </text>
    </comment>
    <comment ref="AG172" authorId="0">
      <text>
        <r>
          <rPr>
            <b/>
            <sz val="9"/>
            <rFont val="宋体"/>
            <charset val="134"/>
          </rPr>
          <t>Administrator:</t>
        </r>
        <r>
          <rPr>
            <sz val="9"/>
            <rFont val="宋体"/>
            <charset val="134"/>
          </rPr>
          <t xml:space="preserve">
3001366 6/28 1716pcs华3B15</t>
        </r>
      </text>
    </comment>
    <comment ref="AG173" authorId="0">
      <text>
        <r>
          <rPr>
            <b/>
            <sz val="9"/>
            <rFont val="宋体"/>
            <charset val="134"/>
          </rPr>
          <t>Administrator:</t>
        </r>
        <r>
          <rPr>
            <sz val="9"/>
            <rFont val="宋体"/>
            <charset val="134"/>
          </rPr>
          <t xml:space="preserve">
3001565 7/2 692pcs
莫4B8</t>
        </r>
      </text>
    </comment>
    <comment ref="AG174" authorId="0">
      <text>
        <r>
          <rPr>
            <b/>
            <sz val="9"/>
            <rFont val="宋体"/>
            <charset val="134"/>
          </rPr>
          <t>Administrator:</t>
        </r>
        <r>
          <rPr>
            <sz val="9"/>
            <rFont val="宋体"/>
            <charset val="134"/>
          </rPr>
          <t xml:space="preserve">
2002523 6/6 1200pcs王1-A9</t>
        </r>
      </text>
    </comment>
    <comment ref="AJ174" authorId="0">
      <text>
        <r>
          <rPr>
            <b/>
            <sz val="9"/>
            <rFont val="宋体"/>
            <charset val="134"/>
          </rPr>
          <t>Administrator:</t>
        </r>
        <r>
          <rPr>
            <sz val="9"/>
            <rFont val="宋体"/>
            <charset val="134"/>
          </rPr>
          <t xml:space="preserve">
5/9 上彩盒+收缩膜进口商贴纸1500pcs
5/19 说明书1200pcs
5/21 上彩盒+收缩膜进口商贴纸1200pcs补订
5/22 上2-PDQ 彩色贴纸540pcs
收藏指南彩色贴纸540pcs
5/26 上收藏指南彩色贴纸1560pcs（62472/62474）共用</t>
        </r>
      </text>
    </comment>
    <comment ref="AG175" authorId="0">
      <text>
        <r>
          <rPr>
            <b/>
            <sz val="9"/>
            <rFont val="宋体"/>
            <charset val="134"/>
          </rPr>
          <t>Administrator:</t>
        </r>
        <r>
          <rPr>
            <sz val="9"/>
            <rFont val="宋体"/>
            <charset val="134"/>
          </rPr>
          <t xml:space="preserve">
2002523 6/6 480pcs王1-A9</t>
        </r>
      </text>
    </comment>
    <comment ref="AJ175" authorId="0">
      <text>
        <r>
          <rPr>
            <b/>
            <sz val="9"/>
            <rFont val="宋体"/>
            <charset val="134"/>
          </rPr>
          <t>Administrator:</t>
        </r>
        <r>
          <rPr>
            <sz val="9"/>
            <rFont val="宋体"/>
            <charset val="134"/>
          </rPr>
          <t xml:space="preserve">
5/9 上彩盒+收缩膜进口商贴纸600pcs
5/19 说明书480pcs
5/21 上彩盒+收缩膜进口商贴纸480pcs补订
</t>
        </r>
      </text>
    </comment>
    <comment ref="AJ176" authorId="0">
      <text>
        <r>
          <rPr>
            <b/>
            <sz val="9"/>
            <rFont val="宋体"/>
            <charset val="134"/>
          </rPr>
          <t>Administrator:</t>
        </r>
        <r>
          <rPr>
            <sz val="9"/>
            <rFont val="宋体"/>
            <charset val="134"/>
          </rPr>
          <t xml:space="preserve">
6/4 上欧洲通用30L WEEE_带电池走货声明书240pcs
</t>
        </r>
      </text>
    </comment>
    <comment ref="AG177" authorId="0">
      <text>
        <r>
          <rPr>
            <b/>
            <sz val="9"/>
            <rFont val="宋体"/>
            <charset val="134"/>
          </rPr>
          <t>Administrator:</t>
        </r>
        <r>
          <rPr>
            <sz val="9"/>
            <rFont val="宋体"/>
            <charset val="134"/>
          </rPr>
          <t xml:space="preserve">
3001727 7/7 504pcs
B栋4A1</t>
        </r>
      </text>
    </comment>
    <comment ref="AJ177" authorId="0">
      <text>
        <r>
          <rPr>
            <b/>
            <sz val="9"/>
            <rFont val="宋体"/>
            <charset val="134"/>
          </rPr>
          <t>Administrator:</t>
        </r>
        <r>
          <rPr>
            <sz val="9"/>
            <rFont val="宋体"/>
            <charset val="134"/>
          </rPr>
          <t xml:space="preserve">
6/5 上警语贴纸504pcs
6/4 上欧洲通用30L WEEE_带电池走货声明书504pcs
</t>
        </r>
      </text>
    </comment>
    <comment ref="AG180" authorId="0">
      <text>
        <r>
          <rPr>
            <b/>
            <sz val="9"/>
            <rFont val="宋体"/>
            <charset val="134"/>
          </rPr>
          <t>Administrator:</t>
        </r>
        <r>
          <rPr>
            <sz val="9"/>
            <rFont val="宋体"/>
            <charset val="134"/>
          </rPr>
          <t xml:space="preserve">
3001727 7/7 200pcs
B栋4A7</t>
        </r>
      </text>
    </comment>
    <comment ref="AG181" authorId="0">
      <text>
        <r>
          <rPr>
            <b/>
            <sz val="9"/>
            <rFont val="宋体"/>
            <charset val="134"/>
          </rPr>
          <t>Administrator:</t>
        </r>
        <r>
          <rPr>
            <sz val="9"/>
            <rFont val="宋体"/>
            <charset val="134"/>
          </rPr>
          <t xml:space="preserve">
2001752 7/18 1512pcs
华1A4
2001732 7/19 7188pcs
直走</t>
        </r>
      </text>
    </comment>
    <comment ref="AJ181" authorId="0">
      <text>
        <r>
          <rPr>
            <b/>
            <sz val="9"/>
            <rFont val="宋体"/>
            <charset val="134"/>
          </rPr>
          <t>Administrator:</t>
        </r>
        <r>
          <rPr>
            <sz val="9"/>
            <rFont val="宋体"/>
            <charset val="134"/>
          </rPr>
          <t xml:space="preserve">
6/25 上空白贴纸17400pcs
两个同PO共用</t>
        </r>
      </text>
    </comment>
    <comment ref="AG182" authorId="0">
      <text>
        <r>
          <rPr>
            <b/>
            <sz val="9"/>
            <rFont val="宋体"/>
            <charset val="134"/>
          </rPr>
          <t>Administrator:</t>
        </r>
        <r>
          <rPr>
            <sz val="9"/>
            <rFont val="宋体"/>
            <charset val="134"/>
          </rPr>
          <t xml:space="preserve">
3001727 7/7 504pcs B栋4B9
</t>
        </r>
      </text>
    </comment>
    <comment ref="AJ182" authorId="0">
      <text>
        <r>
          <rPr>
            <b/>
            <sz val="9"/>
            <rFont val="宋体"/>
            <charset val="134"/>
          </rPr>
          <t>Administrator:</t>
        </r>
        <r>
          <rPr>
            <sz val="9"/>
            <rFont val="宋体"/>
            <charset val="134"/>
          </rPr>
          <t xml:space="preserve">
6/14 WEEE带电池走货欧洲30语通用黑白说明书 504pcs
 6/13 上邮包盒贴纸504pcs
6/26 上邮包盒贴纸462pcs</t>
        </r>
      </text>
    </comment>
    <comment ref="AG183" authorId="0">
      <text>
        <r>
          <rPr>
            <b/>
            <sz val="9"/>
            <rFont val="宋体"/>
            <charset val="134"/>
          </rPr>
          <t>Administrator:</t>
        </r>
        <r>
          <rPr>
            <sz val="9"/>
            <rFont val="宋体"/>
            <charset val="134"/>
          </rPr>
          <t xml:space="preserve">
2001590 7/5 180pcs
B栋4A5</t>
        </r>
      </text>
    </comment>
    <comment ref="AJ183" authorId="0">
      <text>
        <r>
          <rPr>
            <b/>
            <sz val="9"/>
            <rFont val="宋体"/>
            <charset val="134"/>
          </rPr>
          <t>Administrator:</t>
        </r>
        <r>
          <rPr>
            <sz val="9"/>
            <rFont val="宋体"/>
            <charset val="134"/>
          </rPr>
          <t xml:space="preserve">
6/17 UPC贴纸180pcs
</t>
        </r>
      </text>
    </comment>
    <comment ref="AG184" authorId="0">
      <text>
        <r>
          <rPr>
            <b/>
            <sz val="9"/>
            <rFont val="宋体"/>
            <charset val="134"/>
          </rPr>
          <t>Administrator:</t>
        </r>
        <r>
          <rPr>
            <sz val="9"/>
            <rFont val="宋体"/>
            <charset val="134"/>
          </rPr>
          <t xml:space="preserve">
2001566 7/9 600pcs
</t>
        </r>
      </text>
    </comment>
    <comment ref="AJ184" authorId="0">
      <text>
        <r>
          <rPr>
            <b/>
            <sz val="9"/>
            <rFont val="宋体"/>
            <charset val="134"/>
          </rPr>
          <t>Administrator:</t>
        </r>
        <r>
          <rPr>
            <sz val="9"/>
            <rFont val="宋体"/>
            <charset val="134"/>
          </rPr>
          <t xml:space="preserve">
6/13 上WEEE带电池走货欧洲 30 语通用黑白说明书600pcs</t>
        </r>
      </text>
    </comment>
    <comment ref="AG185" authorId="0">
      <text>
        <r>
          <rPr>
            <b/>
            <sz val="9"/>
            <rFont val="宋体"/>
            <charset val="134"/>
          </rPr>
          <t>Administrator:</t>
        </r>
        <r>
          <rPr>
            <sz val="9"/>
            <rFont val="宋体"/>
            <charset val="134"/>
          </rPr>
          <t xml:space="preserve">
2001590 7/5 240pcs
B栋4B7</t>
        </r>
      </text>
    </comment>
    <comment ref="AJ185" authorId="0">
      <text>
        <r>
          <rPr>
            <b/>
            <sz val="9"/>
            <rFont val="宋体"/>
            <charset val="134"/>
          </rPr>
          <t>Administrator:</t>
        </r>
        <r>
          <rPr>
            <sz val="9"/>
            <rFont val="宋体"/>
            <charset val="134"/>
          </rPr>
          <t xml:space="preserve">
6/17 UPC贴纸240pcs</t>
        </r>
      </text>
    </comment>
    <comment ref="AG186" authorId="0">
      <text>
        <r>
          <rPr>
            <b/>
            <sz val="9"/>
            <rFont val="宋体"/>
            <charset val="134"/>
          </rPr>
          <t>Administrator:</t>
        </r>
        <r>
          <rPr>
            <sz val="9"/>
            <rFont val="宋体"/>
            <charset val="134"/>
          </rPr>
          <t xml:space="preserve">
2001590 7/5 120pcs
B栋4B7</t>
        </r>
      </text>
    </comment>
    <comment ref="AJ186" authorId="0">
      <text>
        <r>
          <rPr>
            <b/>
            <sz val="9"/>
            <rFont val="宋体"/>
            <charset val="134"/>
          </rPr>
          <t>Administrator:</t>
        </r>
        <r>
          <rPr>
            <sz val="9"/>
            <rFont val="宋体"/>
            <charset val="134"/>
          </rPr>
          <t xml:space="preserve">
6/17 UPC贴纸120pcs
</t>
        </r>
      </text>
    </comment>
    <comment ref="AG189" authorId="0">
      <text>
        <r>
          <rPr>
            <b/>
            <sz val="9"/>
            <rFont val="宋体"/>
            <charset val="134"/>
          </rPr>
          <t>Administrator:</t>
        </r>
        <r>
          <rPr>
            <sz val="9"/>
            <rFont val="宋体"/>
            <charset val="134"/>
          </rPr>
          <t xml:space="preserve">
2001566 7/9 1504pcs</t>
        </r>
      </text>
    </comment>
    <comment ref="AJ189" authorId="0">
      <text>
        <r>
          <rPr>
            <b/>
            <sz val="9"/>
            <rFont val="宋体"/>
            <charset val="134"/>
          </rPr>
          <t>Administrator:</t>
        </r>
        <r>
          <rPr>
            <sz val="9"/>
            <rFont val="宋体"/>
            <charset val="134"/>
          </rPr>
          <t xml:space="preserve">
5/12 上客供RFID贴纸1504pcs</t>
        </r>
      </text>
    </comment>
    <comment ref="AG190" authorId="0">
      <text>
        <r>
          <rPr>
            <b/>
            <sz val="9"/>
            <rFont val="宋体"/>
            <charset val="134"/>
          </rPr>
          <t>Administrator:</t>
        </r>
        <r>
          <rPr>
            <sz val="9"/>
            <rFont val="宋体"/>
            <charset val="134"/>
          </rPr>
          <t xml:space="preserve">
2001566 7/9 2328pcs
</t>
        </r>
      </text>
    </comment>
    <comment ref="AG191" authorId="0">
      <text>
        <r>
          <rPr>
            <b/>
            <sz val="9"/>
            <rFont val="宋体"/>
            <charset val="134"/>
          </rPr>
          <t>Administrator:</t>
        </r>
        <r>
          <rPr>
            <sz val="9"/>
            <rFont val="宋体"/>
            <charset val="134"/>
          </rPr>
          <t xml:space="preserve">
2001590 7/5 492pcs B栋4B9</t>
        </r>
      </text>
    </comment>
    <comment ref="AJ191" authorId="0">
      <text>
        <r>
          <rPr>
            <b/>
            <sz val="9"/>
            <rFont val="宋体"/>
            <charset val="134"/>
          </rPr>
          <t>Administrator:</t>
        </r>
        <r>
          <rPr>
            <sz val="9"/>
            <rFont val="宋体"/>
            <charset val="134"/>
          </rPr>
          <t xml:space="preserve">
5/30 上多语折叠贴492pcs
6/14 上UPC贴纸492pcs
6/10 上亚马逊外箱贴纸41pcs</t>
        </r>
      </text>
    </comment>
    <comment ref="AG192" authorId="0">
      <text>
        <r>
          <rPr>
            <b/>
            <sz val="9"/>
            <rFont val="宋体"/>
            <charset val="134"/>
          </rPr>
          <t>Administrator:</t>
        </r>
        <r>
          <rPr>
            <sz val="9"/>
            <rFont val="宋体"/>
            <charset val="134"/>
          </rPr>
          <t xml:space="preserve">
2001563 7/8 252pcs 华1B2</t>
        </r>
      </text>
    </comment>
    <comment ref="AJ192" authorId="0">
      <text>
        <r>
          <rPr>
            <b/>
            <sz val="9"/>
            <rFont val="宋体"/>
            <charset val="134"/>
          </rPr>
          <t>Administrator:</t>
        </r>
        <r>
          <rPr>
            <sz val="9"/>
            <rFont val="宋体"/>
            <charset val="134"/>
          </rPr>
          <t xml:space="preserve">
5/7 上客人白色CALLABEL贴纸252pcs
7/3 上带电池走货说明书252pcs</t>
        </r>
      </text>
    </comment>
    <comment ref="AG193" authorId="0">
      <text>
        <r>
          <rPr>
            <b/>
            <sz val="9"/>
            <rFont val="宋体"/>
            <charset val="134"/>
          </rPr>
          <t>Administrator:</t>
        </r>
        <r>
          <rPr>
            <sz val="9"/>
            <rFont val="宋体"/>
            <charset val="134"/>
          </rPr>
          <t xml:space="preserve">
2001563 7/8 636pcs 华1B2
</t>
        </r>
      </text>
    </comment>
    <comment ref="AG194" authorId="0">
      <text>
        <r>
          <rPr>
            <b/>
            <sz val="9"/>
            <rFont val="宋体"/>
            <charset val="134"/>
          </rPr>
          <t>Administrator:</t>
        </r>
        <r>
          <rPr>
            <sz val="9"/>
            <rFont val="宋体"/>
            <charset val="134"/>
          </rPr>
          <t xml:space="preserve">
2001611 7/3 516pcs莫4A6</t>
        </r>
      </text>
    </comment>
    <comment ref="AJ194" authorId="0">
      <text>
        <r>
          <rPr>
            <b/>
            <sz val="9"/>
            <rFont val="宋体"/>
            <charset val="134"/>
          </rPr>
          <t>Administrator:</t>
        </r>
        <r>
          <rPr>
            <sz val="9"/>
            <rFont val="宋体"/>
            <charset val="134"/>
          </rPr>
          <t xml:space="preserve">
6/23 上纸袋希腊警语贴纸1032pcs
WEEE30L带电走货电池说明书516pcs
客人警语贴纸516pcs</t>
        </r>
      </text>
    </comment>
    <comment ref="AG195" authorId="0">
      <text>
        <r>
          <rPr>
            <b/>
            <sz val="9"/>
            <rFont val="宋体"/>
            <charset val="134"/>
          </rPr>
          <t>Administrator:</t>
        </r>
        <r>
          <rPr>
            <sz val="9"/>
            <rFont val="宋体"/>
            <charset val="134"/>
          </rPr>
          <t xml:space="preserve">
3001641 7/9 108pcs
3001534 7/11 12pcs
</t>
        </r>
      </text>
    </comment>
    <comment ref="AJ195" authorId="0">
      <text>
        <r>
          <rPr>
            <b/>
            <sz val="9"/>
            <rFont val="宋体"/>
            <charset val="134"/>
          </rPr>
          <t>Administrator:</t>
        </r>
        <r>
          <rPr>
            <sz val="9"/>
            <rFont val="宋体"/>
            <charset val="134"/>
          </rPr>
          <t xml:space="preserve">
6/17 WEEE带电池走货欧洲30语通用黑白说明书120pcs
</t>
        </r>
      </text>
    </comment>
    <comment ref="AG196" authorId="0">
      <text>
        <r>
          <rPr>
            <b/>
            <sz val="9"/>
            <rFont val="宋体"/>
            <charset val="134"/>
          </rPr>
          <t>Administrator:</t>
        </r>
        <r>
          <rPr>
            <sz val="9"/>
            <rFont val="宋体"/>
            <charset val="134"/>
          </rPr>
          <t xml:space="preserve">
3001698 7/8 1140pcs 华3A7</t>
        </r>
      </text>
    </comment>
    <comment ref="AJ196" authorId="0">
      <text>
        <r>
          <rPr>
            <b/>
            <sz val="9"/>
            <rFont val="宋体"/>
            <charset val="134"/>
          </rPr>
          <t>Administrator:</t>
        </r>
        <r>
          <rPr>
            <sz val="9"/>
            <rFont val="宋体"/>
            <charset val="134"/>
          </rPr>
          <t xml:space="preserve">
6/11 上客供RFID贴纸1140pcs</t>
        </r>
      </text>
    </comment>
    <comment ref="AG197" authorId="0">
      <text>
        <r>
          <rPr>
            <b/>
            <sz val="9"/>
            <rFont val="宋体"/>
            <charset val="134"/>
          </rPr>
          <t>Administrator:</t>
        </r>
        <r>
          <rPr>
            <sz val="9"/>
            <rFont val="宋体"/>
            <charset val="134"/>
          </rPr>
          <t xml:space="preserve">
3001698 7/8 1248pcs
华3A8</t>
        </r>
      </text>
    </comment>
    <comment ref="AJ197" authorId="0">
      <text>
        <r>
          <rPr>
            <b/>
            <sz val="9"/>
            <rFont val="宋体"/>
            <charset val="134"/>
          </rPr>
          <t>Administrator:</t>
        </r>
        <r>
          <rPr>
            <sz val="9"/>
            <rFont val="宋体"/>
            <charset val="134"/>
          </rPr>
          <t xml:space="preserve">
6/11 上客供RFID贴纸1248pcs
</t>
        </r>
      </text>
    </comment>
    <comment ref="AG198" authorId="0">
      <text>
        <r>
          <rPr>
            <b/>
            <sz val="9"/>
            <rFont val="宋体"/>
            <charset val="134"/>
          </rPr>
          <t>Administrator:</t>
        </r>
        <r>
          <rPr>
            <sz val="9"/>
            <rFont val="宋体"/>
            <charset val="134"/>
          </rPr>
          <t xml:space="preserve">
3001698 7/8 1608pcs
华3A10</t>
        </r>
      </text>
    </comment>
    <comment ref="AJ198" authorId="0">
      <text>
        <r>
          <rPr>
            <b/>
            <sz val="9"/>
            <rFont val="宋体"/>
            <charset val="134"/>
          </rPr>
          <t>Administrator:</t>
        </r>
        <r>
          <rPr>
            <sz val="9"/>
            <rFont val="宋体"/>
            <charset val="134"/>
          </rPr>
          <t xml:space="preserve">
6/11 上客供RFID贴纸1608pcs
</t>
        </r>
      </text>
    </comment>
    <comment ref="AG199" authorId="0">
      <text>
        <r>
          <rPr>
            <b/>
            <sz val="9"/>
            <rFont val="宋体"/>
            <charset val="134"/>
          </rPr>
          <t>Administrator:</t>
        </r>
        <r>
          <rPr>
            <sz val="9"/>
            <rFont val="宋体"/>
            <charset val="134"/>
          </rPr>
          <t xml:space="preserve">
3001698 7/8 1132pcs
华3A9</t>
        </r>
      </text>
    </comment>
    <comment ref="AJ199" authorId="0">
      <text>
        <r>
          <rPr>
            <b/>
            <sz val="9"/>
            <rFont val="宋体"/>
            <charset val="134"/>
          </rPr>
          <t>Administrator:</t>
        </r>
        <r>
          <rPr>
            <sz val="9"/>
            <rFont val="宋体"/>
            <charset val="134"/>
          </rPr>
          <t xml:space="preserve">
6/11 上客供RFID贴纸1132pcs
</t>
        </r>
      </text>
    </comment>
    <comment ref="AG200" authorId="0">
      <text>
        <r>
          <rPr>
            <b/>
            <sz val="9"/>
            <rFont val="宋体"/>
            <charset val="134"/>
          </rPr>
          <t>Administrator:</t>
        </r>
        <r>
          <rPr>
            <sz val="9"/>
            <rFont val="宋体"/>
            <charset val="134"/>
          </rPr>
          <t xml:space="preserve">
2001611 7/3 500pcs莫4B9</t>
        </r>
      </text>
    </comment>
    <comment ref="AG201" authorId="0">
      <text>
        <r>
          <rPr>
            <b/>
            <sz val="9"/>
            <rFont val="宋体"/>
            <charset val="134"/>
          </rPr>
          <t>Administrator:</t>
        </r>
        <r>
          <rPr>
            <sz val="9"/>
            <rFont val="宋体"/>
            <charset val="134"/>
          </rPr>
          <t xml:space="preserve">
3001675 7/9 996pcs</t>
        </r>
      </text>
    </comment>
    <comment ref="AJ206" authorId="0">
      <text>
        <r>
          <rPr>
            <b/>
            <sz val="9"/>
            <rFont val="宋体"/>
            <charset val="134"/>
          </rPr>
          <t>Administrator:</t>
        </r>
        <r>
          <rPr>
            <sz val="9"/>
            <rFont val="宋体"/>
            <charset val="134"/>
          </rPr>
          <t xml:space="preserve">
6/14 WEEE带电池走货欧洲30语通用黑白说明书 360pcs</t>
        </r>
      </text>
    </comment>
    <comment ref="AG207" authorId="0">
      <text>
        <r>
          <rPr>
            <b/>
            <sz val="9"/>
            <rFont val="宋体"/>
            <charset val="134"/>
          </rPr>
          <t>Administrator:</t>
        </r>
        <r>
          <rPr>
            <sz val="9"/>
            <rFont val="宋体"/>
            <charset val="134"/>
          </rPr>
          <t xml:space="preserve">
3001527 7/11 360pcs</t>
        </r>
      </text>
    </comment>
    <comment ref="AJ207" authorId="0">
      <text>
        <r>
          <rPr>
            <b/>
            <sz val="9"/>
            <rFont val="宋体"/>
            <charset val="134"/>
          </rPr>
          <t>Administrator:</t>
        </r>
        <r>
          <rPr>
            <sz val="9"/>
            <rFont val="宋体"/>
            <charset val="134"/>
          </rPr>
          <t xml:space="preserve">
6/17 WEEE带电池走货欧洲30语通用黑白说明书360pcs
6/18 上西班牙环保标/邮箱贴纸360pcs</t>
        </r>
      </text>
    </comment>
    <comment ref="AJ208" authorId="0">
      <text>
        <r>
          <rPr>
            <b/>
            <sz val="9"/>
            <rFont val="宋体"/>
            <charset val="134"/>
          </rPr>
          <t>Administrator:</t>
        </r>
        <r>
          <rPr>
            <sz val="9"/>
            <rFont val="宋体"/>
            <charset val="134"/>
          </rPr>
          <t xml:space="preserve">
6/17 WEEE带电池走货欧洲30语通用黑白说明书300pcs
</t>
        </r>
      </text>
    </comment>
    <comment ref="AJ209" authorId="0">
      <text>
        <r>
          <rPr>
            <b/>
            <sz val="9"/>
            <rFont val="宋体"/>
            <charset val="134"/>
          </rPr>
          <t>Administrator:</t>
        </r>
        <r>
          <rPr>
            <sz val="9"/>
            <rFont val="宋体"/>
            <charset val="134"/>
          </rPr>
          <t xml:space="preserve">
6/17 WEEE带电池走货欧洲30语通用黑白说明书120pcs</t>
        </r>
      </text>
    </comment>
    <comment ref="AJ210" authorId="0">
      <text>
        <r>
          <rPr>
            <b/>
            <sz val="9"/>
            <rFont val="宋体"/>
            <charset val="134"/>
          </rPr>
          <t>Administrator:</t>
        </r>
        <r>
          <rPr>
            <sz val="9"/>
            <rFont val="宋体"/>
            <charset val="134"/>
          </rPr>
          <t xml:space="preserve">
6/13 上WEEE带电池走货欧洲30语通用黑白说明书42pcs</t>
        </r>
      </text>
    </comment>
    <comment ref="AG211" authorId="0">
      <text>
        <r>
          <rPr>
            <b/>
            <sz val="9"/>
            <rFont val="宋体"/>
            <charset val="134"/>
          </rPr>
          <t>Administrator:</t>
        </r>
        <r>
          <rPr>
            <sz val="9"/>
            <rFont val="宋体"/>
            <charset val="134"/>
          </rPr>
          <t xml:space="preserve">
3001473 7/14 4pcs
华3A7
3001545 7/12 1868pcs华3A7</t>
        </r>
      </text>
    </comment>
    <comment ref="AG212" authorId="0">
      <text>
        <r>
          <rPr>
            <b/>
            <sz val="9"/>
            <rFont val="宋体"/>
            <charset val="134"/>
          </rPr>
          <t>Administrator:</t>
        </r>
        <r>
          <rPr>
            <sz val="9"/>
            <rFont val="宋体"/>
            <charset val="134"/>
          </rPr>
          <t xml:space="preserve">
3001488 7/12 700pcs
华3A10
3001545 7/12 2108pcs华3A9
</t>
        </r>
      </text>
    </comment>
    <comment ref="AG213" authorId="0">
      <text>
        <r>
          <rPr>
            <b/>
            <sz val="9"/>
            <rFont val="宋体"/>
            <charset val="134"/>
          </rPr>
          <t>Administrator:</t>
        </r>
        <r>
          <rPr>
            <sz val="9"/>
            <rFont val="宋体"/>
            <charset val="134"/>
          </rPr>
          <t xml:space="preserve">
3001624 7/10 496pcs
华3A18
3001534 7/11 16pcs
</t>
        </r>
      </text>
    </comment>
    <comment ref="AJ213" authorId="0">
      <text>
        <r>
          <rPr>
            <b/>
            <sz val="9"/>
            <rFont val="宋体"/>
            <charset val="134"/>
          </rPr>
          <t>Administrator:</t>
        </r>
        <r>
          <rPr>
            <sz val="9"/>
            <rFont val="宋体"/>
            <charset val="134"/>
          </rPr>
          <t xml:space="preserve">
6/13 上WEEE带电池走货欧洲30语通用黑白说明书2656pcs</t>
        </r>
      </text>
    </comment>
    <comment ref="AG214" authorId="0">
      <text>
        <r>
          <rPr>
            <b/>
            <sz val="9"/>
            <rFont val="宋体"/>
            <charset val="134"/>
          </rPr>
          <t>Administrator:</t>
        </r>
        <r>
          <rPr>
            <sz val="9"/>
            <rFont val="宋体"/>
            <charset val="134"/>
          </rPr>
          <t xml:space="preserve">
3001624 7/10 248pcs
华3B2</t>
        </r>
      </text>
    </comment>
    <comment ref="AJ214" authorId="0">
      <text>
        <r>
          <rPr>
            <b/>
            <sz val="9"/>
            <rFont val="宋体"/>
            <charset val="134"/>
          </rPr>
          <t>Administrator:</t>
        </r>
        <r>
          <rPr>
            <sz val="9"/>
            <rFont val="宋体"/>
            <charset val="134"/>
          </rPr>
          <t xml:space="preserve">
6/19 上客供RFID贴纸248pcs</t>
        </r>
      </text>
    </comment>
    <comment ref="AG215" authorId="0">
      <text>
        <r>
          <rPr>
            <b/>
            <sz val="9"/>
            <rFont val="宋体"/>
            <charset val="134"/>
          </rPr>
          <t>Administrator:</t>
        </r>
        <r>
          <rPr>
            <sz val="9"/>
            <rFont val="宋体"/>
            <charset val="134"/>
          </rPr>
          <t xml:space="preserve">
3001534 7/11 588pcs
3001488 7/12 12pcs</t>
        </r>
      </text>
    </comment>
    <comment ref="AJ215" authorId="0">
      <text>
        <r>
          <rPr>
            <b/>
            <sz val="9"/>
            <rFont val="宋体"/>
            <charset val="134"/>
          </rPr>
          <t>Administrator:</t>
        </r>
        <r>
          <rPr>
            <sz val="9"/>
            <rFont val="宋体"/>
            <charset val="134"/>
          </rPr>
          <t xml:space="preserve">
6/23 1张30L WEEE带电池走货说明书600pcs</t>
        </r>
      </text>
    </comment>
    <comment ref="AG218" authorId="0">
      <text>
        <r>
          <rPr>
            <b/>
            <sz val="9"/>
            <rFont val="宋体"/>
            <charset val="134"/>
          </rPr>
          <t>Administrator:</t>
        </r>
        <r>
          <rPr>
            <sz val="9"/>
            <rFont val="宋体"/>
            <charset val="134"/>
          </rPr>
          <t xml:space="preserve">
2001799 7/13 1488pcs华3B3</t>
        </r>
      </text>
    </comment>
    <comment ref="AJ218" authorId="0">
      <text>
        <r>
          <rPr>
            <b/>
            <sz val="9"/>
            <rFont val="宋体"/>
            <charset val="134"/>
          </rPr>
          <t>Administrator:</t>
        </r>
        <r>
          <rPr>
            <sz val="9"/>
            <rFont val="宋体"/>
            <charset val="134"/>
          </rPr>
          <t xml:space="preserve">
6/24 上客供RFID贴纸1488pcs</t>
        </r>
      </text>
    </comment>
    <comment ref="AG219" authorId="0">
      <text>
        <r>
          <rPr>
            <b/>
            <sz val="9"/>
            <rFont val="宋体"/>
            <charset val="134"/>
          </rPr>
          <t>Administrator:</t>
        </r>
        <r>
          <rPr>
            <sz val="9"/>
            <rFont val="宋体"/>
            <charset val="134"/>
          </rPr>
          <t xml:space="preserve">
2001799 7/13 1696pcs
华3A5</t>
        </r>
      </text>
    </comment>
    <comment ref="AJ219" authorId="0">
      <text>
        <r>
          <rPr>
            <b/>
            <sz val="9"/>
            <rFont val="宋体"/>
            <charset val="134"/>
          </rPr>
          <t>Administrator:</t>
        </r>
        <r>
          <rPr>
            <sz val="9"/>
            <rFont val="宋体"/>
            <charset val="134"/>
          </rPr>
          <t xml:space="preserve">
6/24 上客供RFID贴纸1696pcs
</t>
        </r>
      </text>
    </comment>
    <comment ref="AG220" authorId="0">
      <text>
        <r>
          <rPr>
            <b/>
            <sz val="9"/>
            <rFont val="宋体"/>
            <charset val="134"/>
          </rPr>
          <t>Administrator:</t>
        </r>
        <r>
          <rPr>
            <sz val="9"/>
            <rFont val="宋体"/>
            <charset val="134"/>
          </rPr>
          <t xml:space="preserve">
2001800 7/12 1808pcs华3B3</t>
        </r>
      </text>
    </comment>
    <comment ref="AJ220" authorId="0">
      <text>
        <r>
          <rPr>
            <b/>
            <sz val="9"/>
            <rFont val="宋体"/>
            <charset val="134"/>
          </rPr>
          <t>Administrator:</t>
        </r>
        <r>
          <rPr>
            <sz val="9"/>
            <rFont val="宋体"/>
            <charset val="134"/>
          </rPr>
          <t xml:space="preserve">
6/24 上客供RFID贴纸1808pcs
</t>
        </r>
      </text>
    </comment>
    <comment ref="AG221" authorId="0">
      <text>
        <r>
          <rPr>
            <b/>
            <sz val="9"/>
            <rFont val="宋体"/>
            <charset val="134"/>
          </rPr>
          <t>Administrator:</t>
        </r>
        <r>
          <rPr>
            <sz val="9"/>
            <rFont val="宋体"/>
            <charset val="134"/>
          </rPr>
          <t xml:space="preserve">
2001799 7/13 1408pcs
华3B3</t>
        </r>
      </text>
    </comment>
    <comment ref="AJ221" authorId="0">
      <text>
        <r>
          <rPr>
            <b/>
            <sz val="9"/>
            <rFont val="宋体"/>
            <charset val="134"/>
          </rPr>
          <t>Administrator:</t>
        </r>
        <r>
          <rPr>
            <sz val="9"/>
            <rFont val="宋体"/>
            <charset val="134"/>
          </rPr>
          <t xml:space="preserve">
6/24 上客供RFID贴纸1408pcs
</t>
        </r>
      </text>
    </comment>
    <comment ref="AG222" authorId="0">
      <text>
        <r>
          <rPr>
            <b/>
            <sz val="9"/>
            <rFont val="宋体"/>
            <charset val="134"/>
          </rPr>
          <t>Administrator:</t>
        </r>
        <r>
          <rPr>
            <sz val="9"/>
            <rFont val="宋体"/>
            <charset val="134"/>
          </rPr>
          <t xml:space="preserve">
2001805 7/12 1496pcs华1B1</t>
        </r>
      </text>
    </comment>
    <comment ref="AJ222" authorId="0">
      <text>
        <r>
          <rPr>
            <b/>
            <sz val="9"/>
            <rFont val="宋体"/>
            <charset val="134"/>
          </rPr>
          <t>Administrator:</t>
        </r>
        <r>
          <rPr>
            <sz val="9"/>
            <rFont val="宋体"/>
            <charset val="134"/>
          </rPr>
          <t xml:space="preserve">
6/24 上客供RFID贴纸1496pcs
</t>
        </r>
      </text>
    </comment>
    <comment ref="AG223" authorId="0">
      <text>
        <r>
          <rPr>
            <b/>
            <sz val="9"/>
            <rFont val="宋体"/>
            <charset val="134"/>
          </rPr>
          <t>Administrator:</t>
        </r>
        <r>
          <rPr>
            <sz val="9"/>
            <rFont val="宋体"/>
            <charset val="134"/>
          </rPr>
          <t xml:space="preserve">
2001805 7/12 1344pcs华1B1
</t>
        </r>
      </text>
    </comment>
    <comment ref="AJ223" authorId="0">
      <text>
        <r>
          <rPr>
            <b/>
            <sz val="9"/>
            <rFont val="宋体"/>
            <charset val="134"/>
          </rPr>
          <t>Administrator:</t>
        </r>
        <r>
          <rPr>
            <sz val="9"/>
            <rFont val="宋体"/>
            <charset val="134"/>
          </rPr>
          <t xml:space="preserve">
6/19 上大黄圆防盗贴纸1344pcs
6/26 上WEEE带电池走货30L说明书1344pcs
</t>
        </r>
      </text>
    </comment>
    <comment ref="AG224" authorId="0">
      <text>
        <r>
          <rPr>
            <b/>
            <sz val="9"/>
            <rFont val="宋体"/>
            <charset val="134"/>
          </rPr>
          <t>Administrator:</t>
        </r>
        <r>
          <rPr>
            <sz val="9"/>
            <rFont val="宋体"/>
            <charset val="134"/>
          </rPr>
          <t xml:space="preserve">
2001809 7/10 4800pcs</t>
        </r>
      </text>
    </comment>
    <comment ref="AG226" authorId="0">
      <text>
        <r>
          <rPr>
            <b/>
            <sz val="9"/>
            <rFont val="宋体"/>
            <charset val="134"/>
          </rPr>
          <t>Administrator:</t>
        </r>
        <r>
          <rPr>
            <sz val="9"/>
            <rFont val="宋体"/>
            <charset val="134"/>
          </rPr>
          <t xml:space="preserve">
3001488 7/12 2560pcs直走</t>
        </r>
      </text>
    </comment>
    <comment ref="AG227" authorId="0">
      <text>
        <r>
          <rPr>
            <b/>
            <sz val="9"/>
            <rFont val="宋体"/>
            <charset val="134"/>
          </rPr>
          <t>Administrator:</t>
        </r>
        <r>
          <rPr>
            <sz val="9"/>
            <rFont val="宋体"/>
            <charset val="134"/>
          </rPr>
          <t xml:space="preserve">
2001807 7/12 5400pcs</t>
        </r>
      </text>
    </comment>
    <comment ref="AG229" authorId="0">
      <text>
        <r>
          <rPr>
            <b/>
            <sz val="9"/>
            <rFont val="宋体"/>
            <charset val="134"/>
          </rPr>
          <t>Administrator:</t>
        </r>
        <r>
          <rPr>
            <sz val="9"/>
            <rFont val="宋体"/>
            <charset val="134"/>
          </rPr>
          <t xml:space="preserve">
2001787 7/15 2652pcs 华3A24</t>
        </r>
      </text>
    </comment>
    <comment ref="AJ229" authorId="0">
      <text>
        <r>
          <rPr>
            <b/>
            <sz val="9"/>
            <rFont val="宋体"/>
            <charset val="134"/>
          </rPr>
          <t>Administrator:</t>
        </r>
        <r>
          <rPr>
            <sz val="9"/>
            <rFont val="宋体"/>
            <charset val="134"/>
          </rPr>
          <t xml:space="preserve">
6/13 上进口商贴纸含客户条码11000pcs
6/10 上进口商贴纸/客户条码2652pcs</t>
        </r>
      </text>
    </comment>
    <comment ref="AG230" authorId="0">
      <text>
        <r>
          <rPr>
            <b/>
            <sz val="9"/>
            <rFont val="宋体"/>
            <charset val="134"/>
          </rPr>
          <t>Administrator:</t>
        </r>
        <r>
          <rPr>
            <sz val="9"/>
            <rFont val="宋体"/>
            <charset val="134"/>
          </rPr>
          <t xml:space="preserve">
2001610 7/3 360pcs</t>
        </r>
      </text>
    </comment>
    <comment ref="AJ230" authorId="0">
      <text>
        <r>
          <rPr>
            <b/>
            <sz val="9"/>
            <rFont val="宋体"/>
            <charset val="134"/>
          </rPr>
          <t>Administrator:</t>
        </r>
        <r>
          <rPr>
            <sz val="9"/>
            <rFont val="宋体"/>
            <charset val="134"/>
          </rPr>
          <t xml:space="preserve">
6/17 WEEE带电池走货欧洲30语通用黑白说明书360pcs
6/25 上意大利sorting logO含进口商贴纸360pcs</t>
        </r>
      </text>
    </comment>
    <comment ref="AG232" authorId="0">
      <text>
        <r>
          <rPr>
            <b/>
            <sz val="9"/>
            <rFont val="宋体"/>
            <charset val="134"/>
          </rPr>
          <t>Administrator:</t>
        </r>
        <r>
          <rPr>
            <sz val="9"/>
            <rFont val="宋体"/>
            <charset val="134"/>
          </rPr>
          <t xml:space="preserve">
2001736 7/19 72pcs</t>
        </r>
      </text>
    </comment>
    <comment ref="AG233" authorId="0">
      <text>
        <r>
          <rPr>
            <b/>
            <sz val="9"/>
            <rFont val="宋体"/>
            <charset val="134"/>
          </rPr>
          <t>Administrator:</t>
        </r>
        <r>
          <rPr>
            <sz val="9"/>
            <rFont val="宋体"/>
            <charset val="134"/>
          </rPr>
          <t xml:space="preserve">
2001736 7/19 1596pcs莫4B4</t>
        </r>
      </text>
    </comment>
    <comment ref="AJ233" authorId="0">
      <text>
        <r>
          <rPr>
            <b/>
            <sz val="9"/>
            <rFont val="宋体"/>
            <charset val="134"/>
          </rPr>
          <t>Administrator:</t>
        </r>
        <r>
          <rPr>
            <sz val="9"/>
            <rFont val="宋体"/>
            <charset val="134"/>
          </rPr>
          <t xml:space="preserve">
6/23 上UPC贴纸1596pcs</t>
        </r>
      </text>
    </comment>
    <comment ref="AG234" authorId="0">
      <text>
        <r>
          <rPr>
            <b/>
            <sz val="9"/>
            <rFont val="宋体"/>
            <charset val="134"/>
          </rPr>
          <t>Administrator:</t>
        </r>
        <r>
          <rPr>
            <sz val="9"/>
            <rFont val="宋体"/>
            <charset val="134"/>
          </rPr>
          <t xml:space="preserve">
2001741 7/21 352pcs华3B8</t>
        </r>
      </text>
    </comment>
    <comment ref="AJ234" authorId="0">
      <text>
        <r>
          <rPr>
            <b/>
            <sz val="9"/>
            <rFont val="宋体"/>
            <charset val="134"/>
          </rPr>
          <t>Administrator:</t>
        </r>
        <r>
          <rPr>
            <sz val="9"/>
            <rFont val="宋体"/>
            <charset val="134"/>
          </rPr>
          <t xml:space="preserve">
6/19 上客供RFID贴纸352pcs
</t>
        </r>
      </text>
    </comment>
    <comment ref="AG235" authorId="0">
      <text>
        <r>
          <rPr>
            <b/>
            <sz val="9"/>
            <rFont val="宋体"/>
            <charset val="134"/>
          </rPr>
          <t>Administrator:</t>
        </r>
        <r>
          <rPr>
            <sz val="9"/>
            <rFont val="宋体"/>
            <charset val="134"/>
          </rPr>
          <t xml:space="preserve">
2001741 7/21 120pcs
华3B8</t>
        </r>
      </text>
    </comment>
    <comment ref="AJ235" authorId="0">
      <text>
        <r>
          <rPr>
            <b/>
            <sz val="9"/>
            <rFont val="宋体"/>
            <charset val="134"/>
          </rPr>
          <t>Administrator:</t>
        </r>
        <r>
          <rPr>
            <sz val="9"/>
            <rFont val="宋体"/>
            <charset val="134"/>
          </rPr>
          <t xml:space="preserve">
6/19 上客供RFID贴纸120pcs
</t>
        </r>
      </text>
    </comment>
    <comment ref="AG236" authorId="0">
      <text>
        <r>
          <rPr>
            <b/>
            <sz val="9"/>
            <rFont val="宋体"/>
            <charset val="134"/>
          </rPr>
          <t>Administrator:</t>
        </r>
        <r>
          <rPr>
            <sz val="9"/>
            <rFont val="宋体"/>
            <charset val="134"/>
          </rPr>
          <t xml:space="preserve">
2001741 7/21 100pcs
华3B7</t>
        </r>
      </text>
    </comment>
    <comment ref="AJ236" authorId="0">
      <text>
        <r>
          <rPr>
            <b/>
            <sz val="9"/>
            <rFont val="宋体"/>
            <charset val="134"/>
          </rPr>
          <t>Administrator:</t>
        </r>
        <r>
          <rPr>
            <sz val="9"/>
            <rFont val="宋体"/>
            <charset val="134"/>
          </rPr>
          <t xml:space="preserve">
6/19 上客供RFID贴纸100pcs
</t>
        </r>
      </text>
    </comment>
    <comment ref="AG237" authorId="0">
      <text>
        <r>
          <rPr>
            <b/>
            <sz val="9"/>
            <rFont val="宋体"/>
            <charset val="134"/>
          </rPr>
          <t>Administrator:</t>
        </r>
        <r>
          <rPr>
            <sz val="9"/>
            <rFont val="宋体"/>
            <charset val="134"/>
          </rPr>
          <t xml:space="preserve">
2001736 7/19 2328pcs莫4B7</t>
        </r>
      </text>
    </comment>
    <comment ref="AG238" authorId="0">
      <text>
        <r>
          <rPr>
            <b/>
            <sz val="9"/>
            <rFont val="宋体"/>
            <charset val="134"/>
          </rPr>
          <t>Administrator:</t>
        </r>
        <r>
          <rPr>
            <sz val="9"/>
            <rFont val="宋体"/>
            <charset val="134"/>
          </rPr>
          <t xml:space="preserve">
2001780 7/17 1896pcs 新仓库3-A2</t>
        </r>
      </text>
    </comment>
    <comment ref="AG239" authorId="0">
      <text>
        <r>
          <rPr>
            <b/>
            <sz val="9"/>
            <rFont val="宋体"/>
            <charset val="134"/>
          </rPr>
          <t>Administrator:</t>
        </r>
        <r>
          <rPr>
            <sz val="9"/>
            <rFont val="宋体"/>
            <charset val="134"/>
          </rPr>
          <t xml:space="preserve">
2001773 7/16 1608pcs 新仓库9楼B7</t>
        </r>
      </text>
    </comment>
    <comment ref="AJ239" authorId="0">
      <text>
        <r>
          <rPr>
            <b/>
            <sz val="9"/>
            <rFont val="宋体"/>
            <charset val="134"/>
          </rPr>
          <t>Administrator:</t>
        </r>
        <r>
          <rPr>
            <sz val="9"/>
            <rFont val="宋体"/>
            <charset val="134"/>
          </rPr>
          <t xml:space="preserve">
6/4 上欧洲通用30L WEEE_带电池走货声明书1608pcs
</t>
        </r>
      </text>
    </comment>
    <comment ref="AG240" authorId="0">
      <text>
        <r>
          <rPr>
            <b/>
            <sz val="9"/>
            <rFont val="宋体"/>
            <charset val="134"/>
          </rPr>
          <t>Administrator:</t>
        </r>
        <r>
          <rPr>
            <sz val="9"/>
            <rFont val="宋体"/>
            <charset val="134"/>
          </rPr>
          <t xml:space="preserve">
2001784 7/14 120pcs
华3A32</t>
        </r>
      </text>
    </comment>
    <comment ref="AJ240" authorId="0">
      <text>
        <r>
          <rPr>
            <b/>
            <sz val="9"/>
            <rFont val="宋体"/>
            <charset val="134"/>
          </rPr>
          <t>Administrator:</t>
        </r>
        <r>
          <rPr>
            <sz val="9"/>
            <rFont val="宋体"/>
            <charset val="134"/>
          </rPr>
          <t xml:space="preserve">
6/23 上UPC贴纸132pcs</t>
        </r>
      </text>
    </comment>
    <comment ref="AG242" authorId="0">
      <text>
        <r>
          <rPr>
            <b/>
            <sz val="9"/>
            <rFont val="宋体"/>
            <charset val="134"/>
          </rPr>
          <t>Administrator:</t>
        </r>
        <r>
          <rPr>
            <sz val="9"/>
            <rFont val="宋体"/>
            <charset val="134"/>
          </rPr>
          <t xml:space="preserve">
2001784 7/14 504pcs
华3B14</t>
        </r>
      </text>
    </comment>
    <comment ref="AJ242" authorId="0">
      <text>
        <r>
          <rPr>
            <b/>
            <sz val="9"/>
            <rFont val="宋体"/>
            <charset val="134"/>
          </rPr>
          <t>Administrator:</t>
        </r>
        <r>
          <rPr>
            <sz val="9"/>
            <rFont val="宋体"/>
            <charset val="134"/>
          </rPr>
          <t xml:space="preserve">
6/11 上多语折叠贴纸504pcs
6/17 WEEE带电池走货欧洲30语通用黑白说明书504pcs
</t>
        </r>
      </text>
    </comment>
    <comment ref="AG243" authorId="0">
      <text>
        <r>
          <rPr>
            <b/>
            <sz val="9"/>
            <rFont val="宋体"/>
            <charset val="134"/>
          </rPr>
          <t>Administrator:</t>
        </r>
        <r>
          <rPr>
            <sz val="9"/>
            <rFont val="宋体"/>
            <charset val="134"/>
          </rPr>
          <t xml:space="preserve">
2001752 7/18 2808pcs华1A2</t>
        </r>
      </text>
    </comment>
    <comment ref="AG244" authorId="0">
      <text>
        <r>
          <rPr>
            <b/>
            <sz val="9"/>
            <rFont val="宋体"/>
            <charset val="134"/>
          </rPr>
          <t>Administrator:</t>
        </r>
        <r>
          <rPr>
            <sz val="9"/>
            <rFont val="宋体"/>
            <charset val="134"/>
          </rPr>
          <t xml:space="preserve">
2001726 7/23 1564pcs
华3A9
2001705 7/23 4pcs华3A9</t>
        </r>
      </text>
    </comment>
    <comment ref="AG245" authorId="0">
      <text>
        <r>
          <rPr>
            <b/>
            <sz val="9"/>
            <rFont val="宋体"/>
            <charset val="134"/>
          </rPr>
          <t>Administrator:</t>
        </r>
        <r>
          <rPr>
            <sz val="9"/>
            <rFont val="宋体"/>
            <charset val="134"/>
          </rPr>
          <t xml:space="preserve">
2001726 7/23 2012pcs
华3A9
2001705 7/23 4pcs
华3A9</t>
        </r>
      </text>
    </comment>
    <comment ref="AG246" authorId="0">
      <text>
        <r>
          <rPr>
            <b/>
            <sz val="9"/>
            <rFont val="宋体"/>
            <charset val="134"/>
          </rPr>
          <t>Administrator:</t>
        </r>
        <r>
          <rPr>
            <sz val="9"/>
            <rFont val="宋体"/>
            <charset val="134"/>
          </rPr>
          <t xml:space="preserve">
2001726 7/23 2520pcs
华3A6</t>
        </r>
      </text>
    </comment>
    <comment ref="AJ246" authorId="0">
      <text>
        <r>
          <rPr>
            <b/>
            <sz val="9"/>
            <rFont val="宋体"/>
            <charset val="134"/>
          </rPr>
          <t>Administrator:</t>
        </r>
        <r>
          <rPr>
            <sz val="9"/>
            <rFont val="宋体"/>
            <charset val="134"/>
          </rPr>
          <t xml:space="preserve">
6/24 上客供RFID贴纸2520pcs
</t>
        </r>
      </text>
    </comment>
    <comment ref="AG247" authorId="0">
      <text>
        <r>
          <rPr>
            <b/>
            <sz val="9"/>
            <rFont val="宋体"/>
            <charset val="134"/>
          </rPr>
          <t>Administrator:</t>
        </r>
        <r>
          <rPr>
            <sz val="9"/>
            <rFont val="宋体"/>
            <charset val="134"/>
          </rPr>
          <t xml:space="preserve">
2001726 7/23 2080pcs
华3A7
2001705 7/23 8pcs
华3A9</t>
        </r>
      </text>
    </comment>
    <comment ref="AJ247" authorId="0">
      <text>
        <r>
          <rPr>
            <b/>
            <sz val="9"/>
            <rFont val="宋体"/>
            <charset val="134"/>
          </rPr>
          <t>Administrator:</t>
        </r>
        <r>
          <rPr>
            <sz val="9"/>
            <rFont val="宋体"/>
            <charset val="134"/>
          </rPr>
          <t xml:space="preserve">
6/24 上客供RFID贴纸2088pcs
</t>
        </r>
      </text>
    </comment>
    <comment ref="AG248" authorId="0">
      <text>
        <r>
          <rPr>
            <b/>
            <sz val="9"/>
            <rFont val="宋体"/>
            <charset val="134"/>
          </rPr>
          <t>Administrator:</t>
        </r>
        <r>
          <rPr>
            <sz val="9"/>
            <rFont val="宋体"/>
            <charset val="134"/>
          </rPr>
          <t xml:space="preserve">
2001726 7/23 1896pcs
华3A9</t>
        </r>
      </text>
    </comment>
    <comment ref="AG249" authorId="0">
      <text>
        <r>
          <rPr>
            <b/>
            <sz val="9"/>
            <rFont val="宋体"/>
            <charset val="134"/>
          </rPr>
          <t>Administrator:</t>
        </r>
        <r>
          <rPr>
            <sz val="9"/>
            <rFont val="宋体"/>
            <charset val="134"/>
          </rPr>
          <t xml:space="preserve">
2001726 7/23 1876pcs
华3B4
2001705 7/23 4pcs
华3B4</t>
        </r>
      </text>
    </comment>
    <comment ref="AG250" authorId="0">
      <text>
        <r>
          <rPr>
            <b/>
            <sz val="9"/>
            <rFont val="宋体"/>
            <charset val="134"/>
          </rPr>
          <t>Administrator:</t>
        </r>
        <r>
          <rPr>
            <sz val="9"/>
            <rFont val="宋体"/>
            <charset val="134"/>
          </rPr>
          <t xml:space="preserve">
2001784 7/14 1880pcs华3B3</t>
        </r>
      </text>
    </comment>
    <comment ref="AG251" authorId="0">
      <text>
        <r>
          <rPr>
            <b/>
            <sz val="9"/>
            <rFont val="宋体"/>
            <charset val="134"/>
          </rPr>
          <t>Administrator:</t>
        </r>
        <r>
          <rPr>
            <sz val="9"/>
            <rFont val="宋体"/>
            <charset val="134"/>
          </rPr>
          <t xml:space="preserve">
2001784 7/14 1872pcs
华3B3</t>
        </r>
      </text>
    </comment>
    <comment ref="AG252" authorId="0">
      <text>
        <r>
          <rPr>
            <b/>
            <sz val="9"/>
            <rFont val="宋体"/>
            <charset val="134"/>
          </rPr>
          <t>Administrator:</t>
        </r>
        <r>
          <rPr>
            <sz val="9"/>
            <rFont val="宋体"/>
            <charset val="134"/>
          </rPr>
          <t xml:space="preserve">
3001513 7/14 1400pcs
华3A13
3001509 7/14 456pcs华3A13</t>
        </r>
      </text>
    </comment>
    <comment ref="AJ252" authorId="0">
      <text>
        <r>
          <rPr>
            <b/>
            <sz val="9"/>
            <rFont val="宋体"/>
            <charset val="134"/>
          </rPr>
          <t>Administrator:</t>
        </r>
        <r>
          <rPr>
            <sz val="9"/>
            <rFont val="宋体"/>
            <charset val="134"/>
          </rPr>
          <t xml:space="preserve">
6/11 上客供RFID贴纸1856pcs
</t>
        </r>
      </text>
    </comment>
    <comment ref="AG253" authorId="0">
      <text>
        <r>
          <rPr>
            <b/>
            <sz val="9"/>
            <rFont val="宋体"/>
            <charset val="134"/>
          </rPr>
          <t>Administrator:</t>
        </r>
        <r>
          <rPr>
            <sz val="9"/>
            <rFont val="宋体"/>
            <charset val="134"/>
          </rPr>
          <t xml:space="preserve">
3001473 7/14 4pcs
3001509 7/14 2228pcs华3A10</t>
        </r>
      </text>
    </comment>
    <comment ref="AJ253" authorId="0">
      <text>
        <r>
          <rPr>
            <b/>
            <sz val="9"/>
            <rFont val="宋体"/>
            <charset val="134"/>
          </rPr>
          <t>Administrator:</t>
        </r>
        <r>
          <rPr>
            <sz val="9"/>
            <rFont val="宋体"/>
            <charset val="134"/>
          </rPr>
          <t xml:space="preserve">
6/11 上客供RFID贴纸2232pcs
</t>
        </r>
      </text>
    </comment>
    <comment ref="AG254" authorId="0">
      <text>
        <r>
          <rPr>
            <b/>
            <sz val="9"/>
            <rFont val="宋体"/>
            <charset val="134"/>
          </rPr>
          <t>Administrator:</t>
        </r>
        <r>
          <rPr>
            <sz val="9"/>
            <rFont val="宋体"/>
            <charset val="134"/>
          </rPr>
          <t xml:space="preserve">
3001446 7/15 1564pcs 华3A6
3001415 7/17  4pcs </t>
        </r>
      </text>
    </comment>
    <comment ref="AG255" authorId="0">
      <text>
        <r>
          <rPr>
            <b/>
            <sz val="9"/>
            <rFont val="宋体"/>
            <charset val="134"/>
          </rPr>
          <t>Administrator:</t>
        </r>
        <r>
          <rPr>
            <sz val="9"/>
            <rFont val="宋体"/>
            <charset val="134"/>
          </rPr>
          <t xml:space="preserve">
3001446 7/15 2016pcs 华3A8</t>
        </r>
      </text>
    </comment>
    <comment ref="AG256" authorId="0">
      <text>
        <r>
          <rPr>
            <b/>
            <sz val="9"/>
            <rFont val="宋体"/>
            <charset val="134"/>
          </rPr>
          <t>Administrator:</t>
        </r>
        <r>
          <rPr>
            <sz val="9"/>
            <rFont val="宋体"/>
            <charset val="134"/>
          </rPr>
          <t xml:space="preserve">
2001741 7/21 852pcs
华3B11 
备品 12pcs 补查货</t>
        </r>
      </text>
    </comment>
    <comment ref="AJ256" authorId="0">
      <text>
        <r>
          <rPr>
            <b/>
            <sz val="9"/>
            <rFont val="宋体"/>
            <charset val="134"/>
          </rPr>
          <t>Administrator:</t>
        </r>
        <r>
          <rPr>
            <sz val="9"/>
            <rFont val="宋体"/>
            <charset val="134"/>
          </rPr>
          <t xml:space="preserve">
7/1 上红色LOGO贴纸852pcs
包装贴纸852pcs
保证书852pcs
产品电池盖贴纸852pcs
说明书贴纸852pcS
7/21 收到UPC贴纸852pcs</t>
        </r>
      </text>
    </comment>
    <comment ref="AG257" authorId="0">
      <text>
        <r>
          <rPr>
            <b/>
            <sz val="9"/>
            <rFont val="宋体"/>
            <charset val="134"/>
          </rPr>
          <t>Administrator:</t>
        </r>
        <r>
          <rPr>
            <sz val="9"/>
            <rFont val="宋体"/>
            <charset val="134"/>
          </rPr>
          <t xml:space="preserve">
2001807 7/12 1500pcs
2001782 7/14 600pcs
2001786 7/15 900pcs
2001731 7/19 2400pcs</t>
        </r>
      </text>
    </comment>
    <comment ref="AG259" authorId="0">
      <text>
        <r>
          <rPr>
            <b/>
            <sz val="9"/>
            <rFont val="宋体"/>
            <charset val="134"/>
          </rPr>
          <t>Administrator:</t>
        </r>
        <r>
          <rPr>
            <sz val="9"/>
            <rFont val="宋体"/>
            <charset val="134"/>
          </rPr>
          <t xml:space="preserve">
2001701 7/28 2508pcs华1F7</t>
        </r>
      </text>
    </comment>
    <comment ref="AJ259" authorId="0">
      <text>
        <r>
          <rPr>
            <b/>
            <sz val="9"/>
            <rFont val="宋体"/>
            <charset val="134"/>
          </rPr>
          <t>Administrator:</t>
        </r>
        <r>
          <rPr>
            <sz val="9"/>
            <rFont val="宋体"/>
            <charset val="134"/>
          </rPr>
          <t xml:space="preserve">
6/24 上客供外箱条码贴纸633pcs
</t>
        </r>
      </text>
    </comment>
    <comment ref="AG260" authorId="0">
      <text>
        <r>
          <rPr>
            <b/>
            <sz val="9"/>
            <rFont val="宋体"/>
            <charset val="134"/>
          </rPr>
          <t>Administrator:</t>
        </r>
        <r>
          <rPr>
            <sz val="9"/>
            <rFont val="宋体"/>
            <charset val="134"/>
          </rPr>
          <t xml:space="preserve">
2001714 7/24 1800pcs</t>
        </r>
      </text>
    </comment>
    <comment ref="AJ260" authorId="0">
      <text>
        <r>
          <rPr>
            <b/>
            <sz val="9"/>
            <rFont val="宋体"/>
            <charset val="134"/>
          </rPr>
          <t>Administrator:</t>
        </r>
        <r>
          <rPr>
            <sz val="9"/>
            <rFont val="宋体"/>
            <charset val="134"/>
          </rPr>
          <t xml:space="preserve">
7/5 上UPC条码贴纸1800pcs
说明书贴纸1800pcs
进口商贴纸1800pcs</t>
        </r>
      </text>
    </comment>
    <comment ref="AJ261" authorId="0">
      <text>
        <r>
          <rPr>
            <b/>
            <sz val="9"/>
            <rFont val="宋体"/>
            <charset val="134"/>
          </rPr>
          <t>Administrator:</t>
        </r>
        <r>
          <rPr>
            <sz val="9"/>
            <rFont val="宋体"/>
            <charset val="134"/>
          </rPr>
          <t xml:space="preserve">
6/23  WEEE带电池走货欧洲30语通用黑白说明书240pcs</t>
        </r>
      </text>
    </comment>
    <comment ref="AG262" authorId="0">
      <text>
        <r>
          <rPr>
            <b/>
            <sz val="9"/>
            <rFont val="宋体"/>
            <charset val="134"/>
          </rPr>
          <t>Administrator:</t>
        </r>
        <r>
          <rPr>
            <sz val="9"/>
            <rFont val="宋体"/>
            <charset val="134"/>
          </rPr>
          <t xml:space="preserve">
2001714 7/24 240pcs
</t>
        </r>
      </text>
    </comment>
    <comment ref="AJ262" authorId="0">
      <text>
        <r>
          <rPr>
            <b/>
            <sz val="9"/>
            <rFont val="宋体"/>
            <charset val="134"/>
          </rPr>
          <t>Administrator:</t>
        </r>
        <r>
          <rPr>
            <sz val="9"/>
            <rFont val="宋体"/>
            <charset val="134"/>
          </rPr>
          <t xml:space="preserve">
7/3 上带电池走货说明书240pcs
警告语/进口商贴纸240pcs</t>
        </r>
      </text>
    </comment>
    <comment ref="AG263" authorId="0">
      <text>
        <r>
          <rPr>
            <b/>
            <sz val="9"/>
            <rFont val="宋体"/>
            <charset val="134"/>
          </rPr>
          <t>Administrator:</t>
        </r>
        <r>
          <rPr>
            <sz val="9"/>
            <rFont val="宋体"/>
            <charset val="134"/>
          </rPr>
          <t xml:space="preserve">
2001714 7/24 108pcs
</t>
        </r>
      </text>
    </comment>
    <comment ref="AJ263" authorId="0">
      <text>
        <r>
          <rPr>
            <b/>
            <sz val="9"/>
            <rFont val="宋体"/>
            <charset val="134"/>
          </rPr>
          <t>Administrator:</t>
        </r>
        <r>
          <rPr>
            <sz val="9"/>
            <rFont val="宋体"/>
            <charset val="134"/>
          </rPr>
          <t xml:space="preserve">
6/30 上UPC贴纸108pcs</t>
        </r>
      </text>
    </comment>
    <comment ref="AG264" authorId="0">
      <text>
        <r>
          <rPr>
            <b/>
            <sz val="9"/>
            <rFont val="宋体"/>
            <charset val="134"/>
          </rPr>
          <t>Administrator:</t>
        </r>
        <r>
          <rPr>
            <sz val="9"/>
            <rFont val="宋体"/>
            <charset val="134"/>
          </rPr>
          <t xml:space="preserve">
2001701 7/28 520pcs华3B14</t>
        </r>
      </text>
    </comment>
    <comment ref="AJ264" authorId="0">
      <text>
        <r>
          <rPr>
            <b/>
            <sz val="9"/>
            <rFont val="宋体"/>
            <charset val="134"/>
          </rPr>
          <t>Administrator:</t>
        </r>
        <r>
          <rPr>
            <sz val="9"/>
            <rFont val="宋体"/>
            <charset val="134"/>
          </rPr>
          <t xml:space="preserve">
6/17 WEEE带电池走货欧洲30语通用黑白说明书520pcs
6/18 上德语包装警告语贴纸520pcs
客人款号贴纸520pcs
Kinderherz 2025 logo 520pcs
6/23 WEEE带电池走货说明书520pcs</t>
        </r>
      </text>
    </comment>
    <comment ref="AG265" authorId="0">
      <text>
        <r>
          <rPr>
            <b/>
            <sz val="9"/>
            <rFont val="宋体"/>
            <charset val="134"/>
          </rPr>
          <t>Administrator:</t>
        </r>
        <r>
          <rPr>
            <sz val="9"/>
            <rFont val="宋体"/>
            <charset val="134"/>
          </rPr>
          <t xml:space="preserve">
2001708 7/24 2832pcs</t>
        </r>
      </text>
    </comment>
    <comment ref="AJ265" authorId="0">
      <text>
        <r>
          <rPr>
            <b/>
            <sz val="9"/>
            <rFont val="宋体"/>
            <charset val="134"/>
          </rPr>
          <t>Administrator:</t>
        </r>
        <r>
          <rPr>
            <sz val="9"/>
            <rFont val="宋体"/>
            <charset val="134"/>
          </rPr>
          <t xml:space="preserve">
7/19 上WEEE 30L带电池走货说明书2832pcs</t>
        </r>
      </text>
    </comment>
    <comment ref="AG266" authorId="0">
      <text>
        <r>
          <rPr>
            <b/>
            <sz val="9"/>
            <rFont val="宋体"/>
            <charset val="134"/>
          </rPr>
          <t>Administrator:</t>
        </r>
        <r>
          <rPr>
            <sz val="9"/>
            <rFont val="宋体"/>
            <charset val="134"/>
          </rPr>
          <t xml:space="preserve">
2001700 7/26 420pcs华3B10</t>
        </r>
      </text>
    </comment>
    <comment ref="AJ266" authorId="0">
      <text>
        <r>
          <rPr>
            <b/>
            <sz val="9"/>
            <rFont val="宋体"/>
            <charset val="134"/>
          </rPr>
          <t>Administrator:</t>
        </r>
        <r>
          <rPr>
            <sz val="9"/>
            <rFont val="宋体"/>
            <charset val="134"/>
          </rPr>
          <t xml:space="preserve">
6/30 上进口商贴纸420pcs
UPC条码贴纸420pcs</t>
        </r>
      </text>
    </comment>
    <comment ref="AG267" authorId="0">
      <text>
        <r>
          <rPr>
            <b/>
            <sz val="9"/>
            <rFont val="宋体"/>
            <charset val="134"/>
          </rPr>
          <t>Administrator:</t>
        </r>
        <r>
          <rPr>
            <sz val="9"/>
            <rFont val="宋体"/>
            <charset val="134"/>
          </rPr>
          <t xml:space="preserve">
2001700 7/26 120pcs
华3B8</t>
        </r>
      </text>
    </comment>
    <comment ref="AG268" authorId="0">
      <text>
        <r>
          <rPr>
            <b/>
            <sz val="9"/>
            <rFont val="宋体"/>
            <charset val="134"/>
          </rPr>
          <t>Administrator:</t>
        </r>
        <r>
          <rPr>
            <sz val="9"/>
            <rFont val="宋体"/>
            <charset val="134"/>
          </rPr>
          <t xml:space="preserve">
2001701 7/28 3780pcs华1F9</t>
        </r>
      </text>
    </comment>
    <comment ref="AJ268" authorId="0">
      <text>
        <r>
          <rPr>
            <b/>
            <sz val="9"/>
            <rFont val="宋体"/>
            <charset val="134"/>
          </rPr>
          <t>Administrator:</t>
        </r>
        <r>
          <rPr>
            <sz val="9"/>
            <rFont val="宋体"/>
            <charset val="134"/>
          </rPr>
          <t xml:space="preserve">
6/24 上客供RFID贴纸3780pcs
</t>
        </r>
      </text>
    </comment>
    <comment ref="AG269" authorId="0">
      <text>
        <r>
          <rPr>
            <b/>
            <sz val="9"/>
            <rFont val="宋体"/>
            <charset val="134"/>
          </rPr>
          <t>Administrator:</t>
        </r>
        <r>
          <rPr>
            <sz val="9"/>
            <rFont val="宋体"/>
            <charset val="134"/>
          </rPr>
          <t xml:space="preserve">
2001701 7/28 1360pcs华3A28</t>
        </r>
      </text>
    </comment>
    <comment ref="AG270" authorId="0">
      <text>
        <r>
          <rPr>
            <b/>
            <sz val="9"/>
            <rFont val="宋体"/>
            <charset val="134"/>
          </rPr>
          <t>Administrator:</t>
        </r>
        <r>
          <rPr>
            <sz val="9"/>
            <rFont val="宋体"/>
            <charset val="134"/>
          </rPr>
          <t xml:space="preserve">
2001837 7/30 1504pcs华3A9</t>
        </r>
      </text>
    </comment>
    <comment ref="AJ270" authorId="0">
      <text>
        <r>
          <rPr>
            <b/>
            <sz val="9"/>
            <rFont val="宋体"/>
            <charset val="134"/>
          </rPr>
          <t>Administrator:</t>
        </r>
        <r>
          <rPr>
            <sz val="9"/>
            <rFont val="宋体"/>
            <charset val="134"/>
          </rPr>
          <t xml:space="preserve">
5/30 上WEEE说明书1504pcs
6/13 上2025LOGO贴纸1504pcs</t>
        </r>
      </text>
    </comment>
    <comment ref="AG271" authorId="0">
      <text>
        <r>
          <rPr>
            <b/>
            <sz val="9"/>
            <rFont val="宋体"/>
            <charset val="134"/>
          </rPr>
          <t>Administrator:</t>
        </r>
        <r>
          <rPr>
            <sz val="9"/>
            <rFont val="宋体"/>
            <charset val="134"/>
          </rPr>
          <t xml:space="preserve">
2001727 7/23 828pcs华3B10</t>
        </r>
      </text>
    </comment>
    <comment ref="AJ271" authorId="0">
      <text>
        <r>
          <rPr>
            <b/>
            <sz val="9"/>
            <rFont val="宋体"/>
            <charset val="134"/>
          </rPr>
          <t>Administrator:</t>
        </r>
        <r>
          <rPr>
            <sz val="9"/>
            <rFont val="宋体"/>
            <charset val="134"/>
          </rPr>
          <t xml:space="preserve">
7/3 上UPC贴纸828pcs</t>
        </r>
      </text>
    </comment>
    <comment ref="AG272" authorId="0">
      <text>
        <r>
          <rPr>
            <b/>
            <sz val="9"/>
            <rFont val="宋体"/>
            <charset val="134"/>
          </rPr>
          <t>Administrator:</t>
        </r>
        <r>
          <rPr>
            <sz val="9"/>
            <rFont val="宋体"/>
            <charset val="134"/>
          </rPr>
          <t xml:space="preserve">
3002259 8/6 1200pcs华3B15</t>
        </r>
      </text>
    </comment>
    <comment ref="AJ272" authorId="0">
      <text>
        <r>
          <rPr>
            <b/>
            <sz val="9"/>
            <rFont val="宋体"/>
            <charset val="134"/>
          </rPr>
          <t>Administrator:</t>
        </r>
        <r>
          <rPr>
            <sz val="9"/>
            <rFont val="宋体"/>
            <charset val="134"/>
          </rPr>
          <t xml:space="preserve">
6/23 上价格贴纸1200pcs
7/26 上客供外箱条码贴纸300pcs</t>
        </r>
      </text>
    </comment>
    <comment ref="AG273" authorId="0">
      <text>
        <r>
          <rPr>
            <b/>
            <sz val="9"/>
            <rFont val="宋体"/>
            <charset val="134"/>
          </rPr>
          <t>Administrator:</t>
        </r>
        <r>
          <rPr>
            <sz val="9"/>
            <rFont val="宋体"/>
            <charset val="134"/>
          </rPr>
          <t xml:space="preserve">
3002064 7/31 3000pcs新仓1-A7</t>
        </r>
      </text>
    </comment>
    <comment ref="AJ273" authorId="0">
      <text>
        <r>
          <rPr>
            <b/>
            <sz val="9"/>
            <rFont val="宋体"/>
            <charset val="134"/>
          </rPr>
          <t>Administrator:</t>
        </r>
        <r>
          <rPr>
            <sz val="9"/>
            <rFont val="宋体"/>
            <charset val="134"/>
          </rPr>
          <t xml:space="preserve">
7/18 上客供价格贴纸3000pcs
</t>
        </r>
      </text>
    </comment>
    <comment ref="AG274" authorId="0">
      <text>
        <r>
          <rPr>
            <b/>
            <sz val="9"/>
            <rFont val="宋体"/>
            <charset val="134"/>
          </rPr>
          <t>Administrator:</t>
        </r>
        <r>
          <rPr>
            <sz val="9"/>
            <rFont val="宋体"/>
            <charset val="134"/>
          </rPr>
          <t xml:space="preserve">
3002064 7/31 240pcs新仓1-A7</t>
        </r>
      </text>
    </comment>
    <comment ref="AJ274" authorId="0">
      <text>
        <r>
          <rPr>
            <b/>
            <sz val="9"/>
            <rFont val="宋体"/>
            <charset val="134"/>
          </rPr>
          <t>Administrator:</t>
        </r>
        <r>
          <rPr>
            <sz val="9"/>
            <rFont val="宋体"/>
            <charset val="134"/>
          </rPr>
          <t xml:space="preserve">
7/10 上客供价标贴纸256pcs
</t>
        </r>
      </text>
    </comment>
    <comment ref="AG275" authorId="0">
      <text>
        <r>
          <rPr>
            <b/>
            <sz val="9"/>
            <rFont val="宋体"/>
            <charset val="134"/>
          </rPr>
          <t>Administrator:</t>
        </r>
        <r>
          <rPr>
            <sz val="9"/>
            <rFont val="宋体"/>
            <charset val="134"/>
          </rPr>
          <t xml:space="preserve">
3002370 8/4 1688pcs莫A栋一楼B8</t>
        </r>
      </text>
    </comment>
    <comment ref="AJ275" authorId="0">
      <text>
        <r>
          <rPr>
            <b/>
            <sz val="9"/>
            <rFont val="宋体"/>
            <charset val="134"/>
          </rPr>
          <t>Administrator:</t>
        </r>
        <r>
          <rPr>
            <sz val="9"/>
            <rFont val="宋体"/>
            <charset val="134"/>
          </rPr>
          <t xml:space="preserve">
6/24 上客供RFID贴纸1688pcs
</t>
        </r>
      </text>
    </comment>
    <comment ref="AG276" authorId="0">
      <text>
        <r>
          <rPr>
            <b/>
            <sz val="9"/>
            <rFont val="宋体"/>
            <charset val="134"/>
          </rPr>
          <t>Administrator:</t>
        </r>
        <r>
          <rPr>
            <sz val="9"/>
            <rFont val="宋体"/>
            <charset val="134"/>
          </rPr>
          <t xml:space="preserve">
3002370 8/4 1580pcs
A一楼B9</t>
        </r>
      </text>
    </comment>
    <comment ref="AJ276" authorId="0">
      <text>
        <r>
          <rPr>
            <b/>
            <sz val="9"/>
            <rFont val="宋体"/>
            <charset val="134"/>
          </rPr>
          <t>Administrator:</t>
        </r>
        <r>
          <rPr>
            <sz val="9"/>
            <rFont val="宋体"/>
            <charset val="134"/>
          </rPr>
          <t xml:space="preserve">
6/24 上客供RFID贴纸1580pcs
</t>
        </r>
      </text>
    </comment>
    <comment ref="AG277" authorId="0">
      <text>
        <r>
          <rPr>
            <b/>
            <sz val="9"/>
            <rFont val="宋体"/>
            <charset val="134"/>
          </rPr>
          <t>Administrator:</t>
        </r>
        <r>
          <rPr>
            <sz val="9"/>
            <rFont val="宋体"/>
            <charset val="134"/>
          </rPr>
          <t xml:space="preserve">
3002370 8/4 1680pcs
A一楼A16-10</t>
        </r>
      </text>
    </comment>
    <comment ref="AJ277" authorId="0">
      <text>
        <r>
          <rPr>
            <b/>
            <sz val="9"/>
            <rFont val="宋体"/>
            <charset val="134"/>
          </rPr>
          <t>Administrator:</t>
        </r>
        <r>
          <rPr>
            <sz val="9"/>
            <rFont val="宋体"/>
            <charset val="134"/>
          </rPr>
          <t xml:space="preserve">
6/24 上客供RFID贴纸1680pcs
</t>
        </r>
      </text>
    </comment>
    <comment ref="AG278" authorId="0">
      <text>
        <r>
          <rPr>
            <b/>
            <sz val="9"/>
            <rFont val="宋体"/>
            <charset val="134"/>
          </rPr>
          <t>Administrator:</t>
        </r>
        <r>
          <rPr>
            <sz val="9"/>
            <rFont val="宋体"/>
            <charset val="134"/>
          </rPr>
          <t xml:space="preserve">
3002370 8/4 1232pcs
A一楼A18-B8</t>
        </r>
      </text>
    </comment>
    <comment ref="AJ278" authorId="0">
      <text>
        <r>
          <rPr>
            <b/>
            <sz val="9"/>
            <rFont val="宋体"/>
            <charset val="134"/>
          </rPr>
          <t>Administrator:</t>
        </r>
        <r>
          <rPr>
            <sz val="9"/>
            <rFont val="宋体"/>
            <charset val="134"/>
          </rPr>
          <t xml:space="preserve">
6/24 上客供RFID贴纸1232pcs
</t>
        </r>
      </text>
    </comment>
    <comment ref="AG281" authorId="0">
      <text>
        <r>
          <rPr>
            <b/>
            <sz val="9"/>
            <rFont val="宋体"/>
            <charset val="134"/>
          </rPr>
          <t>Administrator:</t>
        </r>
        <r>
          <rPr>
            <sz val="9"/>
            <rFont val="宋体"/>
            <charset val="134"/>
          </rPr>
          <t xml:space="preserve">
2001859 8/2 300pcs</t>
        </r>
      </text>
    </comment>
    <comment ref="AJ281" authorId="0">
      <text>
        <r>
          <rPr>
            <b/>
            <sz val="9"/>
            <rFont val="宋体"/>
            <charset val="134"/>
          </rPr>
          <t>Administrator:</t>
        </r>
        <r>
          <rPr>
            <sz val="9"/>
            <rFont val="宋体"/>
            <charset val="134"/>
          </rPr>
          <t xml:space="preserve">
+WEEE带电池走货说明书北欧B版300pcs
7/11 上客人白色CATLABEL贴纸300pcs</t>
        </r>
      </text>
    </comment>
    <comment ref="AG282" authorId="0">
      <text>
        <r>
          <rPr>
            <b/>
            <sz val="9"/>
            <rFont val="宋体"/>
            <charset val="134"/>
          </rPr>
          <t>Administrator:</t>
        </r>
        <r>
          <rPr>
            <sz val="9"/>
            <rFont val="宋体"/>
            <charset val="134"/>
          </rPr>
          <t xml:space="preserve">
2001868 8/2 616pcs莫A1楼B6</t>
        </r>
      </text>
    </comment>
    <comment ref="AJ282" authorId="0">
      <text>
        <r>
          <rPr>
            <b/>
            <sz val="9"/>
            <rFont val="宋体"/>
            <charset val="134"/>
          </rPr>
          <t>Administrator:</t>
        </r>
        <r>
          <rPr>
            <sz val="9"/>
            <rFont val="宋体"/>
            <charset val="134"/>
          </rPr>
          <t xml:space="preserve">
7/7 上进口商贴纸616pcs
UPC 贴纸616pcs</t>
        </r>
      </text>
    </comment>
    <comment ref="AG283" authorId="0">
      <text>
        <r>
          <rPr>
            <b/>
            <sz val="9"/>
            <rFont val="宋体"/>
            <charset val="134"/>
          </rPr>
          <t>Administrator:</t>
        </r>
        <r>
          <rPr>
            <sz val="9"/>
            <rFont val="宋体"/>
            <charset val="134"/>
          </rPr>
          <t xml:space="preserve">
2001853 8/1 996pcs新仓1-B6</t>
        </r>
      </text>
    </comment>
    <comment ref="AJ283" authorId="0">
      <text>
        <r>
          <rPr>
            <b/>
            <sz val="9"/>
            <rFont val="宋体"/>
            <charset val="134"/>
          </rPr>
          <t>Administrator:</t>
        </r>
        <r>
          <rPr>
            <sz val="9"/>
            <rFont val="宋体"/>
            <charset val="134"/>
          </rPr>
          <t xml:space="preserve">
7/12 上产品贴纸996pcs
7/11 上进口商贴纸996pcs</t>
        </r>
      </text>
    </comment>
    <comment ref="AG284" authorId="0">
      <text>
        <r>
          <rPr>
            <b/>
            <sz val="9"/>
            <rFont val="宋体"/>
            <charset val="134"/>
          </rPr>
          <t>Administrator:</t>
        </r>
        <r>
          <rPr>
            <sz val="9"/>
            <rFont val="宋体"/>
            <charset val="134"/>
          </rPr>
          <t xml:space="preserve">
3002177 8/4 312pcs莫4B10</t>
        </r>
      </text>
    </comment>
    <comment ref="AJ284" authorId="0">
      <text>
        <r>
          <rPr>
            <b/>
            <sz val="9"/>
            <rFont val="宋体"/>
            <charset val="134"/>
          </rPr>
          <t>Administrator:</t>
        </r>
        <r>
          <rPr>
            <sz val="9"/>
            <rFont val="宋体"/>
            <charset val="134"/>
          </rPr>
          <t xml:space="preserve">
7/21 上UPC条码贴纸312pcs
进口商贴纸312pcs
保证书312pcs
</t>
        </r>
      </text>
    </comment>
    <comment ref="AG285" authorId="0">
      <text>
        <r>
          <rPr>
            <b/>
            <sz val="9"/>
            <rFont val="宋体"/>
            <charset val="134"/>
          </rPr>
          <t>Administrator:</t>
        </r>
        <r>
          <rPr>
            <sz val="9"/>
            <rFont val="宋体"/>
            <charset val="134"/>
          </rPr>
          <t xml:space="preserve">
3002177 8/4 504pCS莫4B10</t>
        </r>
      </text>
    </comment>
    <comment ref="AJ285" authorId="0">
      <text>
        <r>
          <rPr>
            <b/>
            <sz val="9"/>
            <rFont val="宋体"/>
            <charset val="134"/>
          </rPr>
          <t>Administrator:</t>
        </r>
        <r>
          <rPr>
            <sz val="9"/>
            <rFont val="宋体"/>
            <charset val="134"/>
          </rPr>
          <t xml:space="preserve">
7/5 上进口商贴纸504pcs</t>
        </r>
      </text>
    </comment>
    <comment ref="AG286" authorId="0">
      <text>
        <r>
          <rPr>
            <b/>
            <sz val="9"/>
            <rFont val="宋体"/>
            <charset val="134"/>
          </rPr>
          <t>Administrator:</t>
        </r>
        <r>
          <rPr>
            <sz val="9"/>
            <rFont val="宋体"/>
            <charset val="134"/>
          </rPr>
          <t xml:space="preserve">
2001859 8/2 600pcs
</t>
        </r>
      </text>
    </comment>
    <comment ref="AJ286" authorId="0">
      <text>
        <r>
          <rPr>
            <b/>
            <sz val="9"/>
            <rFont val="宋体"/>
            <charset val="134"/>
          </rPr>
          <t>Administrator:</t>
        </r>
        <r>
          <rPr>
            <sz val="9"/>
            <rFont val="宋体"/>
            <charset val="134"/>
          </rPr>
          <t xml:space="preserve">
7/22 上UPC贴纸600pcs</t>
        </r>
      </text>
    </comment>
    <comment ref="AG287" authorId="0">
      <text>
        <r>
          <rPr>
            <b/>
            <sz val="9"/>
            <rFont val="宋体"/>
            <charset val="134"/>
          </rPr>
          <t>Administrator:</t>
        </r>
        <r>
          <rPr>
            <sz val="9"/>
            <rFont val="宋体"/>
            <charset val="134"/>
          </rPr>
          <t xml:space="preserve">
3002172 8/4 816pcs廖平1F4</t>
        </r>
      </text>
    </comment>
    <comment ref="AJ287" authorId="0">
      <text>
        <r>
          <rPr>
            <b/>
            <sz val="9"/>
            <rFont val="宋体"/>
            <charset val="134"/>
          </rPr>
          <t>Administrator:</t>
        </r>
        <r>
          <rPr>
            <sz val="9"/>
            <rFont val="宋体"/>
            <charset val="134"/>
          </rPr>
          <t xml:space="preserve">
7/23 上日语警语贴纸2004pcs
说明书贴纸2004pcs
两个同PO共用</t>
        </r>
      </text>
    </comment>
    <comment ref="AG288" authorId="0">
      <text>
        <r>
          <rPr>
            <b/>
            <sz val="9"/>
            <rFont val="宋体"/>
            <charset val="134"/>
          </rPr>
          <t>Administrator:</t>
        </r>
        <r>
          <rPr>
            <sz val="9"/>
            <rFont val="宋体"/>
            <charset val="134"/>
          </rPr>
          <t xml:space="preserve">
3002172 8/4 1188pcs
廖平1F4</t>
        </r>
      </text>
    </comment>
    <comment ref="AG289" authorId="0">
      <text>
        <r>
          <rPr>
            <b/>
            <sz val="9"/>
            <rFont val="宋体"/>
            <charset val="134"/>
          </rPr>
          <t>Administrator:</t>
        </r>
        <r>
          <rPr>
            <sz val="9"/>
            <rFont val="宋体"/>
            <charset val="134"/>
          </rPr>
          <t xml:space="preserve">
3002246 8/8 644pcs
莫4C7</t>
        </r>
      </text>
    </comment>
    <comment ref="AG290" authorId="0">
      <text>
        <r>
          <rPr>
            <b/>
            <sz val="9"/>
            <rFont val="宋体"/>
            <charset val="134"/>
          </rPr>
          <t>Administrator:</t>
        </r>
        <r>
          <rPr>
            <sz val="9"/>
            <rFont val="宋体"/>
            <charset val="134"/>
          </rPr>
          <t xml:space="preserve">
3002246 8/8 692pcs
莫4A6</t>
        </r>
      </text>
    </comment>
    <comment ref="AG291" authorId="0">
      <text>
        <r>
          <rPr>
            <b/>
            <sz val="9"/>
            <rFont val="宋体"/>
            <charset val="134"/>
          </rPr>
          <t>Administrator:</t>
        </r>
        <r>
          <rPr>
            <sz val="9"/>
            <rFont val="宋体"/>
            <charset val="134"/>
          </rPr>
          <t xml:space="preserve">
3002246 8/8 116pcs
莫4B4</t>
        </r>
      </text>
    </comment>
    <comment ref="AG292" authorId="0">
      <text>
        <r>
          <rPr>
            <b/>
            <sz val="9"/>
            <rFont val="宋体"/>
            <charset val="134"/>
          </rPr>
          <t>Administrator:</t>
        </r>
        <r>
          <rPr>
            <sz val="9"/>
            <rFont val="宋体"/>
            <charset val="134"/>
          </rPr>
          <t xml:space="preserve">
3002172 8/4 192pcs
A栋一楼</t>
        </r>
      </text>
    </comment>
    <comment ref="AG293" authorId="0">
      <text>
        <r>
          <rPr>
            <b/>
            <sz val="9"/>
            <rFont val="宋体"/>
            <charset val="134"/>
          </rPr>
          <t>Administrator:</t>
        </r>
        <r>
          <rPr>
            <sz val="9"/>
            <rFont val="宋体"/>
            <charset val="134"/>
          </rPr>
          <t xml:space="preserve">
3002259 8/6 196pcs华3A28</t>
        </r>
      </text>
    </comment>
    <comment ref="AJ293" authorId="0">
      <text>
        <r>
          <rPr>
            <b/>
            <sz val="9"/>
            <rFont val="宋体"/>
            <charset val="134"/>
          </rPr>
          <t>Administrator:</t>
        </r>
        <r>
          <rPr>
            <sz val="9"/>
            <rFont val="宋体"/>
            <charset val="134"/>
          </rPr>
          <t xml:space="preserve">
6/21 上UPC贴纸196pcs
7/26 上客供外箱条码贴纸49pcs</t>
        </r>
      </text>
    </comment>
    <comment ref="AG294" authorId="0">
      <text>
        <r>
          <rPr>
            <b/>
            <sz val="9"/>
            <rFont val="宋体"/>
            <charset val="134"/>
          </rPr>
          <t>Administrator:</t>
        </r>
        <r>
          <rPr>
            <sz val="9"/>
            <rFont val="宋体"/>
            <charset val="134"/>
          </rPr>
          <t xml:space="preserve">
3002172 8/4 744pcs
廖平1F4</t>
        </r>
      </text>
    </comment>
    <comment ref="AG295" authorId="0">
      <text>
        <r>
          <rPr>
            <b/>
            <sz val="9"/>
            <rFont val="宋体"/>
            <charset val="134"/>
          </rPr>
          <t>Administrator:</t>
        </r>
        <r>
          <rPr>
            <sz val="9"/>
            <rFont val="宋体"/>
            <charset val="134"/>
          </rPr>
          <t xml:space="preserve">
3002180 8/5 2400pcs
A一楼C10
</t>
        </r>
      </text>
    </comment>
    <comment ref="AJ295" authorId="0">
      <text>
        <r>
          <rPr>
            <b/>
            <sz val="9"/>
            <rFont val="宋体"/>
            <charset val="134"/>
          </rPr>
          <t>Administrator:</t>
        </r>
        <r>
          <rPr>
            <sz val="9"/>
            <rFont val="宋体"/>
            <charset val="134"/>
          </rPr>
          <t xml:space="preserve">
7/5 上小纽扣电池警告语贴纸1800pcs
7/5 上大纽扣电池警告语贴纸3600pcs
8/2 上小纽扣电池警告语贴纸600pcs
大纽扣电池警告语贴纸1200pcs</t>
        </r>
      </text>
    </comment>
    <comment ref="AG296" authorId="0">
      <text>
        <r>
          <rPr>
            <b/>
            <sz val="9"/>
            <rFont val="宋体"/>
            <charset val="134"/>
          </rPr>
          <t>Administrator:</t>
        </r>
        <r>
          <rPr>
            <sz val="9"/>
            <rFont val="宋体"/>
            <charset val="134"/>
          </rPr>
          <t xml:space="preserve">
2001862 8/2 1800pcs</t>
        </r>
      </text>
    </comment>
    <comment ref="AG297" authorId="0">
      <text>
        <r>
          <rPr>
            <b/>
            <sz val="9"/>
            <rFont val="宋体"/>
            <charset val="134"/>
          </rPr>
          <t>Administrator:</t>
        </r>
        <r>
          <rPr>
            <sz val="9"/>
            <rFont val="宋体"/>
            <charset val="134"/>
          </rPr>
          <t xml:space="preserve">
2001878 8/9 492pcs直走</t>
        </r>
      </text>
    </comment>
    <comment ref="AJ297" authorId="0">
      <text>
        <r>
          <rPr>
            <b/>
            <sz val="9"/>
            <rFont val="宋体"/>
            <charset val="134"/>
          </rPr>
          <t>Administrator:</t>
        </r>
        <r>
          <rPr>
            <sz val="9"/>
            <rFont val="宋体"/>
            <charset val="134"/>
          </rPr>
          <t xml:space="preserve">
7/3 上多语折叠警语贴纸1476pcs
三个同PO共用
7/5 上UPC贴纸1476pcs
四个同PO共用
7/11 上亚马逊外箱贴纸41pcs
8/2 上电池产品说明书492pcs</t>
        </r>
      </text>
    </comment>
    <comment ref="AG298" authorId="0">
      <text>
        <r>
          <rPr>
            <b/>
            <sz val="9"/>
            <rFont val="宋体"/>
            <charset val="134"/>
          </rPr>
          <t>Administrator:</t>
        </r>
        <r>
          <rPr>
            <sz val="9"/>
            <rFont val="宋体"/>
            <charset val="134"/>
          </rPr>
          <t xml:space="preserve">
2001878 8/9 492pcs
华3A27</t>
        </r>
      </text>
    </comment>
    <comment ref="AJ298" authorId="0">
      <text>
        <r>
          <rPr>
            <b/>
            <sz val="9"/>
            <rFont val="宋体"/>
            <charset val="134"/>
          </rPr>
          <t>Administrator:</t>
        </r>
        <r>
          <rPr>
            <sz val="9"/>
            <rFont val="宋体"/>
            <charset val="134"/>
          </rPr>
          <t xml:space="preserve">
7/11 上亚马逊外箱贴纸41pcs
8/2 上电池产品说明书492pcs
8/7 上德国贴纸1476pcs</t>
        </r>
      </text>
    </comment>
    <comment ref="AG299" authorId="0">
      <text>
        <r>
          <rPr>
            <b/>
            <sz val="9"/>
            <rFont val="宋体"/>
            <charset val="134"/>
          </rPr>
          <t>Administrator:</t>
        </r>
        <r>
          <rPr>
            <sz val="9"/>
            <rFont val="宋体"/>
            <charset val="134"/>
          </rPr>
          <t xml:space="preserve">
2001878 8/9 492pcs
华3A27</t>
        </r>
      </text>
    </comment>
    <comment ref="AJ299" authorId="0">
      <text>
        <r>
          <rPr>
            <b/>
            <sz val="9"/>
            <rFont val="宋体"/>
            <charset val="134"/>
          </rPr>
          <t>Administrator:</t>
        </r>
        <r>
          <rPr>
            <sz val="9"/>
            <rFont val="宋体"/>
            <charset val="134"/>
          </rPr>
          <t xml:space="preserve">
7/11 上亚马逊外箱贴纸41pcs
8/2 上电池产品说明书492pcs
</t>
        </r>
      </text>
    </comment>
    <comment ref="AG300" authorId="0">
      <text>
        <r>
          <rPr>
            <b/>
            <sz val="9"/>
            <rFont val="宋体"/>
            <charset val="134"/>
          </rPr>
          <t>Administrator:</t>
        </r>
        <r>
          <rPr>
            <sz val="9"/>
            <rFont val="宋体"/>
            <charset val="134"/>
          </rPr>
          <t xml:space="preserve">
3002180 8/5 1824pcsA一楼B9</t>
        </r>
      </text>
    </comment>
    <comment ref="AJ300" authorId="0">
      <text>
        <r>
          <rPr>
            <b/>
            <sz val="9"/>
            <rFont val="宋体"/>
            <charset val="134"/>
          </rPr>
          <t>Administrator:</t>
        </r>
        <r>
          <rPr>
            <sz val="9"/>
            <rFont val="宋体"/>
            <charset val="134"/>
          </rPr>
          <t xml:space="preserve">
7/3 上客供RFID贴纸1824pcs</t>
        </r>
      </text>
    </comment>
    <comment ref="AG301" authorId="0">
      <text>
        <r>
          <rPr>
            <b/>
            <sz val="9"/>
            <rFont val="宋体"/>
            <charset val="134"/>
          </rPr>
          <t>Administrator:</t>
        </r>
        <r>
          <rPr>
            <sz val="9"/>
            <rFont val="宋体"/>
            <charset val="134"/>
          </rPr>
          <t xml:space="preserve">
3002180 8/5 2204pcs
A一楼B9
</t>
        </r>
      </text>
    </comment>
    <comment ref="AJ301" authorId="0">
      <text>
        <r>
          <rPr>
            <b/>
            <sz val="9"/>
            <rFont val="宋体"/>
            <charset val="134"/>
          </rPr>
          <t>Administrator:</t>
        </r>
        <r>
          <rPr>
            <sz val="9"/>
            <rFont val="宋体"/>
            <charset val="134"/>
          </rPr>
          <t xml:space="preserve">
7/3 上客供RFID贴纸2204pcs
</t>
        </r>
      </text>
    </comment>
    <comment ref="AG302" authorId="0">
      <text>
        <r>
          <rPr>
            <b/>
            <sz val="9"/>
            <rFont val="宋体"/>
            <charset val="134"/>
          </rPr>
          <t>Administrator:</t>
        </r>
        <r>
          <rPr>
            <sz val="9"/>
            <rFont val="宋体"/>
            <charset val="134"/>
          </rPr>
          <t xml:space="preserve">
3002246 8/8 504pcs莫4B9</t>
        </r>
      </text>
    </comment>
    <comment ref="AJ302" authorId="0">
      <text>
        <r>
          <rPr>
            <b/>
            <sz val="9"/>
            <rFont val="宋体"/>
            <charset val="134"/>
          </rPr>
          <t>Administrator:</t>
        </r>
        <r>
          <rPr>
            <sz val="9"/>
            <rFont val="宋体"/>
            <charset val="134"/>
          </rPr>
          <t xml:space="preserve">
7/15 上警语贴纸504pcs
WEEE说明书欧洲EN+30L-B版"504pcs</t>
        </r>
      </text>
    </comment>
    <comment ref="AG303" authorId="0">
      <text>
        <r>
          <rPr>
            <b/>
            <sz val="9"/>
            <rFont val="宋体"/>
            <charset val="134"/>
          </rPr>
          <t>Administrator:</t>
        </r>
        <r>
          <rPr>
            <sz val="9"/>
            <rFont val="宋体"/>
            <charset val="134"/>
          </rPr>
          <t xml:space="preserve">
300222 8/8 2388pcs莫4C1</t>
        </r>
      </text>
    </comment>
    <comment ref="AJ303" authorId="0">
      <text>
        <r>
          <rPr>
            <b/>
            <sz val="9"/>
            <rFont val="宋体"/>
            <charset val="134"/>
          </rPr>
          <t>Administrator:</t>
        </r>
        <r>
          <rPr>
            <sz val="9"/>
            <rFont val="宋体"/>
            <charset val="134"/>
          </rPr>
          <t xml:space="preserve">
7/21 上UPC贴纸2388pcs</t>
        </r>
      </text>
    </comment>
    <comment ref="AG304" authorId="0">
      <text>
        <r>
          <rPr>
            <b/>
            <sz val="9"/>
            <rFont val="宋体"/>
            <charset val="134"/>
          </rPr>
          <t>Administrator:</t>
        </r>
        <r>
          <rPr>
            <sz val="9"/>
            <rFont val="宋体"/>
            <charset val="134"/>
          </rPr>
          <t xml:space="preserve">
3002180 8/5 300pcs
A一楼B9</t>
        </r>
      </text>
    </comment>
    <comment ref="AJ304" authorId="0">
      <text>
        <r>
          <rPr>
            <b/>
            <sz val="9"/>
            <rFont val="宋体"/>
            <charset val="134"/>
          </rPr>
          <t>Administrator:</t>
        </r>
        <r>
          <rPr>
            <sz val="9"/>
            <rFont val="宋体"/>
            <charset val="134"/>
          </rPr>
          <t xml:space="preserve">
7/18 上保证书300pcs
UPC条码贴纸300pcs
进口商贴纸300pcs</t>
        </r>
      </text>
    </comment>
    <comment ref="AG305" authorId="0">
      <text>
        <r>
          <rPr>
            <b/>
            <sz val="9"/>
            <rFont val="宋体"/>
            <charset val="134"/>
          </rPr>
          <t>Administrator:</t>
        </r>
        <r>
          <rPr>
            <sz val="9"/>
            <rFont val="宋体"/>
            <charset val="134"/>
          </rPr>
          <t xml:space="preserve">
3002246 8/8 1172pcs
莫4B3</t>
        </r>
      </text>
    </comment>
    <comment ref="AG306" authorId="0">
      <text>
        <r>
          <rPr>
            <b/>
            <sz val="9"/>
            <rFont val="宋体"/>
            <charset val="134"/>
          </rPr>
          <t>Administrator:</t>
        </r>
        <r>
          <rPr>
            <sz val="9"/>
            <rFont val="宋体"/>
            <charset val="134"/>
          </rPr>
          <t xml:space="preserve">
3002246 8/8 1172pcs
莫4B3</t>
        </r>
      </text>
    </comment>
    <comment ref="AG307" authorId="0">
      <text>
        <r>
          <rPr>
            <b/>
            <sz val="9"/>
            <rFont val="宋体"/>
            <charset val="134"/>
          </rPr>
          <t>Administrator:</t>
        </r>
        <r>
          <rPr>
            <sz val="9"/>
            <rFont val="宋体"/>
            <charset val="134"/>
          </rPr>
          <t xml:space="preserve">
2001873 8/9 1952pcs华3B16</t>
        </r>
      </text>
    </comment>
    <comment ref="AG308" authorId="0">
      <text>
        <r>
          <rPr>
            <b/>
            <sz val="9"/>
            <rFont val="宋体"/>
            <charset val="134"/>
          </rPr>
          <t>Administrator:</t>
        </r>
        <r>
          <rPr>
            <sz val="9"/>
            <rFont val="宋体"/>
            <charset val="134"/>
          </rPr>
          <t xml:space="preserve">
2001873 8/9 11052pcs
华</t>
        </r>
      </text>
    </comment>
    <comment ref="AG309" authorId="0">
      <text>
        <r>
          <rPr>
            <b/>
            <sz val="9"/>
            <rFont val="宋体"/>
            <charset val="134"/>
          </rPr>
          <t>Administrator:</t>
        </r>
        <r>
          <rPr>
            <sz val="9"/>
            <rFont val="宋体"/>
            <charset val="134"/>
          </rPr>
          <t xml:space="preserve">
3002081 7/29 1480pcs华3A16</t>
        </r>
      </text>
    </comment>
    <comment ref="AJ309" authorId="0">
      <text>
        <r>
          <rPr>
            <b/>
            <sz val="9"/>
            <rFont val="宋体"/>
            <charset val="134"/>
          </rPr>
          <t>Administrator:</t>
        </r>
        <r>
          <rPr>
            <sz val="9"/>
            <rFont val="宋体"/>
            <charset val="134"/>
          </rPr>
          <t xml:space="preserve">
6/24 上客供RFID贴纸1484pcs
</t>
        </r>
      </text>
    </comment>
    <comment ref="AJ311" authorId="0">
      <text>
        <r>
          <rPr>
            <b/>
            <sz val="9"/>
            <rFont val="宋体"/>
            <charset val="134"/>
          </rPr>
          <t>Administrator:</t>
        </r>
        <r>
          <rPr>
            <sz val="9"/>
            <rFont val="宋体"/>
            <charset val="134"/>
          </rPr>
          <t xml:space="preserve">
8/8 上多语WEEE黑白说明书100pcs</t>
        </r>
      </text>
    </comment>
    <comment ref="AG312" authorId="0">
      <text>
        <r>
          <rPr>
            <b/>
            <sz val="9"/>
            <rFont val="宋体"/>
            <charset val="134"/>
          </rPr>
          <t>Administrator:</t>
        </r>
        <r>
          <rPr>
            <sz val="9"/>
            <rFont val="宋体"/>
            <charset val="134"/>
          </rPr>
          <t xml:space="preserve">
2001905 8/12 120pcs新仓1-B6</t>
        </r>
      </text>
    </comment>
    <comment ref="AJ312" authorId="0">
      <text>
        <r>
          <rPr>
            <b/>
            <sz val="9"/>
            <rFont val="宋体"/>
            <charset val="134"/>
          </rPr>
          <t>Administrator:</t>
        </r>
        <r>
          <rPr>
            <sz val="9"/>
            <rFont val="宋体"/>
            <charset val="134"/>
          </rPr>
          <t xml:space="preserve">
7/25 上UPC贴纸120pcs
</t>
        </r>
      </text>
    </comment>
    <comment ref="AG313" authorId="0">
      <text>
        <r>
          <rPr>
            <b/>
            <sz val="9"/>
            <rFont val="宋体"/>
            <charset val="134"/>
          </rPr>
          <t>Administrator:</t>
        </r>
        <r>
          <rPr>
            <sz val="9"/>
            <rFont val="宋体"/>
            <charset val="134"/>
          </rPr>
          <t xml:space="preserve">
3002231 8/9 368pcs华3B13</t>
        </r>
      </text>
    </comment>
    <comment ref="AJ313" authorId="0">
      <text>
        <r>
          <rPr>
            <b/>
            <sz val="9"/>
            <rFont val="宋体"/>
            <charset val="134"/>
          </rPr>
          <t>Administrator:</t>
        </r>
        <r>
          <rPr>
            <sz val="9"/>
            <rFont val="宋体"/>
            <charset val="134"/>
          </rPr>
          <t xml:space="preserve">
7/10 上客供警语贴纸376pcs
客供电池警告语贴纸376pcs
客供中文警告语说明书376pcs</t>
        </r>
      </text>
    </comment>
    <comment ref="AG314" authorId="0">
      <text>
        <r>
          <rPr>
            <b/>
            <sz val="9"/>
            <rFont val="宋体"/>
            <charset val="134"/>
          </rPr>
          <t>Administrator:</t>
        </r>
        <r>
          <rPr>
            <sz val="9"/>
            <rFont val="宋体"/>
            <charset val="134"/>
          </rPr>
          <t xml:space="preserve">
2001873 8/9 692pcs
华</t>
        </r>
      </text>
    </comment>
    <comment ref="AG315" authorId="0">
      <text>
        <r>
          <rPr>
            <b/>
            <sz val="9"/>
            <rFont val="宋体"/>
            <charset val="134"/>
          </rPr>
          <t>Administrator:</t>
        </r>
        <r>
          <rPr>
            <sz val="9"/>
            <rFont val="宋体"/>
            <charset val="134"/>
          </rPr>
          <t xml:space="preserve">
2001873 8/9 1468pcs
华</t>
        </r>
      </text>
    </comment>
    <comment ref="AJ315" authorId="0">
      <text>
        <r>
          <rPr>
            <b/>
            <sz val="9"/>
            <rFont val="宋体"/>
            <charset val="134"/>
          </rPr>
          <t>Administrator:</t>
        </r>
        <r>
          <rPr>
            <sz val="9"/>
            <rFont val="宋体"/>
            <charset val="134"/>
          </rPr>
          <t xml:space="preserve">
7/3 上客供RFID贴纸1468pcs
</t>
        </r>
      </text>
    </comment>
    <comment ref="AG316" authorId="0">
      <text>
        <r>
          <rPr>
            <b/>
            <sz val="9"/>
            <rFont val="宋体"/>
            <charset val="134"/>
          </rPr>
          <t>Administrator:</t>
        </r>
        <r>
          <rPr>
            <sz val="9"/>
            <rFont val="宋体"/>
            <charset val="134"/>
          </rPr>
          <t xml:space="preserve">
2001873 8/9 1476pcs
华</t>
        </r>
      </text>
    </comment>
    <comment ref="AJ316" authorId="0">
      <text>
        <r>
          <rPr>
            <b/>
            <sz val="9"/>
            <rFont val="宋体"/>
            <charset val="134"/>
          </rPr>
          <t>Administrator:</t>
        </r>
        <r>
          <rPr>
            <sz val="9"/>
            <rFont val="宋体"/>
            <charset val="134"/>
          </rPr>
          <t xml:space="preserve">
7/3 上客供RFID贴纸1476pcs</t>
        </r>
      </text>
    </comment>
    <comment ref="AG317" authorId="0">
      <text>
        <r>
          <rPr>
            <b/>
            <sz val="9"/>
            <rFont val="宋体"/>
            <charset val="134"/>
          </rPr>
          <t>Administrator:</t>
        </r>
        <r>
          <rPr>
            <sz val="9"/>
            <rFont val="宋体"/>
            <charset val="134"/>
          </rPr>
          <t xml:space="preserve">
2001873 8/9 922pcs
华</t>
        </r>
      </text>
    </comment>
    <comment ref="AJ317" authorId="0">
      <text>
        <r>
          <rPr>
            <b/>
            <sz val="9"/>
            <rFont val="宋体"/>
            <charset val="134"/>
          </rPr>
          <t>Administrator:</t>
        </r>
        <r>
          <rPr>
            <sz val="9"/>
            <rFont val="宋体"/>
            <charset val="134"/>
          </rPr>
          <t xml:space="preserve">
7/3 上客供RFID贴纸992pcs</t>
        </r>
      </text>
    </comment>
    <comment ref="AG318" authorId="0">
      <text>
        <r>
          <rPr>
            <b/>
            <sz val="9"/>
            <rFont val="宋体"/>
            <charset val="134"/>
          </rPr>
          <t>Administrator:</t>
        </r>
        <r>
          <rPr>
            <sz val="9"/>
            <rFont val="宋体"/>
            <charset val="134"/>
          </rPr>
          <t xml:space="preserve">
2001875 8/9 1276pcs华3A32</t>
        </r>
      </text>
    </comment>
    <comment ref="AJ318" authorId="0">
      <text>
        <r>
          <rPr>
            <b/>
            <sz val="9"/>
            <rFont val="宋体"/>
            <charset val="134"/>
          </rPr>
          <t>Administrator:</t>
        </r>
        <r>
          <rPr>
            <sz val="9"/>
            <rFont val="宋体"/>
            <charset val="134"/>
          </rPr>
          <t xml:space="preserve">
7/3 上客供RFID贴纸1276pcs</t>
        </r>
      </text>
    </comment>
    <comment ref="AG319" authorId="0">
      <text>
        <r>
          <rPr>
            <b/>
            <sz val="9"/>
            <rFont val="宋体"/>
            <charset val="134"/>
          </rPr>
          <t>Administrator:</t>
        </r>
        <r>
          <rPr>
            <sz val="9"/>
            <rFont val="宋体"/>
            <charset val="134"/>
          </rPr>
          <t xml:space="preserve">
2001875 8/9 1200pcs
华3A32</t>
        </r>
      </text>
    </comment>
    <comment ref="AJ319" authorId="0">
      <text>
        <r>
          <rPr>
            <b/>
            <sz val="9"/>
            <rFont val="宋体"/>
            <charset val="134"/>
          </rPr>
          <t>Administrator:</t>
        </r>
        <r>
          <rPr>
            <sz val="9"/>
            <rFont val="宋体"/>
            <charset val="134"/>
          </rPr>
          <t xml:space="preserve">
7/3 上客供RFID贴纸1200pcs</t>
        </r>
      </text>
    </comment>
    <comment ref="AG320" authorId="0">
      <text>
        <r>
          <rPr>
            <b/>
            <sz val="9"/>
            <rFont val="宋体"/>
            <charset val="134"/>
          </rPr>
          <t>Administrator:</t>
        </r>
        <r>
          <rPr>
            <sz val="9"/>
            <rFont val="宋体"/>
            <charset val="134"/>
          </rPr>
          <t xml:space="preserve">
2001905 8/12 1264pcs新仓1-A10</t>
        </r>
      </text>
    </comment>
    <comment ref="AJ320" authorId="0">
      <text>
        <r>
          <rPr>
            <b/>
            <sz val="9"/>
            <rFont val="宋体"/>
            <charset val="134"/>
          </rPr>
          <t>Administrator:</t>
        </r>
        <r>
          <rPr>
            <sz val="9"/>
            <rFont val="宋体"/>
            <charset val="134"/>
          </rPr>
          <t xml:space="preserve">
7/28 上客供外箱条码贴纸319pcs
</t>
        </r>
      </text>
    </comment>
    <comment ref="AG321" authorId="0">
      <text>
        <r>
          <rPr>
            <b/>
            <sz val="9"/>
            <rFont val="宋体"/>
            <charset val="134"/>
          </rPr>
          <t>Administrator:</t>
        </r>
        <r>
          <rPr>
            <sz val="9"/>
            <rFont val="宋体"/>
            <charset val="134"/>
          </rPr>
          <t xml:space="preserve">
2001905 8/12 1692pcs新仓1-A10</t>
        </r>
      </text>
    </comment>
    <comment ref="AJ321" authorId="0">
      <text>
        <r>
          <rPr>
            <b/>
            <sz val="9"/>
            <rFont val="宋体"/>
            <charset val="134"/>
          </rPr>
          <t>Administrator:</t>
        </r>
        <r>
          <rPr>
            <sz val="9"/>
            <rFont val="宋体"/>
            <charset val="134"/>
          </rPr>
          <t xml:space="preserve">
7/28 上客供外箱条码贴纸427pcs
</t>
        </r>
      </text>
    </comment>
    <comment ref="AG322" authorId="0">
      <text>
        <r>
          <rPr>
            <b/>
            <sz val="9"/>
            <rFont val="宋体"/>
            <charset val="134"/>
          </rPr>
          <t>Administrator:</t>
        </r>
        <r>
          <rPr>
            <sz val="9"/>
            <rFont val="宋体"/>
            <charset val="134"/>
          </rPr>
          <t xml:space="preserve">
4000541 8/15 3864pcs华一F9
4000566 8/18 36pcs华一F9</t>
        </r>
      </text>
    </comment>
    <comment ref="AJ322" authorId="0">
      <text>
        <r>
          <rPr>
            <b/>
            <sz val="9"/>
            <rFont val="宋体"/>
            <charset val="134"/>
          </rPr>
          <t>Administrator:</t>
        </r>
        <r>
          <rPr>
            <sz val="9"/>
            <rFont val="宋体"/>
            <charset val="134"/>
          </rPr>
          <t xml:space="preserve">
8/3 上UPC贴纸3900pcs
保证书3900pcs
产品贴纸3900pcs
包装贴纸3900pcs</t>
        </r>
      </text>
    </comment>
    <comment ref="AG323" authorId="0">
      <text>
        <r>
          <rPr>
            <b/>
            <sz val="9"/>
            <rFont val="宋体"/>
            <charset val="134"/>
          </rPr>
          <t>Administrator:</t>
        </r>
        <r>
          <rPr>
            <sz val="9"/>
            <rFont val="宋体"/>
            <charset val="134"/>
          </rPr>
          <t xml:space="preserve">
3002222 8/8 144pcs
张泉</t>
        </r>
      </text>
    </comment>
    <comment ref="AJ323" authorId="0">
      <text>
        <r>
          <rPr>
            <b/>
            <sz val="9"/>
            <rFont val="宋体"/>
            <charset val="134"/>
          </rPr>
          <t>Administrator:</t>
        </r>
        <r>
          <rPr>
            <sz val="9"/>
            <rFont val="宋体"/>
            <charset val="134"/>
          </rPr>
          <t xml:space="preserve">
8/1 上欧洲通用说明书EA+30L带电池走货144pcs
8/1 上客人警告语贴纸144pcs
SKU号码贴纸144pcs
</t>
        </r>
      </text>
    </comment>
    <comment ref="AG325" authorId="0">
      <text>
        <r>
          <rPr>
            <b/>
            <sz val="9"/>
            <rFont val="宋体"/>
            <charset val="134"/>
          </rPr>
          <t>Administrator:</t>
        </r>
        <r>
          <rPr>
            <sz val="9"/>
            <rFont val="宋体"/>
            <charset val="134"/>
          </rPr>
          <t xml:space="preserve">
3002222 8/8 540pcs张泉</t>
        </r>
      </text>
    </comment>
    <comment ref="AJ325" authorId="0">
      <text>
        <r>
          <rPr>
            <b/>
            <sz val="9"/>
            <rFont val="宋体"/>
            <charset val="134"/>
          </rPr>
          <t>Administrator:</t>
        </r>
        <r>
          <rPr>
            <sz val="9"/>
            <rFont val="宋体"/>
            <charset val="134"/>
          </rPr>
          <t xml:space="preserve">
8/1 上欧洲通用说明书EA+30L带电池走货540pcs
8/1 上客人警告语贴纸540pcs
SKU号码贴纸540pcs
</t>
        </r>
      </text>
    </comment>
    <comment ref="AG327" authorId="0">
      <text>
        <r>
          <rPr>
            <b/>
            <sz val="9"/>
            <rFont val="宋体"/>
            <charset val="134"/>
          </rPr>
          <t>Administrator:</t>
        </r>
        <r>
          <rPr>
            <sz val="9"/>
            <rFont val="宋体"/>
            <charset val="134"/>
          </rPr>
          <t xml:space="preserve">
3000509 8/18 192pcs
华3A27</t>
        </r>
      </text>
    </comment>
    <comment ref="AJ327" authorId="0">
      <text>
        <r>
          <rPr>
            <b/>
            <sz val="9"/>
            <rFont val="宋体"/>
            <charset val="134"/>
          </rPr>
          <t>Administrator:</t>
        </r>
        <r>
          <rPr>
            <sz val="9"/>
            <rFont val="宋体"/>
            <charset val="134"/>
          </rPr>
          <t xml:space="preserve">
7/25 上包装+说明书电池警告语贴纸384pcs
UPC贴纸192pcs
8/11 上条码贴纸192pcs贴纸条码错需重新订购
8/15 上小警告语贴纸192pcs
</t>
        </r>
      </text>
    </comment>
    <comment ref="AG328" authorId="0">
      <text>
        <r>
          <rPr>
            <b/>
            <sz val="9"/>
            <rFont val="宋体"/>
            <charset val="134"/>
          </rPr>
          <t>Administrator:</t>
        </r>
        <r>
          <rPr>
            <sz val="9"/>
            <rFont val="宋体"/>
            <charset val="134"/>
          </rPr>
          <t xml:space="preserve">
3002250 8/5 640pcs
2001908 8/12 1960pcs张泉3-C
2001911 8/12 2800pcs张泉</t>
        </r>
      </text>
    </comment>
    <comment ref="AG330" authorId="0">
      <text>
        <r>
          <rPr>
            <b/>
            <sz val="9"/>
            <rFont val="宋体"/>
            <charset val="134"/>
          </rPr>
          <t>Administrator:</t>
        </r>
        <r>
          <rPr>
            <sz val="9"/>
            <rFont val="宋体"/>
            <charset val="134"/>
          </rPr>
          <t xml:space="preserve">
2001756 8/16 1736pcs华3A14</t>
        </r>
      </text>
    </comment>
    <comment ref="AJ330" authorId="0">
      <text>
        <r>
          <rPr>
            <b/>
            <sz val="9"/>
            <rFont val="宋体"/>
            <charset val="134"/>
          </rPr>
          <t>Administrator:</t>
        </r>
        <r>
          <rPr>
            <sz val="9"/>
            <rFont val="宋体"/>
            <charset val="134"/>
          </rPr>
          <t xml:space="preserve">
8/18 上客供外箱条码贴纸438pcs</t>
        </r>
      </text>
    </comment>
    <comment ref="AG331" authorId="0">
      <text>
        <r>
          <rPr>
            <b/>
            <sz val="9"/>
            <rFont val="宋体"/>
            <charset val="134"/>
          </rPr>
          <t>Administrator:</t>
        </r>
        <r>
          <rPr>
            <sz val="9"/>
            <rFont val="宋体"/>
            <charset val="134"/>
          </rPr>
          <t xml:space="preserve">
4000640 8/20 84pcs
4000621 8/20 24276pcs</t>
        </r>
      </text>
    </comment>
    <comment ref="AJ331" authorId="0">
      <text>
        <r>
          <rPr>
            <b/>
            <sz val="9"/>
            <rFont val="宋体"/>
            <charset val="134"/>
          </rPr>
          <t>Administrator:</t>
        </r>
        <r>
          <rPr>
            <sz val="9"/>
            <rFont val="宋体"/>
            <charset val="134"/>
          </rPr>
          <t xml:space="preserve">
8/2 上客供亚马逊外箱贴纸2030pcs
</t>
        </r>
      </text>
    </comment>
    <comment ref="AG332" authorId="0">
      <text>
        <r>
          <rPr>
            <b/>
            <sz val="9"/>
            <rFont val="宋体"/>
            <charset val="134"/>
          </rPr>
          <t>Administrator:</t>
        </r>
        <r>
          <rPr>
            <sz val="9"/>
            <rFont val="宋体"/>
            <charset val="134"/>
          </rPr>
          <t xml:space="preserve">
3000509 8/18 1300pcs
华3B10</t>
        </r>
      </text>
    </comment>
    <comment ref="AJ332" authorId="0">
      <text>
        <r>
          <rPr>
            <b/>
            <sz val="9"/>
            <rFont val="宋体"/>
            <charset val="134"/>
          </rPr>
          <t>Administrator:</t>
        </r>
        <r>
          <rPr>
            <sz val="9"/>
            <rFont val="宋体"/>
            <charset val="134"/>
          </rPr>
          <t xml:space="preserve">
7/24 上UPC条码贴纸1300pcs</t>
        </r>
      </text>
    </comment>
    <comment ref="AG333" authorId="0">
      <text>
        <r>
          <rPr>
            <b/>
            <sz val="9"/>
            <rFont val="宋体"/>
            <charset val="134"/>
          </rPr>
          <t>Administrator:</t>
        </r>
        <r>
          <rPr>
            <sz val="9"/>
            <rFont val="宋体"/>
            <charset val="134"/>
          </rPr>
          <t xml:space="preserve">
3000509 8/18 1780pcs华一F7</t>
        </r>
      </text>
    </comment>
    <comment ref="AJ333" authorId="0">
      <text>
        <r>
          <rPr>
            <b/>
            <sz val="9"/>
            <rFont val="宋体"/>
            <charset val="134"/>
          </rPr>
          <t>Administrator:</t>
        </r>
        <r>
          <rPr>
            <sz val="9"/>
            <rFont val="宋体"/>
            <charset val="134"/>
          </rPr>
          <t xml:space="preserve">
6/24 上客供RFID贴纸1780pcs
</t>
        </r>
      </text>
    </comment>
    <comment ref="AG334" authorId="0">
      <text>
        <r>
          <rPr>
            <b/>
            <sz val="9"/>
            <rFont val="宋体"/>
            <charset val="134"/>
          </rPr>
          <t>Administrator:</t>
        </r>
        <r>
          <rPr>
            <sz val="9"/>
            <rFont val="宋体"/>
            <charset val="134"/>
          </rPr>
          <t xml:space="preserve">
3000517 8/19 1472pcs华3B8</t>
        </r>
      </text>
    </comment>
    <comment ref="AJ334" authorId="0">
      <text>
        <r>
          <rPr>
            <b/>
            <sz val="9"/>
            <rFont val="宋体"/>
            <charset val="134"/>
          </rPr>
          <t>Administrator:</t>
        </r>
        <r>
          <rPr>
            <sz val="9"/>
            <rFont val="宋体"/>
            <charset val="134"/>
          </rPr>
          <t xml:space="preserve">
6/24 上客供RFID贴纸1472pcs
</t>
        </r>
      </text>
    </comment>
    <comment ref="AG335" authorId="0">
      <text>
        <r>
          <rPr>
            <b/>
            <sz val="9"/>
            <rFont val="宋体"/>
            <charset val="134"/>
          </rPr>
          <t>Administrator:</t>
        </r>
        <r>
          <rPr>
            <sz val="9"/>
            <rFont val="宋体"/>
            <charset val="134"/>
          </rPr>
          <t xml:space="preserve">
2001757 8/16 108pcs华3B13</t>
        </r>
      </text>
    </comment>
    <comment ref="AJ335" authorId="0">
      <text>
        <r>
          <rPr>
            <b/>
            <sz val="9"/>
            <rFont val="宋体"/>
            <charset val="134"/>
          </rPr>
          <t>Administrator:</t>
        </r>
        <r>
          <rPr>
            <sz val="9"/>
            <rFont val="宋体"/>
            <charset val="134"/>
          </rPr>
          <t xml:space="preserve">
7/11 上客人白色CATLABEL贴纸108pcs
+WEEE带电池走货说明书北欧B版108pcs</t>
        </r>
      </text>
    </comment>
    <comment ref="AG336" authorId="0">
      <text>
        <r>
          <rPr>
            <b/>
            <sz val="9"/>
            <rFont val="宋体"/>
            <charset val="134"/>
          </rPr>
          <t>Administrator:</t>
        </r>
        <r>
          <rPr>
            <sz val="9"/>
            <rFont val="宋体"/>
            <charset val="134"/>
          </rPr>
          <t xml:space="preserve">
2001756 8/16 4320pcs华3A23
2001757 8/16 2112pcs华3A23</t>
        </r>
      </text>
    </comment>
    <comment ref="AJ336" authorId="0">
      <text>
        <r>
          <rPr>
            <b/>
            <sz val="9"/>
            <rFont val="宋体"/>
            <charset val="134"/>
          </rPr>
          <t>Administrator:</t>
        </r>
        <r>
          <rPr>
            <sz val="9"/>
            <rFont val="宋体"/>
            <charset val="134"/>
          </rPr>
          <t xml:space="preserve">
 8/14 上客供外箱条码贴纸1624pcs
</t>
        </r>
      </text>
    </comment>
    <comment ref="AG337" authorId="0">
      <text>
        <r>
          <rPr>
            <b/>
            <sz val="9"/>
            <rFont val="宋体"/>
            <charset val="134"/>
          </rPr>
          <t>Administrator:</t>
        </r>
        <r>
          <rPr>
            <sz val="9"/>
            <rFont val="宋体"/>
            <charset val="134"/>
          </rPr>
          <t xml:space="preserve">
2001758 8/16 1350pcs华一F5</t>
        </r>
      </text>
    </comment>
    <comment ref="AG338" authorId="0">
      <text>
        <r>
          <rPr>
            <b/>
            <sz val="9"/>
            <rFont val="宋体"/>
            <charset val="134"/>
          </rPr>
          <t>Administrator:</t>
        </r>
        <r>
          <rPr>
            <sz val="9"/>
            <rFont val="宋体"/>
            <charset val="134"/>
          </rPr>
          <t xml:space="preserve">
2001758 8/16 1350pcs华一F5
</t>
        </r>
      </text>
    </comment>
    <comment ref="AG339" authorId="0">
      <text>
        <r>
          <rPr>
            <b/>
            <sz val="9"/>
            <rFont val="宋体"/>
            <charset val="134"/>
          </rPr>
          <t>Administrator:</t>
        </r>
        <r>
          <rPr>
            <sz val="9"/>
            <rFont val="宋体"/>
            <charset val="134"/>
          </rPr>
          <t xml:space="preserve">
2001758 8/16 150pcs华3B14
</t>
        </r>
      </text>
    </comment>
    <comment ref="AG340" authorId="0">
      <text>
        <r>
          <rPr>
            <b/>
            <sz val="9"/>
            <rFont val="宋体"/>
            <charset val="134"/>
          </rPr>
          <t>Administrator:</t>
        </r>
        <r>
          <rPr>
            <sz val="9"/>
            <rFont val="宋体"/>
            <charset val="134"/>
          </rPr>
          <t xml:space="preserve">
2001758 8/16 150pcs华3B14</t>
        </r>
      </text>
    </comment>
    <comment ref="AG341" authorId="0">
      <text>
        <r>
          <rPr>
            <b/>
            <sz val="9"/>
            <rFont val="宋体"/>
            <charset val="134"/>
          </rPr>
          <t>Administrator:</t>
        </r>
        <r>
          <rPr>
            <sz val="9"/>
            <rFont val="宋体"/>
            <charset val="134"/>
          </rPr>
          <t xml:space="preserve">
2001944 8/15 1032pcs华一F4</t>
        </r>
      </text>
    </comment>
    <comment ref="AJ341" authorId="0">
      <text>
        <r>
          <rPr>
            <b/>
            <sz val="9"/>
            <rFont val="宋体"/>
            <charset val="134"/>
          </rPr>
          <t>Administrator:</t>
        </r>
        <r>
          <rPr>
            <sz val="9"/>
            <rFont val="宋体"/>
            <charset val="134"/>
          </rPr>
          <t xml:space="preserve">
7/30 上说明书1032pcs</t>
        </r>
      </text>
    </comment>
    <comment ref="AG342" authorId="0">
      <text>
        <r>
          <rPr>
            <b/>
            <sz val="9"/>
            <rFont val="宋体"/>
            <charset val="134"/>
          </rPr>
          <t>Administrator:</t>
        </r>
        <r>
          <rPr>
            <sz val="9"/>
            <rFont val="宋体"/>
            <charset val="134"/>
          </rPr>
          <t xml:space="preserve">
3000507 8/21 2104pcs新仓1-A10</t>
        </r>
      </text>
    </comment>
    <comment ref="AJ342" authorId="0">
      <text>
        <r>
          <rPr>
            <b/>
            <sz val="9"/>
            <rFont val="宋体"/>
            <charset val="134"/>
          </rPr>
          <t>Administrator:</t>
        </r>
        <r>
          <rPr>
            <sz val="9"/>
            <rFont val="宋体"/>
            <charset val="134"/>
          </rPr>
          <t xml:space="preserve">
7/26 上WEEE声明带电池走货欧洲 30 语通用黑白说明书B版2104pcs</t>
        </r>
      </text>
    </comment>
    <comment ref="AG343" authorId="0">
      <text>
        <r>
          <rPr>
            <b/>
            <sz val="9"/>
            <rFont val="宋体"/>
            <charset val="134"/>
          </rPr>
          <t>Administrator:</t>
        </r>
        <r>
          <rPr>
            <sz val="9"/>
            <rFont val="宋体"/>
            <charset val="134"/>
          </rPr>
          <t xml:space="preserve">
3000509 8/18 608pcs
华3B13</t>
        </r>
      </text>
    </comment>
    <comment ref="AJ343" authorId="0">
      <text>
        <r>
          <rPr>
            <b/>
            <sz val="9"/>
            <rFont val="宋体"/>
            <charset val="134"/>
          </rPr>
          <t>Administrator:</t>
        </r>
        <r>
          <rPr>
            <sz val="9"/>
            <rFont val="宋体"/>
            <charset val="134"/>
          </rPr>
          <t xml:space="preserve">
7/25 上包装+说明书电池警告语贴纸1216pcs
UPC贴纸608pcs
8/11 上条码贴纸608pcs贴纸条码错需重新订购
8/15 上小警告语贴纸608pcs</t>
        </r>
      </text>
    </comment>
    <comment ref="AG344" authorId="0">
      <text>
        <r>
          <rPr>
            <b/>
            <sz val="9"/>
            <rFont val="宋体"/>
            <charset val="134"/>
          </rPr>
          <t>Administrator:</t>
        </r>
        <r>
          <rPr>
            <sz val="9"/>
            <rFont val="宋体"/>
            <charset val="134"/>
          </rPr>
          <t xml:space="preserve">
2001305 8/21 2000pcs华3B12</t>
        </r>
      </text>
    </comment>
    <comment ref="AJ344" authorId="0">
      <text>
        <r>
          <rPr>
            <b/>
            <sz val="9"/>
            <rFont val="宋体"/>
            <charset val="134"/>
          </rPr>
          <t>Administrator:</t>
        </r>
        <r>
          <rPr>
            <sz val="9"/>
            <rFont val="宋体"/>
            <charset val="134"/>
          </rPr>
          <t xml:space="preserve">
7/26 上WEEE声明带电池走货欧洲 30 语通用黑白说明书B版2000pcs
</t>
        </r>
      </text>
    </comment>
    <comment ref="AG345" authorId="0">
      <text>
        <r>
          <rPr>
            <b/>
            <sz val="9"/>
            <rFont val="宋体"/>
            <charset val="134"/>
          </rPr>
          <t>Administrator:</t>
        </r>
        <r>
          <rPr>
            <sz val="9"/>
            <rFont val="宋体"/>
            <charset val="134"/>
          </rPr>
          <t xml:space="preserve">
300501 8/20 1184pcs莫 A1 B7</t>
        </r>
      </text>
    </comment>
    <comment ref="AJ345" authorId="0">
      <text>
        <r>
          <rPr>
            <b/>
            <sz val="9"/>
            <rFont val="宋体"/>
            <charset val="134"/>
          </rPr>
          <t>Administrator:</t>
        </r>
        <r>
          <rPr>
            <sz val="9"/>
            <rFont val="宋体"/>
            <charset val="134"/>
          </rPr>
          <t xml:space="preserve">
6/24 上客供RFID贴纸1184pcs
</t>
        </r>
      </text>
    </comment>
    <comment ref="AG346" authorId="0">
      <text>
        <r>
          <rPr>
            <b/>
            <sz val="9"/>
            <rFont val="宋体"/>
            <charset val="134"/>
          </rPr>
          <t>Administrator:</t>
        </r>
        <r>
          <rPr>
            <sz val="9"/>
            <rFont val="宋体"/>
            <charset val="134"/>
          </rPr>
          <t xml:space="preserve">
300501 8/20 1192pcs
莫 A1 B7
</t>
        </r>
      </text>
    </comment>
    <comment ref="AJ346" authorId="0">
      <text>
        <r>
          <rPr>
            <b/>
            <sz val="9"/>
            <rFont val="宋体"/>
            <charset val="134"/>
          </rPr>
          <t>Administrator:</t>
        </r>
        <r>
          <rPr>
            <sz val="9"/>
            <rFont val="宋体"/>
            <charset val="134"/>
          </rPr>
          <t xml:space="preserve">
6/24 上客供RFID贴纸1192pcs
</t>
        </r>
      </text>
    </comment>
    <comment ref="AG347" authorId="0">
      <text>
        <r>
          <rPr>
            <b/>
            <sz val="9"/>
            <rFont val="宋体"/>
            <charset val="134"/>
          </rPr>
          <t>Administrator:</t>
        </r>
        <r>
          <rPr>
            <sz val="9"/>
            <rFont val="宋体"/>
            <charset val="134"/>
          </rPr>
          <t xml:space="preserve">
300501 8/20 500pcs
莫 A1 B7
</t>
        </r>
      </text>
    </comment>
    <comment ref="AJ347" authorId="0">
      <text>
        <r>
          <rPr>
            <b/>
            <sz val="9"/>
            <rFont val="宋体"/>
            <charset val="134"/>
          </rPr>
          <t>Administrator:</t>
        </r>
        <r>
          <rPr>
            <sz val="9"/>
            <rFont val="宋体"/>
            <charset val="134"/>
          </rPr>
          <t xml:space="preserve">
6/24 上客供RFID贴纸500pcs
</t>
        </r>
      </text>
    </comment>
    <comment ref="AG348" authorId="0">
      <text>
        <r>
          <rPr>
            <b/>
            <sz val="9"/>
            <rFont val="宋体"/>
            <charset val="134"/>
          </rPr>
          <t>Administrator:</t>
        </r>
        <r>
          <rPr>
            <sz val="9"/>
            <rFont val="宋体"/>
            <charset val="134"/>
          </rPr>
          <t xml:space="preserve">
300501 8/20 500pcs莫 A1 B7
</t>
        </r>
      </text>
    </comment>
    <comment ref="AJ348" authorId="0">
      <text>
        <r>
          <rPr>
            <b/>
            <sz val="9"/>
            <rFont val="宋体"/>
            <charset val="134"/>
          </rPr>
          <t>Administrator:</t>
        </r>
        <r>
          <rPr>
            <sz val="9"/>
            <rFont val="宋体"/>
            <charset val="134"/>
          </rPr>
          <t xml:space="preserve">
6/24 上客供RFID贴纸500pcs
</t>
        </r>
      </text>
    </comment>
    <comment ref="AG349" authorId="0">
      <text>
        <r>
          <rPr>
            <b/>
            <sz val="9"/>
            <rFont val="宋体"/>
            <charset val="134"/>
          </rPr>
          <t>Administrator:</t>
        </r>
        <r>
          <rPr>
            <sz val="9"/>
            <rFont val="宋体"/>
            <charset val="134"/>
          </rPr>
          <t xml:space="preserve">
300501 8/20 500pcs莫 A1 B7
</t>
        </r>
      </text>
    </comment>
    <comment ref="AJ349" authorId="0">
      <text>
        <r>
          <rPr>
            <b/>
            <sz val="9"/>
            <rFont val="宋体"/>
            <charset val="134"/>
          </rPr>
          <t>Administrator:</t>
        </r>
        <r>
          <rPr>
            <sz val="9"/>
            <rFont val="宋体"/>
            <charset val="134"/>
          </rPr>
          <t xml:space="preserve">
6/24 上客供RFID贴纸500pcs
</t>
        </r>
      </text>
    </comment>
    <comment ref="AG350" authorId="0">
      <text>
        <r>
          <rPr>
            <b/>
            <sz val="9"/>
            <rFont val="宋体"/>
            <charset val="134"/>
          </rPr>
          <t>Administrator:</t>
        </r>
        <r>
          <rPr>
            <sz val="9"/>
            <rFont val="宋体"/>
            <charset val="134"/>
          </rPr>
          <t xml:space="preserve">
2001305 8/21 1440pcs
华3A19
2001310 8/22 1928pcs华3A8</t>
        </r>
      </text>
    </comment>
    <comment ref="AJ350" authorId="0">
      <text>
        <r>
          <rPr>
            <b/>
            <sz val="9"/>
            <rFont val="宋体"/>
            <charset val="134"/>
          </rPr>
          <t>Administrator:</t>
        </r>
        <r>
          <rPr>
            <sz val="9"/>
            <rFont val="宋体"/>
            <charset val="134"/>
          </rPr>
          <t xml:space="preserve">
7/28 上客供外箱条码贴纸850pcs</t>
        </r>
      </text>
    </comment>
    <comment ref="AG351" authorId="0">
      <text>
        <r>
          <rPr>
            <b/>
            <sz val="9"/>
            <rFont val="宋体"/>
            <charset val="134"/>
          </rPr>
          <t>Administrator:</t>
        </r>
        <r>
          <rPr>
            <sz val="9"/>
            <rFont val="宋体"/>
            <charset val="134"/>
          </rPr>
          <t xml:space="preserve">
3000506 8/21 1350pcs新仓1 -A3</t>
        </r>
      </text>
    </comment>
    <comment ref="AJ351" authorId="0">
      <text>
        <r>
          <rPr>
            <b/>
            <sz val="9"/>
            <rFont val="宋体"/>
            <charset val="134"/>
          </rPr>
          <t>Administrator:</t>
        </r>
        <r>
          <rPr>
            <sz val="9"/>
            <rFont val="宋体"/>
            <charset val="134"/>
          </rPr>
          <t xml:space="preserve">
8/5 上UPC条码贴纸1350pcs
</t>
        </r>
      </text>
    </comment>
    <comment ref="AJ352" authorId="0">
      <text>
        <r>
          <rPr>
            <b/>
            <sz val="9"/>
            <rFont val="宋体"/>
            <charset val="134"/>
          </rPr>
          <t>Administrator:</t>
        </r>
        <r>
          <rPr>
            <sz val="9"/>
            <rFont val="宋体"/>
            <charset val="134"/>
          </rPr>
          <t xml:space="preserve">
8/5 上UPC条码贴纸150pcs</t>
        </r>
      </text>
    </comment>
    <comment ref="AG353" authorId="0">
      <text>
        <r>
          <rPr>
            <b/>
            <sz val="9"/>
            <rFont val="宋体"/>
            <charset val="134"/>
          </rPr>
          <t>Administrator:</t>
        </r>
        <r>
          <rPr>
            <sz val="9"/>
            <rFont val="宋体"/>
            <charset val="134"/>
          </rPr>
          <t xml:space="preserve">
3000510 8/18 2840pcs
2001761 8/16 2560pcs张泉</t>
        </r>
      </text>
    </comment>
    <comment ref="AG355" authorId="0">
      <text>
        <r>
          <rPr>
            <b/>
            <sz val="9"/>
            <rFont val="宋体"/>
            <charset val="134"/>
          </rPr>
          <t>Administrator:</t>
        </r>
        <r>
          <rPr>
            <sz val="9"/>
            <rFont val="宋体"/>
            <charset val="134"/>
          </rPr>
          <t xml:space="preserve">
3002257 1200pcs
张泉
3002225 8/8 150pcs张泉</t>
        </r>
      </text>
    </comment>
    <comment ref="AG357" authorId="0">
      <text>
        <r>
          <rPr>
            <b/>
            <sz val="9"/>
            <rFont val="宋体"/>
            <charset val="134"/>
          </rPr>
          <t>Administrator:</t>
        </r>
        <r>
          <rPr>
            <sz val="9"/>
            <rFont val="宋体"/>
            <charset val="134"/>
          </rPr>
          <t xml:space="preserve">
3000503 8/20 1920pcs
3000497 8/20 3160pcs
2001302 8/21 320pcs</t>
        </r>
      </text>
    </comment>
    <comment ref="AG359" authorId="0">
      <text>
        <r>
          <rPr>
            <b/>
            <sz val="9"/>
            <rFont val="宋体"/>
            <charset val="134"/>
          </rPr>
          <t>Administrator:</t>
        </r>
        <r>
          <rPr>
            <sz val="9"/>
            <rFont val="宋体"/>
            <charset val="134"/>
          </rPr>
          <t xml:space="preserve">
3000083 8/23 1280pcs
3000079 8/23 2240pcs
3000087 8/25 1740pcs
4001016 8/26 140ｐｃｓ</t>
        </r>
      </text>
    </comment>
    <comment ref="AG361" authorId="0">
      <text>
        <r>
          <rPr>
            <b/>
            <sz val="9"/>
            <rFont val="宋体"/>
            <charset val="134"/>
          </rPr>
          <t>Administrator:</t>
        </r>
        <r>
          <rPr>
            <sz val="9"/>
            <rFont val="宋体"/>
            <charset val="134"/>
          </rPr>
          <t xml:space="preserve">
3000083 8/23 2280pcs
3000079 8/23 3120pcs</t>
        </r>
      </text>
    </comment>
    <comment ref="AG363" authorId="0">
      <text>
        <r>
          <rPr>
            <b/>
            <sz val="9"/>
            <rFont val="宋体"/>
            <charset val="134"/>
          </rPr>
          <t>Administrator:</t>
        </r>
        <r>
          <rPr>
            <sz val="9"/>
            <rFont val="宋体"/>
            <charset val="134"/>
          </rPr>
          <t xml:space="preserve">
2001302 8/21 3200pcs
2001309 8/22 2200pcs张泉</t>
        </r>
      </text>
    </comment>
    <comment ref="AG365" authorId="0">
      <text>
        <r>
          <rPr>
            <b/>
            <sz val="9"/>
            <rFont val="宋体"/>
            <charset val="134"/>
          </rPr>
          <t>Administrator:</t>
        </r>
        <r>
          <rPr>
            <sz val="9"/>
            <rFont val="宋体"/>
            <charset val="134"/>
          </rPr>
          <t xml:space="preserve">
4000051 9/3 560pcs
4000388 9/5 32pcs
华一F4
3002580 9/5 16pcs华一F5</t>
        </r>
      </text>
    </comment>
    <comment ref="AJ365" authorId="0">
      <text>
        <r>
          <rPr>
            <b/>
            <sz val="9"/>
            <rFont val="宋体"/>
            <charset val="134"/>
          </rPr>
          <t>Administrator:</t>
        </r>
        <r>
          <rPr>
            <sz val="9"/>
            <rFont val="宋体"/>
            <charset val="134"/>
          </rPr>
          <t xml:space="preserve">
7/26 上电池警告语贴纸1216pcs
UPC贴纸608pcs
8/11 上条码贴纸608pcs贴纸条码错需重新订购
8/26 上小警告语贴纸608pcs</t>
        </r>
      </text>
    </comment>
    <comment ref="AG366" authorId="0">
      <text>
        <r>
          <rPr>
            <b/>
            <sz val="9"/>
            <rFont val="宋体"/>
            <charset val="134"/>
          </rPr>
          <t>Administrator:</t>
        </r>
        <r>
          <rPr>
            <sz val="9"/>
            <rFont val="宋体"/>
            <charset val="134"/>
          </rPr>
          <t xml:space="preserve">
4000050 9/2 176PCS华3B1
4000388 9/5 16pcs
华3B1</t>
        </r>
      </text>
    </comment>
    <comment ref="AJ366" authorId="0">
      <text>
        <r>
          <rPr>
            <b/>
            <sz val="9"/>
            <rFont val="宋体"/>
            <charset val="134"/>
          </rPr>
          <t>Administrator:</t>
        </r>
        <r>
          <rPr>
            <sz val="9"/>
            <rFont val="宋体"/>
            <charset val="134"/>
          </rPr>
          <t xml:space="preserve">
7/26 上电池警告语贴纸384pcs
UPC贴纸192pcs
8/11 上条码贴纸192pcs贴纸条码错需重新订购
8/26 上小警告语贴纸192pcs
</t>
        </r>
      </text>
    </comment>
    <comment ref="AG367" authorId="0">
      <text>
        <r>
          <rPr>
            <b/>
            <sz val="9"/>
            <rFont val="宋体"/>
            <charset val="134"/>
          </rPr>
          <t>Administrator:</t>
        </r>
        <r>
          <rPr>
            <sz val="9"/>
            <rFont val="宋体"/>
            <charset val="134"/>
          </rPr>
          <t xml:space="preserve">
4000064 9/1 1400PCS
华1F5
4000065 9/1 4200PCS
华1F5
4000112 9/1 4376PCS
华1F5
4000388 9/5 24pcs
华一F5</t>
        </r>
      </text>
    </comment>
    <comment ref="AJ367" authorId="0">
      <text>
        <r>
          <rPr>
            <b/>
            <sz val="9"/>
            <rFont val="宋体"/>
            <charset val="134"/>
          </rPr>
          <t>Administrator:</t>
        </r>
        <r>
          <rPr>
            <sz val="9"/>
            <rFont val="宋体"/>
            <charset val="134"/>
          </rPr>
          <t xml:space="preserve">
8/3 上Event label贴纸2500pcs
8/26 上客供外箱条码贴纸2050pcs
</t>
        </r>
      </text>
    </comment>
    <comment ref="BB367" authorId="1">
      <text>
        <r>
          <rPr>
            <b/>
            <sz val="9"/>
            <rFont val="宋体"/>
            <charset val="134"/>
          </rPr>
          <t>RR:</t>
        </r>
        <r>
          <rPr>
            <sz val="9"/>
            <rFont val="宋体"/>
            <charset val="134"/>
          </rPr>
          <t xml:space="preserve">
新客版资料</t>
        </r>
      </text>
    </comment>
    <comment ref="AG368" authorId="0">
      <text>
        <r>
          <rPr>
            <b/>
            <sz val="9"/>
            <rFont val="宋体"/>
            <charset val="134"/>
          </rPr>
          <t>Administrator:</t>
        </r>
        <r>
          <rPr>
            <sz val="9"/>
            <rFont val="宋体"/>
            <charset val="134"/>
          </rPr>
          <t xml:space="preserve">
2000343 9/1 500PCS 华3B7</t>
        </r>
      </text>
    </comment>
    <comment ref="AJ368" authorId="0">
      <text>
        <r>
          <rPr>
            <b/>
            <sz val="9"/>
            <rFont val="宋体"/>
            <charset val="134"/>
          </rPr>
          <t>Administrator:</t>
        </r>
        <r>
          <rPr>
            <sz val="9"/>
            <rFont val="宋体"/>
            <charset val="134"/>
          </rPr>
          <t xml:space="preserve">
8/7 上客供RFID贴纸500pcs</t>
        </r>
      </text>
    </comment>
    <comment ref="AG369" authorId="0">
      <text>
        <r>
          <rPr>
            <b/>
            <sz val="9"/>
            <rFont val="宋体"/>
            <charset val="134"/>
          </rPr>
          <t>Administrator:</t>
        </r>
        <r>
          <rPr>
            <sz val="9"/>
            <rFont val="宋体"/>
            <charset val="134"/>
          </rPr>
          <t xml:space="preserve">
4000112 9/1 500pcs</t>
        </r>
      </text>
    </comment>
    <comment ref="AJ369" authorId="0">
      <text>
        <r>
          <rPr>
            <b/>
            <sz val="9"/>
            <rFont val="宋体"/>
            <charset val="134"/>
          </rPr>
          <t>Administrator:</t>
        </r>
        <r>
          <rPr>
            <sz val="9"/>
            <rFont val="宋体"/>
            <charset val="134"/>
          </rPr>
          <t xml:space="preserve">
8/7 上客供RFID贴纸500pcs
</t>
        </r>
      </text>
    </comment>
    <comment ref="AG370" authorId="0">
      <text>
        <r>
          <rPr>
            <b/>
            <sz val="9"/>
            <rFont val="宋体"/>
            <charset val="134"/>
          </rPr>
          <t>Administrator:</t>
        </r>
        <r>
          <rPr>
            <sz val="9"/>
            <rFont val="宋体"/>
            <charset val="134"/>
          </rPr>
          <t xml:space="preserve">
4000113 9/1 4976PCS 华3A23
4000388 9/5 24pcs
华3A23</t>
        </r>
      </text>
    </comment>
    <comment ref="AJ370" authorId="0">
      <text>
        <r>
          <rPr>
            <b/>
            <sz val="9"/>
            <rFont val="宋体"/>
            <charset val="134"/>
          </rPr>
          <t>Administrator:</t>
        </r>
        <r>
          <rPr>
            <sz val="9"/>
            <rFont val="宋体"/>
            <charset val="134"/>
          </rPr>
          <t xml:space="preserve">
8/5 上WEEE电池通用30L说明书B版（带电池）
5000pcs原PO登记备注是74478
8/11 上WEEE电池通用30L说明书B版带电池走货说明书5000pcs</t>
        </r>
      </text>
    </comment>
    <comment ref="AG371" authorId="0">
      <text>
        <r>
          <rPr>
            <b/>
            <sz val="9"/>
            <rFont val="宋体"/>
            <charset val="134"/>
          </rPr>
          <t>Administrator:</t>
        </r>
        <r>
          <rPr>
            <sz val="9"/>
            <rFont val="宋体"/>
            <charset val="134"/>
          </rPr>
          <t xml:space="preserve">
4000112 9/1 6048PCS 华3A19
4000113 9/1 944PCS 华3A19
4000388 9/5 192pcs
华3A19
3002580 9/5 16pcs华3A19</t>
        </r>
      </text>
    </comment>
    <comment ref="AJ371" authorId="0">
      <text>
        <r>
          <rPr>
            <b/>
            <sz val="9"/>
            <rFont val="宋体"/>
            <charset val="134"/>
          </rPr>
          <t>Administrator:</t>
        </r>
        <r>
          <rPr>
            <sz val="9"/>
            <rFont val="宋体"/>
            <charset val="134"/>
          </rPr>
          <t xml:space="preserve">
7/15 WEEE说明书欧洲EN+30L-B版"7200pcs</t>
        </r>
      </text>
    </comment>
    <comment ref="AG372" authorId="0">
      <text>
        <r>
          <rPr>
            <b/>
            <sz val="9"/>
            <rFont val="宋体"/>
            <charset val="134"/>
          </rPr>
          <t>Administrator:</t>
        </r>
        <r>
          <rPr>
            <sz val="9"/>
            <rFont val="宋体"/>
            <charset val="134"/>
          </rPr>
          <t xml:space="preserve">
4000112 9/1 840PCS 华3B13</t>
        </r>
      </text>
    </comment>
    <comment ref="AJ372" authorId="0">
      <text>
        <r>
          <rPr>
            <b/>
            <sz val="9"/>
            <rFont val="宋体"/>
            <charset val="134"/>
          </rPr>
          <t>Administrator:</t>
        </r>
        <r>
          <rPr>
            <sz val="9"/>
            <rFont val="宋体"/>
            <charset val="134"/>
          </rPr>
          <t xml:space="preserve">
8/3 上进口商贴纸840pcs</t>
        </r>
      </text>
    </comment>
    <comment ref="AG373" authorId="0">
      <text>
        <r>
          <rPr>
            <b/>
            <sz val="9"/>
            <rFont val="宋体"/>
            <charset val="134"/>
          </rPr>
          <t>Administrator:</t>
        </r>
        <r>
          <rPr>
            <sz val="9"/>
            <rFont val="宋体"/>
            <charset val="134"/>
          </rPr>
          <t xml:space="preserve">
2000346 9/3 234pcs
</t>
        </r>
      </text>
    </comment>
    <comment ref="AJ373" authorId="0">
      <text>
        <r>
          <rPr>
            <b/>
            <sz val="9"/>
            <rFont val="宋体"/>
            <charset val="134"/>
          </rPr>
          <t>Administrator:</t>
        </r>
        <r>
          <rPr>
            <sz val="9"/>
            <rFont val="宋体"/>
            <charset val="134"/>
          </rPr>
          <t xml:space="preserve">
8/22 上KM单外箱贴纸39pcs
</t>
        </r>
      </text>
    </comment>
    <comment ref="AG374" authorId="0">
      <text>
        <r>
          <rPr>
            <b/>
            <sz val="9"/>
            <rFont val="宋体"/>
            <charset val="134"/>
          </rPr>
          <t>Administrator:</t>
        </r>
        <r>
          <rPr>
            <sz val="9"/>
            <rFont val="宋体"/>
            <charset val="134"/>
          </rPr>
          <t xml:space="preserve">
2000346 9/3 2166pcs
</t>
        </r>
      </text>
    </comment>
    <comment ref="AJ374" authorId="0">
      <text>
        <r>
          <rPr>
            <b/>
            <sz val="9"/>
            <rFont val="宋体"/>
            <charset val="134"/>
          </rPr>
          <t>Administrator:</t>
        </r>
        <r>
          <rPr>
            <sz val="9"/>
            <rFont val="宋体"/>
            <charset val="134"/>
          </rPr>
          <t xml:space="preserve">
8/22 上KM单外箱贴纸361pcs</t>
        </r>
      </text>
    </comment>
    <comment ref="AG375" authorId="0">
      <text>
        <r>
          <rPr>
            <b/>
            <sz val="9"/>
            <rFont val="宋体"/>
            <charset val="134"/>
          </rPr>
          <t>Administrator:</t>
        </r>
        <r>
          <rPr>
            <sz val="9"/>
            <rFont val="宋体"/>
            <charset val="134"/>
          </rPr>
          <t xml:space="preserve">
4000017 9/3 1944pcs
4000388 9/5 48pcs华1F4</t>
        </r>
      </text>
    </comment>
    <comment ref="AG376" authorId="0">
      <text>
        <r>
          <rPr>
            <b/>
            <sz val="9"/>
            <rFont val="宋体"/>
            <charset val="134"/>
          </rPr>
          <t>Administrator:</t>
        </r>
        <r>
          <rPr>
            <sz val="9"/>
            <rFont val="宋体"/>
            <charset val="134"/>
          </rPr>
          <t xml:space="preserve">
4000051 9/3 560pcs</t>
        </r>
      </text>
    </comment>
    <comment ref="AJ376" authorId="0">
      <text>
        <r>
          <rPr>
            <b/>
            <sz val="9"/>
            <rFont val="宋体"/>
            <charset val="134"/>
          </rPr>
          <t>Administrator:</t>
        </r>
        <r>
          <rPr>
            <sz val="9"/>
            <rFont val="宋体"/>
            <charset val="134"/>
          </rPr>
          <t xml:space="preserve">
8/13 上进口商贴纸560pcs</t>
        </r>
      </text>
    </comment>
    <comment ref="AG377" authorId="0">
      <text>
        <r>
          <rPr>
            <b/>
            <sz val="9"/>
            <rFont val="宋体"/>
            <charset val="134"/>
          </rPr>
          <t>Administrator:</t>
        </r>
        <r>
          <rPr>
            <sz val="9"/>
            <rFont val="宋体"/>
            <charset val="134"/>
          </rPr>
          <t xml:space="preserve">
4001040 8/28 3520PCS
张泉
4001083 8/29 1880PCS
张泉</t>
        </r>
      </text>
    </comment>
    <comment ref="AG379" authorId="0">
      <text>
        <r>
          <rPr>
            <b/>
            <sz val="9"/>
            <rFont val="宋体"/>
            <charset val="134"/>
          </rPr>
          <t>Administrator:</t>
        </r>
        <r>
          <rPr>
            <sz val="9"/>
            <rFont val="宋体"/>
            <charset val="134"/>
          </rPr>
          <t xml:space="preserve">
4001038 8/29 1920PCS
张泉
4001061 8/30 3480pcs张泉</t>
        </r>
      </text>
    </comment>
    <comment ref="AG381" authorId="0">
      <text>
        <r>
          <rPr>
            <b/>
            <sz val="9"/>
            <rFont val="宋体"/>
            <charset val="134"/>
          </rPr>
          <t>Administrator:</t>
        </r>
        <r>
          <rPr>
            <sz val="9"/>
            <rFont val="宋体"/>
            <charset val="134"/>
          </rPr>
          <t xml:space="preserve">
4001061 8/30 2880pcs张泉
4001063 9/1 2520PCS</t>
        </r>
      </text>
    </comment>
    <comment ref="AG383" authorId="0">
      <text>
        <r>
          <rPr>
            <b/>
            <sz val="9"/>
            <rFont val="宋体"/>
            <charset val="134"/>
          </rPr>
          <t>Administrator:</t>
        </r>
        <r>
          <rPr>
            <sz val="9"/>
            <rFont val="宋体"/>
            <charset val="134"/>
          </rPr>
          <t xml:space="preserve">
4000050 9/2 2940PCS华一F5
4000388 9/5 4pcs
华一F4</t>
        </r>
      </text>
    </comment>
    <comment ref="AJ383" authorId="0">
      <text>
        <r>
          <rPr>
            <b/>
            <sz val="9"/>
            <rFont val="宋体"/>
            <charset val="134"/>
          </rPr>
          <t>Administrator:</t>
        </r>
        <r>
          <rPr>
            <sz val="9"/>
            <rFont val="宋体"/>
            <charset val="134"/>
          </rPr>
          <t xml:space="preserve">
8/18 上客供外箱条码贴纸743pcs
</t>
        </r>
      </text>
    </comment>
    <comment ref="BB383" authorId="1">
      <text>
        <r>
          <rPr>
            <b/>
            <sz val="9"/>
            <rFont val="宋体"/>
            <charset val="134"/>
          </rPr>
          <t>RR:</t>
        </r>
        <r>
          <rPr>
            <sz val="9"/>
            <rFont val="宋体"/>
            <charset val="134"/>
          </rPr>
          <t xml:space="preserve">
新客版资料</t>
        </r>
      </text>
    </comment>
    <comment ref="AG384" authorId="0">
      <text>
        <r>
          <rPr>
            <b/>
            <sz val="9"/>
            <rFont val="宋体"/>
            <charset val="134"/>
          </rPr>
          <t>Administrator:</t>
        </r>
        <r>
          <rPr>
            <sz val="9"/>
            <rFont val="宋体"/>
            <charset val="134"/>
          </rPr>
          <t xml:space="preserve">
4000050 9/2 4608PCS
华一F5
4000388 9/5 24pcs
华一F5</t>
        </r>
      </text>
    </comment>
    <comment ref="AJ384" authorId="0">
      <text>
        <r>
          <rPr>
            <b/>
            <sz val="9"/>
            <rFont val="宋体"/>
            <charset val="134"/>
          </rPr>
          <t>Administrator:</t>
        </r>
        <r>
          <rPr>
            <sz val="9"/>
            <rFont val="宋体"/>
            <charset val="134"/>
          </rPr>
          <t xml:space="preserve">
8/26 上客供外箱条码贴纸1170pcs
</t>
        </r>
      </text>
    </comment>
    <comment ref="BB384" authorId="1">
      <text>
        <r>
          <rPr>
            <b/>
            <sz val="9"/>
            <rFont val="宋体"/>
            <charset val="134"/>
          </rPr>
          <t>RR:</t>
        </r>
        <r>
          <rPr>
            <sz val="9"/>
            <rFont val="宋体"/>
            <charset val="134"/>
          </rPr>
          <t xml:space="preserve">
新客版资料</t>
        </r>
      </text>
    </comment>
    <comment ref="AG385" authorId="0">
      <text>
        <r>
          <rPr>
            <b/>
            <sz val="9"/>
            <rFont val="宋体"/>
            <charset val="134"/>
          </rPr>
          <t>Administrator:</t>
        </r>
        <r>
          <rPr>
            <sz val="9"/>
            <rFont val="宋体"/>
            <charset val="134"/>
          </rPr>
          <t xml:space="preserve">
4000112 9/1 500PCS
华3B13</t>
        </r>
      </text>
    </comment>
    <comment ref="AJ385" authorId="0">
      <text>
        <r>
          <rPr>
            <b/>
            <sz val="9"/>
            <rFont val="宋体"/>
            <charset val="134"/>
          </rPr>
          <t>Administrator:</t>
        </r>
        <r>
          <rPr>
            <sz val="9"/>
            <rFont val="宋体"/>
            <charset val="134"/>
          </rPr>
          <t xml:space="preserve">
8/7 上客供RFID贴纸500pcs
</t>
        </r>
      </text>
    </comment>
    <comment ref="AG386" authorId="0">
      <text>
        <r>
          <rPr>
            <b/>
            <sz val="9"/>
            <rFont val="宋体"/>
            <charset val="134"/>
          </rPr>
          <t>Administrator:</t>
        </r>
        <r>
          <rPr>
            <sz val="9"/>
            <rFont val="宋体"/>
            <charset val="134"/>
          </rPr>
          <t xml:space="preserve">
2000346 9/3 500pcs</t>
        </r>
      </text>
    </comment>
    <comment ref="AJ386" authorId="0">
      <text>
        <r>
          <rPr>
            <b/>
            <sz val="9"/>
            <rFont val="宋体"/>
            <charset val="134"/>
          </rPr>
          <t>Administrator:</t>
        </r>
        <r>
          <rPr>
            <sz val="9"/>
            <rFont val="宋体"/>
            <charset val="134"/>
          </rPr>
          <t xml:space="preserve">
8/7 上客供RFID贴纸500pcs
</t>
        </r>
      </text>
    </comment>
    <comment ref="AG387" authorId="0">
      <text>
        <r>
          <rPr>
            <b/>
            <sz val="9"/>
            <rFont val="宋体"/>
            <charset val="134"/>
          </rPr>
          <t>Administrator:</t>
        </r>
        <r>
          <rPr>
            <sz val="9"/>
            <rFont val="宋体"/>
            <charset val="134"/>
          </rPr>
          <t xml:space="preserve">
4000450 9/11 792pcs
华1F3
4000449 9/11 1284pcs华1F3
4000391 9/12 24pcs
华1F3</t>
        </r>
      </text>
    </comment>
    <comment ref="AJ387" authorId="0">
      <text>
        <r>
          <rPr>
            <b/>
            <sz val="9"/>
            <rFont val="宋体"/>
            <charset val="134"/>
          </rPr>
          <t>Administrator:</t>
        </r>
        <r>
          <rPr>
            <sz val="9"/>
            <rFont val="宋体"/>
            <charset val="134"/>
          </rPr>
          <t xml:space="preserve">
8/13 上价格贴纸3000pcs
两个同PO共用
8/21 上NJ客供外箱贴纸175pcs
NV 通用客供外箱贴纸175pcs</t>
        </r>
      </text>
    </comment>
    <comment ref="AG388" authorId="0">
      <text>
        <r>
          <rPr>
            <b/>
            <sz val="9"/>
            <rFont val="宋体"/>
            <charset val="134"/>
          </rPr>
          <t>Administrator:</t>
        </r>
        <r>
          <rPr>
            <sz val="9"/>
            <rFont val="宋体"/>
            <charset val="134"/>
          </rPr>
          <t xml:space="preserve">
4000449 9/11 900pcs
华1F3</t>
        </r>
      </text>
    </comment>
    <comment ref="AJ388" authorId="0">
      <text>
        <r>
          <rPr>
            <b/>
            <sz val="9"/>
            <rFont val="宋体"/>
            <charset val="134"/>
          </rPr>
          <t>Administrator:</t>
        </r>
        <r>
          <rPr>
            <sz val="9"/>
            <rFont val="宋体"/>
            <charset val="134"/>
          </rPr>
          <t xml:space="preserve">
8/21 上NJ客供外箱贴纸75pcs
NV 通用客供外箱贴纸75pcs
</t>
        </r>
      </text>
    </comment>
    <comment ref="AG389" authorId="0">
      <text>
        <r>
          <rPr>
            <b/>
            <sz val="9"/>
            <rFont val="宋体"/>
            <charset val="134"/>
          </rPr>
          <t>Administrator:</t>
        </r>
        <r>
          <rPr>
            <sz val="9"/>
            <rFont val="宋体"/>
            <charset val="134"/>
          </rPr>
          <t xml:space="preserve">
4000450 9/11 168pcs
华华3B14
4000391 9/12 24pcs
华兴</t>
        </r>
      </text>
    </comment>
    <comment ref="AJ389" authorId="0">
      <text>
        <r>
          <rPr>
            <b/>
            <sz val="9"/>
            <rFont val="宋体"/>
            <charset val="134"/>
          </rPr>
          <t>Administrator:</t>
        </r>
        <r>
          <rPr>
            <sz val="9"/>
            <rFont val="宋体"/>
            <charset val="134"/>
          </rPr>
          <t xml:space="preserve">
8/18 上进口商贴纸180
UPC 贴纸180pcs
保证书180pcs
f</t>
        </r>
      </text>
    </comment>
    <comment ref="AG390" authorId="0">
      <text>
        <r>
          <rPr>
            <b/>
            <sz val="9"/>
            <rFont val="宋体"/>
            <charset val="134"/>
          </rPr>
          <t>Administrator:</t>
        </r>
        <r>
          <rPr>
            <sz val="9"/>
            <rFont val="宋体"/>
            <charset val="134"/>
          </rPr>
          <t xml:space="preserve">
3000099 9/6 1560pcs</t>
        </r>
      </text>
    </comment>
    <comment ref="AG392" authorId="0">
      <text>
        <r>
          <rPr>
            <b/>
            <sz val="9"/>
            <rFont val="宋体"/>
            <charset val="134"/>
          </rPr>
          <t>Administrator:</t>
        </r>
        <r>
          <rPr>
            <sz val="9"/>
            <rFont val="宋体"/>
            <charset val="134"/>
          </rPr>
          <t xml:space="preserve">
2000389 9/10 7000pcs华1F5</t>
        </r>
      </text>
    </comment>
    <comment ref="AJ392" authorId="0">
      <text>
        <r>
          <rPr>
            <b/>
            <sz val="9"/>
            <rFont val="宋体"/>
            <charset val="134"/>
          </rPr>
          <t>Administrator:</t>
        </r>
        <r>
          <rPr>
            <sz val="9"/>
            <rFont val="宋体"/>
            <charset val="134"/>
          </rPr>
          <t xml:space="preserve">
8/26 上客供外箱条码贴纸1768pcs
</t>
        </r>
      </text>
    </comment>
    <comment ref="BB392" authorId="1">
      <text>
        <r>
          <rPr>
            <b/>
            <sz val="9"/>
            <rFont val="宋体"/>
            <charset val="134"/>
          </rPr>
          <t>RR:</t>
        </r>
        <r>
          <rPr>
            <sz val="9"/>
            <rFont val="宋体"/>
            <charset val="134"/>
          </rPr>
          <t xml:space="preserve">
新客版资料</t>
        </r>
      </text>
    </comment>
    <comment ref="AG393" authorId="0">
      <text>
        <r>
          <rPr>
            <b/>
            <sz val="9"/>
            <rFont val="宋体"/>
            <charset val="134"/>
          </rPr>
          <t>Administrator:</t>
        </r>
        <r>
          <rPr>
            <sz val="9"/>
            <rFont val="宋体"/>
            <charset val="134"/>
          </rPr>
          <t xml:space="preserve">
3000083 8/23 1200pcs
3000087 8/25 2720pcs
4001016 8/26 1480pcs</t>
        </r>
      </text>
    </comment>
    <comment ref="AG395" authorId="0">
      <text>
        <r>
          <rPr>
            <b/>
            <sz val="9"/>
            <rFont val="宋体"/>
            <charset val="134"/>
          </rPr>
          <t>Administrator:</t>
        </r>
        <r>
          <rPr>
            <sz val="9"/>
            <rFont val="宋体"/>
            <charset val="134"/>
          </rPr>
          <t xml:space="preserve">
4000051 9/3 504pcs
</t>
        </r>
      </text>
    </comment>
    <comment ref="AJ395" authorId="0">
      <text>
        <r>
          <rPr>
            <b/>
            <sz val="9"/>
            <rFont val="宋体"/>
            <charset val="134"/>
          </rPr>
          <t>Administrator:</t>
        </r>
        <r>
          <rPr>
            <sz val="9"/>
            <rFont val="宋体"/>
            <charset val="134"/>
          </rPr>
          <t xml:space="preserve">
8/13 上进口商贴纸504pcs
UPC贴纸504pcs</t>
        </r>
      </text>
    </comment>
    <comment ref="AG396" authorId="0">
      <text>
        <r>
          <rPr>
            <b/>
            <sz val="9"/>
            <rFont val="宋体"/>
            <charset val="134"/>
          </rPr>
          <t>Administrator:</t>
        </r>
        <r>
          <rPr>
            <sz val="9"/>
            <rFont val="宋体"/>
            <charset val="134"/>
          </rPr>
          <t xml:space="preserve">
2000372 9/11 402pcs莫4B4</t>
        </r>
      </text>
    </comment>
    <comment ref="AJ396" authorId="0">
      <text>
        <r>
          <rPr>
            <b/>
            <sz val="9"/>
            <rFont val="宋体"/>
            <charset val="134"/>
          </rPr>
          <t>Administrator:</t>
        </r>
        <r>
          <rPr>
            <sz val="9"/>
            <rFont val="宋体"/>
            <charset val="134"/>
          </rPr>
          <t xml:space="preserve">
9/3 上3C贴纸402pcs</t>
        </r>
      </text>
    </comment>
    <comment ref="AG397" authorId="0">
      <text>
        <r>
          <rPr>
            <b/>
            <sz val="9"/>
            <rFont val="宋体"/>
            <charset val="134"/>
          </rPr>
          <t>Administrator:</t>
        </r>
        <r>
          <rPr>
            <sz val="9"/>
            <rFont val="宋体"/>
            <charset val="134"/>
          </rPr>
          <t xml:space="preserve">
3000100 9/8 1320pcs
3000099 9/6 4080pcs</t>
        </r>
      </text>
    </comment>
    <comment ref="AG399" authorId="0">
      <text>
        <r>
          <rPr>
            <b/>
            <sz val="9"/>
            <rFont val="宋体"/>
            <charset val="134"/>
          </rPr>
          <t>Administrator:</t>
        </r>
        <r>
          <rPr>
            <sz val="9"/>
            <rFont val="宋体"/>
            <charset val="134"/>
          </rPr>
          <t xml:space="preserve">
3000100 9/8 5400pcs</t>
        </r>
      </text>
    </comment>
    <comment ref="AG401" authorId="0">
      <text>
        <r>
          <rPr>
            <b/>
            <sz val="9"/>
            <rFont val="宋体"/>
            <charset val="134"/>
          </rPr>
          <t>Administrator:</t>
        </r>
        <r>
          <rPr>
            <sz val="9"/>
            <rFont val="宋体"/>
            <charset val="134"/>
          </rPr>
          <t xml:space="preserve">
3000103 9/8 960pcs
2000373 9/11 2970pcs
2000375 9/12 1470pcs</t>
        </r>
      </text>
    </comment>
    <comment ref="AG403" authorId="0">
      <text>
        <r>
          <rPr>
            <b/>
            <sz val="9"/>
            <rFont val="宋体"/>
            <charset val="134"/>
          </rPr>
          <t>Administrator:</t>
        </r>
        <r>
          <rPr>
            <sz val="9"/>
            <rFont val="宋体"/>
            <charset val="134"/>
          </rPr>
          <t xml:space="preserve">
2000375 9/12 5100pcs
2000377 9/13 300pcs</t>
        </r>
      </text>
    </comment>
    <comment ref="AG405" authorId="0">
      <text>
        <r>
          <rPr>
            <b/>
            <sz val="9"/>
            <rFont val="宋体"/>
            <charset val="134"/>
          </rPr>
          <t>Administrator:</t>
        </r>
        <r>
          <rPr>
            <sz val="9"/>
            <rFont val="宋体"/>
            <charset val="134"/>
          </rPr>
          <t xml:space="preserve">
4000423 9/11 880pcs莫4A6
4000391 9/12 32pcs
莫4A6</t>
        </r>
      </text>
    </comment>
    <comment ref="AJ405" authorId="0">
      <text>
        <r>
          <rPr>
            <b/>
            <sz val="9"/>
            <rFont val="宋体"/>
            <charset val="134"/>
          </rPr>
          <t>Administrator:</t>
        </r>
        <r>
          <rPr>
            <sz val="9"/>
            <rFont val="宋体"/>
            <charset val="134"/>
          </rPr>
          <t xml:space="preserve">
8/27 客版可移动价格贴纸 912pcs</t>
        </r>
      </text>
    </comment>
    <comment ref="AG406" authorId="0">
      <text>
        <r>
          <rPr>
            <b/>
            <sz val="9"/>
            <rFont val="宋体"/>
            <charset val="134"/>
          </rPr>
          <t>Administrator:</t>
        </r>
        <r>
          <rPr>
            <sz val="9"/>
            <rFont val="宋体"/>
            <charset val="134"/>
          </rPr>
          <t xml:space="preserve">
4000450 9/11 2520pcs
华1F11
4000423 9/11 1448pcs华F11
4000391 9/12 32pcs
华1F11</t>
        </r>
      </text>
    </comment>
    <comment ref="AJ406" authorId="0">
      <text>
        <r>
          <rPr>
            <b/>
            <sz val="9"/>
            <rFont val="宋体"/>
            <charset val="134"/>
          </rPr>
          <t>Administrator:</t>
        </r>
        <r>
          <rPr>
            <sz val="9"/>
            <rFont val="宋体"/>
            <charset val="134"/>
          </rPr>
          <t xml:space="preserve">
</t>
        </r>
      </text>
    </comment>
    <comment ref="AG407" authorId="0">
      <text>
        <r>
          <rPr>
            <b/>
            <sz val="9"/>
            <rFont val="宋体"/>
            <charset val="134"/>
          </rPr>
          <t>Administrator:</t>
        </r>
        <r>
          <rPr>
            <sz val="9"/>
            <rFont val="宋体"/>
            <charset val="134"/>
          </rPr>
          <t xml:space="preserve">
4000423 9/11 1328pcs莫4C8
4000391 9/12 24pcs莫4C8</t>
        </r>
      </text>
    </comment>
    <comment ref="AJ407" authorId="0">
      <text>
        <r>
          <rPr>
            <b/>
            <sz val="9"/>
            <rFont val="宋体"/>
            <charset val="134"/>
          </rPr>
          <t>Administrator:</t>
        </r>
        <r>
          <rPr>
            <sz val="9"/>
            <rFont val="宋体"/>
            <charset val="134"/>
          </rPr>
          <t xml:space="preserve">
8/18 上Kinderherz 2025 Logo贴纸1352pcs
WEEE带电池走货欧洲 30 语通用黑白说明书1352pcs
</t>
        </r>
      </text>
    </comment>
    <comment ref="AG408" authorId="0">
      <text>
        <r>
          <rPr>
            <b/>
            <sz val="9"/>
            <rFont val="宋体"/>
            <charset val="134"/>
          </rPr>
          <t>Administrator:</t>
        </r>
        <r>
          <rPr>
            <sz val="9"/>
            <rFont val="宋体"/>
            <charset val="134"/>
          </rPr>
          <t xml:space="preserve">
4000423 9/11 576pcs莫4B8
4000391 9/12 32pcs
莫4B8</t>
        </r>
      </text>
    </comment>
    <comment ref="AJ408" authorId="0">
      <text>
        <r>
          <rPr>
            <b/>
            <sz val="9"/>
            <rFont val="宋体"/>
            <charset val="134"/>
          </rPr>
          <t>Administrator:</t>
        </r>
        <r>
          <rPr>
            <sz val="9"/>
            <rFont val="宋体"/>
            <charset val="134"/>
          </rPr>
          <t xml:space="preserve">
8/5 上UPC贴纸800pcs两个同PO共用
9/8 上小电池警告语贴纸800pcs
包装说明书电池警告语贴纸1600pcs
两个同PO共用</t>
        </r>
      </text>
    </comment>
    <comment ref="AG409" authorId="0">
      <text>
        <r>
          <rPr>
            <b/>
            <sz val="9"/>
            <rFont val="宋体"/>
            <charset val="134"/>
          </rPr>
          <t>Administrator:</t>
        </r>
        <r>
          <rPr>
            <sz val="9"/>
            <rFont val="宋体"/>
            <charset val="134"/>
          </rPr>
          <t xml:space="preserve">
4000423 9/11 176pcs莫4C7
4000391 9/12 16pcs
莫4C7</t>
        </r>
      </text>
    </comment>
    <comment ref="AG410" authorId="0">
      <text>
        <r>
          <rPr>
            <b/>
            <sz val="9"/>
            <rFont val="宋体"/>
            <charset val="134"/>
          </rPr>
          <t>Administrator:</t>
        </r>
        <r>
          <rPr>
            <sz val="9"/>
            <rFont val="宋体"/>
            <charset val="134"/>
          </rPr>
          <t xml:space="preserve">
4000450 9/11 4976pcs
华1F11
4000391 9/12 24pcs
华1F11</t>
        </r>
      </text>
    </comment>
    <comment ref="AJ410" authorId="0">
      <text>
        <r>
          <rPr>
            <b/>
            <sz val="9"/>
            <rFont val="宋体"/>
            <charset val="134"/>
          </rPr>
          <t>Administrator:</t>
        </r>
        <r>
          <rPr>
            <sz val="9"/>
            <rFont val="宋体"/>
            <charset val="134"/>
          </rPr>
          <t xml:space="preserve">
9/2 客供外箱条码贴纸 1263pcs
</t>
        </r>
      </text>
    </comment>
    <comment ref="BB410" authorId="1">
      <text>
        <r>
          <rPr>
            <b/>
            <sz val="9"/>
            <rFont val="宋体"/>
            <charset val="134"/>
          </rPr>
          <t>RR:</t>
        </r>
        <r>
          <rPr>
            <sz val="9"/>
            <rFont val="宋体"/>
            <charset val="134"/>
          </rPr>
          <t xml:space="preserve">
新客版资料</t>
        </r>
      </text>
    </comment>
    <comment ref="AG411" authorId="0">
      <text>
        <r>
          <rPr>
            <b/>
            <sz val="9"/>
            <rFont val="宋体"/>
            <charset val="134"/>
          </rPr>
          <t>Administrator:</t>
        </r>
        <r>
          <rPr>
            <sz val="9"/>
            <rFont val="宋体"/>
            <charset val="134"/>
          </rPr>
          <t xml:space="preserve">
4000391 9/12 4pcs华1F4
4000424 9/12 496pcs
华1F4</t>
        </r>
      </text>
    </comment>
    <comment ref="AJ411" authorId="0">
      <text>
        <r>
          <rPr>
            <b/>
            <sz val="9"/>
            <rFont val="宋体"/>
            <charset val="134"/>
          </rPr>
          <t>Administrator:</t>
        </r>
        <r>
          <rPr>
            <sz val="9"/>
            <rFont val="宋体"/>
            <charset val="134"/>
          </rPr>
          <t xml:space="preserve">
8/18 上客供RFID贴纸500pcs
</t>
        </r>
      </text>
    </comment>
    <comment ref="AG412" authorId="0">
      <text>
        <r>
          <rPr>
            <b/>
            <sz val="9"/>
            <rFont val="宋体"/>
            <charset val="134"/>
          </rPr>
          <t>Administrator:</t>
        </r>
        <r>
          <rPr>
            <sz val="9"/>
            <rFont val="宋体"/>
            <charset val="134"/>
          </rPr>
          <t xml:space="preserve">
4000391 9/12 12pcs华1F4
4000424 9/12 488pcs
华1F4</t>
        </r>
      </text>
    </comment>
    <comment ref="AJ412" authorId="0">
      <text>
        <r>
          <rPr>
            <b/>
            <sz val="9"/>
            <rFont val="宋体"/>
            <charset val="134"/>
          </rPr>
          <t>Administrator:</t>
        </r>
        <r>
          <rPr>
            <sz val="9"/>
            <rFont val="宋体"/>
            <charset val="134"/>
          </rPr>
          <t xml:space="preserve">
8/18 上客供RFID贴纸500pcs</t>
        </r>
      </text>
    </comment>
    <comment ref="AG413" authorId="0">
      <text>
        <r>
          <rPr>
            <b/>
            <sz val="9"/>
            <rFont val="宋体"/>
            <charset val="134"/>
          </rPr>
          <t>Administrator:</t>
        </r>
        <r>
          <rPr>
            <sz val="9"/>
            <rFont val="宋体"/>
            <charset val="134"/>
          </rPr>
          <t xml:space="preserve">
4000391 9/12 8pcs
华1F4
4000424 9/12 492pcs
华1F4</t>
        </r>
      </text>
    </comment>
    <comment ref="AJ413" authorId="0">
      <text>
        <r>
          <rPr>
            <b/>
            <sz val="9"/>
            <rFont val="宋体"/>
            <charset val="134"/>
          </rPr>
          <t>Administrator:</t>
        </r>
        <r>
          <rPr>
            <sz val="9"/>
            <rFont val="宋体"/>
            <charset val="134"/>
          </rPr>
          <t xml:space="preserve">
8/18 上客供RFID贴纸500pcs</t>
        </r>
      </text>
    </comment>
    <comment ref="AG414" authorId="0">
      <text>
        <r>
          <rPr>
            <b/>
            <sz val="9"/>
            <rFont val="宋体"/>
            <charset val="134"/>
          </rPr>
          <t>Administrator:</t>
        </r>
        <r>
          <rPr>
            <sz val="9"/>
            <rFont val="宋体"/>
            <charset val="134"/>
          </rPr>
          <t xml:space="preserve">
4000914 9/18 4320pcs华1F12
4000923 9/20 24pcs
华一F12
4000920 9/19 5656pcs华一F12</t>
        </r>
      </text>
    </comment>
    <comment ref="AJ414" authorId="0">
      <text>
        <r>
          <rPr>
            <b/>
            <sz val="9"/>
            <rFont val="宋体"/>
            <charset val="134"/>
          </rPr>
          <t>Administrator:</t>
        </r>
        <r>
          <rPr>
            <sz val="9"/>
            <rFont val="宋体"/>
            <charset val="134"/>
          </rPr>
          <t xml:space="preserve">
9/2 客供外箱条码贴纸 2525pcs
</t>
        </r>
      </text>
    </comment>
    <comment ref="BB414" authorId="1">
      <text>
        <r>
          <rPr>
            <b/>
            <sz val="9"/>
            <rFont val="宋体"/>
            <charset val="134"/>
          </rPr>
          <t>RR:</t>
        </r>
        <r>
          <rPr>
            <sz val="9"/>
            <rFont val="宋体"/>
            <charset val="134"/>
          </rPr>
          <t xml:space="preserve">
新客版资料</t>
        </r>
      </text>
    </comment>
    <comment ref="AG415" authorId="0">
      <text>
        <r>
          <rPr>
            <b/>
            <sz val="9"/>
            <rFont val="宋体"/>
            <charset val="134"/>
          </rPr>
          <t>Administrator:</t>
        </r>
        <r>
          <rPr>
            <sz val="9"/>
            <rFont val="宋体"/>
            <charset val="134"/>
          </rPr>
          <t xml:space="preserve">
4000910 9/17 6000pcs华1F5</t>
        </r>
      </text>
    </comment>
    <comment ref="AG416" authorId="0">
      <text>
        <r>
          <rPr>
            <b/>
            <sz val="9"/>
            <rFont val="宋体"/>
            <charset val="134"/>
          </rPr>
          <t>Administrator:</t>
        </r>
        <r>
          <rPr>
            <sz val="9"/>
            <rFont val="宋体"/>
            <charset val="134"/>
          </rPr>
          <t xml:space="preserve">
4000908 9/17 8000pcs华一F5</t>
        </r>
      </text>
    </comment>
    <comment ref="AG417" authorId="0">
      <text>
        <r>
          <rPr>
            <b/>
            <sz val="9"/>
            <rFont val="宋体"/>
            <charset val="134"/>
          </rPr>
          <t>Administrator:</t>
        </r>
        <r>
          <rPr>
            <sz val="9"/>
            <rFont val="宋体"/>
            <charset val="134"/>
          </rPr>
          <t xml:space="preserve">
4000910 9/17 1648pcs
华3B8</t>
        </r>
      </text>
    </comment>
    <comment ref="AJ417" authorId="0">
      <text>
        <r>
          <rPr>
            <b/>
            <sz val="9"/>
            <rFont val="宋体"/>
            <charset val="134"/>
          </rPr>
          <t>Administrator:</t>
        </r>
        <r>
          <rPr>
            <sz val="9"/>
            <rFont val="宋体"/>
            <charset val="134"/>
          </rPr>
          <t xml:space="preserve">
8/18 上Kinderherz 2025 Logo贴纸1648pcs
WEEE带电池走货欧洲 30 语通用黑白说明书1648pcs</t>
        </r>
      </text>
    </comment>
    <comment ref="AG418" authorId="0">
      <text>
        <r>
          <rPr>
            <b/>
            <sz val="9"/>
            <rFont val="宋体"/>
            <charset val="134"/>
          </rPr>
          <t>Administrator:</t>
        </r>
        <r>
          <rPr>
            <sz val="9"/>
            <rFont val="宋体"/>
            <charset val="134"/>
          </rPr>
          <t xml:space="preserve">
4000918 9/18 960pcs华1F5</t>
        </r>
      </text>
    </comment>
    <comment ref="AJ418" authorId="0">
      <text>
        <r>
          <rPr>
            <b/>
            <sz val="9"/>
            <rFont val="宋体"/>
            <charset val="134"/>
          </rPr>
          <t>Administrator:</t>
        </r>
        <r>
          <rPr>
            <sz val="9"/>
            <rFont val="宋体"/>
            <charset val="134"/>
          </rPr>
          <t xml:space="preserve">
8/28 进口商贴纸 1120pcs
WEEE带电池走货欧洲30语通用黑白说明书
1380pcs</t>
        </r>
      </text>
    </comment>
    <comment ref="AG419" authorId="0">
      <text>
        <r>
          <rPr>
            <b/>
            <sz val="9"/>
            <rFont val="宋体"/>
            <charset val="134"/>
          </rPr>
          <t>Administrator:</t>
        </r>
        <r>
          <rPr>
            <sz val="9"/>
            <rFont val="宋体"/>
            <charset val="134"/>
          </rPr>
          <t xml:space="preserve">
4000923 9/20 420pcs
华3B14</t>
        </r>
      </text>
    </comment>
    <comment ref="AJ419" authorId="0">
      <text>
        <r>
          <rPr>
            <b/>
            <sz val="9"/>
            <rFont val="宋体"/>
            <charset val="134"/>
          </rPr>
          <t>Administrator:</t>
        </r>
        <r>
          <rPr>
            <sz val="9"/>
            <rFont val="宋体"/>
            <charset val="134"/>
          </rPr>
          <t xml:space="preserve">
8/28 空白贴纸 420pcs</t>
        </r>
      </text>
    </comment>
    <comment ref="AG420" authorId="0">
      <text>
        <r>
          <rPr>
            <b/>
            <sz val="9"/>
            <rFont val="宋体"/>
            <charset val="134"/>
          </rPr>
          <t>Administrator:</t>
        </r>
        <r>
          <rPr>
            <sz val="9"/>
            <rFont val="宋体"/>
            <charset val="134"/>
          </rPr>
          <t xml:space="preserve">
4000918 9/18 304pcs华1F3</t>
        </r>
      </text>
    </comment>
    <comment ref="AG421" authorId="0">
      <text>
        <r>
          <rPr>
            <b/>
            <sz val="9"/>
            <rFont val="宋体"/>
            <charset val="134"/>
          </rPr>
          <t>Administrator:</t>
        </r>
        <r>
          <rPr>
            <sz val="9"/>
            <rFont val="宋体"/>
            <charset val="134"/>
          </rPr>
          <t xml:space="preserve">
4000918 9/18 304pcs华1F4
</t>
        </r>
      </text>
    </comment>
    <comment ref="AG422" authorId="0">
      <text>
        <r>
          <rPr>
            <b/>
            <sz val="9"/>
            <rFont val="宋体"/>
            <charset val="134"/>
          </rPr>
          <t>Administrator:</t>
        </r>
        <r>
          <rPr>
            <sz val="9"/>
            <rFont val="宋体"/>
            <charset val="134"/>
          </rPr>
          <t xml:space="preserve">
4000923 9/20 1808pcs华一F3</t>
        </r>
      </text>
    </comment>
    <comment ref="AG423" authorId="0">
      <text>
        <r>
          <rPr>
            <b/>
            <sz val="9"/>
            <rFont val="宋体"/>
            <charset val="134"/>
          </rPr>
          <t>Administrator:</t>
        </r>
        <r>
          <rPr>
            <sz val="9"/>
            <rFont val="宋体"/>
            <charset val="134"/>
          </rPr>
          <t xml:space="preserve">
4000910 9/17 1400pcs
华3A29</t>
        </r>
      </text>
    </comment>
    <comment ref="AG424" authorId="0">
      <text>
        <r>
          <rPr>
            <b/>
            <sz val="9"/>
            <rFont val="宋体"/>
            <charset val="134"/>
          </rPr>
          <t>Administrator:</t>
        </r>
        <r>
          <rPr>
            <sz val="9"/>
            <rFont val="宋体"/>
            <charset val="134"/>
          </rPr>
          <t xml:space="preserve">
4000303 9/20 9360pcs华一A5
5000301 9/19 10640pcs华一A5</t>
        </r>
      </text>
    </comment>
    <comment ref="AJ424" authorId="0">
      <text>
        <r>
          <rPr>
            <b/>
            <sz val="9"/>
            <rFont val="宋体"/>
            <charset val="134"/>
          </rPr>
          <t>Administrator:</t>
        </r>
        <r>
          <rPr>
            <sz val="9"/>
            <rFont val="宋体"/>
            <charset val="134"/>
          </rPr>
          <t xml:space="preserve">
9/2 客供外箱条码贴纸 5050pcs
</t>
        </r>
      </text>
    </comment>
    <comment ref="BB424" authorId="1">
      <text>
        <r>
          <rPr>
            <b/>
            <sz val="9"/>
            <rFont val="宋体"/>
            <charset val="134"/>
          </rPr>
          <t>RR:</t>
        </r>
        <r>
          <rPr>
            <sz val="9"/>
            <rFont val="宋体"/>
            <charset val="134"/>
          </rPr>
          <t xml:space="preserve">
新客版资料</t>
        </r>
      </text>
    </comment>
    <comment ref="AG425" authorId="0">
      <text>
        <r>
          <rPr>
            <b/>
            <sz val="9"/>
            <rFont val="宋体"/>
            <charset val="134"/>
          </rPr>
          <t>Administrator:</t>
        </r>
        <r>
          <rPr>
            <sz val="9"/>
            <rFont val="宋体"/>
            <charset val="134"/>
          </rPr>
          <t xml:space="preserve">
4000923 9/20 282pcs
华3B8
4000930 9/22 18pcs华兴3B8</t>
        </r>
      </text>
    </comment>
    <comment ref="AJ425" authorId="0">
      <text>
        <r>
          <rPr>
            <b/>
            <sz val="9"/>
            <rFont val="宋体"/>
            <charset val="134"/>
          </rPr>
          <t>Administrator:</t>
        </r>
        <r>
          <rPr>
            <sz val="9"/>
            <rFont val="宋体"/>
            <charset val="134"/>
          </rPr>
          <t xml:space="preserve">
8/8 上客供电池警告语贴纸624
客供中文警告语贴纸624pcs</t>
        </r>
      </text>
    </comment>
    <comment ref="AG426" authorId="0">
      <text>
        <r>
          <rPr>
            <b/>
            <sz val="9"/>
            <rFont val="宋体"/>
            <charset val="134"/>
          </rPr>
          <t>Administrator:</t>
        </r>
        <r>
          <rPr>
            <sz val="9"/>
            <rFont val="宋体"/>
            <charset val="134"/>
          </rPr>
          <t xml:space="preserve">
4000923 9/20 2576pcs华3A23
4000921 9/19 5760pcs华3A23</t>
        </r>
      </text>
    </comment>
    <comment ref="AJ426" authorId="0">
      <text>
        <r>
          <rPr>
            <b/>
            <sz val="9"/>
            <rFont val="宋体"/>
            <charset val="134"/>
          </rPr>
          <t>Administrator:</t>
        </r>
        <r>
          <rPr>
            <sz val="9"/>
            <rFont val="宋体"/>
            <charset val="134"/>
          </rPr>
          <t xml:space="preserve">
7/26 上WEEE声明带电池走货欧洲 30 语通用黑白说明书B版8336pcs
7/26 上进口商贴纸8336pcs</t>
        </r>
      </text>
    </comment>
    <comment ref="AG427" authorId="0">
      <text>
        <r>
          <rPr>
            <b/>
            <sz val="9"/>
            <rFont val="宋体"/>
            <charset val="134"/>
          </rPr>
          <t>Administrator:</t>
        </r>
        <r>
          <rPr>
            <sz val="9"/>
            <rFont val="宋体"/>
            <charset val="134"/>
          </rPr>
          <t xml:space="preserve">
4000933 9/24 1368pcs
华一F5</t>
        </r>
      </text>
    </comment>
    <comment ref="AJ427" authorId="0">
      <text>
        <r>
          <rPr>
            <b/>
            <sz val="9"/>
            <rFont val="宋体"/>
            <charset val="134"/>
          </rPr>
          <t>Administrator:</t>
        </r>
        <r>
          <rPr>
            <sz val="9"/>
            <rFont val="宋体"/>
            <charset val="134"/>
          </rPr>
          <t xml:space="preserve">
8/5 上3C贴纸1608pcs
两个同PO共用
9/18 上3C贴纸1368pcs</t>
        </r>
      </text>
    </comment>
    <comment ref="AG428" authorId="0">
      <text>
        <r>
          <rPr>
            <b/>
            <sz val="9"/>
            <rFont val="宋体"/>
            <charset val="134"/>
          </rPr>
          <t>Administrator:</t>
        </r>
        <r>
          <rPr>
            <sz val="9"/>
            <rFont val="宋体"/>
            <charset val="134"/>
          </rPr>
          <t xml:space="preserve">
4000933 9/24 240pcs
华一F5</t>
        </r>
      </text>
    </comment>
    <comment ref="AJ428" authorId="0">
      <text>
        <r>
          <rPr>
            <b/>
            <sz val="9"/>
            <rFont val="宋体"/>
            <charset val="134"/>
          </rPr>
          <t>Administrator:</t>
        </r>
        <r>
          <rPr>
            <sz val="9"/>
            <rFont val="宋体"/>
            <charset val="134"/>
          </rPr>
          <t xml:space="preserve">
9/18 上3C贴纸240pcs
</t>
        </r>
      </text>
    </comment>
    <comment ref="AG429" authorId="0">
      <text>
        <r>
          <rPr>
            <b/>
            <sz val="9"/>
            <rFont val="宋体"/>
            <charset val="134"/>
          </rPr>
          <t>Administrator:</t>
        </r>
        <r>
          <rPr>
            <sz val="9"/>
            <rFont val="宋体"/>
            <charset val="134"/>
          </rPr>
          <t xml:space="preserve">
5000327 9/24 544pcs华3A14</t>
        </r>
      </text>
    </comment>
    <comment ref="AJ429" authorId="0">
      <text>
        <r>
          <rPr>
            <b/>
            <sz val="9"/>
            <rFont val="宋体"/>
            <charset val="134"/>
          </rPr>
          <t>Administrator:</t>
        </r>
        <r>
          <rPr>
            <sz val="9"/>
            <rFont val="宋体"/>
            <charset val="134"/>
          </rPr>
          <t xml:space="preserve">
8/18 上客供RFID贴纸544pcs</t>
        </r>
      </text>
    </comment>
    <comment ref="AG430" authorId="0">
      <text>
        <r>
          <rPr>
            <b/>
            <sz val="9"/>
            <rFont val="宋体"/>
            <charset val="134"/>
          </rPr>
          <t>Administrator:</t>
        </r>
        <r>
          <rPr>
            <sz val="9"/>
            <rFont val="宋体"/>
            <charset val="134"/>
          </rPr>
          <t xml:space="preserve">
5000327 9/24 760pcs
华3A14</t>
        </r>
      </text>
    </comment>
    <comment ref="AJ430" authorId="0">
      <text>
        <r>
          <rPr>
            <b/>
            <sz val="9"/>
            <rFont val="宋体"/>
            <charset val="134"/>
          </rPr>
          <t>Administrator:</t>
        </r>
        <r>
          <rPr>
            <sz val="9"/>
            <rFont val="宋体"/>
            <charset val="134"/>
          </rPr>
          <t xml:space="preserve">
8/18 上客供RFID贴纸760pcs</t>
        </r>
      </text>
    </comment>
    <comment ref="AG431" authorId="0">
      <text>
        <r>
          <rPr>
            <b/>
            <sz val="9"/>
            <rFont val="宋体"/>
            <charset val="134"/>
          </rPr>
          <t>Administrator:</t>
        </r>
        <r>
          <rPr>
            <sz val="9"/>
            <rFont val="宋体"/>
            <charset val="134"/>
          </rPr>
          <t xml:space="preserve">
4000933 9/24 3000pcs
华一F5</t>
        </r>
      </text>
    </comment>
    <comment ref="AJ431" authorId="0">
      <text>
        <r>
          <rPr>
            <b/>
            <sz val="9"/>
            <rFont val="宋体"/>
            <charset val="134"/>
          </rPr>
          <t>Administrator:</t>
        </r>
        <r>
          <rPr>
            <sz val="9"/>
            <rFont val="宋体"/>
            <charset val="134"/>
          </rPr>
          <t xml:space="preserve">
9/5 客供外箱条码贴纸 758pcs</t>
        </r>
      </text>
    </comment>
    <comment ref="AG432" authorId="0">
      <text>
        <r>
          <rPr>
            <b/>
            <sz val="9"/>
            <rFont val="宋体"/>
            <charset val="134"/>
          </rPr>
          <t>Administrator:</t>
        </r>
        <r>
          <rPr>
            <sz val="9"/>
            <rFont val="宋体"/>
            <charset val="134"/>
          </rPr>
          <t xml:space="preserve">
5000354 9/25 5856pcs
华一F11
5000370 9/26 128pcs
华一F11</t>
        </r>
      </text>
    </comment>
    <comment ref="AJ432" authorId="0">
      <text>
        <r>
          <rPr>
            <b/>
            <sz val="9"/>
            <rFont val="宋体"/>
            <charset val="134"/>
          </rPr>
          <t>Administrator:</t>
        </r>
        <r>
          <rPr>
            <sz val="9"/>
            <rFont val="宋体"/>
            <charset val="134"/>
          </rPr>
          <t xml:space="preserve">
8/27 2025logo贴纸 7480pcs</t>
        </r>
      </text>
    </comment>
    <comment ref="AG433" authorId="0">
      <text>
        <r>
          <rPr>
            <b/>
            <sz val="9"/>
            <rFont val="宋体"/>
            <charset val="134"/>
          </rPr>
          <t>Administrator:</t>
        </r>
        <r>
          <rPr>
            <sz val="9"/>
            <rFont val="宋体"/>
            <charset val="134"/>
          </rPr>
          <t xml:space="preserve">
5000354 9/25 1772pcs华3B6</t>
        </r>
      </text>
    </comment>
    <comment ref="AJ433" authorId="0">
      <text>
        <r>
          <rPr>
            <b/>
            <sz val="9"/>
            <rFont val="宋体"/>
            <charset val="134"/>
          </rPr>
          <t>Administrator:</t>
        </r>
        <r>
          <rPr>
            <sz val="9"/>
            <rFont val="宋体"/>
            <charset val="134"/>
          </rPr>
          <t xml:space="preserve">
8/29 客供RFID贴 1772pcs</t>
        </r>
      </text>
    </comment>
    <comment ref="AG434" authorId="0">
      <text>
        <r>
          <rPr>
            <b/>
            <sz val="9"/>
            <rFont val="宋体"/>
            <charset val="134"/>
          </rPr>
          <t>Administrator:</t>
        </r>
        <r>
          <rPr>
            <sz val="9"/>
            <rFont val="宋体"/>
            <charset val="134"/>
          </rPr>
          <t xml:space="preserve">
5000354 9/25 1184pcs
华3B16</t>
        </r>
      </text>
    </comment>
    <comment ref="AJ434" authorId="0">
      <text>
        <r>
          <rPr>
            <b/>
            <sz val="9"/>
            <rFont val="宋体"/>
            <charset val="134"/>
          </rPr>
          <t>Administrator:</t>
        </r>
        <r>
          <rPr>
            <sz val="9"/>
            <rFont val="宋体"/>
            <charset val="134"/>
          </rPr>
          <t xml:space="preserve">
8/29 客供RFID贴 1184pcs
</t>
        </r>
      </text>
    </comment>
    <comment ref="AG435" authorId="0">
      <text>
        <r>
          <rPr>
            <b/>
            <sz val="9"/>
            <rFont val="宋体"/>
            <charset val="134"/>
          </rPr>
          <t>Administrator:</t>
        </r>
        <r>
          <rPr>
            <sz val="9"/>
            <rFont val="宋体"/>
            <charset val="134"/>
          </rPr>
          <t xml:space="preserve">
4000936 9/25 10000pcs华</t>
        </r>
      </text>
    </comment>
    <comment ref="AJ435" authorId="0">
      <text>
        <r>
          <rPr>
            <b/>
            <sz val="9"/>
            <rFont val="宋体"/>
            <charset val="134"/>
          </rPr>
          <t>Administrator:</t>
        </r>
        <r>
          <rPr>
            <sz val="9"/>
            <rFont val="宋体"/>
            <charset val="134"/>
          </rPr>
          <t xml:space="preserve">
9/5 客供外箱条码贴纸 2525pcs</t>
        </r>
      </text>
    </comment>
    <comment ref="AG436" authorId="0">
      <text>
        <r>
          <rPr>
            <b/>
            <sz val="9"/>
            <rFont val="宋体"/>
            <charset val="134"/>
          </rPr>
          <t>Administrator:</t>
        </r>
        <r>
          <rPr>
            <sz val="9"/>
            <rFont val="宋体"/>
            <charset val="134"/>
          </rPr>
          <t xml:space="preserve">
5000354 9/25 6512pcs
华3A29</t>
        </r>
      </text>
    </comment>
    <comment ref="AJ436" authorId="0">
      <text>
        <r>
          <rPr>
            <b/>
            <sz val="9"/>
            <rFont val="宋体"/>
            <charset val="134"/>
          </rPr>
          <t>Administrator:</t>
        </r>
        <r>
          <rPr>
            <sz val="9"/>
            <rFont val="宋体"/>
            <charset val="134"/>
          </rPr>
          <t xml:space="preserve">
9/9 上客供RFID贴纸6512pcs
</t>
        </r>
      </text>
    </comment>
    <comment ref="AG437" authorId="0">
      <text>
        <r>
          <rPr>
            <b/>
            <sz val="9"/>
            <rFont val="宋体"/>
            <charset val="134"/>
          </rPr>
          <t>Administrator:</t>
        </r>
        <r>
          <rPr>
            <sz val="9"/>
            <rFont val="宋体"/>
            <charset val="134"/>
          </rPr>
          <t xml:space="preserve">
4000930 9/22 600pcs莫4B4</t>
        </r>
      </text>
    </comment>
    <comment ref="AJ437" authorId="0">
      <text>
        <r>
          <rPr>
            <b/>
            <sz val="9"/>
            <rFont val="宋体"/>
            <charset val="134"/>
          </rPr>
          <t>Administrator:</t>
        </r>
        <r>
          <rPr>
            <sz val="9"/>
            <rFont val="宋体"/>
            <charset val="134"/>
          </rPr>
          <t xml:space="preserve">
9/11 进口商贴纸600pcs
UPC贴纸600pcs
</t>
        </r>
      </text>
    </comment>
    <comment ref="AG438" authorId="0">
      <text>
        <r>
          <rPr>
            <b/>
            <sz val="9"/>
            <rFont val="宋体"/>
            <charset val="134"/>
          </rPr>
          <t>Administrator:</t>
        </r>
        <r>
          <rPr>
            <sz val="9"/>
            <rFont val="宋体"/>
            <charset val="134"/>
          </rPr>
          <t xml:space="preserve">
5000327 9/24 500pcs
华3A14</t>
        </r>
      </text>
    </comment>
    <comment ref="AJ438" authorId="0">
      <text>
        <r>
          <rPr>
            <b/>
            <sz val="9"/>
            <rFont val="宋体"/>
            <charset val="134"/>
          </rPr>
          <t>Administrator:</t>
        </r>
        <r>
          <rPr>
            <sz val="9"/>
            <rFont val="宋体"/>
            <charset val="134"/>
          </rPr>
          <t xml:space="preserve">
8/18 上客供RFID贴纸500pcs</t>
        </r>
      </text>
    </comment>
    <comment ref="AG439" authorId="0">
      <text>
        <r>
          <rPr>
            <b/>
            <sz val="9"/>
            <rFont val="宋体"/>
            <charset val="134"/>
          </rPr>
          <t>Administrator:</t>
        </r>
        <r>
          <rPr>
            <sz val="9"/>
            <rFont val="宋体"/>
            <charset val="134"/>
          </rPr>
          <t xml:space="preserve">
4000933 9/24 368pcs
华一F4</t>
        </r>
      </text>
    </comment>
    <comment ref="AJ439" authorId="0">
      <text>
        <r>
          <rPr>
            <b/>
            <sz val="9"/>
            <rFont val="宋体"/>
            <charset val="134"/>
          </rPr>
          <t>Administrator:</t>
        </r>
        <r>
          <rPr>
            <sz val="9"/>
            <rFont val="宋体"/>
            <charset val="134"/>
          </rPr>
          <t xml:space="preserve">
7/16 上客供警语贴纸       384pcs
     上客供电池警语贴纸   384pcs
     上客供中文警告说明书  384pcs</t>
        </r>
      </text>
    </comment>
    <comment ref="AG440" authorId="0">
      <text>
        <r>
          <rPr>
            <b/>
            <sz val="9"/>
            <rFont val="宋体"/>
            <charset val="134"/>
          </rPr>
          <t>Administrator:</t>
        </r>
        <r>
          <rPr>
            <sz val="9"/>
            <rFont val="宋体"/>
            <charset val="134"/>
          </rPr>
          <t xml:space="preserve">
4000933 9/24 150pcs
华一F5</t>
        </r>
      </text>
    </comment>
    <comment ref="AG441" authorId="0">
      <text>
        <r>
          <rPr>
            <b/>
            <sz val="9"/>
            <rFont val="宋体"/>
            <charset val="134"/>
          </rPr>
          <t>Administrator:</t>
        </r>
        <r>
          <rPr>
            <sz val="9"/>
            <rFont val="宋体"/>
            <charset val="134"/>
          </rPr>
          <t xml:space="preserve">
4000933 9/24 1350pcs华一F5</t>
        </r>
      </text>
    </comment>
    <comment ref="AG442" authorId="0">
      <text>
        <r>
          <rPr>
            <b/>
            <sz val="9"/>
            <rFont val="宋体"/>
            <charset val="134"/>
          </rPr>
          <t>Administrator:</t>
        </r>
        <r>
          <rPr>
            <sz val="9"/>
            <rFont val="宋体"/>
            <charset val="134"/>
          </rPr>
          <t xml:space="preserve">
4000944 9/26 528pcs直走</t>
        </r>
      </text>
    </comment>
    <comment ref="AJ442" authorId="0">
      <text>
        <r>
          <rPr>
            <b/>
            <sz val="9"/>
            <rFont val="宋体"/>
            <charset val="134"/>
          </rPr>
          <t>Administrator:</t>
        </r>
        <r>
          <rPr>
            <sz val="9"/>
            <rFont val="宋体"/>
            <charset val="134"/>
          </rPr>
          <t xml:space="preserve">
9/5 UPC贴纸528pcs
9/8 进口商贴纸 528pcs</t>
        </r>
      </text>
    </comment>
    <comment ref="AG443" authorId="0">
      <text>
        <r>
          <rPr>
            <b/>
            <sz val="9"/>
            <rFont val="宋体"/>
            <charset val="134"/>
          </rPr>
          <t>Administrator:</t>
        </r>
        <r>
          <rPr>
            <sz val="9"/>
            <rFont val="宋体"/>
            <charset val="134"/>
          </rPr>
          <t xml:space="preserve">
5000370 9/26 3360pcs
华一F5
5000385 9/26 1416pcs华一F5
500030 9/26 24pcs华一F5</t>
        </r>
      </text>
    </comment>
    <comment ref="AJ443" authorId="0">
      <text>
        <r>
          <rPr>
            <b/>
            <sz val="9"/>
            <rFont val="宋体"/>
            <charset val="134"/>
          </rPr>
          <t>Administrator:</t>
        </r>
        <r>
          <rPr>
            <sz val="9"/>
            <rFont val="宋体"/>
            <charset val="134"/>
          </rPr>
          <t xml:space="preserve">
9/8 进口商贴纸 4800pcs
9/8 产品贴纸 4800pcs
9/8 说明书 4800pcs
9/8 UPC贴纸 4800pcs
9/9 保证书4800pcs
9/13 外箱贴纸400pcs
</t>
        </r>
      </text>
    </comment>
    <comment ref="AG444" authorId="0">
      <text>
        <r>
          <rPr>
            <b/>
            <sz val="9"/>
            <rFont val="宋体"/>
            <charset val="134"/>
          </rPr>
          <t>Administrator:</t>
        </r>
        <r>
          <rPr>
            <sz val="9"/>
            <rFont val="宋体"/>
            <charset val="134"/>
          </rPr>
          <t xml:space="preserve">
500030 9/26 4056pcs华一F11
</t>
        </r>
      </text>
    </comment>
    <comment ref="AJ444" authorId="0">
      <text>
        <r>
          <rPr>
            <b/>
            <sz val="9"/>
            <rFont val="宋体"/>
            <charset val="134"/>
          </rPr>
          <t>Administrator:</t>
        </r>
        <r>
          <rPr>
            <sz val="9"/>
            <rFont val="宋体"/>
            <charset val="134"/>
          </rPr>
          <t xml:space="preserve">
9/5 客供外箱条码贴纸 1024pcs</t>
        </r>
      </text>
    </comment>
    <comment ref="AG445" authorId="0">
      <text>
        <r>
          <rPr>
            <b/>
            <sz val="9"/>
            <rFont val="宋体"/>
            <charset val="134"/>
          </rPr>
          <t>Administrator:</t>
        </r>
        <r>
          <rPr>
            <sz val="9"/>
            <rFont val="宋体"/>
            <charset val="134"/>
          </rPr>
          <t xml:space="preserve">
4000949 9/27 732pcs</t>
        </r>
      </text>
    </comment>
    <comment ref="AJ445" authorId="0">
      <text>
        <r>
          <rPr>
            <b/>
            <sz val="9"/>
            <rFont val="宋体"/>
            <charset val="134"/>
          </rPr>
          <t>Administrator:</t>
        </r>
        <r>
          <rPr>
            <sz val="9"/>
            <rFont val="宋体"/>
            <charset val="134"/>
          </rPr>
          <t xml:space="preserve">
9/2 WEEE电子产品说明书30L 732PCS
9/3 上亚马逊外箱贴纸122pcs
</t>
        </r>
      </text>
    </comment>
    <comment ref="AG446" authorId="0">
      <text>
        <r>
          <rPr>
            <b/>
            <sz val="9"/>
            <rFont val="宋体"/>
            <charset val="134"/>
          </rPr>
          <t>Administrator:</t>
        </r>
        <r>
          <rPr>
            <sz val="9"/>
            <rFont val="宋体"/>
            <charset val="134"/>
          </rPr>
          <t xml:space="preserve">
4000949 9/27 504pcs
</t>
        </r>
      </text>
    </comment>
    <comment ref="AJ446" authorId="0">
      <text>
        <r>
          <rPr>
            <b/>
            <sz val="9"/>
            <rFont val="宋体"/>
            <charset val="134"/>
          </rPr>
          <t>Administrator:</t>
        </r>
        <r>
          <rPr>
            <sz val="9"/>
            <rFont val="宋体"/>
            <charset val="134"/>
          </rPr>
          <t xml:space="preserve">
9/2 WEEE电子产品说明书30L 504PCS
9/3 上亚马逊外箱贴纸84pcs
</t>
        </r>
      </text>
    </comment>
    <comment ref="AG447" authorId="0">
      <text>
        <r>
          <rPr>
            <b/>
            <sz val="9"/>
            <rFont val="宋体"/>
            <charset val="134"/>
          </rPr>
          <t>Administrator:</t>
        </r>
        <r>
          <rPr>
            <sz val="9"/>
            <rFont val="宋体"/>
            <charset val="134"/>
          </rPr>
          <t xml:space="preserve">
4000949 9/27 504pcs</t>
        </r>
      </text>
    </comment>
    <comment ref="AJ447" authorId="0">
      <text>
        <r>
          <rPr>
            <b/>
            <sz val="9"/>
            <rFont val="宋体"/>
            <charset val="134"/>
          </rPr>
          <t>Administrator:</t>
        </r>
        <r>
          <rPr>
            <sz val="9"/>
            <rFont val="宋体"/>
            <charset val="134"/>
          </rPr>
          <t xml:space="preserve">
9/2 WEEE电子产品说明书30L 504PCS
9/3 上亚马逊外箱贴纸84pcs
</t>
        </r>
      </text>
    </comment>
    <comment ref="AG448" authorId="0">
      <text>
        <r>
          <rPr>
            <b/>
            <sz val="9"/>
            <rFont val="宋体"/>
            <charset val="134"/>
          </rPr>
          <t>Administrator:</t>
        </r>
        <r>
          <rPr>
            <sz val="9"/>
            <rFont val="宋体"/>
            <charset val="134"/>
          </rPr>
          <t xml:space="preserve">
4000949 9/27 1056pcs</t>
        </r>
      </text>
    </comment>
    <comment ref="AJ448" authorId="0">
      <text>
        <r>
          <rPr>
            <b/>
            <sz val="9"/>
            <rFont val="宋体"/>
            <charset val="134"/>
          </rPr>
          <t>Administrator:</t>
        </r>
        <r>
          <rPr>
            <sz val="9"/>
            <rFont val="宋体"/>
            <charset val="134"/>
          </rPr>
          <t xml:space="preserve">
9/2 WEEE电子产品说明书30L 1056PCS
9/3 上亚马逊外箱贴纸176pcs
</t>
        </r>
      </text>
    </comment>
    <comment ref="AG449" authorId="0">
      <text>
        <r>
          <rPr>
            <b/>
            <sz val="9"/>
            <rFont val="宋体"/>
            <charset val="134"/>
          </rPr>
          <t>Administrator:</t>
        </r>
        <r>
          <rPr>
            <sz val="9"/>
            <rFont val="宋体"/>
            <charset val="134"/>
          </rPr>
          <t xml:space="preserve">
4000949 9/27 516pcs</t>
        </r>
      </text>
    </comment>
    <comment ref="AJ449" authorId="0">
      <text>
        <r>
          <rPr>
            <b/>
            <sz val="9"/>
            <rFont val="宋体"/>
            <charset val="134"/>
          </rPr>
          <t>Administrator:</t>
        </r>
        <r>
          <rPr>
            <sz val="9"/>
            <rFont val="宋体"/>
            <charset val="134"/>
          </rPr>
          <t xml:space="preserve">
9/2 WEEE电子产品说明书30L 516PCS
9/3 上亚马逊外箱贴纸86pcs
9/23 上Kinderherz 贴纸516pcs
</t>
        </r>
      </text>
    </comment>
    <comment ref="AG450" authorId="0">
      <text>
        <r>
          <rPr>
            <b/>
            <sz val="9"/>
            <rFont val="宋体"/>
            <charset val="134"/>
          </rPr>
          <t>Administrator:</t>
        </r>
        <r>
          <rPr>
            <sz val="9"/>
            <rFont val="宋体"/>
            <charset val="134"/>
          </rPr>
          <t xml:space="preserve">
4000949 9/27 816pcs</t>
        </r>
      </text>
    </comment>
    <comment ref="AJ450" authorId="0">
      <text>
        <r>
          <rPr>
            <b/>
            <sz val="9"/>
            <rFont val="宋体"/>
            <charset val="134"/>
          </rPr>
          <t>Administrator:</t>
        </r>
        <r>
          <rPr>
            <sz val="9"/>
            <rFont val="宋体"/>
            <charset val="134"/>
          </rPr>
          <t xml:space="preserve">
9/2 UPC贴纸 816pcs
9/2 获奖贴纸 816pcs
9/2 WEEE电子产品说明书30L 816PCS
9/3 上亚马逊外箱贴纸68pcs
9/9 上获奖贴纸600pcs补订
9/23 上Kinderherz 贴纸516pcs
</t>
        </r>
      </text>
    </comment>
    <comment ref="AG451" authorId="0">
      <text>
        <r>
          <rPr>
            <b/>
            <sz val="9"/>
            <rFont val="宋体"/>
            <charset val="134"/>
          </rPr>
          <t>Administrator:</t>
        </r>
        <r>
          <rPr>
            <sz val="9"/>
            <rFont val="宋体"/>
            <charset val="134"/>
          </rPr>
          <t xml:space="preserve">
4000949 9/27 432pcs</t>
        </r>
      </text>
    </comment>
    <comment ref="AJ451" authorId="0">
      <text>
        <r>
          <rPr>
            <b/>
            <sz val="9"/>
            <rFont val="宋体"/>
            <charset val="134"/>
          </rPr>
          <t>Administrator:</t>
        </r>
        <r>
          <rPr>
            <sz val="9"/>
            <rFont val="宋体"/>
            <charset val="134"/>
          </rPr>
          <t xml:space="preserve">
9/2 UPC贴纸 516pcs
9/2 WEEE电子产品说明书30L 516PCS
9/3 上亚马逊外箱贴纸43pcs
</t>
        </r>
      </text>
    </comment>
    <comment ref="AG452" authorId="0">
      <text>
        <r>
          <rPr>
            <b/>
            <sz val="9"/>
            <rFont val="宋体"/>
            <charset val="134"/>
          </rPr>
          <t>Administrator:</t>
        </r>
        <r>
          <rPr>
            <sz val="9"/>
            <rFont val="宋体"/>
            <charset val="134"/>
          </rPr>
          <t xml:space="preserve">
5000385 9/26 4000pcs莫4C6</t>
        </r>
      </text>
    </comment>
    <comment ref="AJ452" authorId="0">
      <text>
        <r>
          <rPr>
            <b/>
            <sz val="9"/>
            <rFont val="宋体"/>
            <charset val="134"/>
          </rPr>
          <t>Administrator:</t>
        </r>
        <r>
          <rPr>
            <sz val="9"/>
            <rFont val="宋体"/>
            <charset val="134"/>
          </rPr>
          <t xml:space="preserve">
9/5 客户EAN 条码贴纸4000pcs
9/5 ZURU带电池版本30语WEEE 4000pcs
9/5 PDO数量贴纸 1000pcs
9/20 上PDQ数量贴纸1000pcs</t>
        </r>
      </text>
    </comment>
    <comment ref="AG453" authorId="0">
      <text>
        <r>
          <rPr>
            <b/>
            <sz val="9"/>
            <rFont val="宋体"/>
            <charset val="134"/>
          </rPr>
          <t>Administrator:</t>
        </r>
        <r>
          <rPr>
            <sz val="9"/>
            <rFont val="宋体"/>
            <charset val="134"/>
          </rPr>
          <t xml:space="preserve">
4000944 9/26 432pcs
华3B13</t>
        </r>
      </text>
    </comment>
    <comment ref="AJ453" authorId="0">
      <text>
        <r>
          <rPr>
            <b/>
            <sz val="9"/>
            <rFont val="宋体"/>
            <charset val="134"/>
          </rPr>
          <t>Administrator:</t>
        </r>
        <r>
          <rPr>
            <sz val="9"/>
            <rFont val="宋体"/>
            <charset val="134"/>
          </rPr>
          <t xml:space="preserve">
9/5 客户警语贴纸 432pcs
9/5 ZURU带电池版本30语WEEE 432pcs</t>
        </r>
      </text>
    </comment>
    <comment ref="AG454" authorId="0">
      <text>
        <r>
          <rPr>
            <b/>
            <sz val="9"/>
            <rFont val="宋体"/>
            <charset val="134"/>
          </rPr>
          <t>Administrator:</t>
        </r>
        <r>
          <rPr>
            <sz val="9"/>
            <rFont val="宋体"/>
            <charset val="134"/>
          </rPr>
          <t xml:space="preserve">
4000946 9/26 3920pcs
华3B12
4000944 9/26 7920pcs
华3B12</t>
        </r>
      </text>
    </comment>
    <comment ref="AJ454" authorId="0">
      <text>
        <r>
          <rPr>
            <b/>
            <sz val="9"/>
            <rFont val="宋体"/>
            <charset val="134"/>
          </rPr>
          <t>Administrator:</t>
        </r>
        <r>
          <rPr>
            <sz val="9"/>
            <rFont val="宋体"/>
            <charset val="134"/>
          </rPr>
          <t xml:space="preserve">
9/9 上客供RFID贴纸11840pcs
</t>
        </r>
      </text>
    </comment>
    <comment ref="AG455" authorId="0">
      <text>
        <r>
          <rPr>
            <b/>
            <sz val="9"/>
            <rFont val="宋体"/>
            <charset val="134"/>
          </rPr>
          <t>Administrator:</t>
        </r>
        <r>
          <rPr>
            <sz val="9"/>
            <rFont val="宋体"/>
            <charset val="134"/>
          </rPr>
          <t xml:space="preserve">
4000946 9/26 1440pcs华3B7
2000554 9/27 1440pcs
4000950 9/29 5144pcs华一F7
4000953 9/29 720pcs华一F7</t>
        </r>
      </text>
    </comment>
    <comment ref="AJ455" authorId="0">
      <text>
        <r>
          <rPr>
            <b/>
            <sz val="9"/>
            <rFont val="宋体"/>
            <charset val="134"/>
          </rPr>
          <t>Administrator:</t>
        </r>
        <r>
          <rPr>
            <sz val="9"/>
            <rFont val="宋体"/>
            <charset val="134"/>
          </rPr>
          <t xml:space="preserve">
9/9 上客供RFID贴纸8744pcs
</t>
        </r>
      </text>
    </comment>
    <comment ref="AG456" authorId="0">
      <text>
        <r>
          <rPr>
            <b/>
            <sz val="9"/>
            <rFont val="宋体"/>
            <charset val="134"/>
          </rPr>
          <t>Administrator:</t>
        </r>
        <r>
          <rPr>
            <sz val="9"/>
            <rFont val="宋体"/>
            <charset val="134"/>
          </rPr>
          <t xml:space="preserve">
5000460 9/30 2400pcs
</t>
        </r>
      </text>
    </comment>
    <comment ref="AJ456" authorId="0">
      <text>
        <r>
          <rPr>
            <b/>
            <sz val="9"/>
            <rFont val="宋体"/>
            <charset val="134"/>
          </rPr>
          <t>Administrator:</t>
        </r>
        <r>
          <rPr>
            <sz val="9"/>
            <rFont val="宋体"/>
            <charset val="134"/>
          </rPr>
          <t xml:space="preserve">
9/2 b版WEEE通用电池走货说 2400pcs
9/9 上获奖贴纸2400pcs
</t>
        </r>
      </text>
    </comment>
    <comment ref="AG457" authorId="0">
      <text>
        <r>
          <rPr>
            <b/>
            <sz val="9"/>
            <rFont val="宋体"/>
            <charset val="134"/>
          </rPr>
          <t>Administrator:</t>
        </r>
        <r>
          <rPr>
            <sz val="9"/>
            <rFont val="宋体"/>
            <charset val="134"/>
          </rPr>
          <t xml:space="preserve">
5000460 9/30 800pcs
</t>
        </r>
      </text>
    </comment>
    <comment ref="AJ457" authorId="0">
      <text>
        <r>
          <rPr>
            <b/>
            <sz val="9"/>
            <rFont val="宋体"/>
            <charset val="134"/>
          </rPr>
          <t>Administrator:</t>
        </r>
        <r>
          <rPr>
            <sz val="9"/>
            <rFont val="宋体"/>
            <charset val="134"/>
          </rPr>
          <t xml:space="preserve">
9/2 b版WEEE通用电池走货说 800pcs
</t>
        </r>
      </text>
    </comment>
    <comment ref="AG458" authorId="0">
      <text>
        <r>
          <rPr>
            <b/>
            <sz val="9"/>
            <rFont val="宋体"/>
            <charset val="134"/>
          </rPr>
          <t>Administrator:</t>
        </r>
        <r>
          <rPr>
            <sz val="9"/>
            <rFont val="宋体"/>
            <charset val="134"/>
          </rPr>
          <t xml:space="preserve">
4000953 9/29 5040pcs华一F5
4000955 9/30 4960pcs</t>
        </r>
      </text>
    </comment>
    <comment ref="AJ458" authorId="0">
      <text>
        <r>
          <rPr>
            <b/>
            <sz val="9"/>
            <rFont val="宋体"/>
            <charset val="134"/>
          </rPr>
          <t>Administrator:</t>
        </r>
        <r>
          <rPr>
            <sz val="9"/>
            <rFont val="宋体"/>
            <charset val="134"/>
          </rPr>
          <t xml:space="preserve">
9/5 客供外箱条码贴纸 2525pcs
</t>
        </r>
      </text>
    </comment>
    <comment ref="BB458" authorId="1">
      <text>
        <r>
          <rPr>
            <b/>
            <sz val="9"/>
            <rFont val="宋体"/>
            <charset val="134"/>
          </rPr>
          <t>RR:</t>
        </r>
        <r>
          <rPr>
            <sz val="9"/>
            <rFont val="宋体"/>
            <charset val="134"/>
          </rPr>
          <t xml:space="preserve">
新客版资料</t>
        </r>
      </text>
    </comment>
    <comment ref="AG459" authorId="0">
      <text>
        <r>
          <rPr>
            <b/>
            <sz val="9"/>
            <rFont val="宋体"/>
            <charset val="134"/>
          </rPr>
          <t>Administrator:</t>
        </r>
        <r>
          <rPr>
            <sz val="9"/>
            <rFont val="宋体"/>
            <charset val="134"/>
          </rPr>
          <t xml:space="preserve">
4000958 10/8 512pcs
</t>
        </r>
      </text>
    </comment>
    <comment ref="AG460" authorId="0">
      <text>
        <r>
          <rPr>
            <b/>
            <sz val="9"/>
            <rFont val="宋体"/>
            <charset val="134"/>
          </rPr>
          <t>Administrator:</t>
        </r>
        <r>
          <rPr>
            <sz val="9"/>
            <rFont val="宋体"/>
            <charset val="134"/>
          </rPr>
          <t xml:space="preserve">
4000958 10/8 492pcs
</t>
        </r>
      </text>
    </comment>
    <comment ref="AJ460" authorId="0">
      <text>
        <r>
          <rPr>
            <b/>
            <sz val="9"/>
            <rFont val="宋体"/>
            <charset val="134"/>
          </rPr>
          <t>Administrator:</t>
        </r>
        <r>
          <rPr>
            <sz val="9"/>
            <rFont val="宋体"/>
            <charset val="134"/>
          </rPr>
          <t xml:space="preserve">
9/9 上获奖贴纸492pcs
9/9 上UPC贴纸492PCS
WEEE电子产品说明书30L(带电池走货B版)492pcs
9/11 上多语折叠警告语贴纸492pcs
9/16 上亚马逊外箱贴纸41ｐｃｓ</t>
        </r>
      </text>
    </comment>
    <comment ref="AG461" authorId="0">
      <text>
        <r>
          <rPr>
            <b/>
            <sz val="9"/>
            <rFont val="宋体"/>
            <charset val="134"/>
          </rPr>
          <t>Administrator:</t>
        </r>
        <r>
          <rPr>
            <sz val="9"/>
            <rFont val="宋体"/>
            <charset val="134"/>
          </rPr>
          <t xml:space="preserve">
5000494 10/10 2000pcs华一F7</t>
        </r>
      </text>
    </comment>
    <comment ref="AJ461" authorId="0">
      <text>
        <r>
          <rPr>
            <b/>
            <sz val="9"/>
            <rFont val="宋体"/>
            <charset val="134"/>
          </rPr>
          <t>Administrator:</t>
        </r>
        <r>
          <rPr>
            <sz val="9"/>
            <rFont val="宋体"/>
            <charset val="134"/>
          </rPr>
          <t xml:space="preserve">
9/13 上警告语/进口商贴纸2000pcs
WEEE说明书贴纸2000pcs
1语警告语贴纸6000ｐｃｓ
2语警告语贴纸2000ｐｃｓ</t>
        </r>
      </text>
    </comment>
    <comment ref="AG462" authorId="0">
      <text>
        <r>
          <rPr>
            <b/>
            <sz val="9"/>
            <rFont val="宋体"/>
            <charset val="134"/>
          </rPr>
          <t>Administrator:</t>
        </r>
        <r>
          <rPr>
            <sz val="9"/>
            <rFont val="宋体"/>
            <charset val="134"/>
          </rPr>
          <t xml:space="preserve">
4000958 10/8 1240pcs
</t>
        </r>
      </text>
    </comment>
    <comment ref="AG463" authorId="0">
      <text>
        <r>
          <rPr>
            <b/>
            <sz val="9"/>
            <rFont val="宋体"/>
            <charset val="134"/>
          </rPr>
          <t>Administrator:</t>
        </r>
        <r>
          <rPr>
            <sz val="9"/>
            <rFont val="宋体"/>
            <charset val="134"/>
          </rPr>
          <t xml:space="preserve">
5000494 10/10 1968pcs华3B12
5000509 10/11 32pcs
华</t>
        </r>
      </text>
    </comment>
    <comment ref="AG464" authorId="0">
      <text>
        <r>
          <rPr>
            <b/>
            <sz val="9"/>
            <rFont val="宋体"/>
            <charset val="134"/>
          </rPr>
          <t>Administrator:</t>
        </r>
        <r>
          <rPr>
            <sz val="9"/>
            <rFont val="宋体"/>
            <charset val="134"/>
          </rPr>
          <t xml:space="preserve">
5000494 10/10 2396pcs华一F7
5000509 10/11 4pcs华</t>
        </r>
      </text>
    </comment>
    <comment ref="AJ464" authorId="0">
      <text>
        <r>
          <rPr>
            <b/>
            <sz val="9"/>
            <rFont val="宋体"/>
            <charset val="134"/>
          </rPr>
          <t>Administrator:</t>
        </r>
        <r>
          <rPr>
            <sz val="9"/>
            <rFont val="宋体"/>
            <charset val="134"/>
          </rPr>
          <t xml:space="preserve">
9/16 上WEEE_带电池走货 _ 说明书欧洲EN+30L-B版 2400pcs
9/16 上WEEE_带电池走货 _ 说明书欧洲EN+30L-B版 8000pcs多订
Kinderherz 2025 logo 2400ｐｃｓ</t>
        </r>
      </text>
    </comment>
    <comment ref="AG465" authorId="0">
      <text>
        <r>
          <rPr>
            <b/>
            <sz val="9"/>
            <rFont val="宋体"/>
            <charset val="134"/>
          </rPr>
          <t>Administrator:</t>
        </r>
        <r>
          <rPr>
            <sz val="9"/>
            <rFont val="宋体"/>
            <charset val="134"/>
          </rPr>
          <t xml:space="preserve">
4000973 10/11 1504pcs
华一F4
</t>
        </r>
      </text>
    </comment>
    <comment ref="AJ465" authorId="0">
      <text>
        <r>
          <rPr>
            <b/>
            <sz val="9"/>
            <rFont val="宋体"/>
            <charset val="134"/>
          </rPr>
          <t>Administrator:</t>
        </r>
        <r>
          <rPr>
            <sz val="9"/>
            <rFont val="宋体"/>
            <charset val="134"/>
          </rPr>
          <t xml:space="preserve">
9/16 上WEEE_带电池走货 _ 说明书欧洲EN+30L-B版 1504pcs
10/8 上带电池走货说明书4800pcs(77872/78223)三个PO共用 补订</t>
        </r>
      </text>
    </comment>
    <comment ref="AG466" authorId="0">
      <text>
        <r>
          <rPr>
            <b/>
            <sz val="9"/>
            <rFont val="宋体"/>
            <charset val="134"/>
          </rPr>
          <t>Administrator:</t>
        </r>
        <r>
          <rPr>
            <sz val="9"/>
            <rFont val="宋体"/>
            <charset val="134"/>
          </rPr>
          <t xml:space="preserve">
4000971 10/11 1888pcs华一F9
4000973 10/11 32pcs
华一F9</t>
        </r>
      </text>
    </comment>
    <comment ref="AG467" authorId="0">
      <text>
        <r>
          <rPr>
            <b/>
            <sz val="9"/>
            <rFont val="宋体"/>
            <charset val="134"/>
          </rPr>
          <t>Administrator:</t>
        </r>
        <r>
          <rPr>
            <sz val="9"/>
            <rFont val="宋体"/>
            <charset val="134"/>
          </rPr>
          <t xml:space="preserve">
4000971 10/11 1500pcs华3B17
</t>
        </r>
      </text>
    </comment>
    <comment ref="AJ467" authorId="0">
      <text>
        <r>
          <rPr>
            <b/>
            <sz val="9"/>
            <rFont val="宋体"/>
            <charset val="134"/>
          </rPr>
          <t>Administrator:</t>
        </r>
        <r>
          <rPr>
            <sz val="9"/>
            <rFont val="宋体"/>
            <charset val="134"/>
          </rPr>
          <t xml:space="preserve">
9/11 进口商贴纸1500pcs</t>
        </r>
      </text>
    </comment>
    <comment ref="AG468" authorId="0">
      <text>
        <r>
          <rPr>
            <b/>
            <sz val="9"/>
            <rFont val="宋体"/>
            <charset val="134"/>
          </rPr>
          <t>Administrator:</t>
        </r>
        <r>
          <rPr>
            <sz val="9"/>
            <rFont val="宋体"/>
            <charset val="134"/>
          </rPr>
          <t xml:space="preserve">
4000971 10/11 3052pcs华一F5
4000964 10/10 4320pcs华一F11</t>
        </r>
      </text>
    </comment>
    <comment ref="AJ468" authorId="0">
      <text>
        <r>
          <rPr>
            <b/>
            <sz val="9"/>
            <rFont val="宋体"/>
            <charset val="134"/>
          </rPr>
          <t>Administrator:</t>
        </r>
        <r>
          <rPr>
            <sz val="9"/>
            <rFont val="宋体"/>
            <charset val="134"/>
          </rPr>
          <t xml:space="preserve">
9/9 上客供RFID贴纸7372pcs
</t>
        </r>
      </text>
    </comment>
    <comment ref="AG469" authorId="0">
      <text>
        <r>
          <rPr>
            <b/>
            <sz val="9"/>
            <rFont val="宋体"/>
            <charset val="134"/>
          </rPr>
          <t>Administrator:</t>
        </r>
        <r>
          <rPr>
            <sz val="9"/>
            <rFont val="宋体"/>
            <charset val="134"/>
          </rPr>
          <t xml:space="preserve">
4000971 10/11 1248pcs华3B16
</t>
        </r>
      </text>
    </comment>
    <comment ref="AJ469" authorId="0">
      <text>
        <r>
          <rPr>
            <b/>
            <sz val="9"/>
            <rFont val="宋体"/>
            <charset val="134"/>
          </rPr>
          <t>Administrator:</t>
        </r>
        <r>
          <rPr>
            <sz val="9"/>
            <rFont val="宋体"/>
            <charset val="134"/>
          </rPr>
          <t xml:space="preserve">
9/9 上UPC贴纸1248PCS
WEEE电子产品说明书30L(带电池走货B版)1248pcs
9/11 上多语折叠警告语贴纸1248pcs
9/18 上亚马逊外箱贴纸104pcs</t>
        </r>
      </text>
    </comment>
    <comment ref="AG470" authorId="0">
      <text>
        <r>
          <rPr>
            <b/>
            <sz val="9"/>
            <rFont val="宋体"/>
            <charset val="134"/>
          </rPr>
          <t>Administrator:</t>
        </r>
        <r>
          <rPr>
            <sz val="9"/>
            <rFont val="宋体"/>
            <charset val="134"/>
          </rPr>
          <t xml:space="preserve">
4000971 10/11 468pcs华3B14
4000973 10/11 24pcs华3B14</t>
        </r>
      </text>
    </comment>
    <comment ref="AJ470" authorId="0">
      <text>
        <r>
          <rPr>
            <b/>
            <sz val="9"/>
            <rFont val="宋体"/>
            <charset val="134"/>
          </rPr>
          <t>Administrator:</t>
        </r>
        <r>
          <rPr>
            <sz val="9"/>
            <rFont val="宋体"/>
            <charset val="134"/>
          </rPr>
          <t xml:space="preserve">
9/9 上获奖贴纸492pcs
9/9 上UPC贴纸492PCS
WEEE电子产品说明书30L(带电池走货B版)492pcs
9/11 上多语折叠警告语贴纸492pcs
9/18 上亚马逊外箱贴纸41pcs
9/23 上Kinderherz 贴纸492pcs</t>
        </r>
      </text>
    </comment>
    <comment ref="AG471" authorId="0">
      <text>
        <r>
          <rPr>
            <b/>
            <sz val="9"/>
            <rFont val="宋体"/>
            <charset val="134"/>
          </rPr>
          <t>Administrator:</t>
        </r>
        <r>
          <rPr>
            <sz val="9"/>
            <rFont val="宋体"/>
            <charset val="134"/>
          </rPr>
          <t xml:space="preserve">
4000958 10/8 504pcs</t>
        </r>
      </text>
    </comment>
    <comment ref="AJ471" authorId="0">
      <text>
        <r>
          <rPr>
            <b/>
            <sz val="9"/>
            <rFont val="宋体"/>
            <charset val="134"/>
          </rPr>
          <t>Administrator:</t>
        </r>
        <r>
          <rPr>
            <sz val="9"/>
            <rFont val="宋体"/>
            <charset val="134"/>
          </rPr>
          <t xml:space="preserve">
9/9 上UPC贴纸504PCS
WEEE电子产品说明书30L(带电池走货B版)504pcs
9/11 上多语折叠警告语贴纸504pcs
9/18 上亚马逊外箱贴纸41pcs
</t>
        </r>
      </text>
    </comment>
    <comment ref="AG472" authorId="0">
      <text>
        <r>
          <rPr>
            <b/>
            <sz val="9"/>
            <rFont val="宋体"/>
            <charset val="134"/>
          </rPr>
          <t>Administrator:</t>
        </r>
        <r>
          <rPr>
            <sz val="9"/>
            <rFont val="宋体"/>
            <charset val="134"/>
          </rPr>
          <t xml:space="preserve">
4000973 10/11 40pcs
4000962 10/10 4760pcsB栋三楼</t>
        </r>
      </text>
    </comment>
    <comment ref="AJ472" authorId="0">
      <text>
        <r>
          <rPr>
            <b/>
            <sz val="9"/>
            <rFont val="宋体"/>
            <charset val="134"/>
          </rPr>
          <t>Administrator:</t>
        </r>
        <r>
          <rPr>
            <sz val="9"/>
            <rFont val="宋体"/>
            <charset val="134"/>
          </rPr>
          <t xml:space="preserve">
9/13 上保证书4800pcs
产品贴纸4800pcs
说明书贴纸4800pcs
包装贴纸4800pcs</t>
        </r>
      </text>
    </comment>
    <comment ref="AG474" authorId="0">
      <text>
        <r>
          <rPr>
            <b/>
            <sz val="9"/>
            <rFont val="宋体"/>
            <charset val="134"/>
          </rPr>
          <t>Administrator:</t>
        </r>
        <r>
          <rPr>
            <sz val="9"/>
            <rFont val="宋体"/>
            <charset val="134"/>
          </rPr>
          <t xml:space="preserve">
4000975 10/11 512pcs华一F4</t>
        </r>
      </text>
    </comment>
    <comment ref="AJ474" authorId="0">
      <text>
        <r>
          <rPr>
            <b/>
            <sz val="9"/>
            <rFont val="宋体"/>
            <charset val="134"/>
          </rPr>
          <t>Administrator:</t>
        </r>
        <r>
          <rPr>
            <sz val="9"/>
            <rFont val="宋体"/>
            <charset val="134"/>
          </rPr>
          <t xml:space="preserve">
9/20 上进口商贴纸512pcs
</t>
        </r>
      </text>
    </comment>
    <comment ref="AG475" authorId="0">
      <text>
        <r>
          <rPr>
            <b/>
            <sz val="9"/>
            <rFont val="宋体"/>
            <charset val="134"/>
          </rPr>
          <t>Administrator:</t>
        </r>
        <r>
          <rPr>
            <sz val="9"/>
            <rFont val="宋体"/>
            <charset val="134"/>
          </rPr>
          <t xml:space="preserve">
用77606PO换单5000</t>
        </r>
      </text>
    </comment>
    <comment ref="AJ475" authorId="0">
      <text>
        <r>
          <rPr>
            <b/>
            <sz val="9"/>
            <rFont val="宋体"/>
            <charset val="134"/>
          </rPr>
          <t>Administrator:</t>
        </r>
        <r>
          <rPr>
            <sz val="9"/>
            <rFont val="宋体"/>
            <charset val="134"/>
          </rPr>
          <t xml:space="preserve">
10/24 上UPC贴纸5000pcs</t>
        </r>
      </text>
    </comment>
    <comment ref="AG476" authorId="0">
      <text>
        <r>
          <rPr>
            <b/>
            <sz val="9"/>
            <rFont val="宋体"/>
            <charset val="134"/>
          </rPr>
          <t>Administrator:</t>
        </r>
        <r>
          <rPr>
            <sz val="9"/>
            <rFont val="宋体"/>
            <charset val="134"/>
          </rPr>
          <t xml:space="preserve">
4001004 10/20 1185pcs华3B12</t>
        </r>
      </text>
    </comment>
    <comment ref="AJ476" authorId="0">
      <text>
        <r>
          <rPr>
            <b/>
            <sz val="9"/>
            <rFont val="宋体"/>
            <charset val="134"/>
          </rPr>
          <t>Administrator:</t>
        </r>
        <r>
          <rPr>
            <sz val="9"/>
            <rFont val="宋体"/>
            <charset val="134"/>
          </rPr>
          <t xml:space="preserve">
WEEE电子产品说明书30L(带电池走货B版)1182pcs
</t>
        </r>
      </text>
    </comment>
    <comment ref="AG477" authorId="0">
      <text>
        <r>
          <rPr>
            <b/>
            <sz val="9"/>
            <rFont val="宋体"/>
            <charset val="134"/>
          </rPr>
          <t>Administrator:</t>
        </r>
        <r>
          <rPr>
            <sz val="9"/>
            <rFont val="宋体"/>
            <charset val="134"/>
          </rPr>
          <t xml:space="preserve">
4001005 10/20 780pcs华3A20</t>
        </r>
      </text>
    </comment>
    <comment ref="AJ477" authorId="0">
      <text>
        <r>
          <rPr>
            <b/>
            <sz val="9"/>
            <rFont val="宋体"/>
            <charset val="134"/>
          </rPr>
          <t>Administrator:</t>
        </r>
        <r>
          <rPr>
            <sz val="9"/>
            <rFont val="宋体"/>
            <charset val="134"/>
          </rPr>
          <t xml:space="preserve">
WEEE电子产品说明书30L(带电池走货B版)780pcs
9/23 上Kinderherz 贴纸780pcs
</t>
        </r>
      </text>
    </comment>
    <comment ref="AG478" authorId="0">
      <text>
        <r>
          <rPr>
            <b/>
            <sz val="9"/>
            <rFont val="宋体"/>
            <charset val="134"/>
          </rPr>
          <t>Administrator:</t>
        </r>
        <r>
          <rPr>
            <sz val="9"/>
            <rFont val="宋体"/>
            <charset val="134"/>
          </rPr>
          <t xml:space="preserve">
4001005 10/20 720pcs
华3A21</t>
        </r>
      </text>
    </comment>
    <comment ref="AJ478" authorId="0">
      <text>
        <r>
          <rPr>
            <b/>
            <sz val="9"/>
            <rFont val="宋体"/>
            <charset val="134"/>
          </rPr>
          <t>Administrator:</t>
        </r>
        <r>
          <rPr>
            <sz val="9"/>
            <rFont val="宋体"/>
            <charset val="134"/>
          </rPr>
          <t xml:space="preserve">
WEEE电子产品说明书30L(带电池走货B版)720pcs
</t>
        </r>
      </text>
    </comment>
    <comment ref="AG479" authorId="0">
      <text>
        <r>
          <rPr>
            <b/>
            <sz val="9"/>
            <rFont val="宋体"/>
            <charset val="134"/>
          </rPr>
          <t>Administrator:</t>
        </r>
        <r>
          <rPr>
            <sz val="9"/>
            <rFont val="宋体"/>
            <charset val="134"/>
          </rPr>
          <t xml:space="preserve">
</t>
        </r>
        <r>
          <rPr>
            <sz val="12"/>
            <rFont val="宋体"/>
            <charset val="134"/>
          </rPr>
          <t>4000988 10/16 7920pcs
华一F4-5-12
4000991 10/16 10080pcs华一F4-5-12
4000995 10/17 4840pcs
4000993 10/17 19440pcs华一B3. 一A4
4000996 10/18 720pcs华一B3</t>
        </r>
      </text>
    </comment>
    <comment ref="AJ479" authorId="0">
      <text>
        <r>
          <rPr>
            <b/>
            <sz val="9"/>
            <rFont val="宋体"/>
            <charset val="134"/>
          </rPr>
          <t>Administrator:</t>
        </r>
        <r>
          <rPr>
            <sz val="9"/>
            <rFont val="宋体"/>
            <charset val="134"/>
          </rPr>
          <t xml:space="preserve">
9/23 上客供外箱条码贴纸10858pcs
</t>
        </r>
      </text>
    </comment>
    <comment ref="AG480" authorId="0">
      <text>
        <r>
          <rPr>
            <b/>
            <sz val="9"/>
            <rFont val="宋体"/>
            <charset val="134"/>
          </rPr>
          <t>Administrator:</t>
        </r>
        <r>
          <rPr>
            <sz val="9"/>
            <rFont val="宋体"/>
            <charset val="134"/>
          </rPr>
          <t xml:space="preserve">
4001006 10/21 352pcs
华一F5</t>
        </r>
      </text>
    </comment>
    <comment ref="AG481" authorId="0">
      <text>
        <r>
          <rPr>
            <b/>
            <sz val="9"/>
            <rFont val="宋体"/>
            <charset val="134"/>
          </rPr>
          <t>Administrator:</t>
        </r>
        <r>
          <rPr>
            <sz val="9"/>
            <rFont val="宋体"/>
            <charset val="134"/>
          </rPr>
          <t xml:space="preserve">
4001006 10/21 1748pcs华一F5</t>
        </r>
      </text>
    </comment>
    <comment ref="AG482" authorId="0">
      <text>
        <r>
          <rPr>
            <b/>
            <sz val="9"/>
            <rFont val="宋体"/>
            <charset val="134"/>
          </rPr>
          <t>Administrator:</t>
        </r>
        <r>
          <rPr>
            <sz val="9"/>
            <rFont val="宋体"/>
            <charset val="134"/>
          </rPr>
          <t xml:space="preserve">
4001006 10/21 5000pcs
直走</t>
        </r>
      </text>
    </comment>
    <comment ref="AG483" authorId="0">
      <text>
        <r>
          <rPr>
            <b/>
            <sz val="9"/>
            <rFont val="宋体"/>
            <charset val="134"/>
          </rPr>
          <t>Administrator:</t>
        </r>
        <r>
          <rPr>
            <sz val="9"/>
            <rFont val="宋体"/>
            <charset val="134"/>
          </rPr>
          <t xml:space="preserve">
5000621 10/18 4176pcs华 一F12
5000131 10/22 328pcs
华一F12</t>
        </r>
      </text>
    </comment>
    <comment ref="AG484" authorId="0">
      <text>
        <r>
          <rPr>
            <b/>
            <sz val="9"/>
            <rFont val="宋体"/>
            <charset val="134"/>
          </rPr>
          <t>Administrator:</t>
        </r>
        <r>
          <rPr>
            <sz val="9"/>
            <rFont val="宋体"/>
            <charset val="134"/>
          </rPr>
          <t xml:space="preserve">
5000611 10/18 6812pcs华一F5</t>
        </r>
      </text>
    </comment>
    <comment ref="AJ484" authorId="0">
      <text>
        <r>
          <rPr>
            <b/>
            <sz val="9"/>
            <rFont val="宋体"/>
            <charset val="134"/>
          </rPr>
          <t>Administrator:</t>
        </r>
        <r>
          <rPr>
            <sz val="9"/>
            <rFont val="宋体"/>
            <charset val="134"/>
          </rPr>
          <t xml:space="preserve">
9/9 上客供RFID贴纸6812pcs
</t>
        </r>
      </text>
    </comment>
    <comment ref="AG485" authorId="0">
      <text>
        <r>
          <rPr>
            <b/>
            <sz val="9"/>
            <rFont val="宋体"/>
            <charset val="134"/>
          </rPr>
          <t>Administrator:</t>
        </r>
        <r>
          <rPr>
            <sz val="9"/>
            <rFont val="宋体"/>
            <charset val="134"/>
          </rPr>
          <t xml:space="preserve">
5000616 10/18 5004pcs
华一F11
5000131 10/22 240pcs
一F11</t>
        </r>
      </text>
    </comment>
    <comment ref="AJ485" authorId="0">
      <text>
        <r>
          <rPr>
            <b/>
            <sz val="9"/>
            <rFont val="宋体"/>
            <charset val="134"/>
          </rPr>
          <t>Administrator:</t>
        </r>
        <r>
          <rPr>
            <sz val="9"/>
            <rFont val="宋体"/>
            <charset val="134"/>
          </rPr>
          <t xml:space="preserve">
9/23 上警语贴纸5244pcs
客版贴纸5244pcs
Kinderherz 贴纸5244pcs
9/23 上WEEE30LB 带电池走货说明书5244pcs</t>
        </r>
      </text>
    </comment>
    <comment ref="AG486" authorId="0">
      <text>
        <r>
          <rPr>
            <b/>
            <sz val="9"/>
            <rFont val="宋体"/>
            <charset val="134"/>
          </rPr>
          <t>Administrator:</t>
        </r>
        <r>
          <rPr>
            <sz val="9"/>
            <rFont val="宋体"/>
            <charset val="134"/>
          </rPr>
          <t xml:space="preserve">
5000601 10/17 3980pcs华一F5
5000611 10/18 20pcs华一F5</t>
        </r>
      </text>
    </comment>
    <comment ref="AG487" authorId="0">
      <text>
        <r>
          <rPr>
            <b/>
            <sz val="9"/>
            <rFont val="宋体"/>
            <charset val="134"/>
          </rPr>
          <t>Administrator:</t>
        </r>
        <r>
          <rPr>
            <sz val="9"/>
            <rFont val="宋体"/>
            <charset val="134"/>
          </rPr>
          <t xml:space="preserve">
5000135 10/22 8740pcs
华一F7.F9
5000132 10/22 8260pcs华一F7.一F9
</t>
        </r>
      </text>
    </comment>
    <comment ref="AJ487" authorId="0">
      <text>
        <r>
          <rPr>
            <b/>
            <sz val="9"/>
            <rFont val="宋体"/>
            <charset val="134"/>
          </rPr>
          <t>Administrator:</t>
        </r>
        <r>
          <rPr>
            <sz val="9"/>
            <rFont val="宋体"/>
            <charset val="134"/>
          </rPr>
          <t xml:space="preserve">
9/29 上客供外箱条码贴纸4293PCS</t>
        </r>
      </text>
    </comment>
    <comment ref="AG488" authorId="0">
      <text>
        <r>
          <rPr>
            <b/>
            <sz val="9"/>
            <rFont val="宋体"/>
            <charset val="134"/>
          </rPr>
          <t>Administrator:</t>
        </r>
        <r>
          <rPr>
            <sz val="9"/>
            <rFont val="宋体"/>
            <charset val="134"/>
          </rPr>
          <t xml:space="preserve">
5000150 10/23 1200pcs华3B12</t>
        </r>
      </text>
    </comment>
    <comment ref="AJ488" authorId="0">
      <text>
        <r>
          <rPr>
            <b/>
            <sz val="9"/>
            <rFont val="宋体"/>
            <charset val="134"/>
          </rPr>
          <t>Administrator:</t>
        </r>
        <r>
          <rPr>
            <sz val="9"/>
            <rFont val="宋体"/>
            <charset val="134"/>
          </rPr>
          <t xml:space="preserve">
9/25 上进口商贴纸1200pcs</t>
        </r>
      </text>
    </comment>
    <comment ref="AG489" authorId="0">
      <text>
        <r>
          <rPr>
            <b/>
            <sz val="9"/>
            <rFont val="宋体"/>
            <charset val="134"/>
          </rPr>
          <t>Administrator:</t>
        </r>
        <r>
          <rPr>
            <sz val="9"/>
            <rFont val="宋体"/>
            <charset val="134"/>
          </rPr>
          <t xml:space="preserve">
5000178 10/24 2000pcs华3A31</t>
        </r>
      </text>
    </comment>
    <comment ref="AJ489" authorId="0">
      <text>
        <r>
          <rPr>
            <b/>
            <sz val="9"/>
            <rFont val="宋体"/>
            <charset val="134"/>
          </rPr>
          <t>Administrator:</t>
        </r>
        <r>
          <rPr>
            <sz val="9"/>
            <rFont val="宋体"/>
            <charset val="134"/>
          </rPr>
          <t xml:space="preserve">
9/26 多语折叠警语贴纸3500pcs
两个同PO共用
9/29 上WEEE带电池走货说明书3500pcs
</t>
        </r>
      </text>
    </comment>
    <comment ref="AG490" authorId="0">
      <text>
        <r>
          <rPr>
            <b/>
            <sz val="9"/>
            <rFont val="宋体"/>
            <charset val="134"/>
          </rPr>
          <t>Administrator:</t>
        </r>
        <r>
          <rPr>
            <sz val="9"/>
            <rFont val="宋体"/>
            <charset val="134"/>
          </rPr>
          <t xml:space="preserve">
4001013 10/24 1500pcs华3B8</t>
        </r>
      </text>
    </comment>
    <comment ref="AG491" authorId="0">
      <text>
        <r>
          <rPr>
            <b/>
            <sz val="9"/>
            <rFont val="宋体"/>
            <charset val="134"/>
          </rPr>
          <t>Administrator:</t>
        </r>
        <r>
          <rPr>
            <sz val="9"/>
            <rFont val="宋体"/>
            <charset val="134"/>
          </rPr>
          <t xml:space="preserve">
4001009 10/22 1002pcs华一F5</t>
        </r>
      </text>
    </comment>
    <comment ref="AJ491" authorId="0">
      <text>
        <r>
          <rPr>
            <b/>
            <sz val="9"/>
            <rFont val="宋体"/>
            <charset val="134"/>
          </rPr>
          <t>Administrator:</t>
        </r>
        <r>
          <rPr>
            <sz val="9"/>
            <rFont val="宋体"/>
            <charset val="134"/>
          </rPr>
          <t xml:space="preserve">
9/29 上进口商贴纸1002pcs
WEEE带电池走货说明书1002pcs</t>
        </r>
      </text>
    </comment>
    <comment ref="AG492" authorId="0">
      <text>
        <r>
          <rPr>
            <b/>
            <sz val="9"/>
            <rFont val="宋体"/>
            <charset val="134"/>
          </rPr>
          <t>Administrator:</t>
        </r>
        <r>
          <rPr>
            <sz val="9"/>
            <rFont val="宋体"/>
            <charset val="134"/>
          </rPr>
          <t xml:space="preserve">
4001009 10/22 6000pcs
华一F5</t>
        </r>
      </text>
    </comment>
    <comment ref="AG493" authorId="0">
      <text>
        <r>
          <rPr>
            <b/>
            <sz val="9"/>
            <rFont val="宋体"/>
            <charset val="134"/>
          </rPr>
          <t>Administrator:</t>
        </r>
        <r>
          <rPr>
            <sz val="9"/>
            <rFont val="宋体"/>
            <charset val="134"/>
          </rPr>
          <t xml:space="preserve">
4001043 10/28 8012pcs
华一F7
3000117 10/28 5040pcs华一F7</t>
        </r>
      </text>
    </comment>
    <comment ref="AJ493" authorId="0">
      <text>
        <r>
          <rPr>
            <b/>
            <sz val="9"/>
            <rFont val="宋体"/>
            <charset val="134"/>
          </rPr>
          <t>Administrator:</t>
        </r>
        <r>
          <rPr>
            <sz val="9"/>
            <rFont val="宋体"/>
            <charset val="134"/>
          </rPr>
          <t xml:space="preserve">
9/9 上客供RFID贴纸13052pcs
</t>
        </r>
      </text>
    </comment>
    <comment ref="AG494" authorId="0">
      <text>
        <r>
          <rPr>
            <b/>
            <sz val="9"/>
            <rFont val="宋体"/>
            <charset val="134"/>
          </rPr>
          <t>Administrator:</t>
        </r>
        <r>
          <rPr>
            <sz val="9"/>
            <rFont val="宋体"/>
            <charset val="134"/>
          </rPr>
          <t xml:space="preserve">
3000117 10/28 10192pcs
华一F4</t>
        </r>
      </text>
    </comment>
    <comment ref="AJ494" authorId="0">
      <text>
        <r>
          <rPr>
            <b/>
            <sz val="9"/>
            <rFont val="宋体"/>
            <charset val="134"/>
          </rPr>
          <t>Administrator:</t>
        </r>
        <r>
          <rPr>
            <sz val="9"/>
            <rFont val="宋体"/>
            <charset val="134"/>
          </rPr>
          <t xml:space="preserve">
9/9 上客供RFID贴纸10192pcs
</t>
        </r>
      </text>
    </comment>
    <comment ref="AG495" authorId="0">
      <text>
        <r>
          <rPr>
            <b/>
            <sz val="9"/>
            <rFont val="宋体"/>
            <charset val="134"/>
          </rPr>
          <t>Administrator:</t>
        </r>
        <r>
          <rPr>
            <sz val="9"/>
            <rFont val="宋体"/>
            <charset val="134"/>
          </rPr>
          <t xml:space="preserve">
4001043 10/28 3840pcs华一F12</t>
        </r>
      </text>
    </comment>
    <comment ref="AJ495" authorId="0">
      <text>
        <r>
          <rPr>
            <b/>
            <sz val="9"/>
            <rFont val="宋体"/>
            <charset val="134"/>
          </rPr>
          <t>Administrator:</t>
        </r>
        <r>
          <rPr>
            <sz val="9"/>
            <rFont val="宋体"/>
            <charset val="134"/>
          </rPr>
          <t xml:space="preserve">
9/29 上客供RFID贴纸3840PCS
</t>
        </r>
      </text>
    </comment>
    <comment ref="AG496" authorId="0">
      <text>
        <r>
          <rPr>
            <b/>
            <sz val="9"/>
            <rFont val="宋体"/>
            <charset val="134"/>
          </rPr>
          <t>Administrator:</t>
        </r>
        <r>
          <rPr>
            <sz val="9"/>
            <rFont val="宋体"/>
            <charset val="134"/>
          </rPr>
          <t xml:space="preserve">
4001044 10/28 3200pcs华一F12</t>
        </r>
      </text>
    </comment>
    <comment ref="AJ496" authorId="0">
      <text>
        <r>
          <rPr>
            <b/>
            <sz val="9"/>
            <rFont val="宋体"/>
            <charset val="134"/>
          </rPr>
          <t>Administrator:</t>
        </r>
        <r>
          <rPr>
            <sz val="9"/>
            <rFont val="宋体"/>
            <charset val="134"/>
          </rPr>
          <t xml:space="preserve">
9/29 上客供RFID贴纸3200PCS</t>
        </r>
      </text>
    </comment>
    <comment ref="AG497" authorId="0">
      <text>
        <r>
          <rPr>
            <b/>
            <sz val="9"/>
            <rFont val="宋体"/>
            <charset val="134"/>
          </rPr>
          <t>Administrator:</t>
        </r>
        <r>
          <rPr>
            <sz val="9"/>
            <rFont val="宋体"/>
            <charset val="134"/>
          </rPr>
          <t xml:space="preserve">
4001044 10/28 3520pcs
华一F11-12</t>
        </r>
      </text>
    </comment>
    <comment ref="AJ497" authorId="0">
      <text>
        <r>
          <rPr>
            <b/>
            <sz val="9"/>
            <rFont val="宋体"/>
            <charset val="134"/>
          </rPr>
          <t>Administrator:</t>
        </r>
        <r>
          <rPr>
            <sz val="9"/>
            <rFont val="宋体"/>
            <charset val="134"/>
          </rPr>
          <t xml:space="preserve">
9/29 上客供RFID贴纸3520PCS</t>
        </r>
      </text>
    </comment>
    <comment ref="AG498" authorId="0">
      <text>
        <r>
          <rPr>
            <b/>
            <sz val="9"/>
            <rFont val="宋体"/>
            <charset val="134"/>
          </rPr>
          <t>Administrator:</t>
        </r>
        <r>
          <rPr>
            <sz val="9"/>
            <rFont val="宋体"/>
            <charset val="134"/>
          </rPr>
          <t xml:space="preserve">
4001043 10/28 2560pcs
华一F12</t>
        </r>
      </text>
    </comment>
    <comment ref="AJ498" authorId="0">
      <text>
        <r>
          <rPr>
            <b/>
            <sz val="9"/>
            <rFont val="宋体"/>
            <charset val="134"/>
          </rPr>
          <t>Administrator:</t>
        </r>
        <r>
          <rPr>
            <sz val="9"/>
            <rFont val="宋体"/>
            <charset val="134"/>
          </rPr>
          <t xml:space="preserve">
9/29 上客供RFID贴纸2560PCS</t>
        </r>
      </text>
    </comment>
    <comment ref="AG499" authorId="0">
      <text>
        <r>
          <rPr>
            <b/>
            <sz val="9"/>
            <rFont val="宋体"/>
            <charset val="134"/>
          </rPr>
          <t>Administrator:</t>
        </r>
        <r>
          <rPr>
            <sz val="9"/>
            <rFont val="宋体"/>
            <charset val="134"/>
          </rPr>
          <t xml:space="preserve">
4001052 10/30 4980pcs
4001068 10/31 20pcs华3A28</t>
        </r>
      </text>
    </comment>
    <comment ref="AJ499" authorId="0">
      <text>
        <r>
          <rPr>
            <b/>
            <sz val="9"/>
            <rFont val="宋体"/>
            <charset val="134"/>
          </rPr>
          <t>Administrator:</t>
        </r>
        <r>
          <rPr>
            <sz val="9"/>
            <rFont val="宋体"/>
            <charset val="134"/>
          </rPr>
          <t xml:space="preserve">
9/30 上UPC贴纸5000ｐｃｓ</t>
        </r>
      </text>
    </comment>
    <comment ref="AG500" authorId="0">
      <text>
        <r>
          <rPr>
            <b/>
            <sz val="9"/>
            <rFont val="宋体"/>
            <charset val="134"/>
          </rPr>
          <t>Administrator:</t>
        </r>
        <r>
          <rPr>
            <sz val="9"/>
            <rFont val="宋体"/>
            <charset val="134"/>
          </rPr>
          <t xml:space="preserve">
4001051 10/29 1504pcsB栋四楼4-B7</t>
        </r>
      </text>
    </comment>
    <comment ref="AJ500" authorId="0">
      <text>
        <r>
          <rPr>
            <b/>
            <sz val="9"/>
            <rFont val="宋体"/>
            <charset val="134"/>
          </rPr>
          <t>Administrator:</t>
        </r>
        <r>
          <rPr>
            <sz val="9"/>
            <rFont val="宋体"/>
            <charset val="134"/>
          </rPr>
          <t xml:space="preserve">
9/30 上B版WEEE带电池走货说明书1504ｐｃｓ</t>
        </r>
      </text>
    </comment>
    <comment ref="AG501" authorId="0">
      <text>
        <r>
          <rPr>
            <b/>
            <sz val="9"/>
            <rFont val="宋体"/>
            <charset val="134"/>
          </rPr>
          <t>Administrator:</t>
        </r>
        <r>
          <rPr>
            <sz val="9"/>
            <rFont val="宋体"/>
            <charset val="134"/>
          </rPr>
          <t xml:space="preserve">
4001051 10/29 2880pcsB栋四楼4-A4
4001052 10/30 3120pcs
</t>
        </r>
      </text>
    </comment>
    <comment ref="AG502" authorId="0">
      <text>
        <r>
          <rPr>
            <b/>
            <sz val="9"/>
            <rFont val="宋体"/>
            <charset val="134"/>
          </rPr>
          <t>Administrator:</t>
        </r>
        <r>
          <rPr>
            <sz val="9"/>
            <rFont val="宋体"/>
            <charset val="134"/>
          </rPr>
          <t xml:space="preserve">
4001071 10/31 1572pcs华3B12
</t>
        </r>
      </text>
    </comment>
    <comment ref="AG503" authorId="0">
      <text>
        <r>
          <rPr>
            <b/>
            <sz val="9"/>
            <rFont val="宋体"/>
            <charset val="134"/>
          </rPr>
          <t>Administrator:</t>
        </r>
        <r>
          <rPr>
            <sz val="9"/>
            <rFont val="宋体"/>
            <charset val="134"/>
          </rPr>
          <t xml:space="preserve">
4001068 10/31 3520pcs华一F5</t>
        </r>
      </text>
    </comment>
    <comment ref="AJ503" authorId="0">
      <text>
        <r>
          <rPr>
            <b/>
            <sz val="9"/>
            <rFont val="宋体"/>
            <charset val="134"/>
          </rPr>
          <t>Administrator:</t>
        </r>
        <r>
          <rPr>
            <sz val="9"/>
            <rFont val="宋体"/>
            <charset val="134"/>
          </rPr>
          <t xml:space="preserve">
9/29 上客供RFID贴纸3520PCS</t>
        </r>
      </text>
    </comment>
    <comment ref="AG504" authorId="0">
      <text>
        <r>
          <rPr>
            <b/>
            <sz val="9"/>
            <rFont val="宋体"/>
            <charset val="134"/>
          </rPr>
          <t>Administrator:</t>
        </r>
        <r>
          <rPr>
            <sz val="9"/>
            <rFont val="宋体"/>
            <charset val="134"/>
          </rPr>
          <t xml:space="preserve">
4001068 10/31 1920pcs华一F5
</t>
        </r>
      </text>
    </comment>
    <comment ref="AJ504" authorId="0">
      <text>
        <r>
          <rPr>
            <b/>
            <sz val="9"/>
            <rFont val="宋体"/>
            <charset val="134"/>
          </rPr>
          <t>Administrator:</t>
        </r>
        <r>
          <rPr>
            <sz val="9"/>
            <rFont val="宋体"/>
            <charset val="134"/>
          </rPr>
          <t xml:space="preserve">
9/29 上客供RFID贴纸1920PCS</t>
        </r>
      </text>
    </comment>
    <comment ref="AG505" authorId="0">
      <text>
        <r>
          <rPr>
            <b/>
            <sz val="9"/>
            <rFont val="宋体"/>
            <charset val="134"/>
          </rPr>
          <t>Administrator:</t>
        </r>
        <r>
          <rPr>
            <sz val="9"/>
            <rFont val="宋体"/>
            <charset val="134"/>
          </rPr>
          <t xml:space="preserve">
4001076 10/31 3000华一F5
</t>
        </r>
      </text>
    </comment>
    <comment ref="AJ505" authorId="0">
      <text>
        <r>
          <rPr>
            <b/>
            <sz val="9"/>
            <rFont val="宋体"/>
            <charset val="134"/>
          </rPr>
          <t>Administrator:</t>
        </r>
        <r>
          <rPr>
            <sz val="9"/>
            <rFont val="宋体"/>
            <charset val="134"/>
          </rPr>
          <t xml:space="preserve">
10/14 上小纽扣电池警告语贴纸3000pcs
大纽扣电池警告语贴纸6000pcs</t>
        </r>
      </text>
    </comment>
    <comment ref="AG506" authorId="0">
      <text>
        <r>
          <rPr>
            <b/>
            <sz val="9"/>
            <rFont val="宋体"/>
            <charset val="134"/>
          </rPr>
          <t>Administrator:</t>
        </r>
        <r>
          <rPr>
            <sz val="9"/>
            <rFont val="宋体"/>
            <charset val="134"/>
          </rPr>
          <t xml:space="preserve">
4001081 11/1 504pcs</t>
        </r>
      </text>
    </comment>
    <comment ref="AJ506" authorId="0">
      <text>
        <r>
          <rPr>
            <b/>
            <sz val="9"/>
            <rFont val="宋体"/>
            <charset val="134"/>
          </rPr>
          <t>Administrator:</t>
        </r>
        <r>
          <rPr>
            <sz val="9"/>
            <rFont val="宋体"/>
            <charset val="134"/>
          </rPr>
          <t xml:space="preserve">
10/14 上WEEE电子产品说明书30L(带电池走货B版504
UPC贴纸504pcs
获奖贴纸504pcs
10/16 上多语折叠警告语贴纸504pcs
10/28 上亚马逊外箱贴纸42ｐｃｓ</t>
        </r>
      </text>
    </comment>
    <comment ref="AG507" authorId="0">
      <text>
        <r>
          <rPr>
            <b/>
            <sz val="9"/>
            <rFont val="宋体"/>
            <charset val="134"/>
          </rPr>
          <t>Administrator:</t>
        </r>
        <r>
          <rPr>
            <sz val="9"/>
            <rFont val="宋体"/>
            <charset val="134"/>
          </rPr>
          <t xml:space="preserve">
4001086 11/04 1888pcs华3B12</t>
        </r>
      </text>
    </comment>
    <comment ref="AJ507" authorId="0">
      <text>
        <r>
          <rPr>
            <b/>
            <sz val="9"/>
            <rFont val="宋体"/>
            <charset val="134"/>
          </rPr>
          <t>Administrator:</t>
        </r>
        <r>
          <rPr>
            <sz val="9"/>
            <rFont val="宋体"/>
            <charset val="134"/>
          </rPr>
          <t xml:space="preserve">
9/20 上进口商贴纸1888pcs</t>
        </r>
      </text>
    </comment>
    <comment ref="AG508" authorId="0">
      <text>
        <r>
          <rPr>
            <b/>
            <sz val="9"/>
            <rFont val="宋体"/>
            <charset val="134"/>
          </rPr>
          <t>Administrator:</t>
        </r>
        <r>
          <rPr>
            <sz val="9"/>
            <rFont val="宋体"/>
            <charset val="134"/>
          </rPr>
          <t xml:space="preserve">
4001081 11/1 504pcs
</t>
        </r>
      </text>
    </comment>
    <comment ref="AG509" authorId="0">
      <text>
        <r>
          <rPr>
            <b/>
            <sz val="9"/>
            <rFont val="宋体"/>
            <charset val="134"/>
          </rPr>
          <t>Administrator:</t>
        </r>
        <r>
          <rPr>
            <sz val="9"/>
            <rFont val="宋体"/>
            <charset val="134"/>
          </rPr>
          <t xml:space="preserve">
4001091 11/5 14688pcs华一F4</t>
        </r>
      </text>
    </comment>
    <comment ref="AJ509" authorId="0">
      <text>
        <r>
          <rPr>
            <b/>
            <sz val="9"/>
            <rFont val="宋体"/>
            <charset val="134"/>
          </rPr>
          <t>Administrator:</t>
        </r>
        <r>
          <rPr>
            <sz val="9"/>
            <rFont val="宋体"/>
            <charset val="134"/>
          </rPr>
          <t xml:space="preserve">
10/22 WEEE_带电池走货 _ 说明书欧洲EN+30L-B版14688pcs</t>
        </r>
      </text>
    </comment>
    <comment ref="AG510" authorId="0">
      <text>
        <r>
          <rPr>
            <b/>
            <sz val="9"/>
            <rFont val="宋体"/>
            <charset val="134"/>
          </rPr>
          <t>Administrator:</t>
        </r>
        <r>
          <rPr>
            <sz val="9"/>
            <rFont val="宋体"/>
            <charset val="134"/>
          </rPr>
          <t xml:space="preserve">
4001091 11/5 1200pcs华一F9
4001094 11/7 2052pcs
华一F9</t>
        </r>
      </text>
    </comment>
    <comment ref="AG511" authorId="0">
      <text>
        <r>
          <rPr>
            <b/>
            <sz val="9"/>
            <rFont val="宋体"/>
            <charset val="134"/>
          </rPr>
          <t>Administrator:</t>
        </r>
        <r>
          <rPr>
            <sz val="9"/>
            <rFont val="宋体"/>
            <charset val="134"/>
          </rPr>
          <t xml:space="preserve">
4001094 11/7 1752pcs华一F3</t>
        </r>
      </text>
    </comment>
    <comment ref="AG512" authorId="0">
      <text>
        <r>
          <rPr>
            <b/>
            <sz val="9"/>
            <rFont val="宋体"/>
            <charset val="134"/>
          </rPr>
          <t>Administrator:</t>
        </r>
        <r>
          <rPr>
            <sz val="9"/>
            <rFont val="宋体"/>
            <charset val="134"/>
          </rPr>
          <t xml:space="preserve">
4001091 11/5 368pcs华一F3
</t>
        </r>
      </text>
    </comment>
    <comment ref="AJ512" authorId="0">
      <text>
        <r>
          <rPr>
            <b/>
            <sz val="9"/>
            <rFont val="宋体"/>
            <charset val="134"/>
          </rPr>
          <t>Administrator:</t>
        </r>
        <r>
          <rPr>
            <sz val="9"/>
            <rFont val="宋体"/>
            <charset val="134"/>
          </rPr>
          <t xml:space="preserve">
9/26 上客供警语贴纸384pcs
客供电池警告语贴纸384pcs
客供中文警告语贴纸384pcs</t>
        </r>
      </text>
    </comment>
    <comment ref="AG514" authorId="0">
      <text>
        <r>
          <rPr>
            <b/>
            <sz val="9"/>
            <rFont val="宋体"/>
            <charset val="134"/>
          </rPr>
          <t>Administrator:</t>
        </r>
        <r>
          <rPr>
            <sz val="9"/>
            <rFont val="宋体"/>
            <charset val="134"/>
          </rPr>
          <t xml:space="preserve">
4000950 9/29 60pcs
兴信</t>
        </r>
      </text>
    </comment>
    <comment ref="AG515" authorId="0">
      <text>
        <r>
          <rPr>
            <b/>
            <sz val="9"/>
            <rFont val="宋体"/>
            <charset val="134"/>
          </rPr>
          <t>Administrator:</t>
        </r>
        <r>
          <rPr>
            <sz val="9"/>
            <rFont val="宋体"/>
            <charset val="134"/>
          </rPr>
          <t xml:space="preserve">
4001005 10/20 192pcs
兴信</t>
        </r>
      </text>
    </comment>
    <comment ref="AG516" authorId="0">
      <text>
        <r>
          <rPr>
            <b/>
            <sz val="9"/>
            <rFont val="宋体"/>
            <charset val="134"/>
          </rPr>
          <t>Administrator:</t>
        </r>
        <r>
          <rPr>
            <sz val="9"/>
            <rFont val="宋体"/>
            <charset val="134"/>
          </rPr>
          <t xml:space="preserve">
4001107 11/12 720pcs华3B8</t>
        </r>
      </text>
    </comment>
    <comment ref="AJ516" authorId="0">
      <text>
        <r>
          <rPr>
            <b/>
            <sz val="9"/>
            <rFont val="宋体"/>
            <charset val="134"/>
          </rPr>
          <t>Administrator:</t>
        </r>
        <r>
          <rPr>
            <sz val="9"/>
            <rFont val="宋体"/>
            <charset val="134"/>
          </rPr>
          <t xml:space="preserve">
9/26 上客供警语贴纸1488pcs
客供电池警告语贴纸1488pcs
客供中文警告语贴纸750pcs
</t>
        </r>
      </text>
    </comment>
    <comment ref="AG517" authorId="0">
      <text>
        <r>
          <rPr>
            <b/>
            <sz val="9"/>
            <rFont val="宋体"/>
            <charset val="134"/>
          </rPr>
          <t>Administrator:</t>
        </r>
        <r>
          <rPr>
            <sz val="9"/>
            <rFont val="宋体"/>
            <charset val="134"/>
          </rPr>
          <t xml:space="preserve">
4001106 11/11 3120pcs华1A4
4001105 11/11 3600pcs华1A4</t>
        </r>
      </text>
    </comment>
    <comment ref="AJ517" authorId="0">
      <text>
        <r>
          <rPr>
            <b/>
            <sz val="9"/>
            <rFont val="宋体"/>
            <charset val="134"/>
          </rPr>
          <t>Administrator:</t>
        </r>
        <r>
          <rPr>
            <sz val="9"/>
            <rFont val="宋体"/>
            <charset val="134"/>
          </rPr>
          <t xml:space="preserve">
10/17 上客供RFID贴纸6720pcs</t>
        </r>
      </text>
    </comment>
    <comment ref="AG518" authorId="0">
      <text>
        <r>
          <rPr>
            <b/>
            <sz val="9"/>
            <rFont val="宋体"/>
            <charset val="134"/>
          </rPr>
          <t>Administrator:</t>
        </r>
        <r>
          <rPr>
            <sz val="9"/>
            <rFont val="宋体"/>
            <charset val="134"/>
          </rPr>
          <t xml:space="preserve">
4001106 11/11 5760pcs
华1A4
</t>
        </r>
      </text>
    </comment>
    <comment ref="AJ518" authorId="0">
      <text>
        <r>
          <rPr>
            <b/>
            <sz val="9"/>
            <rFont val="宋体"/>
            <charset val="134"/>
          </rPr>
          <t>Administrator:</t>
        </r>
        <r>
          <rPr>
            <sz val="9"/>
            <rFont val="宋体"/>
            <charset val="134"/>
          </rPr>
          <t xml:space="preserve">
10/17 上客供RFID贴纸5760pcs
</t>
        </r>
      </text>
    </comment>
    <comment ref="AG519" authorId="0">
      <text>
        <r>
          <rPr>
            <b/>
            <sz val="9"/>
            <rFont val="宋体"/>
            <charset val="134"/>
          </rPr>
          <t>Administrator:</t>
        </r>
        <r>
          <rPr>
            <sz val="9"/>
            <rFont val="宋体"/>
            <charset val="134"/>
          </rPr>
          <t xml:space="preserve">
4001106 11/11 4800pcs
华1A4
</t>
        </r>
      </text>
    </comment>
    <comment ref="AJ519" authorId="0">
      <text>
        <r>
          <rPr>
            <b/>
            <sz val="9"/>
            <rFont val="宋体"/>
            <charset val="134"/>
          </rPr>
          <t>Administrator:</t>
        </r>
        <r>
          <rPr>
            <sz val="9"/>
            <rFont val="宋体"/>
            <charset val="134"/>
          </rPr>
          <t xml:space="preserve">
10/17 上客供RFID贴纸4800pcs
</t>
        </r>
      </text>
    </comment>
    <comment ref="AG520" authorId="0">
      <text>
        <r>
          <rPr>
            <b/>
            <sz val="9"/>
            <rFont val="宋体"/>
            <charset val="134"/>
          </rPr>
          <t>Administrator:</t>
        </r>
        <r>
          <rPr>
            <sz val="9"/>
            <rFont val="宋体"/>
            <charset val="134"/>
          </rPr>
          <t xml:space="preserve">
4001107 11/12 4480pcs华一F5
</t>
        </r>
      </text>
    </comment>
    <comment ref="AJ520" authorId="0">
      <text>
        <r>
          <rPr>
            <b/>
            <sz val="9"/>
            <rFont val="宋体"/>
            <charset val="134"/>
          </rPr>
          <t>Administrator:</t>
        </r>
        <r>
          <rPr>
            <sz val="9"/>
            <rFont val="宋体"/>
            <charset val="134"/>
          </rPr>
          <t xml:space="preserve">
10/17 上客供RFID贴纸4480pcs
</t>
        </r>
      </text>
    </comment>
    <comment ref="AG521" authorId="0">
      <text>
        <r>
          <rPr>
            <b/>
            <sz val="9"/>
            <rFont val="宋体"/>
            <charset val="134"/>
          </rPr>
          <t>Administrator:</t>
        </r>
        <r>
          <rPr>
            <sz val="9"/>
            <rFont val="宋体"/>
            <charset val="134"/>
          </rPr>
          <t xml:space="preserve">
4001107 11/12 3520pcs华一F5
</t>
        </r>
      </text>
    </comment>
    <comment ref="AJ521" authorId="0">
      <text>
        <r>
          <rPr>
            <b/>
            <sz val="9"/>
            <rFont val="宋体"/>
            <charset val="134"/>
          </rPr>
          <t>Administrator:</t>
        </r>
        <r>
          <rPr>
            <sz val="9"/>
            <rFont val="宋体"/>
            <charset val="134"/>
          </rPr>
          <t xml:space="preserve">
10/17 上客供RFID贴纸3520pcs
</t>
        </r>
      </text>
    </comment>
    <comment ref="AG522" authorId="0">
      <text>
        <r>
          <rPr>
            <b/>
            <sz val="9"/>
            <rFont val="宋体"/>
            <charset val="134"/>
          </rPr>
          <t>Administrator:</t>
        </r>
        <r>
          <rPr>
            <sz val="9"/>
            <rFont val="宋体"/>
            <charset val="134"/>
          </rPr>
          <t xml:space="preserve">
4001106 11/11 3600pcs
华1A4
4001107 11/12 560pcs华一F4
</t>
        </r>
      </text>
    </comment>
    <comment ref="AJ522" authorId="0">
      <text>
        <r>
          <rPr>
            <b/>
            <sz val="9"/>
            <rFont val="宋体"/>
            <charset val="134"/>
          </rPr>
          <t>Administrator:</t>
        </r>
        <r>
          <rPr>
            <sz val="9"/>
            <rFont val="宋体"/>
            <charset val="134"/>
          </rPr>
          <t xml:space="preserve">
10/17 上客供RFID贴纸4160pcs
</t>
        </r>
      </text>
    </comment>
    <comment ref="AG523" authorId="0">
      <text>
        <r>
          <rPr>
            <b/>
            <sz val="9"/>
            <rFont val="宋体"/>
            <charset val="134"/>
          </rPr>
          <t>Administrator:</t>
        </r>
        <r>
          <rPr>
            <sz val="9"/>
            <rFont val="宋体"/>
            <charset val="134"/>
          </rPr>
          <t xml:space="preserve">
4001107 11/12 5440pcs华一F4
</t>
        </r>
      </text>
    </comment>
    <comment ref="AJ523" authorId="0">
      <text>
        <r>
          <rPr>
            <b/>
            <sz val="9"/>
            <rFont val="宋体"/>
            <charset val="134"/>
          </rPr>
          <t>Administrator:</t>
        </r>
        <r>
          <rPr>
            <sz val="9"/>
            <rFont val="宋体"/>
            <charset val="134"/>
          </rPr>
          <t xml:space="preserve">
10/17 上客供RFID贴纸5440pcs
</t>
        </r>
      </text>
    </comment>
    <comment ref="AG524" authorId="0">
      <text>
        <r>
          <rPr>
            <b/>
            <sz val="9"/>
            <rFont val="宋体"/>
            <charset val="134"/>
          </rPr>
          <t>Administrator:</t>
        </r>
        <r>
          <rPr>
            <sz val="9"/>
            <rFont val="宋体"/>
            <charset val="134"/>
          </rPr>
          <t xml:space="preserve">
4001071 10/31 512pcs华3B14</t>
        </r>
      </text>
    </comment>
    <comment ref="AJ524" authorId="0">
      <text>
        <r>
          <rPr>
            <b/>
            <sz val="9"/>
            <rFont val="宋体"/>
            <charset val="134"/>
          </rPr>
          <t>Administrator:</t>
        </r>
        <r>
          <rPr>
            <sz val="9"/>
            <rFont val="宋体"/>
            <charset val="134"/>
          </rPr>
          <t xml:space="preserve">
10/14 上WEEE带电池走货欧洲30语通用黑白说明书512pcs</t>
        </r>
      </text>
    </comment>
    <comment ref="AG525" authorId="0">
      <text>
        <r>
          <rPr>
            <b/>
            <sz val="9"/>
            <rFont val="宋体"/>
            <charset val="134"/>
          </rPr>
          <t>Administrator:</t>
        </r>
        <r>
          <rPr>
            <sz val="9"/>
            <rFont val="宋体"/>
            <charset val="134"/>
          </rPr>
          <t xml:space="preserve">
4001102 11/07 504ｐｃｓB栋 4-B9</t>
        </r>
      </text>
    </comment>
    <comment ref="AJ525" authorId="0">
      <text>
        <r>
          <rPr>
            <b/>
            <sz val="9"/>
            <rFont val="宋体"/>
            <charset val="134"/>
          </rPr>
          <t>Administrator:</t>
        </r>
        <r>
          <rPr>
            <sz val="9"/>
            <rFont val="宋体"/>
            <charset val="134"/>
          </rPr>
          <t xml:space="preserve">
10/28 上客人白色CATLABEL贴纸504ｐｃｓ
B版通用30L WEEE带电池走货说明书５０４ｐｃｓ</t>
        </r>
      </text>
    </comment>
    <comment ref="AG526" authorId="0">
      <text>
        <r>
          <rPr>
            <b/>
            <sz val="9"/>
            <rFont val="宋体"/>
            <charset val="134"/>
          </rPr>
          <t>Administrator:</t>
        </r>
        <r>
          <rPr>
            <sz val="9"/>
            <rFont val="宋体"/>
            <charset val="134"/>
          </rPr>
          <t xml:space="preserve">
4001105 11/11 1952pcs华1A3
</t>
        </r>
      </text>
    </comment>
    <comment ref="AG527" authorId="0">
      <text>
        <r>
          <rPr>
            <b/>
            <sz val="9"/>
            <rFont val="宋体"/>
            <charset val="134"/>
          </rPr>
          <t>Administrator:</t>
        </r>
        <r>
          <rPr>
            <sz val="9"/>
            <rFont val="宋体"/>
            <charset val="134"/>
          </rPr>
          <t xml:space="preserve">
4001105 11/11 1048pcs华1A3</t>
        </r>
      </text>
    </comment>
    <comment ref="AG528" authorId="0">
      <text>
        <r>
          <rPr>
            <b/>
            <sz val="9"/>
            <rFont val="宋体"/>
            <charset val="134"/>
          </rPr>
          <t>Administrator:</t>
        </r>
        <r>
          <rPr>
            <sz val="9"/>
            <rFont val="宋体"/>
            <charset val="134"/>
          </rPr>
          <t xml:space="preserve">
4001107 11/12 1008pcs华3B13
</t>
        </r>
      </text>
    </comment>
    <comment ref="AJ528" authorId="0">
      <text>
        <r>
          <rPr>
            <b/>
            <sz val="9"/>
            <rFont val="宋体"/>
            <charset val="134"/>
          </rPr>
          <t>Administrator:</t>
        </r>
        <r>
          <rPr>
            <sz val="9"/>
            <rFont val="宋体"/>
            <charset val="134"/>
          </rPr>
          <t xml:space="preserve">
10/13 上进口商贴纸1812pcs
两个同PO共用</t>
        </r>
      </text>
    </comment>
    <comment ref="AG529" authorId="0">
      <text>
        <r>
          <rPr>
            <b/>
            <sz val="9"/>
            <rFont val="宋体"/>
            <charset val="134"/>
          </rPr>
          <t>Administrator:</t>
        </r>
        <r>
          <rPr>
            <sz val="9"/>
            <rFont val="宋体"/>
            <charset val="134"/>
          </rPr>
          <t xml:space="preserve">
4001107 11/12 804pcs华3B14
</t>
        </r>
      </text>
    </comment>
    <comment ref="AG530" authorId="0">
      <text>
        <r>
          <rPr>
            <b/>
            <sz val="9"/>
            <rFont val="宋体"/>
            <charset val="134"/>
          </rPr>
          <t>Administrator:</t>
        </r>
        <r>
          <rPr>
            <sz val="9"/>
            <rFont val="宋体"/>
            <charset val="134"/>
          </rPr>
          <t xml:space="preserve">
4001102 11/07 5004ｐｃｓB械四楼-B7</t>
        </r>
      </text>
    </comment>
    <comment ref="AJ530" authorId="0">
      <text>
        <r>
          <rPr>
            <b/>
            <sz val="9"/>
            <rFont val="宋体"/>
            <charset val="134"/>
          </rPr>
          <t>Administrator:</t>
        </r>
        <r>
          <rPr>
            <sz val="9"/>
            <rFont val="宋体"/>
            <charset val="134"/>
          </rPr>
          <t xml:space="preserve">
10/22 上进口商贴纸5004pcs
10/22 WEEE_带电池走货 _ 说明书欧洲EN+30L-B版5004pcs
11/10 上进口商贴纸200ｐｃＳ补80297PO共用</t>
        </r>
      </text>
    </comment>
    <comment ref="AG531" authorId="0">
      <text>
        <r>
          <rPr>
            <b/>
            <sz val="9"/>
            <rFont val="宋体"/>
            <charset val="134"/>
          </rPr>
          <t>Administrator:</t>
        </r>
        <r>
          <rPr>
            <sz val="9"/>
            <rFont val="宋体"/>
            <charset val="134"/>
          </rPr>
          <t xml:space="preserve">
4001121 11/18 2080PCS华一F11</t>
        </r>
      </text>
    </comment>
    <comment ref="AG532" authorId="0">
      <text>
        <r>
          <rPr>
            <b/>
            <sz val="9"/>
            <rFont val="宋体"/>
            <charset val="134"/>
          </rPr>
          <t>Administrator:</t>
        </r>
        <r>
          <rPr>
            <sz val="9"/>
            <rFont val="宋体"/>
            <charset val="134"/>
          </rPr>
          <t xml:space="preserve">
4001110 11/13 2240pcs一F9</t>
        </r>
      </text>
    </comment>
    <comment ref="AJ532" authorId="0">
      <text>
        <r>
          <rPr>
            <b/>
            <sz val="9"/>
            <rFont val="宋体"/>
            <charset val="134"/>
          </rPr>
          <t>Administrator:</t>
        </r>
        <r>
          <rPr>
            <sz val="9"/>
            <rFont val="宋体"/>
            <charset val="134"/>
          </rPr>
          <t xml:space="preserve">
10/17 上客供RFID贴纸2240pcs
</t>
        </r>
      </text>
    </comment>
    <comment ref="AG533" authorId="0">
      <text>
        <r>
          <rPr>
            <b/>
            <sz val="9"/>
            <rFont val="宋体"/>
            <charset val="134"/>
          </rPr>
          <t>Administrator:</t>
        </r>
        <r>
          <rPr>
            <sz val="9"/>
            <rFont val="宋体"/>
            <charset val="134"/>
          </rPr>
          <t xml:space="preserve">
4001110 11/13 2880pcs一F9
</t>
        </r>
      </text>
    </comment>
    <comment ref="AJ533" authorId="0">
      <text>
        <r>
          <rPr>
            <b/>
            <sz val="9"/>
            <rFont val="宋体"/>
            <charset val="134"/>
          </rPr>
          <t>Administrator:</t>
        </r>
        <r>
          <rPr>
            <sz val="9"/>
            <rFont val="宋体"/>
            <charset val="134"/>
          </rPr>
          <t xml:space="preserve">
10/17 上客供RFID贴纸2880pcs
</t>
        </r>
      </text>
    </comment>
    <comment ref="AG534" authorId="0">
      <text>
        <r>
          <rPr>
            <b/>
            <sz val="9"/>
            <rFont val="宋体"/>
            <charset val="134"/>
          </rPr>
          <t>Administrator:</t>
        </r>
        <r>
          <rPr>
            <sz val="9"/>
            <rFont val="宋体"/>
            <charset val="134"/>
          </rPr>
          <t xml:space="preserve">
4001110 11/13 2560pcs一F9
</t>
        </r>
      </text>
    </comment>
    <comment ref="AJ534" authorId="0">
      <text>
        <r>
          <rPr>
            <b/>
            <sz val="9"/>
            <rFont val="宋体"/>
            <charset val="134"/>
          </rPr>
          <t>Administrator:</t>
        </r>
        <r>
          <rPr>
            <sz val="9"/>
            <rFont val="宋体"/>
            <charset val="134"/>
          </rPr>
          <t xml:space="preserve">
10/17 上客供RFID贴纸2560pcs
</t>
        </r>
      </text>
    </comment>
    <comment ref="AG535" authorId="0">
      <text>
        <r>
          <rPr>
            <b/>
            <sz val="9"/>
            <rFont val="宋体"/>
            <charset val="134"/>
          </rPr>
          <t>Administrator:</t>
        </r>
        <r>
          <rPr>
            <sz val="9"/>
            <rFont val="宋体"/>
            <charset val="134"/>
          </rPr>
          <t xml:space="preserve">
4001107 11/12 3000pcs华3B8
</t>
        </r>
      </text>
    </comment>
    <comment ref="AG536" authorId="0">
      <text>
        <r>
          <rPr>
            <b/>
            <sz val="9"/>
            <rFont val="宋体"/>
            <charset val="134"/>
          </rPr>
          <t>Administrator:</t>
        </r>
        <r>
          <rPr>
            <sz val="9"/>
            <rFont val="宋体"/>
            <charset val="134"/>
          </rPr>
          <t xml:space="preserve">
4001121 11/18 3200PCS华一F11
</t>
        </r>
      </text>
    </comment>
    <comment ref="AJ536" authorId="0">
      <text>
        <r>
          <rPr>
            <b/>
            <sz val="9"/>
            <rFont val="宋体"/>
            <charset val="134"/>
          </rPr>
          <t>Administrator:</t>
        </r>
        <r>
          <rPr>
            <sz val="9"/>
            <rFont val="宋体"/>
            <charset val="134"/>
          </rPr>
          <t xml:space="preserve">
11/10 上客户EAN条码贴纸3200pcs
ZURU带电池走货30语WEEE说明书3200PCS
PDQ数量贴纸3200PCS</t>
        </r>
      </text>
    </comment>
    <comment ref="AG537" authorId="0">
      <text>
        <r>
          <rPr>
            <b/>
            <sz val="9"/>
            <rFont val="宋体"/>
            <charset val="134"/>
          </rPr>
          <t>Administrator:</t>
        </r>
        <r>
          <rPr>
            <sz val="9"/>
            <rFont val="宋体"/>
            <charset val="134"/>
          </rPr>
          <t xml:space="preserve">
4001121 11/18 960PCS华一F11
</t>
        </r>
      </text>
    </comment>
    <comment ref="AJ537" authorId="0">
      <text>
        <r>
          <rPr>
            <b/>
            <sz val="9"/>
            <rFont val="宋体"/>
            <charset val="134"/>
          </rPr>
          <t>Administrator:</t>
        </r>
        <r>
          <rPr>
            <sz val="9"/>
            <rFont val="宋体"/>
            <charset val="134"/>
          </rPr>
          <t xml:space="preserve">
9/26 上客供警语贴纸960pcs
客供电池警告语贴纸960pcs
客供中文警告语贴纸960pcs
</t>
        </r>
      </text>
    </comment>
    <comment ref="AG538" authorId="0">
      <text>
        <r>
          <rPr>
            <b/>
            <sz val="9"/>
            <rFont val="宋体"/>
            <charset val="134"/>
          </rPr>
          <t>Administrator:</t>
        </r>
        <r>
          <rPr>
            <sz val="9"/>
            <rFont val="宋体"/>
            <charset val="134"/>
          </rPr>
          <t xml:space="preserve">
4001127 11/19 504pcs华一F4</t>
        </r>
      </text>
    </comment>
    <comment ref="AJ538" authorId="0">
      <text>
        <r>
          <rPr>
            <b/>
            <sz val="9"/>
            <rFont val="宋体"/>
            <charset val="134"/>
          </rPr>
          <t>Administrator:</t>
        </r>
        <r>
          <rPr>
            <sz val="9"/>
            <rFont val="宋体"/>
            <charset val="134"/>
          </rPr>
          <t xml:space="preserve">
10/17 上客供防窜码贴纸8184pcs 只限77673货号</t>
        </r>
      </text>
    </comment>
    <comment ref="AG539" authorId="0">
      <text>
        <r>
          <rPr>
            <b/>
            <sz val="9"/>
            <rFont val="宋体"/>
            <charset val="134"/>
          </rPr>
          <t>Administrator:</t>
        </r>
        <r>
          <rPr>
            <sz val="9"/>
            <rFont val="宋体"/>
            <charset val="134"/>
          </rPr>
          <t xml:space="preserve">
4001127 11/19 1680pcs
华一F5</t>
        </r>
      </text>
    </comment>
    <comment ref="AG540" authorId="0">
      <text>
        <r>
          <rPr>
            <b/>
            <sz val="9"/>
            <rFont val="宋体"/>
            <charset val="134"/>
          </rPr>
          <t>Administrator:</t>
        </r>
        <r>
          <rPr>
            <sz val="9"/>
            <rFont val="宋体"/>
            <charset val="134"/>
          </rPr>
          <t xml:space="preserve">
4001133 11/25 10008pcs华一F4</t>
        </r>
      </text>
    </comment>
    <comment ref="AJ540" authorId="0">
      <text>
        <r>
          <rPr>
            <b/>
            <sz val="9"/>
            <rFont val="宋体"/>
            <charset val="134"/>
          </rPr>
          <t>Administrator:</t>
        </r>
        <r>
          <rPr>
            <sz val="9"/>
            <rFont val="宋体"/>
            <charset val="134"/>
          </rPr>
          <t xml:space="preserve">
10/23 上进口商贴纸10008
UPC贴纸10008pcs</t>
        </r>
      </text>
    </comment>
    <comment ref="AG541" authorId="0">
      <text>
        <r>
          <rPr>
            <b/>
            <sz val="9"/>
            <rFont val="宋体"/>
            <charset val="134"/>
          </rPr>
          <t>Administrator:</t>
        </r>
        <r>
          <rPr>
            <sz val="9"/>
            <rFont val="宋体"/>
            <charset val="134"/>
          </rPr>
          <t xml:space="preserve">
4001119 11/17 13440pcs华3A5
4001120 11/17 4560PCS华3A4</t>
        </r>
      </text>
    </comment>
    <comment ref="AJ541" authorId="0">
      <text>
        <r>
          <rPr>
            <b/>
            <sz val="9"/>
            <rFont val="宋体"/>
            <charset val="134"/>
          </rPr>
          <t>Administrator:</t>
        </r>
        <r>
          <rPr>
            <sz val="9"/>
            <rFont val="宋体"/>
            <charset val="134"/>
          </rPr>
          <t xml:space="preserve">
11/6 上UPC贴纸18000pcs</t>
        </r>
      </text>
    </comment>
    <comment ref="AG542" authorId="0">
      <text>
        <r>
          <rPr>
            <b/>
            <sz val="9"/>
            <rFont val="宋体"/>
            <charset val="134"/>
          </rPr>
          <t>Administrator:</t>
        </r>
        <r>
          <rPr>
            <sz val="9"/>
            <rFont val="宋体"/>
            <charset val="134"/>
          </rPr>
          <t xml:space="preserve">
4001127 11/19 2000pcs
华一F5</t>
        </r>
      </text>
    </comment>
    <comment ref="AJ542" authorId="0">
      <text>
        <r>
          <rPr>
            <b/>
            <sz val="9"/>
            <rFont val="宋体"/>
            <charset val="134"/>
          </rPr>
          <t>Administrator:</t>
        </r>
        <r>
          <rPr>
            <sz val="9"/>
            <rFont val="宋体"/>
            <charset val="134"/>
          </rPr>
          <t xml:space="preserve">
11/4 WEEE声明(带电池)走货欧洲通用30L-B版说明书2000ｐｃｓ
Kinderherz 2025 Logo贴纸2000ｐｃｓ</t>
        </r>
      </text>
    </comment>
    <comment ref="AG543" authorId="0">
      <text>
        <r>
          <rPr>
            <b/>
            <sz val="9"/>
            <rFont val="宋体"/>
            <charset val="134"/>
          </rPr>
          <t>Administrator:</t>
        </r>
        <r>
          <rPr>
            <sz val="9"/>
            <rFont val="宋体"/>
            <charset val="134"/>
          </rPr>
          <t xml:space="preserve">
1200480 11/20 4400pcsB栋四楼B7</t>
        </r>
      </text>
    </comment>
    <comment ref="AJ543" authorId="0">
      <text>
        <r>
          <rPr>
            <b/>
            <sz val="9"/>
            <rFont val="宋体"/>
            <charset val="134"/>
          </rPr>
          <t>Administrator:</t>
        </r>
        <r>
          <rPr>
            <sz val="9"/>
            <rFont val="宋体"/>
            <charset val="134"/>
          </rPr>
          <t xml:space="preserve">
10/22 WEEE_带电池走货 _ 说明书欧洲EN+30L-B版4400pcs
10/23 上多语折叠贴纸4400pcs</t>
        </r>
      </text>
    </comment>
    <comment ref="AG544" authorId="0">
      <text>
        <r>
          <rPr>
            <b/>
            <sz val="9"/>
            <rFont val="宋体"/>
            <charset val="134"/>
          </rPr>
          <t>Administrator:</t>
        </r>
        <r>
          <rPr>
            <sz val="9"/>
            <rFont val="宋体"/>
            <charset val="134"/>
          </rPr>
          <t xml:space="preserve">
4001139 11/26 5472pcs
华3A17-18
4001139 11/26 4536pcs
华3A17-18</t>
        </r>
      </text>
    </comment>
    <comment ref="AJ544" authorId="0">
      <text>
        <r>
          <rPr>
            <b/>
            <sz val="9"/>
            <rFont val="宋体"/>
            <charset val="134"/>
          </rPr>
          <t>Administrator:</t>
        </r>
        <r>
          <rPr>
            <sz val="9"/>
            <rFont val="宋体"/>
            <charset val="134"/>
          </rPr>
          <t xml:space="preserve">
9/25 上3C贴纸50664pcs 共用
11/18 上空白贴纸33600pcs</t>
        </r>
      </text>
    </comment>
    <comment ref="AG545" authorId="0">
      <text>
        <r>
          <rPr>
            <b/>
            <sz val="9"/>
            <rFont val="宋体"/>
            <charset val="134"/>
          </rPr>
          <t>Administrator:</t>
        </r>
        <r>
          <rPr>
            <sz val="9"/>
            <rFont val="宋体"/>
            <charset val="134"/>
          </rPr>
          <t xml:space="preserve">
4001139 11/26 660pcs
华一F3</t>
        </r>
      </text>
    </comment>
    <comment ref="AG546" authorId="0">
      <text>
        <r>
          <rPr>
            <b/>
            <sz val="9"/>
            <rFont val="宋体"/>
            <charset val="134"/>
          </rPr>
          <t>Administrator:</t>
        </r>
        <r>
          <rPr>
            <sz val="9"/>
            <rFont val="宋体"/>
            <charset val="134"/>
          </rPr>
          <t xml:space="preserve">
4001132 11/24 1440pcs华1A4
4001134 11/25 2720pcs华一A4</t>
        </r>
      </text>
    </comment>
    <comment ref="AJ546" authorId="0">
      <text>
        <r>
          <rPr>
            <b/>
            <sz val="9"/>
            <rFont val="宋体"/>
            <charset val="134"/>
          </rPr>
          <t>Administrator:</t>
        </r>
        <r>
          <rPr>
            <sz val="9"/>
            <rFont val="宋体"/>
            <charset val="134"/>
          </rPr>
          <t xml:space="preserve">
10/31 上客供RFID贴纸4160ｐｃｓ</t>
        </r>
      </text>
    </comment>
    <comment ref="AG547" authorId="0">
      <text>
        <r>
          <rPr>
            <b/>
            <sz val="9"/>
            <rFont val="宋体"/>
            <charset val="134"/>
          </rPr>
          <t>Administrator:</t>
        </r>
        <r>
          <rPr>
            <sz val="9"/>
            <rFont val="宋体"/>
            <charset val="134"/>
          </rPr>
          <t xml:space="preserve">
4001128 11/24 5760pcs华一F7</t>
        </r>
      </text>
    </comment>
    <comment ref="AJ547" authorId="0">
      <text>
        <r>
          <rPr>
            <b/>
            <sz val="9"/>
            <rFont val="宋体"/>
            <charset val="134"/>
          </rPr>
          <t>Administrator:</t>
        </r>
        <r>
          <rPr>
            <sz val="9"/>
            <rFont val="宋体"/>
            <charset val="134"/>
          </rPr>
          <t xml:space="preserve">
10/31 上客供RFID贴纸5760ｐｃｓ
</t>
        </r>
      </text>
    </comment>
    <comment ref="AG548" authorId="0">
      <text>
        <r>
          <rPr>
            <b/>
            <sz val="9"/>
            <rFont val="宋体"/>
            <charset val="134"/>
          </rPr>
          <t>Administrator:</t>
        </r>
        <r>
          <rPr>
            <sz val="9"/>
            <rFont val="宋体"/>
            <charset val="134"/>
          </rPr>
          <t xml:space="preserve">
4001128 11/24 5760pcs华一F5.F7</t>
        </r>
      </text>
    </comment>
    <comment ref="AJ548" authorId="0">
      <text>
        <r>
          <rPr>
            <b/>
            <sz val="9"/>
            <rFont val="宋体"/>
            <charset val="134"/>
          </rPr>
          <t>Administrator:</t>
        </r>
        <r>
          <rPr>
            <sz val="9"/>
            <rFont val="宋体"/>
            <charset val="134"/>
          </rPr>
          <t xml:space="preserve">
10/31 上客供RFID贴纸5760ｐｃｓ
</t>
        </r>
      </text>
    </comment>
    <comment ref="AG549" authorId="0">
      <text>
        <r>
          <rPr>
            <b/>
            <sz val="9"/>
            <rFont val="宋体"/>
            <charset val="134"/>
          </rPr>
          <t>Administrator:</t>
        </r>
        <r>
          <rPr>
            <sz val="9"/>
            <rFont val="宋体"/>
            <charset val="134"/>
          </rPr>
          <t xml:space="preserve">
4001134 11/25 4480pcs
华一F12</t>
        </r>
      </text>
    </comment>
    <comment ref="AJ549" authorId="0">
      <text>
        <r>
          <rPr>
            <b/>
            <sz val="9"/>
            <rFont val="宋体"/>
            <charset val="134"/>
          </rPr>
          <t>Administrator:</t>
        </r>
        <r>
          <rPr>
            <sz val="9"/>
            <rFont val="宋体"/>
            <charset val="134"/>
          </rPr>
          <t xml:space="preserve">
10/31 上客供RFID贴纸4480ｐｃｓ
</t>
        </r>
      </text>
    </comment>
    <comment ref="AG550" authorId="0">
      <text>
        <r>
          <rPr>
            <b/>
            <sz val="9"/>
            <rFont val="宋体"/>
            <charset val="134"/>
          </rPr>
          <t>Administrator:</t>
        </r>
        <r>
          <rPr>
            <sz val="9"/>
            <rFont val="宋体"/>
            <charset val="134"/>
          </rPr>
          <t xml:space="preserve">
4001134 11/25 4160pcs
华一F11</t>
        </r>
      </text>
    </comment>
    <comment ref="AJ550" authorId="0">
      <text>
        <r>
          <rPr>
            <b/>
            <sz val="9"/>
            <rFont val="宋体"/>
            <charset val="134"/>
          </rPr>
          <t>Administrator:</t>
        </r>
        <r>
          <rPr>
            <sz val="9"/>
            <rFont val="宋体"/>
            <charset val="134"/>
          </rPr>
          <t xml:space="preserve">
10/31 上客供RFID贴纸4160ｐｃｓ
</t>
        </r>
      </text>
    </comment>
    <comment ref="AG551" authorId="0">
      <text>
        <r>
          <rPr>
            <b/>
            <sz val="9"/>
            <rFont val="宋体"/>
            <charset val="134"/>
          </rPr>
          <t>Administrator:</t>
        </r>
        <r>
          <rPr>
            <sz val="9"/>
            <rFont val="宋体"/>
            <charset val="134"/>
          </rPr>
          <t xml:space="preserve">
4001137 11/25 1440pcs
华一F3
4001134 11/25 1760pcs
华一F3</t>
        </r>
      </text>
    </comment>
    <comment ref="AJ551" authorId="0">
      <text>
        <r>
          <rPr>
            <b/>
            <sz val="9"/>
            <rFont val="宋体"/>
            <charset val="134"/>
          </rPr>
          <t>Administrator:</t>
        </r>
        <r>
          <rPr>
            <sz val="9"/>
            <rFont val="宋体"/>
            <charset val="134"/>
          </rPr>
          <t xml:space="preserve">
10/31 上客供RFID贴纸3200ｐｃｓ
</t>
        </r>
      </text>
    </comment>
    <comment ref="AG552" authorId="0">
      <text>
        <r>
          <rPr>
            <b/>
            <sz val="9"/>
            <rFont val="宋体"/>
            <charset val="134"/>
          </rPr>
          <t>Administrator:</t>
        </r>
        <r>
          <rPr>
            <sz val="9"/>
            <rFont val="宋体"/>
            <charset val="134"/>
          </rPr>
          <t xml:space="preserve">
4001134 11/25 3520pcs
华一F5</t>
        </r>
      </text>
    </comment>
    <comment ref="AJ552" authorId="0">
      <text>
        <r>
          <rPr>
            <b/>
            <sz val="9"/>
            <rFont val="宋体"/>
            <charset val="134"/>
          </rPr>
          <t>Administrator:</t>
        </r>
        <r>
          <rPr>
            <sz val="9"/>
            <rFont val="宋体"/>
            <charset val="134"/>
          </rPr>
          <t xml:space="preserve">
10/31 上客供RFID贴纸3520ｐｃｓ
</t>
        </r>
      </text>
    </comment>
    <comment ref="AG553" authorId="0">
      <text>
        <r>
          <rPr>
            <b/>
            <sz val="9"/>
            <rFont val="宋体"/>
            <charset val="134"/>
          </rPr>
          <t>Administrator:</t>
        </r>
        <r>
          <rPr>
            <sz val="9"/>
            <rFont val="宋体"/>
            <charset val="134"/>
          </rPr>
          <t xml:space="preserve">
4001143 11/27 720pcs
华一F9
4001143 11/28 2480pcs
华1f9</t>
        </r>
      </text>
    </comment>
    <comment ref="AG554" authorId="0">
      <text>
        <r>
          <rPr>
            <b/>
            <sz val="9"/>
            <rFont val="宋体"/>
            <charset val="134"/>
          </rPr>
          <t>Administrator:</t>
        </r>
        <r>
          <rPr>
            <sz val="9"/>
            <rFont val="宋体"/>
            <charset val="134"/>
          </rPr>
          <t xml:space="preserve">
4001128 11/24 600pcs
直走</t>
        </r>
      </text>
    </comment>
    <comment ref="AJ554" authorId="0">
      <text>
        <r>
          <rPr>
            <b/>
            <sz val="9"/>
            <rFont val="宋体"/>
            <charset val="134"/>
          </rPr>
          <t>Administrator:</t>
        </r>
        <r>
          <rPr>
            <sz val="9"/>
            <rFont val="宋体"/>
            <charset val="134"/>
          </rPr>
          <t xml:space="preserve">
12/21 上收缩膜日语警语贴纸2004pcs
说明书日语警告语贴纸2004pcs
两个同PO共用</t>
        </r>
      </text>
    </comment>
    <comment ref="AG555" authorId="0">
      <text>
        <r>
          <rPr>
            <b/>
            <sz val="9"/>
            <rFont val="宋体"/>
            <charset val="134"/>
          </rPr>
          <t>Administrator:</t>
        </r>
        <r>
          <rPr>
            <sz val="9"/>
            <rFont val="宋体"/>
            <charset val="134"/>
          </rPr>
          <t xml:space="preserve">
4001128 11/24 1404pcs
直走</t>
        </r>
      </text>
    </comment>
    <comment ref="AG556" authorId="0">
      <text>
        <r>
          <rPr>
            <b/>
            <sz val="9"/>
            <rFont val="宋体"/>
            <charset val="134"/>
          </rPr>
          <t>Administrator:</t>
        </r>
        <r>
          <rPr>
            <sz val="9"/>
            <rFont val="宋体"/>
            <charset val="134"/>
          </rPr>
          <t xml:space="preserve">
4001146 11/28 4200pcs
王4b9</t>
        </r>
      </text>
    </comment>
    <comment ref="AJ556" authorId="0">
      <text>
        <r>
          <rPr>
            <b/>
            <sz val="9"/>
            <rFont val="宋体"/>
            <charset val="134"/>
          </rPr>
          <t>Administrator:</t>
        </r>
        <r>
          <rPr>
            <sz val="9"/>
            <rFont val="宋体"/>
            <charset val="134"/>
          </rPr>
          <t xml:space="preserve">
11/10 上说明书纽扣电池警告语贴纸8400pcs
收缩膜纽扣电池警告语贴纸4200pcs
11/14 上KM单外箱贴纸350pcs
11/22 上白色防盗贴纸4200pcs</t>
        </r>
      </text>
    </comment>
    <comment ref="AG557" authorId="0">
      <text>
        <r>
          <rPr>
            <b/>
            <sz val="9"/>
            <rFont val="宋体"/>
            <charset val="134"/>
          </rPr>
          <t>Administrator:</t>
        </r>
        <r>
          <rPr>
            <sz val="9"/>
            <rFont val="宋体"/>
            <charset val="134"/>
          </rPr>
          <t xml:space="preserve">
4001146 11/28 420pcs
王4b9</t>
        </r>
      </text>
    </comment>
    <comment ref="AJ557" authorId="0">
      <text>
        <r>
          <rPr>
            <b/>
            <sz val="9"/>
            <rFont val="宋体"/>
            <charset val="134"/>
          </rPr>
          <t>Administrator:</t>
        </r>
        <r>
          <rPr>
            <sz val="9"/>
            <rFont val="宋体"/>
            <charset val="134"/>
          </rPr>
          <t xml:space="preserve">
11/10 上说明书纽扣电池警告语贴纸840pcs
收缩膜纽扣电池警告语贴纸420pcs
11/14 上KM单外箱贴纸35pcs
11/22 上白色防盗贴纸420pcs
</t>
        </r>
      </text>
    </comment>
    <comment ref="AG558" authorId="0">
      <text>
        <r>
          <rPr>
            <b/>
            <sz val="9"/>
            <rFont val="宋体"/>
            <charset val="134"/>
          </rPr>
          <t>Administrator:</t>
        </r>
        <r>
          <rPr>
            <sz val="9"/>
            <rFont val="宋体"/>
            <charset val="134"/>
          </rPr>
          <t xml:space="preserve">
4001137 11/25 1440pcs
华一F11
4001139 11/26 9706pcs
</t>
        </r>
      </text>
    </comment>
    <comment ref="AJ558" authorId="0">
      <text>
        <r>
          <rPr>
            <b/>
            <sz val="9"/>
            <rFont val="宋体"/>
            <charset val="134"/>
          </rPr>
          <t>Administrator:</t>
        </r>
        <r>
          <rPr>
            <sz val="9"/>
            <rFont val="宋体"/>
            <charset val="134"/>
          </rPr>
          <t xml:space="preserve">
11/6 上客供外箱条码贴纸2655pcs
</t>
        </r>
      </text>
    </comment>
    <comment ref="AG559" authorId="0">
      <text>
        <r>
          <rPr>
            <b/>
            <sz val="9"/>
            <rFont val="宋体"/>
            <charset val="134"/>
          </rPr>
          <t>Administrator:</t>
        </r>
        <r>
          <rPr>
            <sz val="9"/>
            <rFont val="宋体"/>
            <charset val="134"/>
          </rPr>
          <t xml:space="preserve">
4001144 11/28 360pcs
华1b2</t>
        </r>
      </text>
    </comment>
    <comment ref="AJ559" authorId="0">
      <text>
        <r>
          <rPr>
            <b/>
            <sz val="9"/>
            <rFont val="宋体"/>
            <charset val="134"/>
          </rPr>
          <t>Administrator:</t>
        </r>
        <r>
          <rPr>
            <sz val="9"/>
            <rFont val="宋体"/>
            <charset val="134"/>
          </rPr>
          <t xml:space="preserve">
10/25 上瑞典警告语贴纸360pcs
内袋贴纸1 1440pcs
内袋贴纸2 4320pcs
WEEE 带电B版30L 说明书360pcs</t>
        </r>
      </text>
    </comment>
    <comment ref="AG560" authorId="0">
      <text>
        <r>
          <rPr>
            <b/>
            <sz val="9"/>
            <rFont val="宋体"/>
            <charset val="134"/>
          </rPr>
          <t>Administrator:</t>
        </r>
        <r>
          <rPr>
            <sz val="9"/>
            <rFont val="宋体"/>
            <charset val="134"/>
          </rPr>
          <t xml:space="preserve">
4001143 11/27 1068pcs
华3B17</t>
        </r>
      </text>
    </comment>
    <comment ref="AJ560" authorId="0">
      <text>
        <r>
          <rPr>
            <b/>
            <sz val="9"/>
            <rFont val="宋体"/>
            <charset val="134"/>
          </rPr>
          <t>Administrator:</t>
        </r>
        <r>
          <rPr>
            <sz val="9"/>
            <rFont val="宋体"/>
            <charset val="134"/>
          </rPr>
          <t xml:space="preserve">
11/11 上亚马逊外箱贴纸89pcs
11/13 上UPC贴纸1068pcs
+WEEE电子产品说明书30L(带电池走货B版1068pcs
获奖贴纸1068pcs
多语可折叠警告语贴纸1068pcs</t>
        </r>
      </text>
    </comment>
    <comment ref="AG561" authorId="0">
      <text>
        <r>
          <rPr>
            <b/>
            <sz val="9"/>
            <rFont val="宋体"/>
            <charset val="134"/>
          </rPr>
          <t>Administrator:</t>
        </r>
        <r>
          <rPr>
            <sz val="9"/>
            <rFont val="宋体"/>
            <charset val="134"/>
          </rPr>
          <t xml:space="preserve">
4001146 11/28 534pcs
华1楼
4001144 11/28 9450pcs 华1a4
4001158 11/28 18pcs</t>
        </r>
      </text>
    </comment>
    <comment ref="AG562" authorId="0">
      <text>
        <r>
          <rPr>
            <b/>
            <sz val="9"/>
            <rFont val="宋体"/>
            <charset val="134"/>
          </rPr>
          <t>Administrator:</t>
        </r>
        <r>
          <rPr>
            <sz val="9"/>
            <rFont val="宋体"/>
            <charset val="134"/>
          </rPr>
          <t xml:space="preserve">
4001143 11/27 408pcs
华3B7</t>
        </r>
      </text>
    </comment>
    <comment ref="AJ562" authorId="0">
      <text>
        <r>
          <rPr>
            <b/>
            <sz val="9"/>
            <rFont val="宋体"/>
            <charset val="134"/>
          </rPr>
          <t>Administrator:</t>
        </r>
        <r>
          <rPr>
            <sz val="9"/>
            <rFont val="宋体"/>
            <charset val="134"/>
          </rPr>
          <t xml:space="preserve">
11/18 上进口商贴纸408pcs
UPC 贴纸408pcs</t>
        </r>
      </text>
    </comment>
    <comment ref="AG563" authorId="0">
      <text>
        <r>
          <rPr>
            <b/>
            <sz val="9"/>
            <rFont val="宋体"/>
            <charset val="134"/>
          </rPr>
          <t>Administrator:</t>
        </r>
        <r>
          <rPr>
            <sz val="9"/>
            <rFont val="宋体"/>
            <charset val="134"/>
          </rPr>
          <t xml:space="preserve">
4001146 11/28 576pcs
王4b9</t>
        </r>
      </text>
    </comment>
    <comment ref="AJ563" authorId="0">
      <text>
        <r>
          <rPr>
            <b/>
            <sz val="9"/>
            <rFont val="宋体"/>
            <charset val="134"/>
          </rPr>
          <t>Administrator:</t>
        </r>
        <r>
          <rPr>
            <sz val="9"/>
            <rFont val="宋体"/>
            <charset val="134"/>
          </rPr>
          <t xml:space="preserve">
11/22 客供中文警告说明书600pcs
上客供警语贴纸600pcs
客供电池警告语贴纸600pcs</t>
        </r>
      </text>
    </comment>
    <comment ref="AG564" authorId="0">
      <text>
        <r>
          <rPr>
            <b/>
            <sz val="9"/>
            <rFont val="宋体"/>
            <charset val="134"/>
          </rPr>
          <t>Administrator:</t>
        </r>
        <r>
          <rPr>
            <sz val="9"/>
            <rFont val="宋体"/>
            <charset val="134"/>
          </rPr>
          <t xml:space="preserve">
3000521 12/4 300pcs华3b15
</t>
        </r>
      </text>
    </comment>
    <comment ref="AJ564" authorId="0">
      <text>
        <r>
          <rPr>
            <b/>
            <sz val="9"/>
            <rFont val="宋体"/>
            <charset val="134"/>
          </rPr>
          <t>Administrator:</t>
        </r>
        <r>
          <rPr>
            <sz val="9"/>
            <rFont val="宋体"/>
            <charset val="134"/>
          </rPr>
          <t xml:space="preserve">
11/22 上客供中文警告说明书贴纸318pcs</t>
        </r>
      </text>
    </comment>
    <comment ref="AG565" authorId="0">
      <text>
        <r>
          <rPr>
            <b/>
            <sz val="9"/>
            <rFont val="宋体"/>
            <charset val="134"/>
          </rPr>
          <t>Administrator:</t>
        </r>
        <r>
          <rPr>
            <sz val="9"/>
            <rFont val="宋体"/>
            <charset val="134"/>
          </rPr>
          <t xml:space="preserve">
3000523 12/4 3520pcs华1f9</t>
        </r>
      </text>
    </comment>
    <comment ref="AJ565" authorId="0">
      <text>
        <r>
          <rPr>
            <b/>
            <sz val="9"/>
            <rFont val="宋体"/>
            <charset val="134"/>
          </rPr>
          <t>Administrator:</t>
        </r>
        <r>
          <rPr>
            <sz val="9"/>
            <rFont val="宋体"/>
            <charset val="134"/>
          </rPr>
          <t xml:space="preserve">
11/22上客供RFID贴纸3520pcs
</t>
        </r>
      </text>
    </comment>
    <comment ref="AG566" authorId="0">
      <text>
        <r>
          <rPr>
            <b/>
            <sz val="9"/>
            <rFont val="宋体"/>
            <charset val="134"/>
          </rPr>
          <t>Administrator:</t>
        </r>
        <r>
          <rPr>
            <sz val="9"/>
            <rFont val="宋体"/>
            <charset val="134"/>
          </rPr>
          <t xml:space="preserve">
3000524 12/5 720pcs 华3a20
3000528 12/6 3120pcs华3a20</t>
        </r>
      </text>
    </comment>
    <comment ref="AJ566" authorId="0">
      <text>
        <r>
          <rPr>
            <b/>
            <sz val="9"/>
            <rFont val="宋体"/>
            <charset val="134"/>
          </rPr>
          <t>Administrator:</t>
        </r>
        <r>
          <rPr>
            <sz val="9"/>
            <rFont val="宋体"/>
            <charset val="134"/>
          </rPr>
          <t xml:space="preserve">
11/22上客供RFID贴纸3840pcs</t>
        </r>
      </text>
    </comment>
    <comment ref="AG567" authorId="0">
      <text>
        <r>
          <rPr>
            <b/>
            <sz val="9"/>
            <rFont val="宋体"/>
            <charset val="134"/>
          </rPr>
          <t>Administrator:</t>
        </r>
        <r>
          <rPr>
            <sz val="9"/>
            <rFont val="宋体"/>
            <charset val="134"/>
          </rPr>
          <t xml:space="preserve">
3000523 12/4 4160pcs
华1f93000523 12/4 4160pcs
华1f9
</t>
        </r>
      </text>
    </comment>
    <comment ref="AJ567" authorId="0">
      <text>
        <r>
          <rPr>
            <b/>
            <sz val="9"/>
            <rFont val="宋体"/>
            <charset val="134"/>
          </rPr>
          <t>Administrator:</t>
        </r>
        <r>
          <rPr>
            <sz val="9"/>
            <rFont val="宋体"/>
            <charset val="134"/>
          </rPr>
          <t xml:space="preserve">
11/22上客供RFID贴纸4160pcs</t>
        </r>
      </text>
    </comment>
    <comment ref="AG568" authorId="0">
      <text>
        <r>
          <rPr>
            <b/>
            <sz val="9"/>
            <rFont val="宋体"/>
            <charset val="134"/>
          </rPr>
          <t>Administrator:</t>
        </r>
        <r>
          <rPr>
            <sz val="9"/>
            <rFont val="宋体"/>
            <charset val="134"/>
          </rPr>
          <t xml:space="preserve">
3000524 12/5 5760pcs
华3a22</t>
        </r>
      </text>
    </comment>
    <comment ref="AJ568" authorId="0">
      <text>
        <r>
          <rPr>
            <b/>
            <sz val="9"/>
            <rFont val="宋体"/>
            <charset val="134"/>
          </rPr>
          <t>Administrator:</t>
        </r>
        <r>
          <rPr>
            <sz val="9"/>
            <rFont val="宋体"/>
            <charset val="134"/>
          </rPr>
          <t xml:space="preserve">
11/22上客供RFID贴纸5760pcs</t>
        </r>
      </text>
    </comment>
    <comment ref="AG569" authorId="0">
      <text>
        <r>
          <rPr>
            <b/>
            <sz val="9"/>
            <rFont val="宋体"/>
            <charset val="134"/>
          </rPr>
          <t>Administrator:</t>
        </r>
        <r>
          <rPr>
            <sz val="9"/>
            <rFont val="宋体"/>
            <charset val="134"/>
          </rPr>
          <t xml:space="preserve">
3000529 12/6 6000pcs华1f12
3000528 12/6 720pcs华1f12</t>
        </r>
      </text>
    </comment>
    <comment ref="AJ569" authorId="0">
      <text>
        <r>
          <rPr>
            <b/>
            <sz val="9"/>
            <rFont val="宋体"/>
            <charset val="134"/>
          </rPr>
          <t>Administrator:</t>
        </r>
        <r>
          <rPr>
            <sz val="9"/>
            <rFont val="宋体"/>
            <charset val="134"/>
          </rPr>
          <t xml:space="preserve">
11/22上客供RFID贴纸6720pcs</t>
        </r>
      </text>
    </comment>
    <comment ref="AG570" authorId="0">
      <text>
        <r>
          <rPr>
            <b/>
            <sz val="9"/>
            <rFont val="宋体"/>
            <charset val="134"/>
          </rPr>
          <t>Administrator:</t>
        </r>
        <r>
          <rPr>
            <sz val="9"/>
            <rFont val="宋体"/>
            <charset val="134"/>
          </rPr>
          <t xml:space="preserve">
3000521 12/4 120pcs华3b14</t>
        </r>
      </text>
    </comment>
    <comment ref="AJ570" authorId="0">
      <text>
        <r>
          <rPr>
            <b/>
            <sz val="9"/>
            <rFont val="宋体"/>
            <charset val="134"/>
          </rPr>
          <t>Administrator:</t>
        </r>
        <r>
          <rPr>
            <sz val="9"/>
            <rFont val="宋体"/>
            <charset val="134"/>
          </rPr>
          <t xml:space="preserve">
12/21 上KM单外箱贴纸10pcs
11/22 上白色防盗贴纸120pcs
</t>
        </r>
      </text>
    </comment>
    <comment ref="AG571" authorId="0">
      <text>
        <r>
          <rPr>
            <b/>
            <sz val="9"/>
            <rFont val="宋体"/>
            <charset val="134"/>
          </rPr>
          <t>Administrator:</t>
        </r>
        <r>
          <rPr>
            <sz val="9"/>
            <rFont val="宋体"/>
            <charset val="134"/>
          </rPr>
          <t xml:space="preserve">
3000521 12/4 1380pcs华3b14</t>
        </r>
      </text>
    </comment>
    <comment ref="AJ571" authorId="0">
      <text>
        <r>
          <rPr>
            <b/>
            <sz val="9"/>
            <rFont val="宋体"/>
            <charset val="134"/>
          </rPr>
          <t>Administrator:</t>
        </r>
        <r>
          <rPr>
            <sz val="9"/>
            <rFont val="宋体"/>
            <charset val="134"/>
          </rPr>
          <t xml:space="preserve">
11/18 上说明书纽扣电池警告语贴纸1380pcs
收藏膜纽扣电池警告语贴纸1380pcs
12/21 上KM单外箱贴纸115pcs
11/22 上白色防盗贴纸1380pcs
</t>
        </r>
      </text>
    </comment>
    <comment ref="AG572" authorId="0">
      <text>
        <r>
          <rPr>
            <b/>
            <sz val="9"/>
            <rFont val="宋体"/>
            <charset val="134"/>
          </rPr>
          <t>Administrator:</t>
        </r>
        <r>
          <rPr>
            <sz val="9"/>
            <rFont val="宋体"/>
            <charset val="134"/>
          </rPr>
          <t xml:space="preserve">
3000524 12/5 208pcs华3b9</t>
        </r>
      </text>
    </comment>
    <comment ref="AG573" authorId="0">
      <text>
        <r>
          <rPr>
            <b/>
            <sz val="9"/>
            <rFont val="宋体"/>
            <charset val="134"/>
          </rPr>
          <t>Administrator:</t>
        </r>
        <r>
          <rPr>
            <sz val="9"/>
            <rFont val="宋体"/>
            <charset val="134"/>
          </rPr>
          <t xml:space="preserve">
3000524 12/5 324pcs
华3b9
</t>
        </r>
      </text>
    </comment>
    <comment ref="AJ573" authorId="0">
      <text>
        <r>
          <rPr>
            <b/>
            <sz val="9"/>
            <rFont val="宋体"/>
            <charset val="134"/>
          </rPr>
          <t>Administrator:</t>
        </r>
        <r>
          <rPr>
            <sz val="9"/>
            <rFont val="宋体"/>
            <charset val="134"/>
          </rPr>
          <t xml:space="preserve">
11/22 上客供UCC贴纸81pcs</t>
        </r>
      </text>
    </comment>
    <comment ref="AG574" authorId="0">
      <text>
        <r>
          <rPr>
            <b/>
            <sz val="9"/>
            <rFont val="宋体"/>
            <charset val="134"/>
          </rPr>
          <t>Administrator:</t>
        </r>
        <r>
          <rPr>
            <sz val="9"/>
            <rFont val="宋体"/>
            <charset val="134"/>
          </rPr>
          <t xml:space="preserve">
3000524 12/5 244pcs
华3b9
</t>
        </r>
      </text>
    </comment>
    <comment ref="AJ574" authorId="0">
      <text>
        <r>
          <rPr>
            <b/>
            <sz val="9"/>
            <rFont val="宋体"/>
            <charset val="134"/>
          </rPr>
          <t>Administrator:</t>
        </r>
        <r>
          <rPr>
            <sz val="9"/>
            <rFont val="宋体"/>
            <charset val="134"/>
          </rPr>
          <t xml:space="preserve">
11/22 上客供UCC贴纸61pcs
</t>
        </r>
      </text>
    </comment>
    <comment ref="AG575" authorId="0">
      <text>
        <r>
          <rPr>
            <b/>
            <sz val="9"/>
            <rFont val="宋体"/>
            <charset val="134"/>
          </rPr>
          <t>Administrator:</t>
        </r>
        <r>
          <rPr>
            <sz val="9"/>
            <rFont val="宋体"/>
            <charset val="134"/>
          </rPr>
          <t xml:space="preserve">
3000524 12/5 204pcs
华3b9
</t>
        </r>
      </text>
    </comment>
    <comment ref="AJ575" authorId="0">
      <text>
        <r>
          <rPr>
            <b/>
            <sz val="9"/>
            <rFont val="宋体"/>
            <charset val="134"/>
          </rPr>
          <t>Administrator:</t>
        </r>
        <r>
          <rPr>
            <sz val="9"/>
            <rFont val="宋体"/>
            <charset val="134"/>
          </rPr>
          <t xml:space="preserve">
11/22 上客供UCC贴纸51pcs
</t>
        </r>
      </text>
    </comment>
    <comment ref="AG576" authorId="0">
      <text>
        <r>
          <rPr>
            <b/>
            <sz val="9"/>
            <rFont val="宋体"/>
            <charset val="134"/>
          </rPr>
          <t>Administrator:</t>
        </r>
        <r>
          <rPr>
            <sz val="9"/>
            <rFont val="宋体"/>
            <charset val="134"/>
          </rPr>
          <t xml:space="preserve">
3000524 12/5 220pcs
华3b9
</t>
        </r>
      </text>
    </comment>
    <comment ref="AG577" authorId="0">
      <text>
        <r>
          <rPr>
            <b/>
            <sz val="9"/>
            <rFont val="宋体"/>
            <charset val="134"/>
          </rPr>
          <t>Administrator:</t>
        </r>
        <r>
          <rPr>
            <sz val="9"/>
            <rFont val="宋体"/>
            <charset val="134"/>
          </rPr>
          <t xml:space="preserve">
3000523 12/4 720pcs
华1f5
3000524 12/5 1284pcs华1f5</t>
        </r>
      </text>
    </comment>
    <comment ref="AJ577" authorId="0">
      <text>
        <r>
          <rPr>
            <b/>
            <sz val="9"/>
            <rFont val="宋体"/>
            <charset val="134"/>
          </rPr>
          <t>Administrator:</t>
        </r>
        <r>
          <rPr>
            <sz val="9"/>
            <rFont val="宋体"/>
            <charset val="134"/>
          </rPr>
          <t xml:space="preserve">
10/22 上进口商贴纸0004pcs
10/22 WEEE_带电池走货 _ 说明书欧洲EN+30L-B版2004pcs
</t>
        </r>
      </text>
    </comment>
    <comment ref="AG578" authorId="0">
      <text>
        <r>
          <rPr>
            <b/>
            <sz val="9"/>
            <rFont val="宋体"/>
            <charset val="134"/>
          </rPr>
          <t>Administrator:</t>
        </r>
        <r>
          <rPr>
            <sz val="9"/>
            <rFont val="宋体"/>
            <charset val="134"/>
          </rPr>
          <t xml:space="preserve">
3000521 12/4 356pcs华3b14
</t>
        </r>
      </text>
    </comment>
    <comment ref="AG579" authorId="0">
      <text>
        <r>
          <rPr>
            <b/>
            <sz val="9"/>
            <rFont val="宋体"/>
            <charset val="134"/>
          </rPr>
          <t>Administrator:</t>
        </r>
        <r>
          <rPr>
            <sz val="9"/>
            <rFont val="宋体"/>
            <charset val="134"/>
          </rPr>
          <t xml:space="preserve">
3000523 12/4 1200pcs
华1f9
3000521 12/4 3600pcs华1f9</t>
        </r>
      </text>
    </comment>
    <comment ref="AJ579" authorId="0">
      <text>
        <r>
          <rPr>
            <b/>
            <sz val="9"/>
            <rFont val="宋体"/>
            <charset val="134"/>
          </rPr>
          <t>Administrator:</t>
        </r>
        <r>
          <rPr>
            <sz val="9"/>
            <rFont val="宋体"/>
            <charset val="134"/>
          </rPr>
          <t xml:space="preserve">
11/22上客供RFID贴纸4800pcs
</t>
        </r>
      </text>
    </comment>
    <comment ref="AG580" authorId="0">
      <text>
        <r>
          <rPr>
            <b/>
            <sz val="9"/>
            <rFont val="宋体"/>
            <charset val="134"/>
          </rPr>
          <t>Administrator:</t>
        </r>
        <r>
          <rPr>
            <sz val="9"/>
            <rFont val="宋体"/>
            <charset val="134"/>
          </rPr>
          <t xml:space="preserve">
3000521 12/4 6400pcs刘1f5</t>
        </r>
      </text>
    </comment>
    <comment ref="AJ580" authorId="0">
      <text>
        <r>
          <rPr>
            <b/>
            <sz val="9"/>
            <rFont val="宋体"/>
            <charset val="134"/>
          </rPr>
          <t>Administrator:</t>
        </r>
        <r>
          <rPr>
            <sz val="9"/>
            <rFont val="宋体"/>
            <charset val="134"/>
          </rPr>
          <t xml:space="preserve">
11/22上客供RFID贴纸6400pcs
</t>
        </r>
      </text>
    </comment>
    <comment ref="AG581" authorId="0">
      <text>
        <r>
          <rPr>
            <b/>
            <sz val="9"/>
            <rFont val="宋体"/>
            <charset val="134"/>
          </rPr>
          <t>Administrator:</t>
        </r>
        <r>
          <rPr>
            <sz val="9"/>
            <rFont val="宋体"/>
            <charset val="134"/>
          </rPr>
          <t xml:space="preserve">
3000545 12/11 10002pcs华3a31、32
</t>
        </r>
      </text>
    </comment>
    <comment ref="AG582" authorId="0">
      <text>
        <r>
          <rPr>
            <b/>
            <sz val="9"/>
            <rFont val="宋体"/>
            <charset val="134"/>
          </rPr>
          <t>Administrator:</t>
        </r>
        <r>
          <rPr>
            <sz val="9"/>
            <rFont val="宋体"/>
            <charset val="134"/>
          </rPr>
          <t xml:space="preserve">
12/10 3000541 5124pcs
华1f7
12/10 3000539 9360pcs华1f7</t>
        </r>
      </text>
    </comment>
    <comment ref="AJ582" authorId="0">
      <text>
        <r>
          <rPr>
            <b/>
            <sz val="9"/>
            <rFont val="宋体"/>
            <charset val="134"/>
          </rPr>
          <t>Administrator:</t>
        </r>
        <r>
          <rPr>
            <sz val="9"/>
            <rFont val="宋体"/>
            <charset val="134"/>
          </rPr>
          <t xml:space="preserve">
11/6 上客供外箱条码贴纸3621pcs
</t>
        </r>
      </text>
    </comment>
    <comment ref="AG583" authorId="0">
      <text>
        <r>
          <rPr>
            <b/>
            <sz val="9"/>
            <rFont val="宋体"/>
            <charset val="134"/>
          </rPr>
          <t>Administrator:</t>
        </r>
        <r>
          <rPr>
            <sz val="9"/>
            <rFont val="宋体"/>
            <charset val="134"/>
          </rPr>
          <t xml:space="preserve">
3000541 12/10 3600pcs华1f5
3000546 12/12 1400pcs王4b4</t>
        </r>
      </text>
    </comment>
    <comment ref="AJ583" authorId="0">
      <text>
        <r>
          <rPr>
            <b/>
            <sz val="9"/>
            <rFont val="宋体"/>
            <charset val="134"/>
          </rPr>
          <t>Administrator:</t>
        </r>
        <r>
          <rPr>
            <sz val="9"/>
            <rFont val="宋体"/>
            <charset val="134"/>
          </rPr>
          <t xml:space="preserve">
11/22 客供外箱条码贴纸1263pcs</t>
        </r>
      </text>
    </comment>
    <comment ref="AG585" authorId="0">
      <text>
        <r>
          <rPr>
            <b/>
            <sz val="9"/>
            <rFont val="宋体"/>
            <charset val="134"/>
          </rPr>
          <t>Administrator:</t>
        </r>
        <r>
          <rPr>
            <sz val="9"/>
            <rFont val="宋体"/>
            <charset val="134"/>
          </rPr>
          <t xml:space="preserve">
3000534 12/6 192pcs王4a8</t>
        </r>
      </text>
    </comment>
    <comment ref="AG586" authorId="0">
      <text>
        <r>
          <rPr>
            <b/>
            <sz val="9"/>
            <rFont val="宋体"/>
            <charset val="134"/>
          </rPr>
          <t>Administrator:</t>
        </r>
        <r>
          <rPr>
            <sz val="9"/>
            <rFont val="宋体"/>
            <charset val="134"/>
          </rPr>
          <t xml:space="preserve">
3000546 12/8 1980PCS华3b11</t>
        </r>
      </text>
    </comment>
    <comment ref="AJ586" authorId="0">
      <text>
        <r>
          <rPr>
            <b/>
            <sz val="9"/>
            <rFont val="宋体"/>
            <charset val="134"/>
          </rPr>
          <t>Administrator:</t>
        </r>
        <r>
          <rPr>
            <sz val="9"/>
            <rFont val="宋体"/>
            <charset val="134"/>
          </rPr>
          <t xml:space="preserve">
11/6 上UPC贴纸1980pcs
保证书1980pcs
产品贴纸1980pcs
包装贴纸1980pcs
说明书贴纸1980pcs</t>
        </r>
      </text>
    </comment>
    <comment ref="AG587" authorId="0">
      <text>
        <r>
          <rPr>
            <b/>
            <sz val="9"/>
            <rFont val="宋体"/>
            <charset val="134"/>
          </rPr>
          <t>Administrator:</t>
        </r>
        <r>
          <rPr>
            <sz val="9"/>
            <rFont val="宋体"/>
            <charset val="134"/>
          </rPr>
          <t xml:space="preserve">
3000567 12/16 432pcs
王4b1</t>
        </r>
      </text>
    </comment>
    <comment ref="AJ587" authorId="0">
      <text>
        <r>
          <rPr>
            <b/>
            <sz val="9"/>
            <rFont val="宋体"/>
            <charset val="134"/>
          </rPr>
          <t>Administrator:</t>
        </r>
        <r>
          <rPr>
            <sz val="9"/>
            <rFont val="宋体"/>
            <charset val="134"/>
          </rPr>
          <t xml:space="preserve">
12/1 客供价格贴纸 456pcs
12/8 保证书105*138mm 432pcs
包装贴纸42*31mmm 432pcs
说明书贴纸42*34mm 432pcs
UPC贴纸41*25mm 432pcs
12/11 保证书 432pcs</t>
        </r>
      </text>
    </comment>
    <comment ref="AG588" authorId="0">
      <text>
        <r>
          <rPr>
            <b/>
            <sz val="9"/>
            <rFont val="宋体"/>
            <charset val="134"/>
          </rPr>
          <t>Administrator:</t>
        </r>
        <r>
          <rPr>
            <sz val="9"/>
            <rFont val="宋体"/>
            <charset val="134"/>
          </rPr>
          <t xml:space="preserve">
3000567 12/16 1200pcs 王b栋雨棚</t>
        </r>
      </text>
    </comment>
    <comment ref="AJ588" authorId="0">
      <text>
        <r>
          <rPr>
            <b/>
            <sz val="9"/>
            <rFont val="宋体"/>
            <charset val="134"/>
          </rPr>
          <t>Administrator:</t>
        </r>
        <r>
          <rPr>
            <sz val="9"/>
            <rFont val="宋体"/>
            <charset val="134"/>
          </rPr>
          <t xml:space="preserve">
11/22 上客供警告语贴纸1240pcs
客供电池警语贴纸1239pcs
客供中文警告说明书1236pcs
</t>
        </r>
      </text>
    </comment>
    <comment ref="AG589" authorId="0">
      <text>
        <r>
          <rPr>
            <b/>
            <sz val="9"/>
            <rFont val="宋体"/>
            <charset val="134"/>
          </rPr>
          <t>Administrator:</t>
        </r>
        <r>
          <rPr>
            <sz val="9"/>
            <rFont val="宋体"/>
            <charset val="134"/>
          </rPr>
          <t xml:space="preserve">
3000567 12/16 576pcs
王b栋雨棚
</t>
        </r>
      </text>
    </comment>
    <comment ref="AG590" authorId="0">
      <text>
        <r>
          <rPr>
            <b/>
            <sz val="9"/>
            <rFont val="宋体"/>
            <charset val="134"/>
          </rPr>
          <t>Administrator:</t>
        </r>
        <r>
          <rPr>
            <sz val="9"/>
            <rFont val="宋体"/>
            <charset val="134"/>
          </rPr>
          <t xml:space="preserve">
3000538 12/9 4504pcs王4b6</t>
        </r>
      </text>
    </comment>
    <comment ref="AJ590" authorId="0">
      <text>
        <r>
          <rPr>
            <b/>
            <sz val="9"/>
            <rFont val="宋体"/>
            <charset val="134"/>
          </rPr>
          <t>Administrator:</t>
        </r>
        <r>
          <rPr>
            <sz val="9"/>
            <rFont val="宋体"/>
            <charset val="134"/>
          </rPr>
          <t xml:space="preserve">
11/4 上+WEEE声明(带电池)走货欧洲通用30L-B版说明书4504pcs</t>
        </r>
      </text>
    </comment>
    <comment ref="AG591" authorId="0">
      <text>
        <r>
          <rPr>
            <b/>
            <sz val="9"/>
            <rFont val="宋体"/>
            <charset val="134"/>
          </rPr>
          <t>Administrator:</t>
        </r>
        <r>
          <rPr>
            <sz val="9"/>
            <rFont val="宋体"/>
            <charset val="134"/>
          </rPr>
          <t xml:space="preserve">
3000534 12/6 4000pcs
王4a8</t>
        </r>
      </text>
    </comment>
    <comment ref="AJ591" authorId="0">
      <text>
        <r>
          <rPr>
            <b/>
            <sz val="9"/>
            <rFont val="宋体"/>
            <charset val="134"/>
          </rPr>
          <t>Administrator:</t>
        </r>
        <r>
          <rPr>
            <sz val="9"/>
            <rFont val="宋体"/>
            <charset val="134"/>
          </rPr>
          <t xml:space="preserve">
11/14 上客户EAN条码贴纸8160pcs
两个同PO共用
11/18 上数量贴纸2040pcs</t>
        </r>
      </text>
    </comment>
    <comment ref="AG592" authorId="0">
      <text>
        <r>
          <rPr>
            <b/>
            <sz val="9"/>
            <rFont val="宋体"/>
            <charset val="134"/>
          </rPr>
          <t>Administrator:</t>
        </r>
        <r>
          <rPr>
            <sz val="9"/>
            <rFont val="宋体"/>
            <charset val="134"/>
          </rPr>
          <t xml:space="preserve">
3000546 12/8 1380PCS 华1f4</t>
        </r>
      </text>
    </comment>
    <comment ref="AJ592" authorId="0">
      <text>
        <r>
          <rPr>
            <b/>
            <sz val="9"/>
            <rFont val="宋体"/>
            <charset val="134"/>
          </rPr>
          <t>Administrator:</t>
        </r>
        <r>
          <rPr>
            <sz val="9"/>
            <rFont val="宋体"/>
            <charset val="134"/>
          </rPr>
          <t xml:space="preserve">
11/22 上白色防盗贴纸1380pcs
11/26 上 KM 单外箱贴纸115pcs
11/27 上说明书纽扣电池警告语贴纸1380pcs
收藏膜纽扣电池警告语贴纸1380pcs
12/5 缩膜纽扣电池警告语 115pcs</t>
        </r>
      </text>
    </comment>
    <comment ref="AG593" authorId="0">
      <text>
        <r>
          <rPr>
            <b/>
            <sz val="9"/>
            <rFont val="宋体"/>
            <charset val="134"/>
          </rPr>
          <t>Administrator:</t>
        </r>
        <r>
          <rPr>
            <sz val="9"/>
            <rFont val="宋体"/>
            <charset val="134"/>
          </rPr>
          <t xml:space="preserve">
3000546 12/8 120PCS华3b8</t>
        </r>
      </text>
    </comment>
    <comment ref="AJ593" authorId="0">
      <text>
        <r>
          <rPr>
            <b/>
            <sz val="9"/>
            <rFont val="宋体"/>
            <charset val="134"/>
          </rPr>
          <t>Administrator:</t>
        </r>
        <r>
          <rPr>
            <sz val="9"/>
            <rFont val="宋体"/>
            <charset val="134"/>
          </rPr>
          <t xml:space="preserve">
11/22 上白色防盗贴纸120pcs
11/26 h KM 单外箱贴纸10pcs
11/27 上说明书纽扣电池警告语贴纸120pcs
收藏膜纽扣电池警告语贴纸120pcs
12/5 缩膜纽扣电池警告语 </t>
        </r>
      </text>
    </comment>
    <comment ref="AG594" authorId="0">
      <text>
        <r>
          <rPr>
            <b/>
            <sz val="9"/>
            <rFont val="宋体"/>
            <charset val="134"/>
          </rPr>
          <t>Administrator:</t>
        </r>
        <r>
          <rPr>
            <sz val="9"/>
            <rFont val="宋体"/>
            <charset val="134"/>
          </rPr>
          <t xml:space="preserve">
3000546 12/8 1008PCS华1f3</t>
        </r>
      </text>
    </comment>
    <comment ref="AJ594" authorId="0">
      <text>
        <r>
          <rPr>
            <b/>
            <sz val="9"/>
            <rFont val="宋体"/>
            <charset val="134"/>
          </rPr>
          <t>Administrator:</t>
        </r>
        <r>
          <rPr>
            <sz val="9"/>
            <rFont val="宋体"/>
            <charset val="134"/>
          </rPr>
          <t xml:space="preserve">
12/21 上进口商贴纸1008pcs</t>
        </r>
      </text>
    </comment>
    <comment ref="AG595" authorId="0">
      <text>
        <r>
          <rPr>
            <b/>
            <sz val="9"/>
            <rFont val="宋体"/>
            <charset val="134"/>
          </rPr>
          <t>Administrator:</t>
        </r>
        <r>
          <rPr>
            <sz val="9"/>
            <rFont val="宋体"/>
            <charset val="134"/>
          </rPr>
          <t xml:space="preserve">
</t>
        </r>
        <r>
          <rPr>
            <sz val="12"/>
            <rFont val="宋体"/>
            <charset val="134"/>
          </rPr>
          <t>3000555 12/13 8000pcs华1b3</t>
        </r>
      </text>
    </comment>
    <comment ref="AJ595" authorId="0">
      <text>
        <r>
          <rPr>
            <b/>
            <sz val="9"/>
            <rFont val="宋体"/>
            <charset val="134"/>
          </rPr>
          <t>Administrator:</t>
        </r>
        <r>
          <rPr>
            <sz val="9"/>
            <rFont val="宋体"/>
            <charset val="134"/>
          </rPr>
          <t xml:space="preserve">
11/22上客供RFID贴纸8000pcs</t>
        </r>
      </text>
    </comment>
    <comment ref="AG596" authorId="0">
      <text>
        <r>
          <rPr>
            <b/>
            <sz val="9"/>
            <rFont val="宋体"/>
            <charset val="134"/>
          </rPr>
          <t>Administrator:</t>
        </r>
        <r>
          <rPr>
            <sz val="9"/>
            <rFont val="宋体"/>
            <charset val="134"/>
          </rPr>
          <t xml:space="preserve">
</t>
        </r>
        <r>
          <rPr>
            <sz val="12"/>
            <rFont val="宋体"/>
            <charset val="134"/>
          </rPr>
          <t>3000557 12/13 6720pcs 华1a4</t>
        </r>
      </text>
    </comment>
    <comment ref="AJ596" authorId="0">
      <text>
        <r>
          <rPr>
            <b/>
            <sz val="9"/>
            <rFont val="宋体"/>
            <charset val="134"/>
          </rPr>
          <t>Administrator:</t>
        </r>
        <r>
          <rPr>
            <sz val="9"/>
            <rFont val="宋体"/>
            <charset val="134"/>
          </rPr>
          <t xml:space="preserve">
11/22上客供RFID贴纸6720pcs
</t>
        </r>
      </text>
    </comment>
    <comment ref="AG597" authorId="0">
      <text>
        <r>
          <rPr>
            <b/>
            <sz val="9"/>
            <rFont val="宋体"/>
            <charset val="134"/>
          </rPr>
          <t>Administrator:</t>
        </r>
        <r>
          <rPr>
            <sz val="9"/>
            <rFont val="宋体"/>
            <charset val="134"/>
          </rPr>
          <t xml:space="preserve">
3000588 12/13 1440pcs </t>
        </r>
        <r>
          <rPr>
            <sz val="12"/>
            <rFont val="宋体"/>
            <charset val="134"/>
          </rPr>
          <t xml:space="preserve">华1f12
</t>
        </r>
        <r>
          <rPr>
            <sz val="9"/>
            <rFont val="宋体"/>
            <charset val="134"/>
          </rPr>
          <t>3000560 12/15 4000pcs</t>
        </r>
        <r>
          <rPr>
            <sz val="12"/>
            <rFont val="宋体"/>
            <charset val="134"/>
          </rPr>
          <t>华1f12</t>
        </r>
      </text>
    </comment>
    <comment ref="AJ597" authorId="0">
      <text>
        <r>
          <rPr>
            <b/>
            <sz val="9"/>
            <rFont val="宋体"/>
            <charset val="134"/>
          </rPr>
          <t>Administrator:</t>
        </r>
        <r>
          <rPr>
            <sz val="9"/>
            <rFont val="宋体"/>
            <charset val="134"/>
          </rPr>
          <t xml:space="preserve">
11/22上客供RFID贴纸5440pcs
</t>
        </r>
      </text>
    </comment>
    <comment ref="AG598" authorId="0">
      <text>
        <r>
          <rPr>
            <b/>
            <sz val="9"/>
            <rFont val="宋体"/>
            <charset val="134"/>
          </rPr>
          <t>Administrator:</t>
        </r>
        <r>
          <rPr>
            <sz val="9"/>
            <rFont val="宋体"/>
            <charset val="134"/>
          </rPr>
          <t xml:space="preserve">
3000557 12/13 5440pcs hua1b3</t>
        </r>
      </text>
    </comment>
    <comment ref="AJ598" authorId="0">
      <text>
        <r>
          <rPr>
            <b/>
            <sz val="9"/>
            <rFont val="宋体"/>
            <charset val="134"/>
          </rPr>
          <t>Administrator:</t>
        </r>
        <r>
          <rPr>
            <sz val="9"/>
            <rFont val="宋体"/>
            <charset val="134"/>
          </rPr>
          <t xml:space="preserve">
11/22上客供RFID贴纸5440pcs
</t>
        </r>
      </text>
    </comment>
    <comment ref="AG599" authorId="0">
      <text>
        <r>
          <rPr>
            <b/>
            <sz val="9"/>
            <rFont val="宋体"/>
            <charset val="134"/>
          </rPr>
          <t>Administrator:</t>
        </r>
        <r>
          <rPr>
            <sz val="9"/>
            <rFont val="宋体"/>
            <charset val="134"/>
          </rPr>
          <t xml:space="preserve">
3000560 12/15 2880pcs
华1f53000563 12/15 1280pcs 华1f5</t>
        </r>
      </text>
    </comment>
    <comment ref="AJ599" authorId="0">
      <text>
        <r>
          <rPr>
            <b/>
            <sz val="9"/>
            <rFont val="宋体"/>
            <charset val="134"/>
          </rPr>
          <t>Administrator:</t>
        </r>
        <r>
          <rPr>
            <sz val="9"/>
            <rFont val="宋体"/>
            <charset val="134"/>
          </rPr>
          <t xml:space="preserve">
11/22上客供RFID贴纸4160pcs
</t>
        </r>
      </text>
    </comment>
    <comment ref="AG600" authorId="0">
      <text>
        <r>
          <rPr>
            <b/>
            <sz val="9"/>
            <rFont val="宋体"/>
            <charset val="134"/>
          </rPr>
          <t>Administrator:</t>
        </r>
        <r>
          <rPr>
            <sz val="9"/>
            <rFont val="宋体"/>
            <charset val="134"/>
          </rPr>
          <t xml:space="preserve">
3000564 12/15 7040pcs华1f9\11</t>
        </r>
      </text>
    </comment>
    <comment ref="AJ600" authorId="0">
      <text>
        <r>
          <rPr>
            <b/>
            <sz val="9"/>
            <rFont val="宋体"/>
            <charset val="134"/>
          </rPr>
          <t>Administrator:</t>
        </r>
        <r>
          <rPr>
            <sz val="9"/>
            <rFont val="宋体"/>
            <charset val="134"/>
          </rPr>
          <t xml:space="preserve">
11/22上客供RFID贴纸7040pcs
</t>
        </r>
      </text>
    </comment>
    <comment ref="AG601" authorId="0">
      <text>
        <r>
          <rPr>
            <b/>
            <sz val="9"/>
            <rFont val="宋体"/>
            <charset val="134"/>
          </rPr>
          <t>Administrator:</t>
        </r>
        <r>
          <rPr>
            <sz val="9"/>
            <rFont val="宋体"/>
            <charset val="134"/>
          </rPr>
          <t xml:space="preserve">
3000560 12/15 4800pcs华3a21</t>
        </r>
      </text>
    </comment>
    <comment ref="AJ601" authorId="0">
      <text>
        <r>
          <rPr>
            <b/>
            <sz val="9"/>
            <rFont val="宋体"/>
            <charset val="134"/>
          </rPr>
          <t>Administrator:</t>
        </r>
        <r>
          <rPr>
            <sz val="9"/>
            <rFont val="宋体"/>
            <charset val="134"/>
          </rPr>
          <t xml:space="preserve">
11/22上客供RFID贴纸4800pcs
</t>
        </r>
      </text>
    </comment>
    <comment ref="AG602" authorId="0">
      <text>
        <r>
          <rPr>
            <b/>
            <sz val="9"/>
            <rFont val="宋体"/>
            <charset val="134"/>
          </rPr>
          <t>Administrator:</t>
        </r>
        <r>
          <rPr>
            <sz val="9"/>
            <rFont val="宋体"/>
            <charset val="134"/>
          </rPr>
          <t xml:space="preserve">
3000552 12/13 4536pcs
华3a213000558 12/13 3888pcs 华3a25
3000557 12/13 1296pcs hua3a25
3000564 12/15 276pcs
华3a25</t>
        </r>
      </text>
    </comment>
    <comment ref="AG603" authorId="0">
      <text>
        <r>
          <rPr>
            <b/>
            <sz val="9"/>
            <rFont val="宋体"/>
            <charset val="134"/>
          </rPr>
          <t>Administrator:</t>
        </r>
        <r>
          <rPr>
            <sz val="9"/>
            <rFont val="宋体"/>
            <charset val="134"/>
          </rPr>
          <t xml:space="preserve">
3000570 12/16 192pcs
王4b7</t>
        </r>
      </text>
    </comment>
    <comment ref="AG604" authorId="0">
      <text>
        <r>
          <rPr>
            <b/>
            <sz val="9"/>
            <rFont val="宋体"/>
            <charset val="134"/>
          </rPr>
          <t>Administrator:</t>
        </r>
        <r>
          <rPr>
            <sz val="9"/>
            <rFont val="宋体"/>
            <charset val="134"/>
          </rPr>
          <t xml:space="preserve">
3000570 12/16 600pcs
王4a7</t>
        </r>
      </text>
    </comment>
    <comment ref="AJ604" authorId="0">
      <text>
        <r>
          <rPr>
            <b/>
            <sz val="9"/>
            <rFont val="宋体"/>
            <charset val="134"/>
          </rPr>
          <t>Administrator:</t>
        </r>
        <r>
          <rPr>
            <sz val="9"/>
            <rFont val="宋体"/>
            <charset val="134"/>
          </rPr>
          <t xml:space="preserve">
11/10 上UPC贴纸600ｐｃｓ</t>
        </r>
      </text>
    </comment>
    <comment ref="AG605" authorId="0">
      <text>
        <r>
          <rPr>
            <b/>
            <sz val="9"/>
            <rFont val="宋体"/>
            <charset val="134"/>
          </rPr>
          <t>Administrator:</t>
        </r>
        <r>
          <rPr>
            <sz val="9"/>
            <rFont val="宋体"/>
            <charset val="134"/>
          </rPr>
          <t xml:space="preserve">
3000570 12/16 576pcs
王4b6</t>
        </r>
      </text>
    </comment>
    <comment ref="AJ605" authorId="0">
      <text>
        <r>
          <rPr>
            <b/>
            <sz val="9"/>
            <rFont val="宋体"/>
            <charset val="134"/>
          </rPr>
          <t>Administrator:</t>
        </r>
        <r>
          <rPr>
            <sz val="9"/>
            <rFont val="宋体"/>
            <charset val="134"/>
          </rPr>
          <t xml:space="preserve">
11/26 上亚马逊外箱贴纸48pcs
12/3 UPC贴纸41*25mm 576pcs</t>
        </r>
      </text>
    </comment>
    <comment ref="AG606" authorId="0">
      <text>
        <r>
          <rPr>
            <b/>
            <sz val="9"/>
            <rFont val="宋体"/>
            <charset val="134"/>
          </rPr>
          <t>Administrator:</t>
        </r>
        <r>
          <rPr>
            <sz val="9"/>
            <rFont val="宋体"/>
            <charset val="134"/>
          </rPr>
          <t xml:space="preserve">
3000570 12/16 480pcs
王4a8</t>
        </r>
      </text>
    </comment>
    <comment ref="AJ606" authorId="0">
      <text>
        <r>
          <rPr>
            <b/>
            <sz val="9"/>
            <rFont val="宋体"/>
            <charset val="134"/>
          </rPr>
          <t>Administrator:</t>
        </r>
        <r>
          <rPr>
            <sz val="9"/>
            <rFont val="宋体"/>
            <charset val="134"/>
          </rPr>
          <t xml:space="preserve">
11/4 上+WEEE声明(带电池)走货欧洲通用30L-B版说明书480pcs
上警语贴纸480pcs</t>
        </r>
      </text>
    </comment>
    <comment ref="AG607" authorId="0">
      <text>
        <r>
          <rPr>
            <b/>
            <sz val="9"/>
            <rFont val="宋体"/>
            <charset val="134"/>
          </rPr>
          <t>Administrator:</t>
        </r>
        <r>
          <rPr>
            <sz val="9"/>
            <rFont val="宋体"/>
            <charset val="134"/>
          </rPr>
          <t xml:space="preserve">
3000571 12/16 3000pcs
华3a26</t>
        </r>
      </text>
    </comment>
    <comment ref="AG608" authorId="0">
      <text>
        <r>
          <rPr>
            <b/>
            <sz val="9"/>
            <rFont val="宋体"/>
            <charset val="134"/>
          </rPr>
          <t>Administrator:</t>
        </r>
        <r>
          <rPr>
            <sz val="9"/>
            <rFont val="宋体"/>
            <charset val="134"/>
          </rPr>
          <t xml:space="preserve">
3000563 12/15 240pcs华1f3</t>
        </r>
      </text>
    </comment>
    <comment ref="AJ608" authorId="0">
      <text>
        <r>
          <rPr>
            <b/>
            <sz val="9"/>
            <rFont val="宋体"/>
            <charset val="134"/>
          </rPr>
          <t>Administrator:</t>
        </r>
        <r>
          <rPr>
            <sz val="9"/>
            <rFont val="宋体"/>
            <charset val="134"/>
          </rPr>
          <t xml:space="preserve">
12/4 客供外箱贴纸 60pcs
12/5 产品UPC 贴纸 240pcs</t>
        </r>
      </text>
    </comment>
    <comment ref="AG609" authorId="0">
      <text>
        <r>
          <rPr>
            <b/>
            <sz val="9"/>
            <rFont val="宋体"/>
            <charset val="134"/>
          </rPr>
          <t>Administrator:</t>
        </r>
        <r>
          <rPr>
            <sz val="9"/>
            <rFont val="宋体"/>
            <charset val="134"/>
          </rPr>
          <t xml:space="preserve">
3000570 12/16 348pcs王4a3</t>
        </r>
      </text>
    </comment>
    <comment ref="AJ609" authorId="0">
      <text>
        <r>
          <rPr>
            <b/>
            <sz val="9"/>
            <rFont val="宋体"/>
            <charset val="134"/>
          </rPr>
          <t>Administrator:</t>
        </r>
        <r>
          <rPr>
            <sz val="9"/>
            <rFont val="宋体"/>
            <charset val="134"/>
          </rPr>
          <t xml:space="preserve">
12/8 保证书121*81mmmn 348pcs
UPC条码贴证 348pcs
口商贴纸4648mm 348pcs</t>
        </r>
      </text>
    </comment>
    <comment ref="AG610" authorId="0">
      <text>
        <r>
          <rPr>
            <b/>
            <sz val="9"/>
            <rFont val="宋体"/>
            <charset val="134"/>
          </rPr>
          <t>Administrator:</t>
        </r>
        <r>
          <rPr>
            <sz val="9"/>
            <rFont val="宋体"/>
            <charset val="134"/>
          </rPr>
          <t xml:space="preserve">
3000567 12/16 252pcs
王4a8</t>
        </r>
      </text>
    </comment>
    <comment ref="AJ610" authorId="0">
      <text>
        <r>
          <rPr>
            <b/>
            <sz val="9"/>
            <rFont val="宋体"/>
            <charset val="134"/>
          </rPr>
          <t>Administrator:</t>
        </r>
        <r>
          <rPr>
            <sz val="9"/>
            <rFont val="宋体"/>
            <charset val="134"/>
          </rPr>
          <t xml:space="preserve">
11/29 上UPC贴纸252pcs
进口商贴纸252pcs
</t>
        </r>
      </text>
    </comment>
    <comment ref="AG611" authorId="0">
      <text>
        <r>
          <rPr>
            <b/>
            <sz val="9"/>
            <rFont val="宋体"/>
            <charset val="134"/>
          </rPr>
          <t>Administrator:</t>
        </r>
        <r>
          <rPr>
            <sz val="9"/>
            <rFont val="宋体"/>
            <charset val="134"/>
          </rPr>
          <t xml:space="preserve">
3000571 12/16 1380pcs 华3a32</t>
        </r>
      </text>
    </comment>
    <comment ref="AJ611" authorId="0">
      <text>
        <r>
          <rPr>
            <b/>
            <sz val="9"/>
            <rFont val="宋体"/>
            <charset val="134"/>
          </rPr>
          <t>Administrator:</t>
        </r>
        <r>
          <rPr>
            <sz val="9"/>
            <rFont val="宋体"/>
            <charset val="134"/>
          </rPr>
          <t xml:space="preserve">
11/22 上白色防盗贴纸1380pcs
11/27 上说明书纽扣电池警告语贴纸1380pcs
收藏膜纽扣电池警告语贴纸1380pcs
12/5 Kmart外箱贴纸4*4
Kmart外箱贴纸4*4 115pcs
12/5 缩膜纽扣电池警告语</t>
        </r>
        <r>
          <rPr>
            <b/>
            <sz val="9"/>
            <rFont val="宋体"/>
            <charset val="134"/>
          </rPr>
          <t xml:space="preserve"> </t>
        </r>
        <r>
          <rPr>
            <sz val="9"/>
            <rFont val="宋体"/>
            <charset val="134"/>
          </rPr>
          <t xml:space="preserve">
</t>
        </r>
      </text>
    </comment>
    <comment ref="AG612" authorId="0">
      <text>
        <r>
          <rPr>
            <b/>
            <sz val="9"/>
            <rFont val="宋体"/>
            <charset val="134"/>
          </rPr>
          <t>Administrator:</t>
        </r>
        <r>
          <rPr>
            <sz val="9"/>
            <rFont val="宋体"/>
            <charset val="134"/>
          </rPr>
          <t xml:space="preserve">
3000571 12/16 120pcs 华3b17</t>
        </r>
      </text>
    </comment>
    <comment ref="AJ612" authorId="0">
      <text>
        <r>
          <rPr>
            <b/>
            <sz val="9"/>
            <rFont val="宋体"/>
            <charset val="134"/>
          </rPr>
          <t>Administrator:</t>
        </r>
        <r>
          <rPr>
            <sz val="9"/>
            <rFont val="宋体"/>
            <charset val="134"/>
          </rPr>
          <t xml:space="preserve">
11/22 上白色防盗贴纸120pcs
12/5 Kmart外箱贴纸4*4 10pcs</t>
        </r>
      </text>
    </comment>
    <comment ref="AG613" authorId="0">
      <text>
        <r>
          <rPr>
            <b/>
            <sz val="9"/>
            <rFont val="宋体"/>
            <charset val="134"/>
          </rPr>
          <t>Administrator:</t>
        </r>
        <r>
          <rPr>
            <sz val="9"/>
            <rFont val="宋体"/>
            <charset val="134"/>
          </rPr>
          <t xml:space="preserve">
3000567 12/16 360pcs
王4a5</t>
        </r>
      </text>
    </comment>
    <comment ref="AJ613" authorId="0">
      <text>
        <r>
          <rPr>
            <b/>
            <sz val="9"/>
            <rFont val="宋体"/>
            <charset val="134"/>
          </rPr>
          <t>Administrator:</t>
        </r>
        <r>
          <rPr>
            <sz val="9"/>
            <rFont val="宋体"/>
            <charset val="134"/>
          </rPr>
          <t xml:space="preserve">
11/18 上UPC贴纸360pcs
进口商贴纸360pcs</t>
        </r>
      </text>
    </comment>
    <comment ref="AG614" authorId="0">
      <text>
        <r>
          <rPr>
            <b/>
            <sz val="9"/>
            <rFont val="宋体"/>
            <charset val="134"/>
          </rPr>
          <t>Administrator:</t>
        </r>
        <r>
          <rPr>
            <sz val="9"/>
            <rFont val="宋体"/>
            <charset val="134"/>
          </rPr>
          <t xml:space="preserve">
3000567 12/16 300pcs
王4a8</t>
        </r>
      </text>
    </comment>
    <comment ref="AJ614" authorId="0">
      <text>
        <r>
          <rPr>
            <b/>
            <sz val="9"/>
            <rFont val="宋体"/>
            <charset val="134"/>
          </rPr>
          <t>Administrator:</t>
        </r>
        <r>
          <rPr>
            <sz val="9"/>
            <rFont val="宋体"/>
            <charset val="134"/>
          </rPr>
          <t xml:space="preserve">
11/29 上UPC贴纸300pcs
进口商贴纸300pcs</t>
        </r>
      </text>
    </comment>
    <comment ref="AG615" authorId="0">
      <text>
        <r>
          <rPr>
            <b/>
            <sz val="9"/>
            <rFont val="宋体"/>
            <charset val="134"/>
          </rPr>
          <t>Administrator:</t>
        </r>
        <r>
          <rPr>
            <sz val="9"/>
            <rFont val="宋体"/>
            <charset val="134"/>
          </rPr>
          <t xml:space="preserve">
3000570 12/16 1440pcs 王4b6
3000571 12/16 2720pcs 华3a24</t>
        </r>
      </text>
    </comment>
    <comment ref="AG616" authorId="0">
      <text>
        <r>
          <rPr>
            <b/>
            <sz val="9"/>
            <rFont val="宋体"/>
            <charset val="134"/>
          </rPr>
          <t>Administrator:</t>
        </r>
        <r>
          <rPr>
            <sz val="9"/>
            <rFont val="宋体"/>
            <charset val="134"/>
          </rPr>
          <t xml:space="preserve">
3000571 12/16 1808pcs 华3</t>
        </r>
      </text>
    </comment>
    <comment ref="AJ616" authorId="0">
      <text>
        <r>
          <rPr>
            <b/>
            <sz val="9"/>
            <rFont val="宋体"/>
            <charset val="134"/>
          </rPr>
          <t>Administrator:</t>
        </r>
        <r>
          <rPr>
            <sz val="9"/>
            <rFont val="宋体"/>
            <charset val="134"/>
          </rPr>
          <t xml:space="preserve">
12/1 收藏指南彩色贴纸 1800pcs
12/1 进口商贴纸 1800pcs
12/1 说明书105*140mm 1800pcs
12/11 1彩色贴纸 1808pcs
2彩色贴纸 1808pcs
</t>
        </r>
      </text>
    </comment>
    <comment ref="AG617" authorId="0">
      <text>
        <r>
          <rPr>
            <b/>
            <sz val="9"/>
            <rFont val="宋体"/>
            <charset val="134"/>
          </rPr>
          <t>Administrator:</t>
        </r>
        <r>
          <rPr>
            <sz val="9"/>
            <rFont val="宋体"/>
            <charset val="134"/>
          </rPr>
          <t xml:space="preserve">
3000571 12/16 2800pcs
华3b10</t>
        </r>
      </text>
    </comment>
    <comment ref="AJ617" authorId="0">
      <text>
        <r>
          <rPr>
            <b/>
            <sz val="9"/>
            <rFont val="宋体"/>
            <charset val="134"/>
          </rPr>
          <t>Administrator:</t>
        </r>
        <r>
          <rPr>
            <sz val="9"/>
            <rFont val="宋体"/>
            <charset val="134"/>
          </rPr>
          <t xml:space="preserve">
12/1 收藏指南彩色贴纸 2800pcs
12/1 进口商贴纸 2800pcs
12/1 说明书105*140mm 2800pcs
12/11 1彩色贴纸 2800pcs
2彩色贴纸 2800pcs</t>
        </r>
      </text>
    </comment>
    <comment ref="AG618" authorId="0">
      <text>
        <r>
          <rPr>
            <b/>
            <sz val="9"/>
            <rFont val="宋体"/>
            <charset val="134"/>
          </rPr>
          <t>Administrator:</t>
        </r>
        <r>
          <rPr>
            <sz val="9"/>
            <rFont val="宋体"/>
            <charset val="134"/>
          </rPr>
          <t xml:space="preserve">
3000571 12/16 1808pcs
华3b11</t>
        </r>
      </text>
    </comment>
    <comment ref="AJ618" authorId="0">
      <text>
        <r>
          <rPr>
            <b/>
            <sz val="9"/>
            <rFont val="宋体"/>
            <charset val="134"/>
          </rPr>
          <t>Administrator:</t>
        </r>
        <r>
          <rPr>
            <sz val="9"/>
            <rFont val="宋体"/>
            <charset val="134"/>
          </rPr>
          <t xml:space="preserve">
12/1 收藏指南彩色贴纸 18098pcs
12/1 进口商贴纸 1808pcs
12/1 说明书105*140mm 1808pcs
12/11 1彩色贴纸 18080pcs
2彩色贴纸 1808pcs
</t>
        </r>
      </text>
    </comment>
    <comment ref="AG619" authorId="0">
      <text>
        <r>
          <rPr>
            <b/>
            <sz val="9"/>
            <rFont val="宋体"/>
            <charset val="134"/>
          </rPr>
          <t>Administrator:</t>
        </r>
        <r>
          <rPr>
            <sz val="9"/>
            <rFont val="宋体"/>
            <charset val="134"/>
          </rPr>
          <t xml:space="preserve">
3000570 12/16 600pcs
王4b8</t>
        </r>
      </text>
    </comment>
    <comment ref="AJ619" authorId="0">
      <text>
        <r>
          <rPr>
            <b/>
            <sz val="9"/>
            <rFont val="宋体"/>
            <charset val="134"/>
          </rPr>
          <t>Administrator:</t>
        </r>
        <r>
          <rPr>
            <sz val="9"/>
            <rFont val="宋体"/>
            <charset val="134"/>
          </rPr>
          <t xml:space="preserve">
11/3 上客户款号EAN条码贴纸600pcs
德语警告语贴纸600pcs
WEEE带电池走货说明书600pcs
Kinderherz 2025 Logo贴纸600pcs</t>
        </r>
      </text>
    </comment>
    <comment ref="AG620" authorId="0">
      <text>
        <r>
          <rPr>
            <b/>
            <sz val="9"/>
            <rFont val="宋体"/>
            <charset val="134"/>
          </rPr>
          <t>Administrator:</t>
        </r>
        <r>
          <rPr>
            <sz val="9"/>
            <rFont val="宋体"/>
            <charset val="134"/>
          </rPr>
          <t xml:space="preserve">
3000576 12/18 708pcs 华3b8</t>
        </r>
      </text>
    </comment>
    <comment ref="AJ620" authorId="0">
      <text>
        <r>
          <rPr>
            <b/>
            <sz val="9"/>
            <rFont val="宋体"/>
            <charset val="134"/>
          </rPr>
          <t>Administrator:</t>
        </r>
        <r>
          <rPr>
            <sz val="9"/>
            <rFont val="宋体"/>
            <charset val="134"/>
          </rPr>
          <t xml:space="preserve">
11/10 客人白色Cat.label 720PCS
B版通用30L WEEE带电池走货说明书720PCS</t>
        </r>
      </text>
    </comment>
    <comment ref="AG621" authorId="0">
      <text>
        <r>
          <rPr>
            <b/>
            <sz val="9"/>
            <rFont val="宋体"/>
            <charset val="134"/>
          </rPr>
          <t>Administrator:</t>
        </r>
        <r>
          <rPr>
            <sz val="9"/>
            <rFont val="宋体"/>
            <charset val="134"/>
          </rPr>
          <t xml:space="preserve">
3000593 12/23 直走
</t>
        </r>
      </text>
    </comment>
    <comment ref="AJ621" authorId="0">
      <text>
        <r>
          <rPr>
            <b/>
            <sz val="9"/>
            <rFont val="宋体"/>
            <charset val="134"/>
          </rPr>
          <t>Administrator:</t>
        </r>
        <r>
          <rPr>
            <sz val="9"/>
            <rFont val="宋体"/>
            <charset val="134"/>
          </rPr>
          <t xml:space="preserve">
12/4 客供外箱贴纸 300pcs
12/5 价格贴纸41*25mm 1200pcs</t>
        </r>
      </text>
    </comment>
    <comment ref="AG622" authorId="0">
      <text>
        <r>
          <rPr>
            <b/>
            <sz val="9"/>
            <rFont val="宋体"/>
            <charset val="134"/>
          </rPr>
          <t>Administrator:</t>
        </r>
        <r>
          <rPr>
            <sz val="9"/>
            <rFont val="宋体"/>
            <charset val="134"/>
          </rPr>
          <t xml:space="preserve">
3000593 12/23 480pcs 华3b8</t>
        </r>
      </text>
    </comment>
    <comment ref="AJ622" authorId="0">
      <text>
        <r>
          <rPr>
            <b/>
            <sz val="9"/>
            <rFont val="宋体"/>
            <charset val="134"/>
          </rPr>
          <t>Administrator:</t>
        </r>
        <r>
          <rPr>
            <sz val="9"/>
            <rFont val="宋体"/>
            <charset val="134"/>
          </rPr>
          <t xml:space="preserve">
12/5 Kinderherz 2025  480pcs
德语警告语贴纸 480pcs</t>
        </r>
      </text>
    </comment>
    <comment ref="AG623" authorId="0">
      <text>
        <r>
          <rPr>
            <b/>
            <sz val="9"/>
            <rFont val="宋体"/>
            <charset val="134"/>
          </rPr>
          <t>Administrator:</t>
        </r>
        <r>
          <rPr>
            <sz val="9"/>
            <rFont val="宋体"/>
            <charset val="134"/>
          </rPr>
          <t xml:space="preserve">
3000593 12/23 1520pcs</t>
        </r>
      </text>
    </comment>
    <comment ref="AG624" authorId="0">
      <text>
        <r>
          <rPr>
            <b/>
            <sz val="9"/>
            <rFont val="宋体"/>
            <charset val="134"/>
          </rPr>
          <t>Administrator:</t>
        </r>
        <r>
          <rPr>
            <sz val="9"/>
            <rFont val="宋体"/>
            <charset val="134"/>
          </rPr>
          <t xml:space="preserve">
3000597 12/23 1140pcs华3a26
3000596 12/23 2880pcs 华3a20</t>
        </r>
      </text>
    </comment>
    <comment ref="AJ624" authorId="0">
      <text>
        <r>
          <rPr>
            <b/>
            <sz val="9"/>
            <rFont val="宋体"/>
            <charset val="134"/>
          </rPr>
          <t>Administrator:</t>
        </r>
        <r>
          <rPr>
            <sz val="9"/>
            <rFont val="宋体"/>
            <charset val="134"/>
          </rPr>
          <t xml:space="preserve">
12/9 保证书 4320pcs
产品贴纸 4320pcs
包装贴纸 4320pcs
UPC贴纸 4230pcs
说明书贴纸 4320pcs
12/10 外箱贴纸 360pcs</t>
        </r>
      </text>
    </comment>
    <comment ref="AG625" authorId="0">
      <text>
        <r>
          <rPr>
            <b/>
            <sz val="9"/>
            <rFont val="宋体"/>
            <charset val="134"/>
          </rPr>
          <t>Administrator:</t>
        </r>
        <r>
          <rPr>
            <sz val="9"/>
            <rFont val="宋体"/>
            <charset val="134"/>
          </rPr>
          <t xml:space="preserve">
3000601 12/24 9520pcs 华3a29</t>
        </r>
      </text>
    </comment>
    <comment ref="AG626" authorId="0">
      <text>
        <r>
          <rPr>
            <b/>
            <sz val="9"/>
            <rFont val="宋体"/>
            <charset val="134"/>
          </rPr>
          <t>Administrator:</t>
        </r>
        <r>
          <rPr>
            <sz val="9"/>
            <rFont val="宋体"/>
            <charset val="134"/>
          </rPr>
          <t xml:space="preserve">
3000604 12/24 9488pcs 华1f9
3000605 12/25 32pcs王1f9</t>
        </r>
      </text>
    </comment>
    <comment ref="AG627" authorId="0">
      <text>
        <r>
          <rPr>
            <b/>
            <sz val="9"/>
            <rFont val="宋体"/>
            <charset val="134"/>
          </rPr>
          <t>Administrator:</t>
        </r>
        <r>
          <rPr>
            <sz val="9"/>
            <rFont val="宋体"/>
            <charset val="134"/>
          </rPr>
          <t xml:space="preserve">
3000605 12/25 560pcs王4a2</t>
        </r>
      </text>
    </comment>
    <comment ref="AG628" authorId="0">
      <text>
        <r>
          <rPr>
            <b/>
            <sz val="9"/>
            <rFont val="宋体"/>
            <charset val="134"/>
          </rPr>
          <t>Administrator:</t>
        </r>
        <r>
          <rPr>
            <sz val="9"/>
            <rFont val="宋体"/>
            <charset val="134"/>
          </rPr>
          <t xml:space="preserve">
3000598 12/24 3888pcs 华3a19
3000599 12/24 5136pcs 华3a19
3000616 12/26 972pcs
王3a19</t>
        </r>
      </text>
    </comment>
    <comment ref="AG629" authorId="0">
      <text>
        <r>
          <rPr>
            <b/>
            <sz val="9"/>
            <rFont val="宋体"/>
            <charset val="134"/>
          </rPr>
          <t xml:space="preserve">Administrator:
</t>
        </r>
        <r>
          <rPr>
            <sz val="9"/>
            <rFont val="宋体"/>
            <charset val="134"/>
          </rPr>
          <t>3000593 12/23 6000pcs华1f11</t>
        </r>
      </text>
    </comment>
    <comment ref="AJ629" authorId="0">
      <text>
        <r>
          <rPr>
            <b/>
            <sz val="9"/>
            <rFont val="宋体"/>
            <charset val="134"/>
          </rPr>
          <t>Administrator:</t>
        </r>
        <r>
          <rPr>
            <sz val="9"/>
            <rFont val="宋体"/>
            <charset val="134"/>
          </rPr>
          <t xml:space="preserve">
10/17 上3C贴纸6000pcs</t>
        </r>
      </text>
    </comment>
    <comment ref="AG630" authorId="0">
      <text>
        <r>
          <rPr>
            <b/>
            <sz val="9"/>
            <rFont val="宋体"/>
            <charset val="134"/>
          </rPr>
          <t>Administrator:</t>
        </r>
        <r>
          <rPr>
            <sz val="9"/>
            <rFont val="宋体"/>
            <charset val="134"/>
          </rPr>
          <t xml:space="preserve">
3000605 12/25 32pcs
王直走
</t>
        </r>
      </text>
    </comment>
    <comment ref="AJ630" authorId="0">
      <text>
        <r>
          <rPr>
            <b/>
            <sz val="9"/>
            <rFont val="宋体"/>
            <charset val="134"/>
          </rPr>
          <t>Administrator:</t>
        </r>
        <r>
          <rPr>
            <sz val="9"/>
            <rFont val="宋体"/>
            <charset val="134"/>
          </rPr>
          <t xml:space="preserve">
10/16 上3C贴纸2004pcs</t>
        </r>
      </text>
    </comment>
    <comment ref="AG631" authorId="0">
      <text>
        <r>
          <rPr>
            <b/>
            <sz val="9"/>
            <rFont val="宋体"/>
            <charset val="134"/>
          </rPr>
          <t>Administrator:</t>
        </r>
        <r>
          <rPr>
            <sz val="9"/>
            <rFont val="宋体"/>
            <charset val="134"/>
          </rPr>
          <t xml:space="preserve">
3000597 12/23 1168pcs华3b15
3000599 12/24 32pcs 华3b15</t>
        </r>
      </text>
    </comment>
    <comment ref="AJ631" authorId="0">
      <text>
        <r>
          <rPr>
            <b/>
            <sz val="9"/>
            <rFont val="宋体"/>
            <charset val="134"/>
          </rPr>
          <t>Administrator:</t>
        </r>
        <r>
          <rPr>
            <sz val="9"/>
            <rFont val="宋体"/>
            <charset val="134"/>
          </rPr>
          <t xml:space="preserve">
12/5 Kinderherz 2025 1200pcs
德语警告语贴纸 1200pcs</t>
        </r>
      </text>
    </comment>
    <comment ref="AG632" authorId="0">
      <text>
        <r>
          <rPr>
            <b/>
            <sz val="9"/>
            <rFont val="宋体"/>
            <charset val="134"/>
          </rPr>
          <t>Administrator:</t>
        </r>
        <r>
          <rPr>
            <sz val="9"/>
            <rFont val="宋体"/>
            <charset val="134"/>
          </rPr>
          <t xml:space="preserve">
东莞完成</t>
        </r>
      </text>
    </comment>
    <comment ref="AJ632" authorId="0">
      <text>
        <r>
          <rPr>
            <b/>
            <sz val="9"/>
            <rFont val="宋体"/>
            <charset val="134"/>
          </rPr>
          <t>Administrator:</t>
        </r>
        <r>
          <rPr>
            <sz val="9"/>
            <rFont val="宋体"/>
            <charset val="134"/>
          </rPr>
          <t xml:space="preserve">
12/12 客户贴纸 30pcs</t>
        </r>
      </text>
    </comment>
    <comment ref="AG633" authorId="0">
      <text>
        <r>
          <rPr>
            <b/>
            <sz val="9"/>
            <rFont val="宋体"/>
            <charset val="134"/>
          </rPr>
          <t>Administrator:</t>
        </r>
        <r>
          <rPr>
            <sz val="9"/>
            <rFont val="宋体"/>
            <charset val="134"/>
          </rPr>
          <t xml:space="preserve">
3000612 12/26 600pcs王4b9</t>
        </r>
      </text>
    </comment>
    <comment ref="AG634" authorId="0">
      <text>
        <r>
          <rPr>
            <b/>
            <sz val="9"/>
            <rFont val="宋体"/>
            <charset val="134"/>
          </rPr>
          <t>Administrator:</t>
        </r>
        <r>
          <rPr>
            <sz val="9"/>
            <rFont val="宋体"/>
            <charset val="134"/>
          </rPr>
          <t xml:space="preserve">
3000621 12/27 5004pcs 王4a4</t>
        </r>
      </text>
    </comment>
    <comment ref="AJ634" authorId="0">
      <text>
        <r>
          <rPr>
            <b/>
            <sz val="9"/>
            <rFont val="宋体"/>
            <charset val="134"/>
          </rPr>
          <t>Administrator:</t>
        </r>
        <r>
          <rPr>
            <sz val="9"/>
            <rFont val="宋体"/>
            <charset val="134"/>
          </rPr>
          <t xml:space="preserve">
11/18 上进口商贴纸5004pcs
UPC 贴纸5004pcs
补查货 UPC贴 纸 50pcs 进口商贴纸 50pcs</t>
        </r>
      </text>
    </comment>
    <comment ref="AG635" authorId="0">
      <text>
        <r>
          <rPr>
            <b/>
            <sz val="9"/>
            <rFont val="宋体"/>
            <charset val="134"/>
          </rPr>
          <t>Administrator:</t>
        </r>
        <r>
          <rPr>
            <sz val="9"/>
            <rFont val="宋体"/>
            <charset val="134"/>
          </rPr>
          <t xml:space="preserve">
3000631 12/31 9464pcs</t>
        </r>
      </text>
    </comment>
    <comment ref="AG636" authorId="0">
      <text>
        <r>
          <rPr>
            <b/>
            <sz val="9"/>
            <rFont val="宋体"/>
            <charset val="134"/>
          </rPr>
          <t>Administrator:</t>
        </r>
        <r>
          <rPr>
            <sz val="9"/>
            <rFont val="宋体"/>
            <charset val="134"/>
          </rPr>
          <t xml:space="preserve">
3000593 12/23 156pcs 转</t>
        </r>
      </text>
    </comment>
    <comment ref="AG637" authorId="0">
      <text>
        <r>
          <rPr>
            <b/>
            <sz val="9"/>
            <rFont val="宋体"/>
            <charset val="134"/>
          </rPr>
          <t>Administrator:</t>
        </r>
        <r>
          <rPr>
            <sz val="9"/>
            <rFont val="宋体"/>
            <charset val="134"/>
          </rPr>
          <t xml:space="preserve">
1600090 12/26 708pcs王4a7</t>
        </r>
      </text>
    </comment>
    <comment ref="AG638" authorId="0">
      <text>
        <r>
          <rPr>
            <b/>
            <sz val="9"/>
            <rFont val="宋体"/>
            <charset val="134"/>
          </rPr>
          <t>Administrator:</t>
        </r>
        <r>
          <rPr>
            <sz val="9"/>
            <rFont val="宋体"/>
            <charset val="134"/>
          </rPr>
          <t xml:space="preserve">
1600080 12/26 108
pcs
王4b11600090 12/26 12pcs王4b1</t>
        </r>
      </text>
    </comment>
    <comment ref="AJ638" authorId="0">
      <text>
        <r>
          <rPr>
            <b/>
            <sz val="9"/>
            <rFont val="宋体"/>
            <charset val="134"/>
          </rPr>
          <t>Administrator:</t>
        </r>
        <r>
          <rPr>
            <sz val="9"/>
            <rFont val="宋体"/>
            <charset val="134"/>
          </rPr>
          <t xml:space="preserve">
12/10 小警语贴纸 120pcs
大纽扣电池警语贴纸 120pcs
12/11 Kmart外箱贴纸 10pcs
12/15 白色防盗贴纸 120pcs</t>
        </r>
      </text>
    </comment>
    <comment ref="AG639" authorId="0">
      <text>
        <r>
          <rPr>
            <b/>
            <sz val="9"/>
            <rFont val="宋体"/>
            <charset val="134"/>
          </rPr>
          <t>Administrator:</t>
        </r>
        <r>
          <rPr>
            <sz val="9"/>
            <rFont val="宋体"/>
            <charset val="134"/>
          </rPr>
          <t xml:space="preserve">
1600080 12/26 1344pcs
王4b21600090 12/26 36pcs王4</t>
        </r>
      </text>
    </comment>
    <comment ref="AJ639" authorId="0">
      <text>
        <r>
          <rPr>
            <b/>
            <sz val="9"/>
            <rFont val="宋体"/>
            <charset val="134"/>
          </rPr>
          <t>Administrator:</t>
        </r>
        <r>
          <rPr>
            <sz val="9"/>
            <rFont val="宋体"/>
            <charset val="134"/>
          </rPr>
          <t xml:space="preserve">
12/10 小警语贴纸 1380pcs
大纽扣电池警语贴纸 1380pcs
12/11 Kmart外箱贴纸 115pcs
12/15 白色防盗贴纸 1380pcs</t>
        </r>
      </text>
    </comment>
    <comment ref="AG640" authorId="0">
      <text>
        <r>
          <rPr>
            <b/>
            <sz val="9"/>
            <rFont val="宋体"/>
            <charset val="134"/>
          </rPr>
          <t>Administrator:</t>
        </r>
        <r>
          <rPr>
            <sz val="9"/>
            <rFont val="宋体"/>
            <charset val="134"/>
          </rPr>
          <t xml:space="preserve">
1600951 1/2 3000pcs
庞fa5区</t>
        </r>
      </text>
    </comment>
    <comment ref="AJ640" authorId="0">
      <text>
        <r>
          <rPr>
            <b/>
            <sz val="9"/>
            <rFont val="宋体"/>
            <charset val="134"/>
          </rPr>
          <t>Administrator:</t>
        </r>
        <r>
          <rPr>
            <sz val="9"/>
            <rFont val="宋体"/>
            <charset val="134"/>
          </rPr>
          <t xml:space="preserve">
12/9 进口商贴纸 3000pcs</t>
        </r>
      </text>
    </comment>
    <comment ref="AG641" authorId="0">
      <text>
        <r>
          <rPr>
            <b/>
            <sz val="9"/>
            <rFont val="宋体"/>
            <charset val="134"/>
          </rPr>
          <t>Administrator:</t>
        </r>
        <r>
          <rPr>
            <sz val="9"/>
            <rFont val="宋体"/>
            <charset val="134"/>
          </rPr>
          <t xml:space="preserve">
1600080 12/26 416
pcs
王4b91600090 12/26 16pcs王4b9</t>
        </r>
      </text>
    </comment>
    <comment ref="AG642" authorId="0">
      <text>
        <r>
          <rPr>
            <b/>
            <sz val="9"/>
            <rFont val="宋体"/>
            <charset val="134"/>
          </rPr>
          <t>Administrator:</t>
        </r>
        <r>
          <rPr>
            <sz val="9"/>
            <rFont val="宋体"/>
            <charset val="134"/>
          </rPr>
          <t xml:space="preserve">
1600124 12/24 4480pcs华1f5</t>
        </r>
      </text>
    </comment>
    <comment ref="AJ642" authorId="0">
      <text>
        <r>
          <rPr>
            <b/>
            <sz val="9"/>
            <rFont val="宋体"/>
            <charset val="134"/>
          </rPr>
          <t>Administrator:</t>
        </r>
        <r>
          <rPr>
            <sz val="9"/>
            <rFont val="宋体"/>
            <charset val="134"/>
          </rPr>
          <t xml:space="preserve">
11/22上客供RFID贴纸4480pcs</t>
        </r>
      </text>
    </comment>
    <comment ref="AG643" authorId="0">
      <text>
        <r>
          <rPr>
            <b/>
            <sz val="9"/>
            <rFont val="宋体"/>
            <charset val="134"/>
          </rPr>
          <t>Administrator:</t>
        </r>
        <r>
          <rPr>
            <sz val="9"/>
            <rFont val="宋体"/>
            <charset val="134"/>
          </rPr>
          <t xml:space="preserve">
1600124 12/24 2240pcs
华3a28</t>
        </r>
      </text>
    </comment>
    <comment ref="AJ643" authorId="0">
      <text>
        <r>
          <rPr>
            <b/>
            <sz val="9"/>
            <rFont val="宋体"/>
            <charset val="134"/>
          </rPr>
          <t>Administrator:</t>
        </r>
        <r>
          <rPr>
            <sz val="9"/>
            <rFont val="宋体"/>
            <charset val="134"/>
          </rPr>
          <t xml:space="preserve">
11/22上客供RFID贴纸2240pcs</t>
        </r>
      </text>
    </comment>
    <comment ref="AG644" authorId="0">
      <text>
        <r>
          <rPr>
            <b/>
            <sz val="9"/>
            <rFont val="宋体"/>
            <charset val="134"/>
          </rPr>
          <t>Administrator:</t>
        </r>
        <r>
          <rPr>
            <sz val="9"/>
            <rFont val="宋体"/>
            <charset val="134"/>
          </rPr>
          <t xml:space="preserve">
3000617 12/27 1920pcs
华1f12
</t>
        </r>
      </text>
    </comment>
    <comment ref="AJ644" authorId="0">
      <text>
        <r>
          <rPr>
            <b/>
            <sz val="9"/>
            <rFont val="宋体"/>
            <charset val="134"/>
          </rPr>
          <t>Administrator:</t>
        </r>
        <r>
          <rPr>
            <sz val="9"/>
            <rFont val="宋体"/>
            <charset val="134"/>
          </rPr>
          <t xml:space="preserve">
11/22上客供RFID贴纸1920pcs</t>
        </r>
      </text>
    </comment>
    <comment ref="AG645" authorId="0">
      <text>
        <r>
          <rPr>
            <b/>
            <sz val="9"/>
            <rFont val="宋体"/>
            <charset val="134"/>
          </rPr>
          <t>Administrator:</t>
        </r>
        <r>
          <rPr>
            <sz val="9"/>
            <rFont val="宋体"/>
            <charset val="134"/>
          </rPr>
          <t xml:space="preserve">
1600112 12/27 756pcs王4a7
1600090 12/27 1680pcs 王4a7
1600124 12/27 24pcs 王4a7
 </t>
        </r>
      </text>
    </comment>
    <comment ref="AJ645" authorId="0">
      <text>
        <r>
          <rPr>
            <b/>
            <sz val="9"/>
            <rFont val="宋体"/>
            <charset val="134"/>
          </rPr>
          <t>Administrator:</t>
        </r>
        <r>
          <rPr>
            <sz val="9"/>
            <rFont val="宋体"/>
            <charset val="134"/>
          </rPr>
          <t xml:space="preserve">
12/1 亚马逊外箱贴纸4*6 205pcs
12/5 UPC贴纸41*25mm 2460pcs</t>
        </r>
      </text>
    </comment>
    <comment ref="AG646" authorId="0">
      <text>
        <r>
          <rPr>
            <b/>
            <sz val="9"/>
            <rFont val="宋体"/>
            <charset val="134"/>
          </rPr>
          <t>Administrator:</t>
        </r>
        <r>
          <rPr>
            <sz val="9"/>
            <rFont val="宋体"/>
            <charset val="134"/>
          </rPr>
          <t xml:space="preserve">
1600951 1/2 3600pcs 庞fa5区
</t>
        </r>
      </text>
    </comment>
    <comment ref="AJ646" authorId="0">
      <text>
        <r>
          <rPr>
            <b/>
            <sz val="9"/>
            <rFont val="宋体"/>
            <charset val="134"/>
          </rPr>
          <t>Administrator:</t>
        </r>
        <r>
          <rPr>
            <sz val="9"/>
            <rFont val="宋体"/>
            <charset val="134"/>
          </rPr>
          <t xml:space="preserve">
12/16 进口商贴纸 3600pcs</t>
        </r>
      </text>
    </comment>
    <comment ref="AG647" authorId="0">
      <text>
        <r>
          <rPr>
            <b/>
            <sz val="9"/>
            <rFont val="宋体"/>
            <charset val="134"/>
          </rPr>
          <t>Administrator:</t>
        </r>
        <r>
          <rPr>
            <sz val="9"/>
            <rFont val="宋体"/>
            <charset val="134"/>
          </rPr>
          <t xml:space="preserve">
1600112 12/27 1782pcs 王4b8
1600124 12/27 18pcs王4b8
 </t>
        </r>
      </text>
    </comment>
    <comment ref="AJ647" authorId="0">
      <text>
        <r>
          <rPr>
            <b/>
            <sz val="9"/>
            <rFont val="宋体"/>
            <charset val="134"/>
          </rPr>
          <t>Administrator:</t>
        </r>
        <r>
          <rPr>
            <sz val="9"/>
            <rFont val="宋体"/>
            <charset val="134"/>
          </rPr>
          <t xml:space="preserve">
12/8 进口商贴纸55*60mmm 1200pcs
</t>
        </r>
      </text>
    </comment>
    <comment ref="AG648" authorId="0">
      <text>
        <r>
          <rPr>
            <b/>
            <sz val="9"/>
            <rFont val="宋体"/>
            <charset val="134"/>
          </rPr>
          <t>Administrator:</t>
        </r>
        <r>
          <rPr>
            <sz val="9"/>
            <rFont val="宋体"/>
            <charset val="134"/>
          </rPr>
          <t xml:space="preserve">
1600124 12/24 4280pcs
华3</t>
        </r>
      </text>
    </comment>
    <comment ref="AJ648" authorId="0">
      <text>
        <r>
          <rPr>
            <b/>
            <sz val="9"/>
            <rFont val="宋体"/>
            <charset val="134"/>
          </rPr>
          <t>Administrator:</t>
        </r>
        <r>
          <rPr>
            <sz val="9"/>
            <rFont val="宋体"/>
            <charset val="134"/>
          </rPr>
          <t xml:space="preserve">
11/22上客供RFID贴纸1280pcs</t>
        </r>
      </text>
    </comment>
    <comment ref="AG649" authorId="0">
      <text>
        <r>
          <rPr>
            <b/>
            <sz val="9"/>
            <rFont val="宋体"/>
            <charset val="134"/>
          </rPr>
          <t>Administrator:</t>
        </r>
        <r>
          <rPr>
            <sz val="9"/>
            <rFont val="宋体"/>
            <charset val="134"/>
          </rPr>
          <t xml:space="preserve">
1600127 12/27 960pcs 王4b7</t>
        </r>
      </text>
    </comment>
    <comment ref="AJ649" authorId="0">
      <text>
        <r>
          <rPr>
            <b/>
            <sz val="9"/>
            <rFont val="宋体"/>
            <charset val="134"/>
          </rPr>
          <t>Administrator:</t>
        </r>
        <r>
          <rPr>
            <sz val="9"/>
            <rFont val="宋体"/>
            <charset val="134"/>
          </rPr>
          <t xml:space="preserve">
12/8 进口商贴纸55*60mmm 960pcs</t>
        </r>
      </text>
    </comment>
    <comment ref="AG650" authorId="0">
      <text>
        <r>
          <rPr>
            <b/>
            <sz val="9"/>
            <rFont val="宋体"/>
            <charset val="134"/>
          </rPr>
          <t>Administrator:</t>
        </r>
        <r>
          <rPr>
            <sz val="9"/>
            <rFont val="宋体"/>
            <charset val="134"/>
          </rPr>
          <t xml:space="preserve">
3000617 12/27 640pcs华1f12</t>
        </r>
      </text>
    </comment>
    <comment ref="AJ650" authorId="0">
      <text>
        <r>
          <rPr>
            <b/>
            <sz val="9"/>
            <rFont val="宋体"/>
            <charset val="134"/>
          </rPr>
          <t>Administrator:</t>
        </r>
        <r>
          <rPr>
            <sz val="9"/>
            <rFont val="宋体"/>
            <charset val="134"/>
          </rPr>
          <t xml:space="preserve">
10/17 上客供RFID贴纸640pcs
10/29 客供RFID贴纸 640pcs</t>
        </r>
      </text>
    </comment>
    <comment ref="AG651" authorId="0">
      <text>
        <r>
          <rPr>
            <b/>
            <sz val="9"/>
            <rFont val="宋体"/>
            <charset val="134"/>
          </rPr>
          <t>Administrator:</t>
        </r>
        <r>
          <rPr>
            <sz val="9"/>
            <rFont val="宋体"/>
            <charset val="134"/>
          </rPr>
          <t xml:space="preserve">
1600124 12/24 1920pcs
华3b14</t>
        </r>
      </text>
    </comment>
    <comment ref="AJ651" authorId="0">
      <text>
        <r>
          <rPr>
            <b/>
            <sz val="9"/>
            <rFont val="宋体"/>
            <charset val="134"/>
          </rPr>
          <t>Administrator:</t>
        </r>
        <r>
          <rPr>
            <sz val="9"/>
            <rFont val="宋体"/>
            <charset val="134"/>
          </rPr>
          <t xml:space="preserve">
10/29 客供RFID贴纸 1920pcs
</t>
        </r>
      </text>
    </comment>
    <comment ref="AG652" authorId="0">
      <text>
        <r>
          <rPr>
            <b/>
            <sz val="9"/>
            <rFont val="宋体"/>
            <charset val="134"/>
          </rPr>
          <t>Administrator:</t>
        </r>
        <r>
          <rPr>
            <sz val="9"/>
            <rFont val="宋体"/>
            <charset val="134"/>
          </rPr>
          <t xml:space="preserve">
3000617 12/27 960pcs
华1f12
</t>
        </r>
      </text>
    </comment>
    <comment ref="AJ652" authorId="0">
      <text>
        <r>
          <rPr>
            <b/>
            <sz val="9"/>
            <rFont val="宋体"/>
            <charset val="134"/>
          </rPr>
          <t>Administrator:</t>
        </r>
        <r>
          <rPr>
            <sz val="9"/>
            <rFont val="宋体"/>
            <charset val="134"/>
          </rPr>
          <t xml:space="preserve">
10/29 客供RFID贴纸 960pcs
</t>
        </r>
      </text>
    </comment>
    <comment ref="AG653" authorId="0">
      <text>
        <r>
          <rPr>
            <b/>
            <sz val="9"/>
            <rFont val="宋体"/>
            <charset val="134"/>
          </rPr>
          <t>Administrator:</t>
        </r>
        <r>
          <rPr>
            <sz val="9"/>
            <rFont val="宋体"/>
            <charset val="134"/>
          </rPr>
          <t xml:space="preserve">
3000625 12/29 1200pcs 华1f11</t>
        </r>
      </text>
    </comment>
    <comment ref="AG654" authorId="0">
      <text>
        <r>
          <rPr>
            <b/>
            <sz val="9"/>
            <rFont val="宋体"/>
            <charset val="134"/>
          </rPr>
          <t>Administrator:</t>
        </r>
        <r>
          <rPr>
            <sz val="9"/>
            <rFont val="宋体"/>
            <charset val="134"/>
          </rPr>
          <t xml:space="preserve">
3000625 12/29 4472pcs
华1f11
3000628 12/30 32pcs
华1f11</t>
        </r>
      </text>
    </comment>
    <comment ref="AG655" authorId="0">
      <text>
        <r>
          <rPr>
            <b/>
            <sz val="9"/>
            <rFont val="宋体"/>
            <charset val="134"/>
          </rPr>
          <t>Administrator:</t>
        </r>
        <r>
          <rPr>
            <sz val="9"/>
            <rFont val="宋体"/>
            <charset val="134"/>
          </rPr>
          <t xml:space="preserve">
3000635 1/4 888pcs 潘3b16</t>
        </r>
      </text>
    </comment>
    <comment ref="AJ655" authorId="0">
      <text>
        <r>
          <rPr>
            <b/>
            <sz val="9"/>
            <rFont val="宋体"/>
            <charset val="134"/>
          </rPr>
          <t>Administrator:</t>
        </r>
        <r>
          <rPr>
            <sz val="9"/>
            <rFont val="宋体"/>
            <charset val="134"/>
          </rPr>
          <t xml:space="preserve">
12/18 DC运输贴纸 888pcs
12/22 UPC贴纸 888pcs
12/24 PDQ标识贴 111pcs</t>
        </r>
      </text>
    </comment>
    <comment ref="AG656" authorId="0">
      <text>
        <r>
          <rPr>
            <b/>
            <sz val="9"/>
            <rFont val="宋体"/>
            <charset val="134"/>
          </rPr>
          <t>Administrator:</t>
        </r>
        <r>
          <rPr>
            <sz val="9"/>
            <rFont val="宋体"/>
            <charset val="134"/>
          </rPr>
          <t xml:space="preserve">
3000635 1/4 408pcs
庞3b15</t>
        </r>
      </text>
    </comment>
    <comment ref="AJ656" authorId="0">
      <text>
        <r>
          <rPr>
            <b/>
            <sz val="9"/>
            <rFont val="宋体"/>
            <charset val="134"/>
          </rPr>
          <t xml:space="preserve">Administrator
</t>
        </r>
        <r>
          <rPr>
            <sz val="9"/>
            <rFont val="宋体"/>
            <charset val="134"/>
          </rPr>
          <t>12/18 DC运输贴纸 408pcs
12/22 UPC贴纸 
12/24 PDQ标识贴 51pcs</t>
        </r>
      </text>
    </comment>
    <comment ref="AG657" authorId="0">
      <text>
        <r>
          <rPr>
            <b/>
            <sz val="9"/>
            <rFont val="宋体"/>
            <charset val="134"/>
          </rPr>
          <t>Administrator:</t>
        </r>
        <r>
          <rPr>
            <sz val="9"/>
            <rFont val="宋体"/>
            <charset val="134"/>
          </rPr>
          <t xml:space="preserve">
3000635 1/4 752pcs
庞3a31</t>
        </r>
      </text>
    </comment>
    <comment ref="AJ657" authorId="0">
      <text>
        <r>
          <rPr>
            <b/>
            <sz val="9"/>
            <rFont val="宋体"/>
            <charset val="134"/>
          </rPr>
          <t>Administrator:</t>
        </r>
        <r>
          <rPr>
            <sz val="9"/>
            <rFont val="宋体"/>
            <charset val="134"/>
          </rPr>
          <t xml:space="preserve">
12/18 DC运输贴纸 752pcs
12/22 UPC贴纸 752pcs
12/24 PDQ标识贴 94pcs</t>
        </r>
      </text>
    </comment>
    <comment ref="AG658" authorId="0">
      <text>
        <r>
          <rPr>
            <b/>
            <sz val="9"/>
            <rFont val="宋体"/>
            <charset val="134"/>
          </rPr>
          <t>Administrator:</t>
        </r>
        <r>
          <rPr>
            <sz val="9"/>
            <rFont val="宋体"/>
            <charset val="134"/>
          </rPr>
          <t xml:space="preserve">
3000630 12/30 2400pcs 华1f7</t>
        </r>
      </text>
    </comment>
    <comment ref="AJ658" authorId="0">
      <text>
        <r>
          <rPr>
            <b/>
            <sz val="9"/>
            <rFont val="宋体"/>
            <charset val="134"/>
          </rPr>
          <t>Administrator:</t>
        </r>
        <r>
          <rPr>
            <sz val="9"/>
            <rFont val="宋体"/>
            <charset val="134"/>
          </rPr>
          <t xml:space="preserve">
12/3 款号条码贴纸 2400pcs</t>
        </r>
      </text>
    </comment>
    <comment ref="AG659" authorId="0">
      <text>
        <r>
          <rPr>
            <b/>
            <sz val="9"/>
            <rFont val="宋体"/>
            <charset val="134"/>
          </rPr>
          <t>Administrator:</t>
        </r>
        <r>
          <rPr>
            <sz val="9"/>
            <rFont val="宋体"/>
            <charset val="134"/>
          </rPr>
          <t xml:space="preserve">
3000630 12/30 804pcs
华1f7</t>
        </r>
      </text>
    </comment>
    <comment ref="AJ659" authorId="0">
      <text>
        <r>
          <rPr>
            <b/>
            <sz val="9"/>
            <rFont val="宋体"/>
            <charset val="134"/>
          </rPr>
          <t>Administrator:</t>
        </r>
        <r>
          <rPr>
            <sz val="9"/>
            <rFont val="宋体"/>
            <charset val="134"/>
          </rPr>
          <t xml:space="preserve">
12/18 进口商贴纸 804pcs</t>
        </r>
      </text>
    </comment>
    <comment ref="AG660" authorId="0">
      <text>
        <r>
          <rPr>
            <b/>
            <sz val="9"/>
            <rFont val="宋体"/>
            <charset val="134"/>
          </rPr>
          <t>Administrator:</t>
        </r>
        <r>
          <rPr>
            <sz val="9"/>
            <rFont val="宋体"/>
            <charset val="134"/>
          </rPr>
          <t xml:space="preserve">
3000630 12/30 4000pcs 华3f12</t>
        </r>
      </text>
    </comment>
    <comment ref="AJ660" authorId="0">
      <text>
        <r>
          <rPr>
            <b/>
            <sz val="9"/>
            <rFont val="宋体"/>
            <charset val="134"/>
          </rPr>
          <t>Administrator:</t>
        </r>
        <r>
          <rPr>
            <sz val="9"/>
            <rFont val="宋体"/>
            <charset val="134"/>
          </rPr>
          <t xml:space="preserve">
12/6 客户EAN 条码贴纸 4000pcs
PDQ数量贴纸 1000pcs</t>
        </r>
      </text>
    </comment>
    <comment ref="AG661" authorId="0">
      <text>
        <r>
          <rPr>
            <b/>
            <sz val="9"/>
            <rFont val="宋体"/>
            <charset val="134"/>
          </rPr>
          <t>Administrator:</t>
        </r>
        <r>
          <rPr>
            <sz val="9"/>
            <rFont val="宋体"/>
            <charset val="134"/>
          </rPr>
          <t xml:space="preserve">
4001697 1/6 3400pcs 庞走货</t>
        </r>
      </text>
    </comment>
    <comment ref="AJ661" authorId="0">
      <text>
        <r>
          <rPr>
            <b/>
            <sz val="9"/>
            <rFont val="宋体"/>
            <charset val="134"/>
          </rPr>
          <t>Administrator:</t>
        </r>
        <r>
          <rPr>
            <sz val="9"/>
            <rFont val="宋体"/>
            <charset val="134"/>
          </rPr>
          <t xml:space="preserve">
12/30 可折鋈警语贴纸 3400pcs</t>
        </r>
      </text>
    </comment>
    <comment ref="AG663" authorId="0">
      <text>
        <r>
          <rPr>
            <b/>
            <sz val="9"/>
            <rFont val="宋体"/>
            <charset val="134"/>
          </rPr>
          <t>Administrator:</t>
        </r>
        <r>
          <rPr>
            <sz val="9"/>
            <rFont val="宋体"/>
            <charset val="134"/>
          </rPr>
          <t xml:space="preserve">
4001908 2/3 600pcs庞直走</t>
        </r>
      </text>
    </comment>
    <comment ref="AG665" authorId="0">
      <text>
        <r>
          <rPr>
            <b/>
            <sz val="9"/>
            <rFont val="宋体"/>
            <charset val="134"/>
          </rPr>
          <t>Administrator:</t>
        </r>
        <r>
          <rPr>
            <sz val="9"/>
            <rFont val="宋体"/>
            <charset val="134"/>
          </rPr>
          <t xml:space="preserve">
4001717 1/8 4320pcs 庞1f5
4001712 1/9 680pcs
庞1f11</t>
        </r>
      </text>
    </comment>
    <comment ref="AG666" authorId="0">
      <text>
        <r>
          <rPr>
            <b/>
            <sz val="9"/>
            <rFont val="宋体"/>
            <charset val="134"/>
          </rPr>
          <t>Administrator:</t>
        </r>
        <r>
          <rPr>
            <sz val="9"/>
            <rFont val="宋体"/>
            <charset val="134"/>
          </rPr>
          <t xml:space="preserve">
3000625 12/29 1008pcs 华1f12
4001705 1/12 2988pcs庞1f12</t>
        </r>
      </text>
    </comment>
    <comment ref="AJ666" authorId="0">
      <text>
        <r>
          <rPr>
            <b/>
            <sz val="9"/>
            <rFont val="宋体"/>
            <charset val="134"/>
          </rPr>
          <t>Administrator:</t>
        </r>
        <r>
          <rPr>
            <sz val="9"/>
            <rFont val="宋体"/>
            <charset val="134"/>
          </rPr>
          <t xml:space="preserve">
12/16 客版产品条码贴纸 3996pcs</t>
        </r>
      </text>
    </comment>
    <comment ref="AG667" authorId="0">
      <text>
        <r>
          <rPr>
            <b/>
            <sz val="9"/>
            <rFont val="宋体"/>
            <charset val="134"/>
          </rPr>
          <t>Administrator:</t>
        </r>
        <r>
          <rPr>
            <sz val="9"/>
            <rFont val="宋体"/>
            <charset val="134"/>
          </rPr>
          <t xml:space="preserve">
4001703 1/8 1808pcs华3b10</t>
        </r>
      </text>
    </comment>
    <comment ref="AJ667" authorId="0">
      <text>
        <r>
          <rPr>
            <b/>
            <sz val="9"/>
            <rFont val="宋体"/>
            <charset val="134"/>
          </rPr>
          <t>Administrator:</t>
        </r>
        <r>
          <rPr>
            <sz val="9"/>
            <rFont val="宋体"/>
            <charset val="134"/>
          </rPr>
          <t xml:space="preserve">
12/8 客供警语贴纸 1866cs
客供电池警告贴纸 1866cs
客供中文警告说明书 1866pcs
</t>
        </r>
      </text>
    </comment>
    <comment ref="AG668" authorId="0">
      <text>
        <r>
          <rPr>
            <b/>
            <sz val="9"/>
            <rFont val="宋体"/>
            <charset val="134"/>
          </rPr>
          <t>Administrator:</t>
        </r>
        <r>
          <rPr>
            <sz val="9"/>
            <rFont val="宋体"/>
            <charset val="134"/>
          </rPr>
          <t xml:space="preserve">
4001728 1/10 720pcs直走</t>
        </r>
      </text>
    </comment>
    <comment ref="AJ668" authorId="0">
      <text>
        <r>
          <rPr>
            <b/>
            <sz val="9"/>
            <rFont val="宋体"/>
            <charset val="134"/>
          </rPr>
          <t>Administrator:</t>
        </r>
        <r>
          <rPr>
            <sz val="9"/>
            <rFont val="宋体"/>
            <charset val="134"/>
          </rPr>
          <t xml:space="preserve">
</t>
        </r>
        <r>
          <rPr>
            <sz val="12"/>
            <rFont val="宋体"/>
            <charset val="134"/>
          </rPr>
          <t xml:space="preserve">12/8 客供电池警语贴纸 1488pcs
客供警语贴 1490pcs
客供中文警告说明书 250pcs
</t>
        </r>
      </text>
    </comment>
    <comment ref="AG669" authorId="0">
      <text>
        <r>
          <rPr>
            <b/>
            <sz val="9"/>
            <rFont val="宋体"/>
            <charset val="134"/>
          </rPr>
          <t>Administrator:</t>
        </r>
        <r>
          <rPr>
            <sz val="9"/>
            <rFont val="宋体"/>
            <charset val="134"/>
          </rPr>
          <t xml:space="preserve">
1601083 1/10 10400pcs 王4c7</t>
        </r>
      </text>
    </comment>
    <comment ref="AG670" authorId="0">
      <text>
        <r>
          <rPr>
            <b/>
            <sz val="9"/>
            <rFont val="宋体"/>
            <charset val="134"/>
          </rPr>
          <t>Administrator:</t>
        </r>
        <r>
          <rPr>
            <sz val="9"/>
            <rFont val="宋体"/>
            <charset val="134"/>
          </rPr>
          <t xml:space="preserve">
4001722 1/9 492pcs 王4c5
4001725 1/9 12pcs
庞b栋</t>
        </r>
      </text>
    </comment>
    <comment ref="AG671" authorId="0">
      <text>
        <r>
          <rPr>
            <b/>
            <sz val="9"/>
            <rFont val="宋体"/>
            <charset val="134"/>
          </rPr>
          <t>Administrator:</t>
        </r>
        <r>
          <rPr>
            <sz val="9"/>
            <rFont val="宋体"/>
            <charset val="134"/>
          </rPr>
          <t xml:space="preserve">
3000635 1/4 1128pcs
庞1f3</t>
        </r>
      </text>
    </comment>
    <comment ref="AJ671" authorId="0">
      <text>
        <r>
          <rPr>
            <b/>
            <sz val="9"/>
            <rFont val="宋体"/>
            <charset val="134"/>
          </rPr>
          <t>Administrator:</t>
        </r>
        <r>
          <rPr>
            <sz val="9"/>
            <rFont val="宋体"/>
            <charset val="134"/>
          </rPr>
          <t xml:space="preserve">
11/22 上客供NJ外箱贴纸94pcs
通用客供外箱贴纸94pcs
12/25 价格贴纸 1128pcs</t>
        </r>
      </text>
    </comment>
    <comment ref="AG672" authorId="0">
      <text>
        <r>
          <rPr>
            <b/>
            <sz val="9"/>
            <rFont val="宋体"/>
            <charset val="134"/>
          </rPr>
          <t>Administrator:</t>
        </r>
        <r>
          <rPr>
            <sz val="9"/>
            <rFont val="宋体"/>
            <charset val="134"/>
          </rPr>
          <t xml:space="preserve">
3000635 1/4 384pcs
庞1f3
</t>
        </r>
      </text>
    </comment>
    <comment ref="AJ672" authorId="0">
      <text>
        <r>
          <rPr>
            <b/>
            <sz val="9"/>
            <rFont val="宋体"/>
            <charset val="134"/>
          </rPr>
          <t>Administrator:</t>
        </r>
        <r>
          <rPr>
            <sz val="9"/>
            <rFont val="宋体"/>
            <charset val="134"/>
          </rPr>
          <t xml:space="preserve">
11/22 上客供NV外箱贴纸32pcs
通用客供外箱贴纸32pcs
12/25 价格贴纸 384pcs
</t>
        </r>
      </text>
    </comment>
    <comment ref="AG673" authorId="0">
      <text>
        <r>
          <rPr>
            <b/>
            <sz val="9"/>
            <rFont val="宋体"/>
            <charset val="134"/>
          </rPr>
          <t>Administrator:</t>
        </r>
        <r>
          <rPr>
            <sz val="9"/>
            <rFont val="宋体"/>
            <charset val="134"/>
          </rPr>
          <t xml:space="preserve">
4001722 1/9 132pcs王4a9</t>
        </r>
      </text>
    </comment>
    <comment ref="AJ673" authorId="0">
      <text>
        <r>
          <rPr>
            <b/>
            <sz val="9"/>
            <rFont val="宋体"/>
            <charset val="134"/>
          </rPr>
          <t>Administrator:</t>
        </r>
        <r>
          <rPr>
            <sz val="9"/>
            <rFont val="宋体"/>
            <charset val="134"/>
          </rPr>
          <t xml:space="preserve">
12/23 客供价格贴纸 746pcs
</t>
        </r>
      </text>
    </comment>
    <comment ref="AG674" authorId="0">
      <text>
        <r>
          <rPr>
            <b/>
            <sz val="9"/>
            <rFont val="宋体"/>
            <charset val="134"/>
          </rPr>
          <t>Administrator:</t>
        </r>
        <r>
          <rPr>
            <sz val="9"/>
            <rFont val="宋体"/>
            <charset val="134"/>
          </rPr>
          <t xml:space="preserve">
4001722 1/9 132pcs
王4b9</t>
        </r>
      </text>
    </comment>
    <comment ref="AJ674" authorId="0">
      <text>
        <r>
          <rPr>
            <b/>
            <sz val="9"/>
            <rFont val="宋体"/>
            <charset val="134"/>
          </rPr>
          <t>Administrator:</t>
        </r>
        <r>
          <rPr>
            <sz val="9"/>
            <rFont val="宋体"/>
            <charset val="134"/>
          </rPr>
          <t xml:space="preserve">
12/23 客供价格贴纸 746pcs</t>
        </r>
      </text>
    </comment>
    <comment ref="AG675" authorId="0">
      <text>
        <r>
          <rPr>
            <b/>
            <sz val="9"/>
            <rFont val="宋体"/>
            <charset val="134"/>
          </rPr>
          <t>Administrator:</t>
        </r>
        <r>
          <rPr>
            <sz val="9"/>
            <rFont val="宋体"/>
            <charset val="134"/>
          </rPr>
          <t xml:space="preserve">
4001722 1/9 720pcs
王4b4</t>
        </r>
      </text>
    </comment>
    <comment ref="AG676" authorId="0">
      <text>
        <r>
          <rPr>
            <b/>
            <sz val="9"/>
            <rFont val="宋体"/>
            <charset val="134"/>
          </rPr>
          <t>Administrator:</t>
        </r>
        <r>
          <rPr>
            <sz val="9"/>
            <rFont val="宋体"/>
            <charset val="134"/>
          </rPr>
          <t xml:space="preserve">
4001722 1/9 180pcs
王4c5</t>
        </r>
      </text>
    </comment>
    <comment ref="AG677" authorId="0">
      <text>
        <r>
          <rPr>
            <b/>
            <sz val="9"/>
            <rFont val="宋体"/>
            <charset val="134"/>
          </rPr>
          <t>Administrator:</t>
        </r>
        <r>
          <rPr>
            <sz val="9"/>
            <rFont val="宋体"/>
            <charset val="134"/>
          </rPr>
          <t xml:space="preserve">
4001722 1/9 708pcs王4b4
4001725 1/9 12pcs
庞b栋</t>
        </r>
      </text>
    </comment>
    <comment ref="AG678" authorId="0">
      <text>
        <r>
          <rPr>
            <b/>
            <sz val="9"/>
            <rFont val="宋体"/>
            <charset val="134"/>
          </rPr>
          <t>Administrator:</t>
        </r>
        <r>
          <rPr>
            <sz val="9"/>
            <rFont val="宋体"/>
            <charset val="134"/>
          </rPr>
          <t xml:space="preserve">
4001722 1/9 180pcs王4b9</t>
        </r>
      </text>
    </comment>
    <comment ref="AG679" authorId="0">
      <text>
        <r>
          <rPr>
            <b/>
            <sz val="9"/>
            <rFont val="宋体"/>
            <charset val="134"/>
          </rPr>
          <t>Administrator:</t>
        </r>
        <r>
          <rPr>
            <sz val="9"/>
            <rFont val="宋体"/>
            <charset val="134"/>
          </rPr>
          <t xml:space="preserve">
4001694 1/5 1560pcs庞1a9</t>
        </r>
      </text>
    </comment>
    <comment ref="AJ679" authorId="0">
      <text>
        <r>
          <rPr>
            <b/>
            <sz val="9"/>
            <rFont val="宋体"/>
            <charset val="134"/>
          </rPr>
          <t>Administrator:</t>
        </r>
        <r>
          <rPr>
            <sz val="9"/>
            <rFont val="宋体"/>
            <charset val="134"/>
          </rPr>
          <t xml:space="preserve">
12/15 进口商贴纸 1560pcs
12/15 UPC贴纸 1560pcs</t>
        </r>
      </text>
    </comment>
    <comment ref="AG680" authorId="0">
      <text>
        <r>
          <rPr>
            <b/>
            <sz val="9"/>
            <rFont val="宋体"/>
            <charset val="134"/>
          </rPr>
          <t>Administrator:</t>
        </r>
        <r>
          <rPr>
            <sz val="9"/>
            <rFont val="宋体"/>
            <charset val="134"/>
          </rPr>
          <t xml:space="preserve">
3000631 12/31 336
pcs
庞3a31</t>
        </r>
      </text>
    </comment>
    <comment ref="AJ680" authorId="0">
      <text>
        <r>
          <rPr>
            <b/>
            <sz val="9"/>
            <rFont val="宋体"/>
            <charset val="134"/>
          </rPr>
          <t>Administrator:</t>
        </r>
        <r>
          <rPr>
            <sz val="9"/>
            <rFont val="宋体"/>
            <charset val="134"/>
          </rPr>
          <t xml:space="preserve">
12/5 警语贴纸4.5*7mm 336pcs</t>
        </r>
      </text>
    </comment>
    <comment ref="AG681" authorId="0">
      <text>
        <r>
          <rPr>
            <b/>
            <sz val="9"/>
            <rFont val="宋体"/>
            <charset val="134"/>
          </rPr>
          <t>Administrator:</t>
        </r>
        <r>
          <rPr>
            <sz val="9"/>
            <rFont val="宋体"/>
            <charset val="134"/>
          </rPr>
          <t xml:space="preserve">
4001725 1/9 2160pcs庞1f3
4001704 1/12 240pcs庞1f3</t>
        </r>
      </text>
    </comment>
    <comment ref="AJ681" authorId="0">
      <text>
        <r>
          <rPr>
            <b/>
            <sz val="9"/>
            <rFont val="宋体"/>
            <charset val="134"/>
          </rPr>
          <t>Administrator:</t>
        </r>
        <r>
          <rPr>
            <sz val="9"/>
            <rFont val="宋体"/>
            <charset val="134"/>
          </rPr>
          <t xml:space="preserve">
12/25 获奖贴纸 2400pcs
12/30 可折叠警语贴纸 2400pcs</t>
        </r>
      </text>
    </comment>
    <comment ref="AG682" authorId="0">
      <text>
        <r>
          <rPr>
            <b/>
            <sz val="9"/>
            <rFont val="宋体"/>
            <charset val="134"/>
          </rPr>
          <t>Administrator:</t>
        </r>
        <r>
          <rPr>
            <sz val="9"/>
            <rFont val="宋体"/>
            <charset val="134"/>
          </rPr>
          <t xml:space="preserve">
3000625 12/29 2000pcs 华1f9</t>
        </r>
      </text>
    </comment>
    <comment ref="AG683" authorId="0">
      <text>
        <r>
          <rPr>
            <b/>
            <sz val="9"/>
            <rFont val="宋体"/>
            <charset val="134"/>
          </rPr>
          <t>Administrator:</t>
        </r>
        <r>
          <rPr>
            <sz val="9"/>
            <rFont val="宋体"/>
            <charset val="134"/>
          </rPr>
          <t xml:space="preserve">
3000625 12/29 504pcs
华1f12</t>
        </r>
      </text>
    </comment>
    <comment ref="AG684" authorId="0">
      <text>
        <r>
          <rPr>
            <b/>
            <sz val="9"/>
            <rFont val="宋体"/>
            <charset val="134"/>
          </rPr>
          <t>Administrator:</t>
        </r>
        <r>
          <rPr>
            <sz val="9"/>
            <rFont val="宋体"/>
            <charset val="134"/>
          </rPr>
          <t xml:space="preserve">
4001704 1/12 3000pcs王4c6</t>
        </r>
      </text>
    </comment>
    <comment ref="AJ684" authorId="0">
      <text>
        <r>
          <rPr>
            <b/>
            <sz val="9"/>
            <rFont val="宋体"/>
            <charset val="134"/>
          </rPr>
          <t>Administrator:</t>
        </r>
        <r>
          <rPr>
            <sz val="9"/>
            <rFont val="宋体"/>
            <charset val="134"/>
          </rPr>
          <t xml:space="preserve">
12/15 客供价格贴纸 3150pcs</t>
        </r>
      </text>
    </comment>
    <comment ref="AG685" authorId="0">
      <text>
        <r>
          <rPr>
            <b/>
            <sz val="9"/>
            <rFont val="宋体"/>
            <charset val="134"/>
          </rPr>
          <t>Administrator:</t>
        </r>
        <r>
          <rPr>
            <sz val="9"/>
            <rFont val="宋体"/>
            <charset val="134"/>
          </rPr>
          <t xml:space="preserve">
4001704 1/12 1600pcs
王4c6
</t>
        </r>
      </text>
    </comment>
    <comment ref="AJ685" authorId="0">
      <text>
        <r>
          <rPr>
            <b/>
            <sz val="9"/>
            <rFont val="宋体"/>
            <charset val="134"/>
          </rPr>
          <t>Administrator:</t>
        </r>
        <r>
          <rPr>
            <sz val="9"/>
            <rFont val="宋体"/>
            <charset val="134"/>
          </rPr>
          <t xml:space="preserve">
12/15 客供价格贴纸 1680pcs
</t>
        </r>
      </text>
    </comment>
    <comment ref="AG686" authorId="0">
      <text>
        <r>
          <rPr>
            <b/>
            <sz val="9"/>
            <rFont val="宋体"/>
            <charset val="134"/>
          </rPr>
          <t>Administrator:</t>
        </r>
        <r>
          <rPr>
            <sz val="9"/>
            <rFont val="宋体"/>
            <charset val="134"/>
          </rPr>
          <t xml:space="preserve">
1601083 1/10 7280pcs
王4b6
1601071 1/10 2000pcs王4b6
	</t>
        </r>
      </text>
    </comment>
    <comment ref="AJ686" authorId="0">
      <text>
        <r>
          <rPr>
            <b/>
            <sz val="9"/>
            <rFont val="宋体"/>
            <charset val="134"/>
          </rPr>
          <t>Administrator:</t>
        </r>
        <r>
          <rPr>
            <sz val="9"/>
            <rFont val="宋体"/>
            <charset val="134"/>
          </rPr>
          <t xml:space="preserve">
12/16 客供RFID贴纸 9280pcs</t>
        </r>
      </text>
    </comment>
    <comment ref="AG687" authorId="0">
      <text>
        <r>
          <rPr>
            <b/>
            <sz val="9"/>
            <rFont val="宋体"/>
            <charset val="134"/>
          </rPr>
          <t>Administrator:</t>
        </r>
        <r>
          <rPr>
            <sz val="9"/>
            <rFont val="宋体"/>
            <charset val="134"/>
          </rPr>
          <t xml:space="preserve">
1601078 1/12 4160pcs庞1f9</t>
        </r>
      </text>
    </comment>
    <comment ref="AJ687" authorId="0">
      <text>
        <r>
          <rPr>
            <b/>
            <sz val="9"/>
            <rFont val="宋体"/>
            <charset val="134"/>
          </rPr>
          <t>Administrator:</t>
        </r>
        <r>
          <rPr>
            <sz val="9"/>
            <rFont val="宋体"/>
            <charset val="134"/>
          </rPr>
          <t xml:space="preserve">
12/16 客供RFID贴纸 94160pcs
</t>
        </r>
      </text>
    </comment>
    <comment ref="AG688" authorId="0">
      <text>
        <r>
          <rPr>
            <b/>
            <sz val="9"/>
            <rFont val="宋体"/>
            <charset val="134"/>
          </rPr>
          <t>Administrator:</t>
        </r>
        <r>
          <rPr>
            <sz val="9"/>
            <rFont val="宋体"/>
            <charset val="134"/>
          </rPr>
          <t xml:space="preserve">
1601078 1/12 5760pcs
庞1f7</t>
        </r>
      </text>
    </comment>
    <comment ref="AJ688" authorId="0">
      <text>
        <r>
          <rPr>
            <b/>
            <sz val="9"/>
            <rFont val="宋体"/>
            <charset val="134"/>
          </rPr>
          <t>Administrator:</t>
        </r>
        <r>
          <rPr>
            <sz val="9"/>
            <rFont val="宋体"/>
            <charset val="134"/>
          </rPr>
          <t xml:space="preserve">
12/16 客供RFID贴纸 5760pcs
</t>
        </r>
      </text>
    </comment>
    <comment ref="AG689" authorId="0">
      <text>
        <r>
          <rPr>
            <b/>
            <sz val="9"/>
            <rFont val="宋体"/>
            <charset val="134"/>
          </rPr>
          <t>Administrator:</t>
        </r>
        <r>
          <rPr>
            <sz val="9"/>
            <rFont val="宋体"/>
            <charset val="134"/>
          </rPr>
          <t xml:space="preserve">
4001725 1/9 10240pcs庞3a22</t>
        </r>
      </text>
    </comment>
    <comment ref="AJ689" authorId="0">
      <text>
        <r>
          <rPr>
            <b/>
            <sz val="9"/>
            <rFont val="宋体"/>
            <charset val="134"/>
          </rPr>
          <t>Administrator:</t>
        </r>
        <r>
          <rPr>
            <sz val="9"/>
            <rFont val="宋体"/>
            <charset val="134"/>
          </rPr>
          <t xml:space="preserve">
12/16 客供RFID贴纸 10240pcs
</t>
        </r>
      </text>
    </comment>
    <comment ref="AG690" authorId="0">
      <text>
        <r>
          <rPr>
            <b/>
            <sz val="9"/>
            <rFont val="宋体"/>
            <charset val="134"/>
          </rPr>
          <t>Administrator:</t>
        </r>
        <r>
          <rPr>
            <sz val="9"/>
            <rFont val="宋体"/>
            <charset val="134"/>
          </rPr>
          <t xml:space="preserve">
4001725 1/9 3200pcs
庞3f9</t>
        </r>
      </text>
    </comment>
    <comment ref="AJ690" authorId="0">
      <text>
        <r>
          <rPr>
            <b/>
            <sz val="9"/>
            <rFont val="宋体"/>
            <charset val="134"/>
          </rPr>
          <t>Administrator:</t>
        </r>
        <r>
          <rPr>
            <sz val="9"/>
            <rFont val="宋体"/>
            <charset val="134"/>
          </rPr>
          <t xml:space="preserve">
12/16 客供RFID贴纸 3200pcs
</t>
        </r>
      </text>
    </comment>
    <comment ref="AG691" authorId="0">
      <text>
        <r>
          <rPr>
            <b/>
            <sz val="9"/>
            <rFont val="宋体"/>
            <charset val="134"/>
          </rPr>
          <t>Administrator:</t>
        </r>
        <r>
          <rPr>
            <sz val="9"/>
            <rFont val="宋体"/>
            <charset val="134"/>
          </rPr>
          <t xml:space="preserve">
4001694 1/5 208pcs 庞3a31</t>
        </r>
      </text>
    </comment>
    <comment ref="AG692" authorId="0">
      <text>
        <r>
          <rPr>
            <b/>
            <sz val="9"/>
            <rFont val="宋体"/>
            <charset val="134"/>
          </rPr>
          <t>Administrator:</t>
        </r>
        <r>
          <rPr>
            <sz val="9"/>
            <rFont val="宋体"/>
            <charset val="134"/>
          </rPr>
          <t xml:space="preserve">
3000596 12/23 320pcs 华3b13</t>
        </r>
      </text>
    </comment>
    <comment ref="AG693" authorId="0">
      <text>
        <r>
          <rPr>
            <b/>
            <sz val="9"/>
            <rFont val="宋体"/>
            <charset val="134"/>
          </rPr>
          <t>Administrator:</t>
        </r>
        <r>
          <rPr>
            <sz val="9"/>
            <rFont val="宋体"/>
            <charset val="134"/>
          </rPr>
          <t xml:space="preserve">
4001717 1/8 2880pcs庞3a24
4001712 1/9 6120pcs
庞3a24</t>
        </r>
      </text>
    </comment>
    <comment ref="AG694" authorId="0">
      <text>
        <r>
          <rPr>
            <b/>
            <sz val="9"/>
            <rFont val="宋体"/>
            <charset val="134"/>
          </rPr>
          <t>Administrator:</t>
        </r>
        <r>
          <rPr>
            <sz val="9"/>
            <rFont val="宋体"/>
            <charset val="134"/>
          </rPr>
          <t xml:space="preserve">
4001703 1/8 1256pcs华3b16</t>
        </r>
      </text>
    </comment>
    <comment ref="AG695" authorId="0">
      <text>
        <r>
          <rPr>
            <b/>
            <sz val="9"/>
            <rFont val="宋体"/>
            <charset val="134"/>
          </rPr>
          <t>Administrator:</t>
        </r>
        <r>
          <rPr>
            <sz val="9"/>
            <rFont val="宋体"/>
            <charset val="134"/>
          </rPr>
          <t xml:space="preserve">
4001712 1/9 1200pcs庞3b10</t>
        </r>
      </text>
    </comment>
    <comment ref="AJ695" authorId="0">
      <text>
        <r>
          <rPr>
            <b/>
            <sz val="9"/>
            <rFont val="宋体"/>
            <charset val="134"/>
          </rPr>
          <t>Administrator:</t>
        </r>
        <r>
          <rPr>
            <sz val="9"/>
            <rFont val="宋体"/>
            <charset val="134"/>
          </rPr>
          <t xml:space="preserve">
12/30 可折叠警语贴纸 12000pcs</t>
        </r>
      </text>
    </comment>
    <comment ref="AG696" authorId="0">
      <text>
        <r>
          <rPr>
            <b/>
            <sz val="9"/>
            <rFont val="宋体"/>
            <charset val="134"/>
          </rPr>
          <t>Administrator:</t>
        </r>
        <r>
          <rPr>
            <sz val="9"/>
            <rFont val="宋体"/>
            <charset val="134"/>
          </rPr>
          <t xml:space="preserve">
4001716 1/14 660pcs直走
</t>
        </r>
      </text>
    </comment>
    <comment ref="AG697" authorId="0">
      <text>
        <r>
          <rPr>
            <b/>
            <sz val="9"/>
            <rFont val="宋体"/>
            <charset val="134"/>
          </rPr>
          <t>Administrator:</t>
        </r>
        <r>
          <rPr>
            <sz val="9"/>
            <rFont val="宋体"/>
            <charset val="134"/>
          </rPr>
          <t xml:space="preserve">
4001716 1/14 96pcs
直走</t>
        </r>
      </text>
    </comment>
    <comment ref="AJ697" authorId="0">
      <text>
        <r>
          <rPr>
            <b/>
            <sz val="9"/>
            <rFont val="宋体"/>
            <charset val="134"/>
          </rPr>
          <t>Administrator:</t>
        </r>
        <r>
          <rPr>
            <sz val="9"/>
            <rFont val="宋体"/>
            <charset val="134"/>
          </rPr>
          <t xml:space="preserve">
11/4 上3C贴纸960ｐｃｓ
11/18 上客供防窜码贴纸960pcs1拖6
</t>
        </r>
      </text>
    </comment>
    <comment ref="AG698" authorId="0">
      <text>
        <r>
          <rPr>
            <b/>
            <sz val="9"/>
            <rFont val="宋体"/>
            <charset val="134"/>
          </rPr>
          <t>Administrator:</t>
        </r>
        <r>
          <rPr>
            <sz val="9"/>
            <rFont val="宋体"/>
            <charset val="134"/>
          </rPr>
          <t xml:space="preserve">
4001716 1/14 3660pcs
直走
</t>
        </r>
      </text>
    </comment>
    <comment ref="AJ698" authorId="0">
      <text>
        <r>
          <rPr>
            <b/>
            <sz val="9"/>
            <rFont val="宋体"/>
            <charset val="134"/>
          </rPr>
          <t>Administrator:</t>
        </r>
        <r>
          <rPr>
            <sz val="9"/>
            <rFont val="宋体"/>
            <charset val="134"/>
          </rPr>
          <t xml:space="preserve">
11/4 上3C贴纸3600ｐｃｓ
11/18 上客供防窜码贴纸3600pcs1拖6</t>
        </r>
      </text>
    </comment>
    <comment ref="AG699" authorId="0">
      <text>
        <r>
          <rPr>
            <b/>
            <sz val="9"/>
            <rFont val="宋体"/>
            <charset val="134"/>
          </rPr>
          <t>Administrator:</t>
        </r>
        <r>
          <rPr>
            <sz val="9"/>
            <rFont val="宋体"/>
            <charset val="134"/>
          </rPr>
          <t xml:space="preserve">
4001721 1/9 1092pcs庞3b10</t>
        </r>
      </text>
    </comment>
    <comment ref="AJ699" authorId="0">
      <text>
        <r>
          <rPr>
            <b/>
            <sz val="9"/>
            <rFont val="宋体"/>
            <charset val="134"/>
          </rPr>
          <t>Administrator:</t>
        </r>
        <r>
          <rPr>
            <sz val="9"/>
            <rFont val="宋体"/>
            <charset val="134"/>
          </rPr>
          <t xml:space="preserve">
12/6 EAN条码贴纸 1092pcs
12/8 进口商贴纸77*52mm 1092pcs
12/16 EAN条码贴纸 1092pcs</t>
        </r>
      </text>
    </comment>
    <comment ref="AG700" authorId="0">
      <text>
        <r>
          <rPr>
            <b/>
            <sz val="9"/>
            <rFont val="宋体"/>
            <charset val="134"/>
          </rPr>
          <t>Administrator:</t>
        </r>
        <r>
          <rPr>
            <sz val="9"/>
            <rFont val="宋体"/>
            <charset val="134"/>
          </rPr>
          <t xml:space="preserve">
4001716 1/14 1860pcs
直走
</t>
        </r>
      </text>
    </comment>
    <comment ref="AG701" authorId="0">
      <text>
        <r>
          <rPr>
            <b/>
            <sz val="9"/>
            <rFont val="宋体"/>
            <charset val="134"/>
          </rPr>
          <t>Administrator:</t>
        </r>
        <r>
          <rPr>
            <sz val="9"/>
            <rFont val="宋体"/>
            <charset val="134"/>
          </rPr>
          <t xml:space="preserve">
4001694 1/5 608pcs 庞1f9</t>
        </r>
      </text>
    </comment>
    <comment ref="AJ701" authorId="0">
      <text>
        <r>
          <rPr>
            <b/>
            <sz val="9"/>
            <rFont val="宋体"/>
            <charset val="134"/>
          </rPr>
          <t>Administrator:</t>
        </r>
        <r>
          <rPr>
            <sz val="9"/>
            <rFont val="宋体"/>
            <charset val="134"/>
          </rPr>
          <t xml:space="preserve">
12/26 进口商贴纸 608pcs</t>
        </r>
      </text>
    </comment>
    <comment ref="AG702" authorId="0">
      <text>
        <r>
          <rPr>
            <b/>
            <sz val="9"/>
            <rFont val="宋体"/>
            <charset val="134"/>
          </rPr>
          <t>Administrator:</t>
        </r>
        <r>
          <rPr>
            <sz val="9"/>
            <rFont val="宋体"/>
            <charset val="134"/>
          </rPr>
          <t xml:space="preserve">
4001716 1/14 1200pcs
直走
</t>
        </r>
      </text>
    </comment>
    <comment ref="AG703" authorId="0">
      <text>
        <r>
          <rPr>
            <b/>
            <sz val="9"/>
            <rFont val="宋体"/>
            <charset val="134"/>
          </rPr>
          <t>Administrator:</t>
        </r>
        <r>
          <rPr>
            <sz val="9"/>
            <rFont val="宋体"/>
            <charset val="134"/>
          </rPr>
          <t xml:space="preserve">
4001694 1/5 960pcs 庞1f9
</t>
        </r>
      </text>
    </comment>
    <comment ref="AJ703" authorId="0">
      <text>
        <r>
          <rPr>
            <b/>
            <sz val="9"/>
            <rFont val="宋体"/>
            <charset val="134"/>
          </rPr>
          <t>Administrator:</t>
        </r>
        <r>
          <rPr>
            <sz val="9"/>
            <rFont val="宋体"/>
            <charset val="134"/>
          </rPr>
          <t xml:space="preserve">
12/18 UPC条码贴纸 960pcs
进口商贴纸 960pcs
</t>
        </r>
      </text>
    </comment>
    <comment ref="AG704" authorId="0">
      <text>
        <r>
          <rPr>
            <b/>
            <sz val="9"/>
            <rFont val="宋体"/>
            <charset val="134"/>
          </rPr>
          <t>Administrator:</t>
        </r>
        <r>
          <rPr>
            <sz val="9"/>
            <rFont val="宋体"/>
            <charset val="134"/>
          </rPr>
          <t xml:space="preserve">
4001694 1/5 720pcs 庞1f9
</t>
        </r>
      </text>
    </comment>
    <comment ref="AJ704" authorId="0">
      <text>
        <r>
          <rPr>
            <b/>
            <sz val="9"/>
            <rFont val="宋体"/>
            <charset val="134"/>
          </rPr>
          <t>Administrator:</t>
        </r>
        <r>
          <rPr>
            <sz val="9"/>
            <rFont val="宋体"/>
            <charset val="134"/>
          </rPr>
          <t xml:space="preserve">
12/10 UPC贴纸 720pcs
</t>
        </r>
      </text>
    </comment>
    <comment ref="AG705" authorId="0">
      <text>
        <r>
          <rPr>
            <b/>
            <sz val="9"/>
            <rFont val="宋体"/>
            <charset val="134"/>
          </rPr>
          <t>Administrator:</t>
        </r>
        <r>
          <rPr>
            <sz val="9"/>
            <rFont val="宋体"/>
            <charset val="134"/>
          </rPr>
          <t xml:space="preserve">
4001703 1/8 10080pcs华1f12
4001717 1/8 4320pcs庞1f7
4001712 1/9 600pcs
庞1f9</t>
        </r>
      </text>
    </comment>
    <comment ref="AG706" authorId="0">
      <text>
        <r>
          <rPr>
            <b/>
            <sz val="9"/>
            <rFont val="宋体"/>
            <charset val="134"/>
          </rPr>
          <t>Administrator:</t>
        </r>
        <r>
          <rPr>
            <sz val="9"/>
            <rFont val="宋体"/>
            <charset val="134"/>
          </rPr>
          <t xml:space="preserve">
4001719 1/9 960pcs王4b5</t>
        </r>
      </text>
    </comment>
    <comment ref="AG707" authorId="0">
      <text>
        <r>
          <rPr>
            <b/>
            <sz val="9"/>
            <rFont val="宋体"/>
            <charset val="134"/>
          </rPr>
          <t>Administrator:</t>
        </r>
        <r>
          <rPr>
            <sz val="9"/>
            <rFont val="宋体"/>
            <charset val="134"/>
          </rPr>
          <t xml:space="preserve">
4001716 1/14 360pcs王4a9</t>
        </r>
      </text>
    </comment>
    <comment ref="AG708" authorId="0">
      <text>
        <r>
          <rPr>
            <b/>
            <sz val="9"/>
            <rFont val="宋体"/>
            <charset val="134"/>
          </rPr>
          <t>Administrator:</t>
        </r>
        <r>
          <rPr>
            <sz val="9"/>
            <rFont val="宋体"/>
            <charset val="134"/>
          </rPr>
          <t xml:space="preserve">
4001758 1/14 1200pcs
庞1f9</t>
        </r>
      </text>
    </comment>
    <comment ref="AJ708" authorId="0">
      <text>
        <r>
          <rPr>
            <b/>
            <sz val="9"/>
            <rFont val="宋体"/>
            <charset val="134"/>
          </rPr>
          <t xml:space="preserve">Administ
</t>
        </r>
        <r>
          <rPr>
            <sz val="9"/>
            <rFont val="宋体"/>
            <charset val="134"/>
          </rPr>
          <t xml:space="preserve">12/15 客供价格贴纸 1260pcs
</t>
        </r>
      </text>
    </comment>
    <comment ref="AG709" authorId="0">
      <text>
        <r>
          <rPr>
            <b/>
            <sz val="9"/>
            <rFont val="宋体"/>
            <charset val="134"/>
          </rPr>
          <t>Administrator:</t>
        </r>
        <r>
          <rPr>
            <sz val="9"/>
            <rFont val="宋体"/>
            <charset val="134"/>
          </rPr>
          <t xml:space="preserve">
4001758 1/14 2160pcs庞1f5
4001761 1/15 15840pcs 庞1f5
4001764 1/16 2000pcs庞3b14</t>
        </r>
      </text>
    </comment>
    <comment ref="AG710" authorId="0">
      <text>
        <r>
          <rPr>
            <b/>
            <sz val="9"/>
            <rFont val="宋体"/>
            <charset val="134"/>
          </rPr>
          <t>Administrator:</t>
        </r>
        <r>
          <rPr>
            <sz val="9"/>
            <rFont val="宋体"/>
            <charset val="134"/>
          </rPr>
          <t xml:space="preserve">
4001712 1/9 504pcs
庞3b17</t>
        </r>
      </text>
    </comment>
    <comment ref="AJ710" authorId="0">
      <text>
        <r>
          <rPr>
            <b/>
            <sz val="9"/>
            <rFont val="宋体"/>
            <charset val="134"/>
          </rPr>
          <t>Administrator:</t>
        </r>
        <r>
          <rPr>
            <sz val="9"/>
            <rFont val="宋体"/>
            <charset val="134"/>
          </rPr>
          <t xml:space="preserve">
12/25 警语贴纸 504pcs</t>
        </r>
      </text>
    </comment>
    <comment ref="AG712" authorId="0">
      <text>
        <r>
          <rPr>
            <b/>
            <sz val="9"/>
            <rFont val="宋体"/>
            <charset val="134"/>
          </rPr>
          <t>Administrator:</t>
        </r>
        <r>
          <rPr>
            <sz val="9"/>
            <rFont val="宋体"/>
            <charset val="134"/>
          </rPr>
          <t xml:space="preserve">
4001713 1/13 2880pcs
庞1</t>
        </r>
      </text>
    </comment>
    <comment ref="AG713" authorId="0">
      <text>
        <r>
          <rPr>
            <b/>
            <sz val="9"/>
            <rFont val="宋体"/>
            <charset val="134"/>
          </rPr>
          <t>Administrator:</t>
        </r>
        <r>
          <rPr>
            <sz val="9"/>
            <rFont val="宋体"/>
            <charset val="134"/>
          </rPr>
          <t xml:space="preserve">
4001713 1/13 1440pcs庞1f3</t>
        </r>
      </text>
    </comment>
    <comment ref="AG714" authorId="0">
      <text>
        <r>
          <rPr>
            <b/>
            <sz val="9"/>
            <rFont val="宋体"/>
            <charset val="134"/>
          </rPr>
          <t>Administrator:</t>
        </r>
        <r>
          <rPr>
            <sz val="9"/>
            <rFont val="宋体"/>
            <charset val="134"/>
          </rPr>
          <t xml:space="preserve">
4001713 1/13 300pcs庞1f9</t>
        </r>
      </text>
    </comment>
    <comment ref="AG715" authorId="0">
      <text>
        <r>
          <rPr>
            <b/>
            <sz val="9"/>
            <rFont val="宋体"/>
            <charset val="134"/>
          </rPr>
          <t>Administrator:</t>
        </r>
        <r>
          <rPr>
            <sz val="9"/>
            <rFont val="宋体"/>
            <charset val="134"/>
          </rPr>
          <t xml:space="preserve">
4001713 1/13 1504cs庞1f11</t>
        </r>
      </text>
    </comment>
    <comment ref="AG716" authorId="0">
      <text>
        <r>
          <rPr>
            <b/>
            <sz val="9"/>
            <rFont val="宋体"/>
            <charset val="134"/>
          </rPr>
          <t>Administrator:</t>
        </r>
        <r>
          <rPr>
            <sz val="9"/>
            <rFont val="宋体"/>
            <charset val="134"/>
          </rPr>
          <t xml:space="preserve">
4001764 1/16 392pcs</t>
        </r>
      </text>
    </comment>
    <comment ref="AJ716" authorId="0">
      <text>
        <r>
          <rPr>
            <b/>
            <sz val="9"/>
            <rFont val="宋体"/>
            <charset val="134"/>
          </rPr>
          <t>Administrator:</t>
        </r>
        <r>
          <rPr>
            <sz val="9"/>
            <rFont val="宋体"/>
            <charset val="134"/>
          </rPr>
          <t xml:space="preserve">
12/18 DC运输贴纸 392cs
12/22 UPC贴纸 392pcs
12/24 PDQ标识贴 49pcs</t>
        </r>
      </text>
    </comment>
    <comment ref="AG717" authorId="0">
      <text>
        <r>
          <rPr>
            <b/>
            <sz val="9"/>
            <rFont val="宋体"/>
            <charset val="134"/>
          </rPr>
          <t>Administrator:</t>
        </r>
        <r>
          <rPr>
            <sz val="9"/>
            <rFont val="宋体"/>
            <charset val="134"/>
          </rPr>
          <t xml:space="preserve">
4001769 1/17 600pcs庞3a15</t>
        </r>
      </text>
    </comment>
    <comment ref="AJ717" authorId="0">
      <text>
        <r>
          <rPr>
            <b/>
            <sz val="9"/>
            <rFont val="宋体"/>
            <charset val="134"/>
          </rPr>
          <t>Administrator:</t>
        </r>
        <r>
          <rPr>
            <sz val="9"/>
            <rFont val="宋体"/>
            <charset val="134"/>
          </rPr>
          <t xml:space="preserve">
12/30 可折鲞警语贴纸 600pcs</t>
        </r>
      </text>
    </comment>
    <comment ref="AG718" authorId="0">
      <text>
        <r>
          <rPr>
            <b/>
            <sz val="9"/>
            <rFont val="宋体"/>
            <charset val="134"/>
          </rPr>
          <t>Administrator:</t>
        </r>
        <r>
          <rPr>
            <sz val="9"/>
            <rFont val="宋体"/>
            <charset val="134"/>
          </rPr>
          <t xml:space="preserve">
1601188 1/17 712pcs 庞3a22
庞3a221601190 1/19 3288cs庞3a21</t>
        </r>
      </text>
    </comment>
    <comment ref="AJ718" authorId="0">
      <text>
        <r>
          <rPr>
            <b/>
            <sz val="9"/>
            <rFont val="宋体"/>
            <charset val="134"/>
          </rPr>
          <t>Administrator:</t>
        </r>
        <r>
          <rPr>
            <sz val="9"/>
            <rFont val="宋体"/>
            <charset val="134"/>
          </rPr>
          <t xml:space="preserve">
12/27 Kinderherz 2025 4000pcs
1/12 LOGO贴纸 1000pcsbu
1/13 LOGO 贴纸 4000pcs</t>
        </r>
      </text>
    </comment>
    <comment ref="AG719" authorId="0">
      <text>
        <r>
          <rPr>
            <b/>
            <sz val="9"/>
            <rFont val="宋体"/>
            <charset val="134"/>
          </rPr>
          <t>Administrator:</t>
        </r>
        <r>
          <rPr>
            <sz val="9"/>
            <rFont val="宋体"/>
            <charset val="134"/>
          </rPr>
          <t xml:space="preserve">
1601188 1/14 1000pcs庞3a17</t>
        </r>
      </text>
    </comment>
    <comment ref="AG720" authorId="0">
      <text>
        <r>
          <rPr>
            <b/>
            <sz val="9"/>
            <rFont val="宋体"/>
            <charset val="134"/>
          </rPr>
          <t>Administrator:</t>
        </r>
        <r>
          <rPr>
            <sz val="9"/>
            <rFont val="宋体"/>
            <charset val="134"/>
          </rPr>
          <t xml:space="preserve">
1601188 1/17 720pcs 庞3a17
1601190 1/19 1280pcs
庞3a17</t>
        </r>
      </text>
    </comment>
    <comment ref="AG721" authorId="0">
      <text>
        <r>
          <rPr>
            <b/>
            <sz val="9"/>
            <rFont val="宋体"/>
            <charset val="134"/>
          </rPr>
          <t>Administrator:</t>
        </r>
        <r>
          <rPr>
            <sz val="9"/>
            <rFont val="宋体"/>
            <charset val="134"/>
          </rPr>
          <t xml:space="preserve">
4001771 1/19 60pcs
庞1f4
</t>
        </r>
      </text>
    </comment>
    <comment ref="AJ721" authorId="0">
      <text>
        <r>
          <rPr>
            <b/>
            <sz val="9"/>
            <rFont val="宋体"/>
            <charset val="134"/>
          </rPr>
          <t xml:space="preserve">Administrator:
</t>
        </r>
        <r>
          <rPr>
            <sz val="9"/>
            <rFont val="宋体"/>
            <charset val="134"/>
          </rPr>
          <t>12/25 UPC贴纸 600pcs</t>
        </r>
      </text>
    </comment>
    <comment ref="AJ722" authorId="0">
      <text>
        <r>
          <rPr>
            <b/>
            <sz val="9"/>
            <rFont val="宋体"/>
            <charset val="134"/>
          </rPr>
          <t>Administrator:</t>
        </r>
        <r>
          <rPr>
            <sz val="9"/>
            <rFont val="宋体"/>
            <charset val="134"/>
          </rPr>
          <t xml:space="preserve">
12/15 亚马逊贴 纸 84pcs
12/22 获奖贴纸 504pcs</t>
        </r>
      </text>
    </comment>
    <comment ref="AG723" authorId="0">
      <text>
        <r>
          <rPr>
            <b/>
            <sz val="9"/>
            <rFont val="宋体"/>
            <charset val="134"/>
          </rPr>
          <t>Administrator:</t>
        </r>
        <r>
          <rPr>
            <sz val="9"/>
            <rFont val="宋体"/>
            <charset val="134"/>
          </rPr>
          <t xml:space="preserve">
4001769 1/17 1504pcs庞3a16</t>
        </r>
      </text>
    </comment>
    <comment ref="AG724" authorId="0">
      <text>
        <r>
          <rPr>
            <b/>
            <sz val="9"/>
            <rFont val="宋体"/>
            <charset val="134"/>
          </rPr>
          <t>Administrator:</t>
        </r>
        <r>
          <rPr>
            <sz val="9"/>
            <rFont val="宋体"/>
            <charset val="134"/>
          </rPr>
          <t xml:space="preserve">
4001771 1/19 640pcs庞1f4
</t>
        </r>
      </text>
    </comment>
    <comment ref="AJ724" authorId="0">
      <text>
        <r>
          <rPr>
            <b/>
            <sz val="9"/>
            <rFont val="宋体"/>
            <charset val="134"/>
          </rPr>
          <t>Administrator:</t>
        </r>
        <r>
          <rPr>
            <sz val="9"/>
            <rFont val="宋体"/>
            <charset val="134"/>
          </rPr>
          <t xml:space="preserve">
1/7 警语贴纸 640pcs
1/13 客供价格贴纸 640pcs
 </t>
        </r>
      </text>
    </comment>
    <comment ref="AG725" authorId="0">
      <text>
        <r>
          <rPr>
            <b/>
            <sz val="9"/>
            <rFont val="宋体"/>
            <charset val="134"/>
          </rPr>
          <t>Administrator:</t>
        </r>
        <r>
          <rPr>
            <sz val="9"/>
            <rFont val="宋体"/>
            <charset val="134"/>
          </rPr>
          <t xml:space="preserve">
4001771 1/19 580pcs
庞1f4
</t>
        </r>
      </text>
    </comment>
    <comment ref="AG726" authorId="0">
      <text>
        <r>
          <rPr>
            <b/>
            <sz val="9"/>
            <rFont val="宋体"/>
            <charset val="134"/>
          </rPr>
          <t>Administrator:</t>
        </r>
        <r>
          <rPr>
            <sz val="9"/>
            <rFont val="宋体"/>
            <charset val="134"/>
          </rPr>
          <t xml:space="preserve">
1601188 1/17 8pcs
庞1f12
160163 1/23 2760pcs
庞1f12
1201268 1/24 9260pcs庞3a31
1601300 1/24 1412pcs
 庞3a31</t>
        </r>
      </text>
    </comment>
    <comment ref="AG727" authorId="0">
      <text>
        <r>
          <rPr>
            <b/>
            <sz val="9"/>
            <rFont val="宋体"/>
            <charset val="134"/>
          </rPr>
          <t>Administrator:</t>
        </r>
        <r>
          <rPr>
            <sz val="9"/>
            <rFont val="宋体"/>
            <charset val="134"/>
          </rPr>
          <t xml:space="preserve">
1601188 1/17 8pcs庞1f12
1601300 1/24 2148pcs 庞1f5
1601271 1/24 7124pcs 庞1f5</t>
        </r>
      </text>
    </comment>
    <comment ref="AG728" authorId="0">
      <text>
        <r>
          <rPr>
            <b/>
            <sz val="9"/>
            <rFont val="宋体"/>
            <charset val="134"/>
          </rPr>
          <t>Administrator:</t>
        </r>
        <r>
          <rPr>
            <sz val="9"/>
            <rFont val="宋体"/>
            <charset val="134"/>
          </rPr>
          <t xml:space="preserve">
4001774 1/20 804pcs</t>
        </r>
        <r>
          <rPr>
            <sz val="16"/>
            <rFont val="宋体"/>
            <charset val="134"/>
          </rPr>
          <t>庞1f3</t>
        </r>
      </text>
    </comment>
    <comment ref="AJ728" authorId="0">
      <text>
        <r>
          <rPr>
            <b/>
            <sz val="9"/>
            <rFont val="宋体"/>
            <charset val="134"/>
          </rPr>
          <t>Administrator:</t>
        </r>
        <r>
          <rPr>
            <sz val="9"/>
            <rFont val="宋体"/>
            <charset val="134"/>
          </rPr>
          <t xml:space="preserve">
12/27 进口商贴纸 804pcs
UPC贴纸 804pcs</t>
        </r>
      </text>
    </comment>
    <comment ref="AG729" authorId="0">
      <text>
        <r>
          <rPr>
            <b/>
            <sz val="9"/>
            <rFont val="宋体"/>
            <charset val="134"/>
          </rPr>
          <t>Administrator:</t>
        </r>
        <r>
          <rPr>
            <sz val="9"/>
            <rFont val="宋体"/>
            <charset val="134"/>
          </rPr>
          <t xml:space="preserve">
4001764 1/16 492pcs
庞3a31</t>
        </r>
      </text>
    </comment>
    <comment ref="AJ729" authorId="0">
      <text>
        <r>
          <rPr>
            <b/>
            <sz val="9"/>
            <rFont val="宋体"/>
            <charset val="134"/>
          </rPr>
          <t>Administrator:</t>
        </r>
        <r>
          <rPr>
            <sz val="9"/>
            <rFont val="宋体"/>
            <charset val="134"/>
          </rPr>
          <t xml:space="preserve">
1/12 可折查警语贴纸 2136pcs </t>
        </r>
      </text>
    </comment>
    <comment ref="AG730" authorId="0">
      <text>
        <r>
          <rPr>
            <b/>
            <sz val="9"/>
            <rFont val="宋体"/>
            <charset val="134"/>
          </rPr>
          <t>Administrator:</t>
        </r>
        <r>
          <rPr>
            <sz val="9"/>
            <rFont val="宋体"/>
            <charset val="134"/>
          </rPr>
          <t xml:space="preserve">
4001787 1/22 2000pcs庞1f9</t>
        </r>
      </text>
    </comment>
    <comment ref="AJ730" authorId="0">
      <text>
        <r>
          <rPr>
            <b/>
            <sz val="9"/>
            <rFont val="宋体"/>
            <charset val="134"/>
          </rPr>
          <t>Administrator:</t>
        </r>
        <r>
          <rPr>
            <sz val="9"/>
            <rFont val="宋体"/>
            <charset val="134"/>
          </rPr>
          <t xml:space="preserve">
12/15 客供价格贴纸 2100pcs
</t>
        </r>
      </text>
    </comment>
    <comment ref="AG731" authorId="0">
      <text>
        <r>
          <rPr>
            <b/>
            <sz val="9"/>
            <rFont val="宋体"/>
            <charset val="134"/>
          </rPr>
          <t>Administrator:</t>
        </r>
        <r>
          <rPr>
            <sz val="9"/>
            <rFont val="宋体"/>
            <charset val="134"/>
          </rPr>
          <t xml:space="preserve">
4001713 1/13 800pcs庞1f3</t>
        </r>
      </text>
    </comment>
    <comment ref="AG732" authorId="0">
      <text>
        <r>
          <rPr>
            <b/>
            <sz val="9"/>
            <rFont val="宋体"/>
            <charset val="134"/>
          </rPr>
          <t>Administrator:</t>
        </r>
        <r>
          <rPr>
            <sz val="9"/>
            <rFont val="宋体"/>
            <charset val="134"/>
          </rPr>
          <t xml:space="preserve">
4001787 1/22 1440pcs庞1f7
4001790 1/23 15120pcs庞华1f5
4001792 1/23  5192pcs庞1f5</t>
        </r>
      </text>
    </comment>
    <comment ref="AJ732" authorId="0">
      <text>
        <r>
          <rPr>
            <b/>
            <sz val="9"/>
            <rFont val="宋体"/>
            <charset val="134"/>
          </rPr>
          <t>Administrator:</t>
        </r>
        <r>
          <rPr>
            <sz val="9"/>
            <rFont val="宋体"/>
            <charset val="134"/>
          </rPr>
          <t xml:space="preserve">
1/5 客供外箱亲码贴纸 5438pcs</t>
        </r>
      </text>
    </comment>
    <comment ref="AG733" authorId="0">
      <text>
        <r>
          <rPr>
            <b/>
            <sz val="9"/>
            <rFont val="宋体"/>
            <charset val="134"/>
          </rPr>
          <t>Administrator:</t>
        </r>
        <r>
          <rPr>
            <sz val="9"/>
            <rFont val="宋体"/>
            <charset val="134"/>
          </rPr>
          <t xml:space="preserve">
4001780 1/21 1440pcs王1f3</t>
        </r>
      </text>
    </comment>
    <comment ref="AJ733" authorId="0">
      <text>
        <r>
          <rPr>
            <b/>
            <sz val="9"/>
            <rFont val="宋体"/>
            <charset val="134"/>
          </rPr>
          <t>Administrator:</t>
        </r>
        <r>
          <rPr>
            <sz val="9"/>
            <rFont val="宋体"/>
            <charset val="134"/>
          </rPr>
          <t xml:space="preserve">
12/15 进口商贴纸 1440pcs</t>
        </r>
      </text>
    </comment>
    <comment ref="AG734" authorId="0">
      <text>
        <r>
          <rPr>
            <b/>
            <sz val="9"/>
            <rFont val="宋体"/>
            <charset val="134"/>
          </rPr>
          <t>Administrator:</t>
        </r>
        <r>
          <rPr>
            <sz val="9"/>
            <rFont val="宋体"/>
            <charset val="134"/>
          </rPr>
          <t xml:space="preserve">
4001784 1/22 4220pcs
4001785 1/22 1180pcs</t>
        </r>
      </text>
    </comment>
    <comment ref="AG735" authorId="0">
      <text>
        <r>
          <rPr>
            <b/>
            <sz val="9"/>
            <rFont val="宋体"/>
            <charset val="134"/>
          </rPr>
          <t>Administrator:</t>
        </r>
        <r>
          <rPr>
            <sz val="9"/>
            <rFont val="宋体"/>
            <charset val="134"/>
          </rPr>
          <t xml:space="preserve">
5000259 1/27 648pcs
庞1f9</t>
        </r>
      </text>
    </comment>
    <comment ref="AJ735" authorId="0">
      <text>
        <r>
          <rPr>
            <b/>
            <sz val="9"/>
            <rFont val="宋体"/>
            <charset val="134"/>
          </rPr>
          <t>Administrator:</t>
        </r>
        <r>
          <rPr>
            <sz val="9"/>
            <rFont val="宋体"/>
            <charset val="134"/>
          </rPr>
          <t xml:space="preserve">
12/22 亚马逊外箱贴纸 127pcs</t>
        </r>
      </text>
    </comment>
    <comment ref="AG736" authorId="0">
      <text>
        <r>
          <rPr>
            <b/>
            <sz val="9"/>
            <rFont val="宋体"/>
            <charset val="134"/>
          </rPr>
          <t>Administrator:</t>
        </r>
        <r>
          <rPr>
            <sz val="9"/>
            <rFont val="宋体"/>
            <charset val="134"/>
          </rPr>
          <t xml:space="preserve">
4001815 1/27 324pcs</t>
        </r>
      </text>
    </comment>
    <comment ref="AJ736" authorId="0">
      <text>
        <r>
          <rPr>
            <b/>
            <sz val="9"/>
            <rFont val="宋体"/>
            <charset val="134"/>
          </rPr>
          <t>Administrator:</t>
        </r>
        <r>
          <rPr>
            <sz val="9"/>
            <rFont val="宋体"/>
            <charset val="134"/>
          </rPr>
          <t xml:space="preserve">
12/22 亚马逊外箱贴纸 84pcs
1/28 洗涤说明贴纸 504pcs</t>
        </r>
      </text>
    </comment>
    <comment ref="AG737" authorId="0">
      <text>
        <r>
          <rPr>
            <b/>
            <sz val="9"/>
            <rFont val="宋体"/>
            <charset val="134"/>
          </rPr>
          <t>Administrator:</t>
        </r>
        <r>
          <rPr>
            <sz val="9"/>
            <rFont val="宋体"/>
            <charset val="134"/>
          </rPr>
          <t xml:space="preserve">
4001799 1/24 1644pcs
庞3b12</t>
        </r>
      </text>
    </comment>
    <comment ref="AJ737" authorId="0">
      <text>
        <r>
          <rPr>
            <b/>
            <sz val="9"/>
            <rFont val="宋体"/>
            <charset val="134"/>
          </rPr>
          <t>Administrator:</t>
        </r>
        <r>
          <rPr>
            <sz val="9"/>
            <rFont val="宋体"/>
            <charset val="134"/>
          </rPr>
          <t xml:space="preserve">
12/22 亚马议外角贴纸 137pcs
1/4 UPC贴纸 1644pcs</t>
        </r>
      </text>
    </comment>
    <comment ref="AG738" authorId="0">
      <text>
        <r>
          <rPr>
            <b/>
            <sz val="9"/>
            <rFont val="宋体"/>
            <charset val="134"/>
          </rPr>
          <t>Administrator:</t>
        </r>
        <r>
          <rPr>
            <sz val="9"/>
            <rFont val="宋体"/>
            <charset val="134"/>
          </rPr>
          <t xml:space="preserve">
4001799 1/24 420pcs
</t>
        </r>
      </text>
    </comment>
    <comment ref="AJ738" authorId="0">
      <text>
        <r>
          <rPr>
            <b/>
            <sz val="9"/>
            <rFont val="宋体"/>
            <charset val="134"/>
          </rPr>
          <t>Administrator:</t>
        </r>
        <r>
          <rPr>
            <sz val="9"/>
            <rFont val="宋体"/>
            <charset val="134"/>
          </rPr>
          <t xml:space="preserve">
12/15 白色防盗贴纸 420pcs
12/31 大纽扣电池警告 840pcs
小扣电池警告语 420pcs
1/12 Kmart外箱贴纸 35pcs </t>
        </r>
      </text>
    </comment>
    <comment ref="AG739" authorId="0">
      <text>
        <r>
          <rPr>
            <b/>
            <sz val="9"/>
            <rFont val="宋体"/>
            <charset val="134"/>
          </rPr>
          <t>Administrator:</t>
        </r>
        <r>
          <rPr>
            <sz val="9"/>
            <rFont val="宋体"/>
            <charset val="134"/>
          </rPr>
          <t xml:space="preserve">
4001799 1/24 4200pcs
庞1f11</t>
        </r>
      </text>
    </comment>
    <comment ref="AJ739" authorId="0">
      <text>
        <r>
          <rPr>
            <b/>
            <sz val="9"/>
            <rFont val="宋体"/>
            <charset val="134"/>
          </rPr>
          <t>Administrator:</t>
        </r>
        <r>
          <rPr>
            <sz val="9"/>
            <rFont val="宋体"/>
            <charset val="134"/>
          </rPr>
          <t xml:space="preserve">
12/31 大纽扣电池警告 840pcs
小扣电池警告语 4200pcs
1/15 白色防盗贴纸 4200pcs
1/12 Kmart外箱贴纸 350pcs</t>
        </r>
      </text>
    </comment>
    <comment ref="AG740" authorId="0">
      <text>
        <r>
          <rPr>
            <b/>
            <sz val="9"/>
            <rFont val="宋体"/>
            <charset val="134"/>
          </rPr>
          <t>Administrator:</t>
        </r>
        <r>
          <rPr>
            <sz val="9"/>
            <rFont val="宋体"/>
            <charset val="134"/>
          </rPr>
          <t xml:space="preserve">
1201268 1/24 4068pcs庞3a31
1601271 1/24 720pcs
庞3a30
5000248 1/27 12pcs</t>
        </r>
      </text>
    </comment>
    <comment ref="AG741" authorId="0">
      <text>
        <r>
          <rPr>
            <b/>
            <sz val="9"/>
            <rFont val="宋体"/>
            <charset val="134"/>
          </rPr>
          <t>Administrator:</t>
        </r>
        <r>
          <rPr>
            <sz val="9"/>
            <rFont val="宋体"/>
            <charset val="134"/>
          </rPr>
          <t xml:space="preserve">
4001793 1/23 5040pcs庞3a21
4001796 1/24 360pcs庞3a21
1/30 4001933 40pcs庞3a22</t>
        </r>
      </text>
    </comment>
    <comment ref="AG742" authorId="0">
      <text>
        <r>
          <rPr>
            <b/>
            <sz val="9"/>
            <rFont val="宋体"/>
            <charset val="134"/>
          </rPr>
          <t>Administrator:</t>
        </r>
        <r>
          <rPr>
            <sz val="9"/>
            <rFont val="宋体"/>
            <charset val="134"/>
          </rPr>
          <t xml:space="preserve">
4001793 1/23 4320pcs
庞1f11
4001796 1/24 3040pcs 庞1f11</t>
        </r>
      </text>
    </comment>
    <comment ref="AG743" authorId="0">
      <text>
        <r>
          <rPr>
            <b/>
            <sz val="9"/>
            <rFont val="宋体"/>
            <charset val="134"/>
          </rPr>
          <t>Administrator:</t>
        </r>
        <r>
          <rPr>
            <sz val="9"/>
            <rFont val="宋体"/>
            <charset val="134"/>
          </rPr>
          <t xml:space="preserve">
4001796 1/24 4480pcs
庞1f3</t>
        </r>
      </text>
    </comment>
    <comment ref="AG744" authorId="0">
      <text>
        <r>
          <rPr>
            <b/>
            <sz val="9"/>
            <rFont val="宋体"/>
            <charset val="134"/>
          </rPr>
          <t>Administrator:</t>
        </r>
        <r>
          <rPr>
            <sz val="9"/>
            <rFont val="宋体"/>
            <charset val="134"/>
          </rPr>
          <t xml:space="preserve">
4001796 1/24 1440pcs 庞3a27
4001799 1/24 2160pcs
庞3a27
4001803 1/24 2160pcs庞3a27</t>
        </r>
      </text>
    </comment>
    <comment ref="AG745" authorId="0">
      <text>
        <r>
          <rPr>
            <b/>
            <sz val="9"/>
            <rFont val="宋体"/>
            <charset val="134"/>
          </rPr>
          <t>Administrator:</t>
        </r>
        <r>
          <rPr>
            <sz val="9"/>
            <rFont val="宋体"/>
            <charset val="134"/>
          </rPr>
          <t xml:space="preserve">
4001793 1/23 1440pcs庞3a25
4001792 1/23 4320pcs庞3a25
4001796 1/24 320pcs
庞3a25</t>
        </r>
      </text>
    </comment>
    <comment ref="AG746" authorId="0">
      <text>
        <r>
          <rPr>
            <b/>
            <sz val="9"/>
            <rFont val="宋体"/>
            <charset val="134"/>
          </rPr>
          <t>Administrator:</t>
        </r>
        <r>
          <rPr>
            <sz val="9"/>
            <rFont val="宋体"/>
            <charset val="134"/>
          </rPr>
          <t xml:space="preserve">
4001796 1/24 560pcs 庞3a25
4001792 1/23 3600pcs庞3a25</t>
        </r>
      </text>
    </comment>
    <comment ref="AJ746" authorId="0">
      <text>
        <r>
          <rPr>
            <b/>
            <sz val="9"/>
            <rFont val="宋体"/>
            <charset val="134"/>
          </rPr>
          <t>Administrator:</t>
        </r>
        <r>
          <rPr>
            <sz val="9"/>
            <rFont val="宋体"/>
            <charset val="134"/>
          </rPr>
          <t xml:space="preserve">
12/16 客供RFID贴纸 4160
pcs
</t>
        </r>
      </text>
    </comment>
    <comment ref="AG747" authorId="0">
      <text>
        <r>
          <rPr>
            <b/>
            <sz val="9"/>
            <rFont val="宋体"/>
            <charset val="134"/>
          </rPr>
          <t>Administrator:</t>
        </r>
        <r>
          <rPr>
            <sz val="9"/>
            <rFont val="宋体"/>
            <charset val="134"/>
          </rPr>
          <t xml:space="preserve">
4001783 1/22 616pcs庞3b14</t>
        </r>
      </text>
    </comment>
    <comment ref="AJ747" authorId="0">
      <text>
        <r>
          <rPr>
            <b/>
            <sz val="9"/>
            <rFont val="宋体"/>
            <charset val="134"/>
          </rPr>
          <t>Administrator:</t>
        </r>
        <r>
          <rPr>
            <sz val="9"/>
            <rFont val="宋体"/>
            <charset val="134"/>
          </rPr>
          <t xml:space="preserve">
12/18 DC运输贴纸 616pcs
12/22 UPC贴纸 616pcs
12/24 PDQ标识贴 77pcs</t>
        </r>
      </text>
    </comment>
    <comment ref="AG748" authorId="0">
      <text>
        <r>
          <rPr>
            <b/>
            <sz val="9"/>
            <rFont val="宋体"/>
            <charset val="134"/>
          </rPr>
          <t>Administrator:</t>
        </r>
        <r>
          <rPr>
            <sz val="9"/>
            <rFont val="宋体"/>
            <charset val="134"/>
          </rPr>
          <t xml:space="preserve">
4001783 1/22 296pcs
庞3b14
</t>
        </r>
      </text>
    </comment>
    <comment ref="AJ748" authorId="0">
      <text>
        <r>
          <rPr>
            <b/>
            <sz val="9"/>
            <rFont val="宋体"/>
            <charset val="134"/>
          </rPr>
          <t>Administrator:</t>
        </r>
        <r>
          <rPr>
            <sz val="9"/>
            <rFont val="宋体"/>
            <charset val="134"/>
          </rPr>
          <t xml:space="preserve">
12/18 DC运输贴纸 296pcs
12/22 UPC贴纸 296pcs
12/24 PDQ标识贴 37pcs</t>
        </r>
      </text>
    </comment>
    <comment ref="AG749" authorId="0">
      <text>
        <r>
          <rPr>
            <b/>
            <sz val="9"/>
            <rFont val="宋体"/>
            <charset val="134"/>
          </rPr>
          <t>Administrator:</t>
        </r>
        <r>
          <rPr>
            <sz val="9"/>
            <rFont val="宋体"/>
            <charset val="134"/>
          </rPr>
          <t xml:space="preserve">
4001783 1/22 648pcs
庞3b14</t>
        </r>
      </text>
    </comment>
    <comment ref="AJ749" authorId="0">
      <text>
        <r>
          <rPr>
            <b/>
            <sz val="9"/>
            <rFont val="宋体"/>
            <charset val="134"/>
          </rPr>
          <t>Administrator:</t>
        </r>
        <r>
          <rPr>
            <sz val="9"/>
            <rFont val="宋体"/>
            <charset val="134"/>
          </rPr>
          <t xml:space="preserve">
12/18 DC运输贴纸 648pcs
12/22 UPC贴纸 648
pcs
12/24 PDQ标识贴 81pcs</t>
        </r>
      </text>
    </comment>
    <comment ref="AG750" authorId="0">
      <text>
        <r>
          <rPr>
            <b/>
            <sz val="9"/>
            <rFont val="宋体"/>
            <charset val="134"/>
          </rPr>
          <t>Administrator:</t>
        </r>
        <r>
          <rPr>
            <sz val="9"/>
            <rFont val="宋体"/>
            <charset val="134"/>
          </rPr>
          <t xml:space="preserve">
4001808 1/26 512pcs
庞1f2</t>
        </r>
      </text>
    </comment>
    <comment ref="AJ750" authorId="0">
      <text>
        <r>
          <rPr>
            <b/>
            <sz val="9"/>
            <rFont val="宋体"/>
            <charset val="134"/>
          </rPr>
          <t>Administrator:</t>
        </r>
        <r>
          <rPr>
            <sz val="9"/>
            <rFont val="宋体"/>
            <charset val="134"/>
          </rPr>
          <t xml:space="preserve">
1/9 进口商贴 512pcs</t>
        </r>
      </text>
    </comment>
    <comment ref="AG751" authorId="0">
      <text>
        <r>
          <rPr>
            <b/>
            <sz val="9"/>
            <rFont val="宋体"/>
            <charset val="134"/>
          </rPr>
          <t>Administrator:</t>
        </r>
        <r>
          <rPr>
            <sz val="9"/>
            <rFont val="宋体"/>
            <charset val="134"/>
          </rPr>
          <t xml:space="preserve">
4001799 1/24 1200pcs
庞3a16</t>
        </r>
      </text>
    </comment>
    <comment ref="AJ751" authorId="0">
      <text>
        <r>
          <rPr>
            <b/>
            <sz val="9"/>
            <rFont val="宋体"/>
            <charset val="134"/>
          </rPr>
          <t>Administrator:</t>
        </r>
        <r>
          <rPr>
            <sz val="9"/>
            <rFont val="宋体"/>
            <charset val="134"/>
          </rPr>
          <t xml:space="preserve">
1/5 UPC/进口商贴纸</t>
        </r>
        <r>
          <rPr>
            <b/>
            <sz val="9"/>
            <rFont val="宋体"/>
            <charset val="134"/>
          </rPr>
          <t xml:space="preserve"> 1200pcs</t>
        </r>
      </text>
    </comment>
    <comment ref="AG752" authorId="0">
      <text>
        <r>
          <rPr>
            <b/>
            <sz val="9"/>
            <rFont val="宋体"/>
            <charset val="134"/>
          </rPr>
          <t>Administrator:</t>
        </r>
        <r>
          <rPr>
            <sz val="9"/>
            <rFont val="宋体"/>
            <charset val="134"/>
          </rPr>
          <t xml:space="preserve">
4001811 1/27 1500pcs
王4a3</t>
        </r>
      </text>
    </comment>
    <comment ref="AJ752" authorId="0">
      <text>
        <r>
          <rPr>
            <b/>
            <sz val="9"/>
            <rFont val="宋体"/>
            <charset val="134"/>
          </rPr>
          <t>Administrator:</t>
        </r>
        <r>
          <rPr>
            <sz val="9"/>
            <rFont val="宋体"/>
            <charset val="134"/>
          </rPr>
          <t xml:space="preserve">
1/9 进口商贴 1500pcs
UPC条码 1500pcs</t>
        </r>
      </text>
    </comment>
    <comment ref="AG753" authorId="0">
      <text>
        <r>
          <rPr>
            <b/>
            <sz val="9"/>
            <rFont val="宋体"/>
            <charset val="134"/>
          </rPr>
          <t>Administrator:</t>
        </r>
        <r>
          <rPr>
            <sz val="9"/>
            <rFont val="宋体"/>
            <charset val="134"/>
          </rPr>
          <t xml:space="preserve">
4001808 1/26 360pcs
庞1f3</t>
        </r>
      </text>
    </comment>
    <comment ref="AJ753" authorId="0">
      <text>
        <r>
          <rPr>
            <b/>
            <sz val="9"/>
            <rFont val="宋体"/>
            <charset val="134"/>
          </rPr>
          <t>Administrator:</t>
        </r>
        <r>
          <rPr>
            <sz val="9"/>
            <rFont val="宋体"/>
            <charset val="134"/>
          </rPr>
          <t xml:space="preserve">
1/14 进口商贴纸 360pcs
条码贴纸 360pcs</t>
        </r>
      </text>
    </comment>
    <comment ref="AG754" authorId="0">
      <text>
        <r>
          <rPr>
            <b/>
            <sz val="9"/>
            <rFont val="宋体"/>
            <charset val="134"/>
          </rPr>
          <t>Administrator:</t>
        </r>
        <r>
          <rPr>
            <sz val="9"/>
            <rFont val="宋体"/>
            <charset val="134"/>
          </rPr>
          <t xml:space="preserve">
4001782 1/22 240pcs
庞1f3</t>
        </r>
      </text>
    </comment>
    <comment ref="AG755" authorId="0">
      <text>
        <r>
          <rPr>
            <b/>
            <sz val="9"/>
            <rFont val="宋体"/>
            <charset val="134"/>
          </rPr>
          <t>Administrator:</t>
        </r>
        <r>
          <rPr>
            <sz val="9"/>
            <rFont val="宋体"/>
            <charset val="134"/>
          </rPr>
          <t xml:space="preserve">
4001782 1/22 960pcs
庞1f3</t>
        </r>
      </text>
    </comment>
    <comment ref="AG756" authorId="0">
      <text>
        <r>
          <rPr>
            <b/>
            <sz val="9"/>
            <rFont val="宋体"/>
            <charset val="134"/>
          </rPr>
          <t>Administrator:</t>
        </r>
        <r>
          <rPr>
            <sz val="9"/>
            <rFont val="宋体"/>
            <charset val="134"/>
          </rPr>
          <t xml:space="preserve">
4001782 1/22 600pcs
庞1f3
</t>
        </r>
      </text>
    </comment>
    <comment ref="AJ756" authorId="0">
      <text>
        <r>
          <rPr>
            <b/>
            <sz val="9"/>
            <rFont val="宋体"/>
            <charset val="134"/>
          </rPr>
          <t xml:space="preserve">Administrator:
1/9 UPC贴纸 600pcs
</t>
        </r>
      </text>
    </comment>
    <comment ref="AG757" authorId="0">
      <text>
        <r>
          <rPr>
            <b/>
            <sz val="9"/>
            <rFont val="宋体"/>
            <charset val="134"/>
          </rPr>
          <t>Administrator:</t>
        </r>
        <r>
          <rPr>
            <sz val="9"/>
            <rFont val="宋体"/>
            <charset val="134"/>
          </rPr>
          <t xml:space="preserve">
4001782 1/22 1200pcs
庞1f3</t>
        </r>
      </text>
    </comment>
    <comment ref="AJ757" authorId="0">
      <text>
        <r>
          <rPr>
            <b/>
            <sz val="9"/>
            <rFont val="宋体"/>
            <charset val="134"/>
          </rPr>
          <t>Administrator:</t>
        </r>
        <r>
          <rPr>
            <sz val="9"/>
            <rFont val="宋体"/>
            <charset val="134"/>
          </rPr>
          <t xml:space="preserve">
1/9 UPC贴纸 1200pcs</t>
        </r>
      </text>
    </comment>
    <comment ref="AG758" authorId="0">
      <text>
        <r>
          <rPr>
            <b/>
            <sz val="9"/>
            <rFont val="宋体"/>
            <charset val="134"/>
          </rPr>
          <t>Administrator:</t>
        </r>
        <r>
          <rPr>
            <sz val="9"/>
            <rFont val="宋体"/>
            <charset val="134"/>
          </rPr>
          <t xml:space="preserve">
4001803 1/24 600pcs
庞1f3</t>
        </r>
      </text>
    </comment>
    <comment ref="AJ758" authorId="0">
      <text>
        <r>
          <rPr>
            <b/>
            <sz val="9"/>
            <rFont val="宋体"/>
            <charset val="134"/>
          </rPr>
          <t>Administrator:</t>
        </r>
        <r>
          <rPr>
            <sz val="9"/>
            <rFont val="宋体"/>
            <charset val="134"/>
          </rPr>
          <t xml:space="preserve">
12/16 进口商贴纸 600pcs</t>
        </r>
      </text>
    </comment>
    <comment ref="AG759" authorId="0">
      <text>
        <r>
          <rPr>
            <b/>
            <sz val="9"/>
            <rFont val="宋体"/>
            <charset val="134"/>
          </rPr>
          <t>Administrator:</t>
        </r>
        <r>
          <rPr>
            <sz val="9"/>
            <rFont val="宋体"/>
            <charset val="134"/>
          </rPr>
          <t xml:space="preserve">
4001803 1/24 3240pcs庞3a28
4001808 1/26 864pcs庞3a28
</t>
        </r>
      </text>
    </comment>
    <comment ref="AG760" authorId="0">
      <text>
        <r>
          <rPr>
            <b/>
            <sz val="9"/>
            <rFont val="宋体"/>
            <charset val="134"/>
          </rPr>
          <t>Administrator:</t>
        </r>
        <r>
          <rPr>
            <sz val="9"/>
            <rFont val="宋体"/>
            <charset val="134"/>
          </rPr>
          <t xml:space="preserve">
4001803 1/24 1200pcs
庞1f12</t>
        </r>
      </text>
    </comment>
    <comment ref="AJ760" authorId="0">
      <text>
        <r>
          <rPr>
            <b/>
            <sz val="9"/>
            <rFont val="宋体"/>
            <charset val="134"/>
          </rPr>
          <t>Administrator:</t>
        </r>
        <r>
          <rPr>
            <sz val="9"/>
            <rFont val="宋体"/>
            <charset val="134"/>
          </rPr>
          <t xml:space="preserve">
12/25 进口商贴纸 1200pcs</t>
        </r>
      </text>
    </comment>
    <comment ref="AG761" authorId="0">
      <text>
        <r>
          <rPr>
            <b/>
            <sz val="9"/>
            <rFont val="宋体"/>
            <charset val="134"/>
          </rPr>
          <t>Administrator:</t>
        </r>
        <r>
          <rPr>
            <sz val="9"/>
            <rFont val="宋体"/>
            <charset val="134"/>
          </rPr>
          <t xml:space="preserve">
4001782 1/22 816pcs 庞1F4
</t>
        </r>
      </text>
    </comment>
    <comment ref="AJ761" authorId="0">
      <text>
        <r>
          <rPr>
            <b/>
            <sz val="9"/>
            <rFont val="宋体"/>
            <charset val="134"/>
          </rPr>
          <t>Administrator:</t>
        </r>
        <r>
          <rPr>
            <sz val="9"/>
            <rFont val="宋体"/>
            <charset val="134"/>
          </rPr>
          <t xml:space="preserve">
1/9 UPC贴纸 816pcs
</t>
        </r>
      </text>
    </comment>
    <comment ref="AG762" authorId="0">
      <text>
        <r>
          <rPr>
            <b/>
            <sz val="9"/>
            <rFont val="宋体"/>
            <charset val="134"/>
          </rPr>
          <t>Administrator:</t>
        </r>
        <r>
          <rPr>
            <sz val="9"/>
            <rFont val="宋体"/>
            <charset val="134"/>
          </rPr>
          <t xml:space="preserve">
4001782 1/22 240pcs
庞3b14</t>
        </r>
      </text>
    </comment>
    <comment ref="AJ762" authorId="0">
      <text>
        <r>
          <rPr>
            <b/>
            <sz val="9"/>
            <rFont val="宋体"/>
            <charset val="134"/>
          </rPr>
          <t>Administrator:</t>
        </r>
        <r>
          <rPr>
            <sz val="9"/>
            <rFont val="宋体"/>
            <charset val="134"/>
          </rPr>
          <t xml:space="preserve">
1/9 UPC贴纸 240pcs</t>
        </r>
      </text>
    </comment>
    <comment ref="AG763" authorId="0">
      <text>
        <r>
          <rPr>
            <b/>
            <sz val="9"/>
            <rFont val="宋体"/>
            <charset val="134"/>
          </rPr>
          <t>Administrator:</t>
        </r>
        <r>
          <rPr>
            <sz val="9"/>
            <rFont val="宋体"/>
            <charset val="134"/>
          </rPr>
          <t xml:space="preserve">
4001811 1/27 2000pcs
</t>
        </r>
      </text>
    </comment>
    <comment ref="AJ763" authorId="0">
      <text>
        <r>
          <rPr>
            <b/>
            <sz val="9"/>
            <rFont val="宋体"/>
            <charset val="134"/>
          </rPr>
          <t>Administrator:</t>
        </r>
        <r>
          <rPr>
            <sz val="9"/>
            <rFont val="宋体"/>
            <charset val="134"/>
          </rPr>
          <t xml:space="preserve">
1/9 Kinderhe 2000pcs</t>
        </r>
      </text>
    </comment>
    <comment ref="AG764" authorId="0">
      <text>
        <r>
          <rPr>
            <b/>
            <sz val="9"/>
            <rFont val="宋体"/>
            <charset val="134"/>
          </rPr>
          <t>Administrator:</t>
        </r>
        <r>
          <rPr>
            <sz val="9"/>
            <rFont val="宋体"/>
            <charset val="134"/>
          </rPr>
          <t xml:space="preserve">
4001811 1/27 1440pcs
</t>
        </r>
      </text>
    </comment>
    <comment ref="AJ764" authorId="0">
      <text>
        <r>
          <rPr>
            <b/>
            <sz val="9"/>
            <rFont val="宋体"/>
            <charset val="134"/>
          </rPr>
          <t>Administrator:</t>
        </r>
        <r>
          <rPr>
            <sz val="9"/>
            <rFont val="宋体"/>
            <charset val="134"/>
          </rPr>
          <t xml:space="preserve">
12/25 客供电池警语贴纸 1488pcs
客供警语贴 1490pcs</t>
        </r>
      </text>
    </comment>
    <comment ref="AG765" authorId="0">
      <text>
        <r>
          <rPr>
            <b/>
            <sz val="9"/>
            <rFont val="宋体"/>
            <charset val="134"/>
          </rPr>
          <t>Administrator:</t>
        </r>
        <r>
          <rPr>
            <sz val="9"/>
            <rFont val="宋体"/>
            <charset val="134"/>
          </rPr>
          <t xml:space="preserve">
4001811 1/27 960pcs
</t>
        </r>
      </text>
    </comment>
    <comment ref="AJ765" authorId="0">
      <text>
        <r>
          <rPr>
            <b/>
            <sz val="9"/>
            <rFont val="宋体"/>
            <charset val="134"/>
          </rPr>
          <t>Administrator:</t>
        </r>
        <r>
          <rPr>
            <sz val="9"/>
            <rFont val="宋体"/>
            <charset val="134"/>
          </rPr>
          <t xml:space="preserve">
12/9 进口商贴纸 400pcs
1/7 进口商贴纸 960pcs</t>
        </r>
      </text>
    </comment>
    <comment ref="AG766" authorId="0">
      <text>
        <r>
          <rPr>
            <b/>
            <sz val="9"/>
            <rFont val="宋体"/>
            <charset val="134"/>
          </rPr>
          <t>Administrator:</t>
        </r>
        <r>
          <rPr>
            <sz val="9"/>
            <rFont val="宋体"/>
            <charset val="134"/>
          </rPr>
          <t xml:space="preserve">
</t>
        </r>
      </text>
    </comment>
    <comment ref="AG767" authorId="0">
      <text>
        <r>
          <rPr>
            <b/>
            <sz val="9"/>
            <rFont val="宋体"/>
            <charset val="134"/>
          </rPr>
          <t>Administrator:</t>
        </r>
        <r>
          <rPr>
            <sz val="9"/>
            <rFont val="宋体"/>
            <charset val="134"/>
          </rPr>
          <t xml:space="preserve">
4001808 1/26 864pcs庞3a283
4001811 1/27 744pcs王</t>
        </r>
      </text>
    </comment>
    <comment ref="AG768" authorId="0">
      <text>
        <r>
          <rPr>
            <b/>
            <sz val="9"/>
            <rFont val="宋体"/>
            <charset val="134"/>
          </rPr>
          <t>Administrator:</t>
        </r>
        <r>
          <rPr>
            <sz val="9"/>
            <rFont val="宋体"/>
            <charset val="134"/>
          </rPr>
          <t xml:space="preserve">
4001811 1/27 132pcs
王4a3</t>
        </r>
      </text>
    </comment>
    <comment ref="AG769" authorId="0">
      <text>
        <r>
          <rPr>
            <b/>
            <sz val="9"/>
            <rFont val="宋体"/>
            <charset val="134"/>
          </rPr>
          <t>Administrator:</t>
        </r>
        <r>
          <rPr>
            <sz val="9"/>
            <rFont val="宋体"/>
            <charset val="134"/>
          </rPr>
          <t xml:space="preserve">
4001803 1/24 480pcs
庞3a15</t>
        </r>
      </text>
    </comment>
    <comment ref="AJ769" authorId="0">
      <text>
        <r>
          <rPr>
            <b/>
            <sz val="9"/>
            <rFont val="宋体"/>
            <charset val="134"/>
          </rPr>
          <t>Administrator:</t>
        </r>
        <r>
          <rPr>
            <sz val="9"/>
            <rFont val="宋体"/>
            <charset val="134"/>
          </rPr>
          <t xml:space="preserve">
1/12 进口商内容贴纸 480pcs</t>
        </r>
      </text>
    </comment>
    <comment ref="AG770" authorId="0">
      <text>
        <r>
          <rPr>
            <b/>
            <sz val="9"/>
            <rFont val="宋体"/>
            <charset val="134"/>
          </rPr>
          <t>Administrator:</t>
        </r>
        <r>
          <rPr>
            <sz val="9"/>
            <rFont val="宋体"/>
            <charset val="134"/>
          </rPr>
          <t xml:space="preserve">
4001803 1/24 120pcs
庞3a15
</t>
        </r>
      </text>
    </comment>
    <comment ref="AJ770" authorId="0">
      <text>
        <r>
          <rPr>
            <b/>
            <sz val="9"/>
            <rFont val="宋体"/>
            <charset val="134"/>
          </rPr>
          <t>Administrator:</t>
        </r>
        <r>
          <rPr>
            <sz val="9"/>
            <rFont val="宋体"/>
            <charset val="134"/>
          </rPr>
          <t xml:space="preserve">
1/5 进口商贴纸 120pcs
1/14 UPC贴纸 120pcs</t>
        </r>
      </text>
    </comment>
    <comment ref="AG771" authorId="0">
      <text>
        <r>
          <rPr>
            <b/>
            <sz val="9"/>
            <rFont val="宋体"/>
            <charset val="134"/>
          </rPr>
          <t>Administrator:</t>
        </r>
        <r>
          <rPr>
            <sz val="9"/>
            <rFont val="宋体"/>
            <charset val="134"/>
          </rPr>
          <t xml:space="preserve">
4001764 1/16 862pcs
4001771 1/19 38pcs 文本云</t>
        </r>
      </text>
    </comment>
    <comment ref="AG772" authorId="0">
      <text>
        <r>
          <rPr>
            <b/>
            <sz val="9"/>
            <rFont val="宋体"/>
            <charset val="134"/>
          </rPr>
          <t>Administrator:</t>
        </r>
        <r>
          <rPr>
            <sz val="9"/>
            <rFont val="宋体"/>
            <charset val="134"/>
          </rPr>
          <t xml:space="preserve">
4001820 1/29 4320pcs
庞1f4
4001934 1/31 10680pcs庞1f5</t>
        </r>
      </text>
    </comment>
    <comment ref="AJ772" authorId="0">
      <text>
        <r>
          <rPr>
            <b/>
            <sz val="9"/>
            <rFont val="宋体"/>
            <charset val="134"/>
          </rPr>
          <t>Administrator:</t>
        </r>
        <r>
          <rPr>
            <sz val="9"/>
            <rFont val="宋体"/>
            <charset val="134"/>
          </rPr>
          <t xml:space="preserve">
12/31 外箱贴纸 2500pcs
价格贴纸 15000pcs</t>
        </r>
      </text>
    </comment>
    <comment ref="AG773" authorId="0">
      <text>
        <r>
          <rPr>
            <b/>
            <sz val="9"/>
            <rFont val="宋体"/>
            <charset val="134"/>
          </rPr>
          <t>Administrator:</t>
        </r>
        <r>
          <rPr>
            <sz val="9"/>
            <rFont val="宋体"/>
            <charset val="134"/>
          </rPr>
          <t xml:space="preserve">
</t>
        </r>
      </text>
    </comment>
    <comment ref="AJ774" authorId="0">
      <text>
        <r>
          <rPr>
            <b/>
            <sz val="9"/>
            <rFont val="宋体"/>
            <charset val="134"/>
          </rPr>
          <t>Administrator:</t>
        </r>
        <r>
          <rPr>
            <sz val="9"/>
            <rFont val="宋体"/>
            <charset val="134"/>
          </rPr>
          <t xml:space="preserve">
12/25 客供中文警告说明书 744pcs</t>
        </r>
      </text>
    </comment>
    <comment ref="AG776" authorId="0">
      <text>
        <r>
          <rPr>
            <b/>
            <sz val="9"/>
            <rFont val="宋体"/>
            <charset val="134"/>
          </rPr>
          <t>Administrator:</t>
        </r>
        <r>
          <rPr>
            <sz val="9"/>
            <rFont val="宋体"/>
            <charset val="134"/>
          </rPr>
          <t xml:space="preserve">
1405666 2/3 8164pcs庞登一楼
1405641 2/3 1320pcs
庞登一楼
1405611 2/4 516pcs庞登一楼
</t>
        </r>
      </text>
    </comment>
    <comment ref="AJ776" authorId="0">
      <text>
        <r>
          <rPr>
            <b/>
            <sz val="9"/>
            <rFont val="宋体"/>
            <charset val="134"/>
          </rPr>
          <t>Administrator:</t>
        </r>
        <r>
          <rPr>
            <sz val="9"/>
            <rFont val="宋体"/>
            <charset val="134"/>
          </rPr>
          <t xml:space="preserve">
1/15 客供外箱条码贴纸 2525pcs
</t>
        </r>
      </text>
    </comment>
    <comment ref="AG777" authorId="0">
      <text>
        <r>
          <rPr>
            <b/>
            <sz val="9"/>
            <rFont val="宋体"/>
            <charset val="134"/>
          </rPr>
          <t>Administrator:</t>
        </r>
        <r>
          <rPr>
            <sz val="9"/>
            <rFont val="宋体"/>
            <charset val="134"/>
          </rPr>
          <t xml:space="preserve">
1405685 1/30 2880pcs
庞登1楼
1405692 1/30 1116pcs
庞登1楼
1405650 2/2 4pcs登1楼</t>
        </r>
      </text>
    </comment>
    <comment ref="AJ777" authorId="0">
      <text>
        <r>
          <rPr>
            <b/>
            <sz val="9"/>
            <rFont val="宋体"/>
            <charset val="134"/>
          </rPr>
          <t>Administrator:</t>
        </r>
        <r>
          <rPr>
            <sz val="9"/>
            <rFont val="宋体"/>
            <charset val="134"/>
          </rPr>
          <t xml:space="preserve">
1/15 客供外箱条码贴纸 1010pcs
</t>
        </r>
      </text>
    </comment>
    <comment ref="AG778" authorId="0">
      <text>
        <r>
          <rPr>
            <b/>
            <sz val="9"/>
            <rFont val="宋体"/>
            <charset val="134"/>
          </rPr>
          <t>Administrator:</t>
        </r>
        <r>
          <rPr>
            <sz val="9"/>
            <rFont val="宋体"/>
            <charset val="134"/>
          </rPr>
          <t xml:space="preserve">
4001901 2/2 660pcs 直走</t>
        </r>
      </text>
    </comment>
    <comment ref="AJ778" authorId="0">
      <text>
        <r>
          <rPr>
            <b/>
            <sz val="9"/>
            <rFont val="宋体"/>
            <charset val="134"/>
          </rPr>
          <t>Administrator:</t>
        </r>
        <r>
          <rPr>
            <sz val="9"/>
            <rFont val="宋体"/>
            <charset val="134"/>
          </rPr>
          <t xml:space="preserve">
1/28 客供防窜码贴纸1拖6 660pcs</t>
        </r>
      </text>
    </comment>
    <comment ref="AJ779" authorId="0">
      <text>
        <r>
          <rPr>
            <b/>
            <sz val="9"/>
            <rFont val="宋体"/>
            <charset val="134"/>
          </rPr>
          <t>Administrator:</t>
        </r>
        <r>
          <rPr>
            <sz val="9"/>
            <rFont val="宋体"/>
            <charset val="134"/>
          </rPr>
          <t xml:space="preserve">
12/29 颜色贴纸 1200pcs
空白贴纸 1200pcs
3c贴纸 1860pcs
空白贴纸 2400pcs
1/5 窖供芯片码贴纸 1200pcs
</t>
        </r>
      </text>
    </comment>
    <comment ref="AJ780" authorId="0">
      <text>
        <r>
          <rPr>
            <b/>
            <sz val="9"/>
            <rFont val="宋体"/>
            <charset val="134"/>
          </rPr>
          <t>Administrator:</t>
        </r>
        <r>
          <rPr>
            <sz val="9"/>
            <rFont val="宋体"/>
            <charset val="134"/>
          </rPr>
          <t xml:space="preserve">
1/5 窖供芯片码贴纸 3000pcs
1/7 3c贴纸 3000pcs</t>
        </r>
      </text>
    </comment>
    <comment ref="AJ781" authorId="0">
      <text>
        <r>
          <rPr>
            <b/>
            <sz val="9"/>
            <rFont val="宋体"/>
            <charset val="134"/>
          </rPr>
          <t>Administrator:</t>
        </r>
        <r>
          <rPr>
            <sz val="9"/>
            <rFont val="宋体"/>
            <charset val="134"/>
          </rPr>
          <t xml:space="preserve">
1/5 窖供芯片码贴纸 7800pcs
1/7 3c贴纸 7800pcs
</t>
        </r>
      </text>
    </comment>
    <comment ref="AG782" authorId="0">
      <text>
        <r>
          <rPr>
            <b/>
            <sz val="9"/>
            <rFont val="宋体"/>
            <charset val="134"/>
          </rPr>
          <t>Administrator:</t>
        </r>
        <r>
          <rPr>
            <sz val="9"/>
            <rFont val="宋体"/>
            <charset val="134"/>
          </rPr>
          <t xml:space="preserve">
</t>
        </r>
      </text>
    </comment>
    <comment ref="AJ782" authorId="0">
      <text>
        <r>
          <rPr>
            <b/>
            <sz val="9"/>
            <rFont val="宋体"/>
            <charset val="134"/>
          </rPr>
          <t>Administrator:</t>
        </r>
        <r>
          <rPr>
            <sz val="9"/>
            <rFont val="宋体"/>
            <charset val="134"/>
          </rPr>
          <t xml:space="preserve">
1/5 窖供芯片码贴纸 7200pcs
1/7 3c贴纸 7200pcs
</t>
        </r>
      </text>
    </comment>
    <comment ref="AG783" authorId="0">
      <text>
        <r>
          <rPr>
            <b/>
            <sz val="9"/>
            <rFont val="宋体"/>
            <charset val="134"/>
          </rPr>
          <t>Administrator:</t>
        </r>
        <r>
          <rPr>
            <sz val="9"/>
            <rFont val="宋体"/>
            <charset val="134"/>
          </rPr>
          <t xml:space="preserve">
1405611 2/4 2304pcs庞1f9</t>
        </r>
      </text>
    </comment>
    <comment ref="AJ783" authorId="0">
      <text>
        <r>
          <rPr>
            <b/>
            <sz val="9"/>
            <rFont val="宋体"/>
            <charset val="134"/>
          </rPr>
          <t>Administrator:</t>
        </r>
        <r>
          <rPr>
            <sz val="9"/>
            <rFont val="宋体"/>
            <charset val="134"/>
          </rPr>
          <t xml:space="preserve">
1/12 进口商贴纸 2304pcs
UPC条码贴纸 2304pcs
保证书 2304pcs</t>
        </r>
      </text>
    </comment>
    <comment ref="AG784" authorId="0">
      <text>
        <r>
          <rPr>
            <b/>
            <sz val="9"/>
            <rFont val="宋体"/>
            <charset val="134"/>
          </rPr>
          <t>Administrator:</t>
        </r>
        <r>
          <rPr>
            <sz val="9"/>
            <rFont val="宋体"/>
            <charset val="134"/>
          </rPr>
          <t xml:space="preserve">
1/31 4001935 1800pcs</t>
        </r>
      </text>
    </comment>
    <comment ref="AG785" authorId="0">
      <text>
        <r>
          <rPr>
            <b/>
            <sz val="9"/>
            <rFont val="宋体"/>
            <charset val="134"/>
          </rPr>
          <t>Administrator:</t>
        </r>
        <r>
          <rPr>
            <sz val="9"/>
            <rFont val="宋体"/>
            <charset val="134"/>
          </rPr>
          <t xml:space="preserve">
1405692 1/30 480pcs
庞登1楼
</t>
        </r>
      </text>
    </comment>
    <comment ref="AG786" authorId="0">
      <text>
        <r>
          <rPr>
            <b/>
            <sz val="9"/>
            <rFont val="宋体"/>
            <charset val="134"/>
          </rPr>
          <t>Administrator:</t>
        </r>
        <r>
          <rPr>
            <sz val="9"/>
            <rFont val="宋体"/>
            <charset val="134"/>
          </rPr>
          <t xml:space="preserve">
1405685 1/30 8760pcs
庞登1楼
1405650 2/2 4pcs
登1楼
</t>
        </r>
      </text>
    </comment>
    <comment ref="AJ786" authorId="0">
      <text>
        <r>
          <rPr>
            <b/>
            <sz val="9"/>
            <rFont val="宋体"/>
            <charset val="134"/>
          </rPr>
          <t>Administrator:</t>
        </r>
        <r>
          <rPr>
            <sz val="9"/>
            <rFont val="宋体"/>
            <charset val="134"/>
          </rPr>
          <t xml:space="preserve">
1/15 客供外箱条码贴纸 2273pcs
</t>
        </r>
      </text>
    </comment>
    <comment ref="AG787" authorId="0">
      <text>
        <r>
          <rPr>
            <b/>
            <sz val="9"/>
            <rFont val="宋体"/>
            <charset val="134"/>
          </rPr>
          <t>Administrator:</t>
        </r>
        <r>
          <rPr>
            <sz val="9"/>
            <rFont val="宋体"/>
            <charset val="134"/>
          </rPr>
          <t xml:space="preserve">
1405641 2/3 504pcs庞1f3</t>
        </r>
      </text>
    </comment>
    <comment ref="AJ787" authorId="0">
      <text>
        <r>
          <rPr>
            <b/>
            <sz val="9"/>
            <rFont val="宋体"/>
            <charset val="134"/>
          </rPr>
          <t>Administrator:</t>
        </r>
        <r>
          <rPr>
            <sz val="9"/>
            <rFont val="宋体"/>
            <charset val="134"/>
          </rPr>
          <t xml:space="preserve">
1/19 大电池警告语贴纸 1008pcs
小电池警告语贴纸 504pcs</t>
        </r>
      </text>
    </comment>
    <comment ref="AG788" authorId="0">
      <text>
        <r>
          <rPr>
            <b/>
            <sz val="9"/>
            <rFont val="宋体"/>
            <charset val="134"/>
          </rPr>
          <t>Administrator:</t>
        </r>
        <r>
          <rPr>
            <sz val="9"/>
            <rFont val="宋体"/>
            <charset val="134"/>
          </rPr>
          <t xml:space="preserve">
1405611 2/4 4800pcs
庞1f11</t>
        </r>
      </text>
    </comment>
    <comment ref="AJ788" authorId="0">
      <text>
        <r>
          <rPr>
            <b/>
            <sz val="9"/>
            <rFont val="宋体"/>
            <charset val="134"/>
          </rPr>
          <t>Administrator:</t>
        </r>
        <r>
          <rPr>
            <sz val="9"/>
            <rFont val="宋体"/>
            <charset val="134"/>
          </rPr>
          <t xml:space="preserve">
1/21 PDQ+Kind  6000pcs
1/23 多语折疊警语贴纸 4800pcs
</t>
        </r>
      </text>
    </comment>
    <comment ref="AG789" authorId="0">
      <text>
        <r>
          <rPr>
            <b/>
            <sz val="9"/>
            <rFont val="宋体"/>
            <charset val="134"/>
          </rPr>
          <t>Administrator:</t>
        </r>
        <r>
          <rPr>
            <sz val="9"/>
            <rFont val="宋体"/>
            <charset val="134"/>
          </rPr>
          <t xml:space="preserve">
1405579 2/5 3520pcs王4b6</t>
        </r>
      </text>
    </comment>
    <comment ref="AJ789" authorId="0">
      <text>
        <r>
          <rPr>
            <b/>
            <sz val="9"/>
            <rFont val="宋体"/>
            <charset val="134"/>
          </rPr>
          <t>Administrator:</t>
        </r>
        <r>
          <rPr>
            <sz val="9"/>
            <rFont val="宋体"/>
            <charset val="134"/>
          </rPr>
          <t xml:space="preserve">
1/19 客户EAN条码贴纸 3520pcs 
PDQ数量贴纸 2972pcs</t>
        </r>
      </text>
    </comment>
    <comment ref="AJ790" authorId="0">
      <text>
        <r>
          <rPr>
            <b/>
            <sz val="9"/>
            <rFont val="宋体"/>
            <charset val="134"/>
          </rPr>
          <t>Administrator:</t>
        </r>
        <r>
          <rPr>
            <sz val="9"/>
            <rFont val="宋体"/>
            <charset val="134"/>
          </rPr>
          <t xml:space="preserve">
1/5 客供价格貼紙 1200pcs</t>
        </r>
      </text>
    </comment>
    <comment ref="AG791" authorId="0">
      <text>
        <r>
          <rPr>
            <b/>
            <sz val="9"/>
            <rFont val="宋体"/>
            <charset val="134"/>
          </rPr>
          <t>Administrator:</t>
        </r>
        <r>
          <rPr>
            <sz val="9"/>
            <rFont val="宋体"/>
            <charset val="134"/>
          </rPr>
          <t xml:space="preserve">
4001891 2/6 3840pcs王4c8</t>
        </r>
      </text>
    </comment>
    <comment ref="AJ791" authorId="0">
      <text>
        <r>
          <rPr>
            <b/>
            <sz val="9"/>
            <rFont val="宋体"/>
            <charset val="134"/>
          </rPr>
          <t>Administrator:</t>
        </r>
        <r>
          <rPr>
            <sz val="9"/>
            <rFont val="宋体"/>
            <charset val="134"/>
          </rPr>
          <t xml:space="preserve">
1/5 客供邸ID贴纸  3840pcs</t>
        </r>
      </text>
    </comment>
    <comment ref="AG792" authorId="0">
      <text>
        <r>
          <rPr>
            <b/>
            <sz val="9"/>
            <rFont val="宋体"/>
            <charset val="134"/>
          </rPr>
          <t>Administrator:</t>
        </r>
        <r>
          <rPr>
            <sz val="9"/>
            <rFont val="宋体"/>
            <charset val="134"/>
          </rPr>
          <t xml:space="preserve">
4001892 2/6 4160pcs庞登1楼</t>
        </r>
      </text>
    </comment>
    <comment ref="AJ792" authorId="0">
      <text>
        <r>
          <rPr>
            <b/>
            <sz val="9"/>
            <rFont val="宋体"/>
            <charset val="134"/>
          </rPr>
          <t>Administrator:</t>
        </r>
        <r>
          <rPr>
            <sz val="9"/>
            <rFont val="宋体"/>
            <charset val="134"/>
          </rPr>
          <t xml:space="preserve">
1/5 客供邸ID贴纸  4160pcs
</t>
        </r>
      </text>
    </comment>
    <comment ref="AG793" authorId="0">
      <text>
        <r>
          <rPr>
            <b/>
            <sz val="9"/>
            <rFont val="宋体"/>
            <charset val="134"/>
          </rPr>
          <t>Administrator:</t>
        </r>
        <r>
          <rPr>
            <sz val="9"/>
            <rFont val="宋体"/>
            <charset val="134"/>
          </rPr>
          <t xml:space="preserve">
4001892 2/6 6460pcs
庞登1楼
</t>
        </r>
      </text>
    </comment>
    <comment ref="AJ793" authorId="0">
      <text>
        <r>
          <rPr>
            <b/>
            <sz val="9"/>
            <rFont val="宋体"/>
            <charset val="134"/>
          </rPr>
          <t>Administrator:</t>
        </r>
        <r>
          <rPr>
            <sz val="9"/>
            <rFont val="宋体"/>
            <charset val="134"/>
          </rPr>
          <t xml:space="preserve">
1/5 客供邸ID贴纸  6400pcs
</t>
        </r>
      </text>
    </comment>
    <comment ref="AG794" authorId="0">
      <text>
        <r>
          <rPr>
            <b/>
            <sz val="9"/>
            <rFont val="宋体"/>
            <charset val="134"/>
          </rPr>
          <t>Administrator:</t>
        </r>
        <r>
          <rPr>
            <sz val="9"/>
            <rFont val="宋体"/>
            <charset val="134"/>
          </rPr>
          <t xml:space="preserve">
4001891 2/6 5120pcs
王4c8
</t>
        </r>
      </text>
    </comment>
    <comment ref="AJ794" authorId="0">
      <text>
        <r>
          <rPr>
            <b/>
            <sz val="9"/>
            <rFont val="宋体"/>
            <charset val="134"/>
          </rPr>
          <t>Administrator:</t>
        </r>
        <r>
          <rPr>
            <sz val="9"/>
            <rFont val="宋体"/>
            <charset val="134"/>
          </rPr>
          <t xml:space="preserve">
1/5 客供邸ID贴纸  5120pcs
</t>
        </r>
      </text>
    </comment>
    <comment ref="AG795" authorId="0">
      <text>
        <r>
          <rPr>
            <b/>
            <sz val="9"/>
            <rFont val="宋体"/>
            <charset val="134"/>
          </rPr>
          <t>Administrator:</t>
        </r>
        <r>
          <rPr>
            <sz val="9"/>
            <rFont val="宋体"/>
            <charset val="134"/>
          </rPr>
          <t xml:space="preserve">
4001892 2/6 6080pcs
庞登1楼
</t>
        </r>
      </text>
    </comment>
    <comment ref="AJ795" authorId="0">
      <text>
        <r>
          <rPr>
            <b/>
            <sz val="9"/>
            <rFont val="宋体"/>
            <charset val="134"/>
          </rPr>
          <t>Administrator:</t>
        </r>
        <r>
          <rPr>
            <sz val="9"/>
            <rFont val="宋体"/>
            <charset val="134"/>
          </rPr>
          <t xml:space="preserve">
1/5 客供邸ID贴纸 6080pcs
</t>
        </r>
      </text>
    </comment>
    <comment ref="AG796" authorId="0">
      <text>
        <r>
          <rPr>
            <b/>
            <sz val="9"/>
            <rFont val="宋体"/>
            <charset val="134"/>
          </rPr>
          <t>Administrator:</t>
        </r>
        <r>
          <rPr>
            <sz val="9"/>
            <rFont val="宋体"/>
            <charset val="134"/>
          </rPr>
          <t xml:space="preserve">
4001892 2/6 2880pcs
庞1f5
4001893 2/6 2560pcs
庞1f5</t>
        </r>
      </text>
    </comment>
    <comment ref="AJ796" authorId="0">
      <text>
        <r>
          <rPr>
            <b/>
            <sz val="9"/>
            <rFont val="宋体"/>
            <charset val="134"/>
          </rPr>
          <t>Administrator:</t>
        </r>
        <r>
          <rPr>
            <sz val="9"/>
            <rFont val="宋体"/>
            <charset val="134"/>
          </rPr>
          <t xml:space="preserve">
1/5 客供邸ID贴纸  5440pcs
</t>
        </r>
      </text>
    </comment>
    <comment ref="AG797" authorId="0">
      <text>
        <r>
          <rPr>
            <b/>
            <sz val="9"/>
            <rFont val="宋体"/>
            <charset val="134"/>
          </rPr>
          <t>Administrator:</t>
        </r>
        <r>
          <rPr>
            <sz val="9"/>
            <rFont val="宋体"/>
            <charset val="134"/>
          </rPr>
          <t xml:space="preserve">
4001891 2/6 3840pcs
王4c8
</t>
        </r>
      </text>
    </comment>
    <comment ref="AJ797" authorId="0">
      <text>
        <r>
          <rPr>
            <b/>
            <sz val="9"/>
            <rFont val="宋体"/>
            <charset val="134"/>
          </rPr>
          <t>Administrator:</t>
        </r>
        <r>
          <rPr>
            <sz val="9"/>
            <rFont val="宋体"/>
            <charset val="134"/>
          </rPr>
          <t xml:space="preserve">
1/5 客供邸ID贴纸  3840pcs
</t>
        </r>
      </text>
    </comment>
    <comment ref="AG798" authorId="0">
      <text>
        <r>
          <rPr>
            <b/>
            <sz val="9"/>
            <rFont val="宋体"/>
            <charset val="134"/>
          </rPr>
          <t>Administrator:</t>
        </r>
        <r>
          <rPr>
            <sz val="9"/>
            <rFont val="宋体"/>
            <charset val="134"/>
          </rPr>
          <t xml:space="preserve">
4001892 2/6 708pcs
庞3b15</t>
        </r>
      </text>
    </comment>
    <comment ref="AJ798" authorId="0">
      <text>
        <r>
          <rPr>
            <b/>
            <sz val="9"/>
            <rFont val="宋体"/>
            <charset val="134"/>
          </rPr>
          <t>Administrator:</t>
        </r>
        <r>
          <rPr>
            <sz val="9"/>
            <rFont val="宋体"/>
            <charset val="134"/>
          </rPr>
          <t xml:space="preserve">
1/19 客人白色Cat.label 708pcs</t>
        </r>
      </text>
    </comment>
    <comment ref="AG802" authorId="0">
      <text>
        <r>
          <rPr>
            <b/>
            <sz val="9"/>
            <rFont val="宋体"/>
            <charset val="134"/>
          </rPr>
          <t>Administrator:</t>
        </r>
        <r>
          <rPr>
            <sz val="9"/>
            <rFont val="宋体"/>
            <charset val="134"/>
          </rPr>
          <t xml:space="preserve">
4001877 2/7 390pcs庞登1楼</t>
        </r>
      </text>
    </comment>
    <comment ref="AJ802" authorId="0">
      <text>
        <r>
          <rPr>
            <b/>
            <sz val="9"/>
            <rFont val="宋体"/>
            <charset val="134"/>
          </rPr>
          <t>Administrator:</t>
        </r>
        <r>
          <rPr>
            <sz val="9"/>
            <rFont val="宋体"/>
            <charset val="134"/>
          </rPr>
          <t xml:space="preserve">
1/13 客供防窜码贴纸1拖6 390pcs
1/12 3C中文贴纸</t>
        </r>
        <r>
          <rPr>
            <b/>
            <sz val="9"/>
            <rFont val="宋体"/>
            <charset val="134"/>
          </rPr>
          <t xml:space="preserve"> 390pcs</t>
        </r>
      </text>
    </comment>
    <comment ref="AG803" authorId="0">
      <text>
        <r>
          <rPr>
            <b/>
            <sz val="9"/>
            <rFont val="宋体"/>
            <charset val="134"/>
          </rPr>
          <t>Administrator:</t>
        </r>
        <r>
          <rPr>
            <sz val="9"/>
            <rFont val="宋体"/>
            <charset val="134"/>
          </rPr>
          <t xml:space="preserve">
4001877 2/7 3600pcs
庞登1楼
</t>
        </r>
      </text>
    </comment>
    <comment ref="AJ803" authorId="0">
      <text>
        <r>
          <rPr>
            <b/>
            <sz val="9"/>
            <rFont val="宋体"/>
            <charset val="134"/>
          </rPr>
          <t>Administrator:</t>
        </r>
        <r>
          <rPr>
            <sz val="9"/>
            <rFont val="宋体"/>
            <charset val="134"/>
          </rPr>
          <t xml:space="preserve">
1/13 客供防窜码贴纸1拖6 3600pcs
1/12 3C中文贴纸 3600pcs
</t>
        </r>
      </text>
    </comment>
    <comment ref="AG804" authorId="0">
      <text>
        <r>
          <rPr>
            <b/>
            <sz val="9"/>
            <rFont val="宋体"/>
            <charset val="134"/>
          </rPr>
          <t>Administrator:</t>
        </r>
        <r>
          <rPr>
            <sz val="9"/>
            <rFont val="宋体"/>
            <charset val="134"/>
          </rPr>
          <t xml:space="preserve">
4001891 2/6 1320PCS
王4b8</t>
        </r>
      </text>
    </comment>
    <comment ref="AJ804" authorId="0">
      <text>
        <r>
          <rPr>
            <b/>
            <sz val="9"/>
            <rFont val="宋体"/>
            <charset val="134"/>
          </rPr>
          <t>Administrator:</t>
        </r>
        <r>
          <rPr>
            <sz val="9"/>
            <rFont val="宋体"/>
            <charset val="134"/>
          </rPr>
          <t xml:space="preserve">
1/23 进口商贴纸 13220pcs</t>
        </r>
      </text>
    </comment>
    <comment ref="AG807" authorId="0">
      <text>
        <r>
          <rPr>
            <b/>
            <sz val="9"/>
            <rFont val="宋体"/>
            <charset val="134"/>
          </rPr>
          <t>Administrator:</t>
        </r>
        <r>
          <rPr>
            <sz val="9"/>
            <rFont val="宋体"/>
            <charset val="134"/>
          </rPr>
          <t xml:space="preserve">
4001877 2/7 600pcs
庞登1楼
</t>
        </r>
      </text>
    </comment>
    <comment ref="AJ807" authorId="0">
      <text>
        <r>
          <rPr>
            <b/>
            <sz val="9"/>
            <rFont val="宋体"/>
            <charset val="134"/>
          </rPr>
          <t>Administrator:</t>
        </r>
        <r>
          <rPr>
            <sz val="9"/>
            <rFont val="宋体"/>
            <charset val="134"/>
          </rPr>
          <t xml:space="preserve">
1/21 进口商贴纸 600pcs
说明书贴纸 600pcs
价标贴纸 600pcs
2/3 客供mu贴纸(条码贴 50pcs
客供ASN贴纸 50pcs</t>
        </r>
      </text>
    </comment>
    <comment ref="AG808" authorId="0">
      <text>
        <r>
          <rPr>
            <b/>
            <sz val="9"/>
            <rFont val="宋体"/>
            <charset val="134"/>
          </rPr>
          <t>Administrator:</t>
        </r>
        <r>
          <rPr>
            <sz val="9"/>
            <rFont val="宋体"/>
            <charset val="134"/>
          </rPr>
          <t xml:space="preserve">
4001893 2/6 2040pcs
庞1f9
4001897 2/7 324pcs庞1f9</t>
        </r>
      </text>
    </comment>
    <comment ref="AJ808" authorId="0">
      <text>
        <r>
          <rPr>
            <b/>
            <sz val="9"/>
            <rFont val="宋体"/>
            <charset val="134"/>
          </rPr>
          <t>Administrator:</t>
        </r>
        <r>
          <rPr>
            <sz val="9"/>
            <rFont val="宋体"/>
            <charset val="134"/>
          </rPr>
          <t xml:space="preserve">
1/23 多语折稥警语贴纸 2364pcs</t>
        </r>
      </text>
    </comment>
    <comment ref="AG809" authorId="0">
      <text>
        <r>
          <rPr>
            <b/>
            <sz val="9"/>
            <rFont val="宋体"/>
            <charset val="134"/>
          </rPr>
          <t>Administrator:</t>
        </r>
        <r>
          <rPr>
            <sz val="9"/>
            <rFont val="宋体"/>
            <charset val="134"/>
          </rPr>
          <t xml:space="preserve">
4001897 2/7 2976pcs
王4a9
4001874 2/7 32pcs 庞4a9</t>
        </r>
      </text>
    </comment>
    <comment ref="AJ809" authorId="0">
      <text>
        <r>
          <rPr>
            <b/>
            <sz val="9"/>
            <rFont val="宋体"/>
            <charset val="134"/>
          </rPr>
          <t>Administrator:</t>
        </r>
        <r>
          <rPr>
            <sz val="9"/>
            <rFont val="宋体"/>
            <charset val="134"/>
          </rPr>
          <t xml:space="preserve">
1/19 客户EAN条码贴纸3008pcs 
</t>
        </r>
      </text>
    </comment>
    <comment ref="AG810" authorId="0">
      <text>
        <r>
          <rPr>
            <b/>
            <sz val="9"/>
            <rFont val="宋体"/>
            <charset val="134"/>
          </rPr>
          <t>Administrator:</t>
        </r>
        <r>
          <rPr>
            <sz val="9"/>
            <rFont val="宋体"/>
            <charset val="134"/>
          </rPr>
          <t xml:space="preserve">
4001897 2/7 2000pcs
王4a4</t>
        </r>
      </text>
    </comment>
    <comment ref="AJ810" authorId="0">
      <text>
        <r>
          <rPr>
            <b/>
            <sz val="9"/>
            <rFont val="宋体"/>
            <charset val="134"/>
          </rPr>
          <t>Administrator:</t>
        </r>
        <r>
          <rPr>
            <sz val="9"/>
            <rFont val="宋体"/>
            <charset val="134"/>
          </rPr>
          <t xml:space="preserve">
1/19 客户EAN条码贴纸2000pcs 
</t>
        </r>
      </text>
    </comment>
    <comment ref="AG811" authorId="0">
      <text>
        <r>
          <rPr>
            <b/>
            <sz val="9"/>
            <rFont val="宋体"/>
            <charset val="134"/>
          </rPr>
          <t>Administrator:</t>
        </r>
        <r>
          <rPr>
            <sz val="9"/>
            <rFont val="宋体"/>
            <charset val="134"/>
          </rPr>
          <t xml:space="preserve">
4001897 2/7 3360pcs
王4a3</t>
        </r>
      </text>
    </comment>
    <comment ref="AJ811" authorId="0">
      <text>
        <r>
          <rPr>
            <b/>
            <sz val="9"/>
            <rFont val="宋体"/>
            <charset val="134"/>
          </rPr>
          <t>Administrator:</t>
        </r>
        <r>
          <rPr>
            <sz val="9"/>
            <rFont val="宋体"/>
            <charset val="134"/>
          </rPr>
          <t xml:space="preserve">
1/19 客户EAN条码贴纸 336pcs 
</t>
        </r>
      </text>
    </comment>
    <comment ref="AG812" authorId="0">
      <text>
        <r>
          <rPr>
            <b/>
            <sz val="9"/>
            <rFont val="宋体"/>
            <charset val="134"/>
          </rPr>
          <t>Administrator:</t>
        </r>
        <r>
          <rPr>
            <sz val="9"/>
            <rFont val="宋体"/>
            <charset val="134"/>
          </rPr>
          <t xml:space="preserve">
4001897 2/7 900pcs
王4a2</t>
        </r>
      </text>
    </comment>
    <comment ref="AG813" authorId="0">
      <text>
        <r>
          <rPr>
            <b/>
            <sz val="9"/>
            <rFont val="宋体"/>
            <charset val="134"/>
          </rPr>
          <t>Administrator:</t>
        </r>
        <r>
          <rPr>
            <sz val="9"/>
            <rFont val="宋体"/>
            <charset val="134"/>
          </rPr>
          <t xml:space="preserve">
4001889 2/5 1200pcs王4a3</t>
        </r>
      </text>
    </comment>
    <comment ref="AJ813" authorId="0">
      <text>
        <r>
          <rPr>
            <b/>
            <sz val="9"/>
            <rFont val="宋体"/>
            <charset val="134"/>
          </rPr>
          <t>Administrator:</t>
        </r>
        <r>
          <rPr>
            <sz val="9"/>
            <rFont val="宋体"/>
            <charset val="134"/>
          </rPr>
          <t xml:space="preserve">
1/19 客户警语贴纸 1200pcs</t>
        </r>
      </text>
    </comment>
    <comment ref="AJ815" authorId="0">
      <text>
        <r>
          <rPr>
            <b/>
            <sz val="9"/>
            <rFont val="宋体"/>
            <charset val="134"/>
          </rPr>
          <t>Administrator:</t>
        </r>
        <r>
          <rPr>
            <sz val="9"/>
            <rFont val="宋体"/>
            <charset val="134"/>
          </rPr>
          <t xml:space="preserve">
1/22 警示语贴纸 576pcs</t>
        </r>
      </text>
    </comment>
    <comment ref="AJ816" authorId="0">
      <text>
        <r>
          <rPr>
            <b/>
            <sz val="9"/>
            <rFont val="宋体"/>
            <charset val="134"/>
          </rPr>
          <t>Administrator:</t>
        </r>
        <r>
          <rPr>
            <sz val="9"/>
            <rFont val="宋体"/>
            <charset val="134"/>
          </rPr>
          <t xml:space="preserve">
1/22 进口商贴纸 12600pcs</t>
        </r>
      </text>
    </comment>
    <comment ref="AJ817" authorId="0">
      <text>
        <r>
          <rPr>
            <b/>
            <sz val="9"/>
            <rFont val="宋体"/>
            <charset val="134"/>
          </rPr>
          <t>Administrator:</t>
        </r>
        <r>
          <rPr>
            <sz val="9"/>
            <rFont val="宋体"/>
            <charset val="134"/>
          </rPr>
          <t xml:space="preserve">
1/15 客供外箱条码贴纸 6629pcs</t>
        </r>
      </text>
    </comment>
    <comment ref="AG821" authorId="0">
      <text>
        <r>
          <rPr>
            <b/>
            <sz val="9"/>
            <rFont val="宋体"/>
            <charset val="134"/>
          </rPr>
          <t>Administrator:</t>
        </r>
        <r>
          <rPr>
            <sz val="9"/>
            <rFont val="宋体"/>
            <charset val="134"/>
          </rPr>
          <t xml:space="preserve">
4001877 2/7 4400pcs
庞登1楼
</t>
        </r>
      </text>
    </comment>
    <comment ref="AJ822" authorId="0">
      <text>
        <r>
          <rPr>
            <b/>
            <sz val="9"/>
            <rFont val="宋体"/>
            <charset val="134"/>
          </rPr>
          <t>Administrator:</t>
        </r>
        <r>
          <rPr>
            <sz val="9"/>
            <rFont val="宋体"/>
            <charset val="134"/>
          </rPr>
          <t xml:space="preserve">
1/26 PDQUPC 条码贴纸 715pcs</t>
        </r>
      </text>
    </comment>
    <comment ref="AJ823" authorId="0">
      <text>
        <r>
          <rPr>
            <b/>
            <sz val="9"/>
            <rFont val="宋体"/>
            <charset val="134"/>
          </rPr>
          <t>Administrator:</t>
        </r>
        <r>
          <rPr>
            <sz val="9"/>
            <rFont val="宋体"/>
            <charset val="134"/>
          </rPr>
          <t xml:space="preserve">
2/3 PDQUPC 条码贴纸 585pcs</t>
        </r>
      </text>
    </comment>
    <comment ref="AJ824" authorId="0">
      <text>
        <r>
          <rPr>
            <b/>
            <sz val="9"/>
            <rFont val="宋体"/>
            <charset val="134"/>
          </rPr>
          <t>Administrator:</t>
        </r>
        <r>
          <rPr>
            <sz val="9"/>
            <rFont val="宋体"/>
            <charset val="134"/>
          </rPr>
          <t xml:space="preserve">
1/30 客供外箱条码贴纸 4000pcs</t>
        </r>
      </text>
    </comment>
    <comment ref="AJ827" authorId="0">
      <text>
        <r>
          <rPr>
            <b/>
            <sz val="9"/>
            <rFont val="宋体"/>
            <charset val="134"/>
          </rPr>
          <t>Administrator:</t>
        </r>
        <r>
          <rPr>
            <sz val="9"/>
            <rFont val="宋体"/>
            <charset val="134"/>
          </rPr>
          <t xml:space="preserve">
2/2 PDQ条码贴纸 500pcs
 </t>
        </r>
      </text>
    </comment>
    <comment ref="AJ830" authorId="0">
      <text>
        <r>
          <rPr>
            <b/>
            <sz val="9"/>
            <rFont val="宋体"/>
            <charset val="134"/>
          </rPr>
          <t>Administrator:</t>
        </r>
        <r>
          <rPr>
            <sz val="9"/>
            <rFont val="宋体"/>
            <charset val="134"/>
          </rPr>
          <t xml:space="preserve">
1/26 NJ 客供外箱贴纸 235pcs
NJ 通用客供外箱贴纸 235pcs
1/26 价格贴纸 2820pcs</t>
        </r>
      </text>
    </comment>
    <comment ref="AJ831" authorId="0">
      <text>
        <r>
          <rPr>
            <b/>
            <sz val="9"/>
            <rFont val="宋体"/>
            <charset val="134"/>
          </rPr>
          <t>Administrator:</t>
        </r>
        <r>
          <rPr>
            <sz val="9"/>
            <rFont val="宋体"/>
            <charset val="134"/>
          </rPr>
          <t xml:space="preserve">
1/26 NJ 客供外箱贴纸 78pcs
NJ 通用客供外箱贴纸 78pcs
1/26 价格贴纸 2936pcs
</t>
        </r>
      </text>
    </comment>
    <comment ref="AJ832" authorId="0">
      <text>
        <r>
          <rPr>
            <b/>
            <sz val="9"/>
            <rFont val="宋体"/>
            <charset val="134"/>
          </rPr>
          <t>Administrator:</t>
        </r>
        <r>
          <rPr>
            <sz val="9"/>
            <rFont val="宋体"/>
            <charset val="134"/>
          </rPr>
          <t xml:space="preserve">
1/26 大警语贴纸贴 3000pcs
小警语贴纸贴 1500pcs
2/4 Kmart外箱贴纸 125pcs </t>
        </r>
      </text>
    </comment>
    <comment ref="AJ834" authorId="0">
      <text>
        <r>
          <rPr>
            <b/>
            <sz val="9"/>
            <rFont val="宋体"/>
            <charset val="134"/>
          </rPr>
          <t>Administrator:</t>
        </r>
        <r>
          <rPr>
            <sz val="9"/>
            <rFont val="宋体"/>
            <charset val="134"/>
          </rPr>
          <t xml:space="preserve">
1/29 进口商贴纸 420pcs
UPC条码贴纸 420pcs
保证书 420pcs</t>
        </r>
      </text>
    </comment>
    <comment ref="AJ835" authorId="0">
      <text>
        <r>
          <rPr>
            <b/>
            <sz val="9"/>
            <rFont val="宋体"/>
            <charset val="134"/>
          </rPr>
          <t>Administrator:</t>
        </r>
        <r>
          <rPr>
            <sz val="9"/>
            <rFont val="宋体"/>
            <charset val="134"/>
          </rPr>
          <t xml:space="preserve">
2/3 进口商贴纸 1008pcs
UPC贴纸 1008pcs</t>
        </r>
      </text>
    </comment>
    <comment ref="AJ836" authorId="0">
      <text>
        <r>
          <rPr>
            <b/>
            <sz val="9"/>
            <rFont val="宋体"/>
            <charset val="134"/>
          </rPr>
          <t>Administrator:</t>
        </r>
        <r>
          <rPr>
            <sz val="9"/>
            <rFont val="宋体"/>
            <charset val="134"/>
          </rPr>
          <t xml:space="preserve">
2/5 大警语贴纸 648pcs
小警语贴纸 648pcs</t>
        </r>
      </text>
    </comment>
    <comment ref="AJ837" authorId="0">
      <text>
        <r>
          <rPr>
            <b/>
            <sz val="9"/>
            <rFont val="宋体"/>
            <charset val="134"/>
          </rPr>
          <t>Administrator:</t>
        </r>
        <r>
          <rPr>
            <sz val="9"/>
            <rFont val="宋体"/>
            <charset val="134"/>
          </rPr>
          <t xml:space="preserve">
2/5 大警语贴纸 348pcs
小警语贴纸 348pcs
</t>
        </r>
      </text>
    </comment>
    <comment ref="AJ841" authorId="0">
      <text>
        <r>
          <rPr>
            <b/>
            <sz val="9"/>
            <rFont val="宋体"/>
            <charset val="134"/>
          </rPr>
          <t>Administrator:</t>
        </r>
        <r>
          <rPr>
            <sz val="9"/>
            <rFont val="宋体"/>
            <charset val="134"/>
          </rPr>
          <t xml:space="preserve">
1/16 客供价格贴纸 630pcs
</t>
        </r>
      </text>
    </comment>
    <comment ref="AJ845" authorId="0">
      <text>
        <r>
          <rPr>
            <b/>
            <sz val="9"/>
            <rFont val="宋体"/>
            <charset val="134"/>
          </rPr>
          <t>Administrator:</t>
        </r>
        <r>
          <rPr>
            <sz val="9"/>
            <rFont val="宋体"/>
            <charset val="134"/>
          </rPr>
          <t xml:space="preserve">
2/5 进口商贴纸 600pcs
UPC贴纸 600pcs</t>
        </r>
      </text>
    </comment>
    <comment ref="AJ853" authorId="0">
      <text>
        <r>
          <rPr>
            <b/>
            <sz val="9"/>
            <rFont val="宋体"/>
            <charset val="134"/>
          </rPr>
          <t>Administrator:</t>
        </r>
        <r>
          <rPr>
            <sz val="9"/>
            <rFont val="宋体"/>
            <charset val="134"/>
          </rPr>
          <t xml:space="preserve">
2/5 客供外箱条码贴纸 6313pcs </t>
        </r>
      </text>
    </comment>
    <comment ref="AJ861" authorId="0">
      <text>
        <r>
          <rPr>
            <b/>
            <sz val="9"/>
            <rFont val="宋体"/>
            <charset val="134"/>
          </rPr>
          <t>Administrator:</t>
        </r>
        <r>
          <rPr>
            <sz val="9"/>
            <rFont val="宋体"/>
            <charset val="134"/>
          </rPr>
          <t xml:space="preserve">
1/16 客供价格贴纸 1680pcs
</t>
        </r>
      </text>
    </comment>
    <comment ref="AJ866" authorId="0">
      <text>
        <r>
          <rPr>
            <b/>
            <sz val="9"/>
            <rFont val="宋体"/>
            <charset val="134"/>
          </rPr>
          <t>Administrator:</t>
        </r>
        <r>
          <rPr>
            <sz val="9"/>
            <rFont val="宋体"/>
            <charset val="134"/>
          </rPr>
          <t xml:space="preserve">
2/2 亚马逊外箱贴纸 223pcs 
2/5 UPC贴纸 2676pcs</t>
        </r>
      </text>
    </comment>
    <comment ref="AJ867" authorId="0">
      <text>
        <r>
          <rPr>
            <b/>
            <sz val="9"/>
            <rFont val="宋体"/>
            <charset val="134"/>
          </rPr>
          <t>Administrator:</t>
        </r>
        <r>
          <rPr>
            <sz val="9"/>
            <rFont val="宋体"/>
            <charset val="134"/>
          </rPr>
          <t xml:space="preserve">
2/2 亚马逊外箱贴纸 104pcs 
2/5 UPC贴纸 1248pcs
</t>
        </r>
      </text>
    </comment>
    <comment ref="AJ868" authorId="0">
      <text>
        <r>
          <rPr>
            <b/>
            <sz val="9"/>
            <rFont val="宋体"/>
            <charset val="134"/>
          </rPr>
          <t>Administrator:</t>
        </r>
        <r>
          <rPr>
            <sz val="9"/>
            <rFont val="宋体"/>
            <charset val="134"/>
          </rPr>
          <t xml:space="preserve">
2/2 亚马逊外箱贴纸 184pcs 
2/5 UPC贴纸 1008pcs
</t>
        </r>
      </text>
    </comment>
    <comment ref="AJ880" authorId="0">
      <text>
        <r>
          <rPr>
            <b/>
            <sz val="9"/>
            <rFont val="宋体"/>
            <charset val="134"/>
          </rPr>
          <t>Administrator:</t>
        </r>
        <r>
          <rPr>
            <sz val="9"/>
            <rFont val="宋体"/>
            <charset val="134"/>
          </rPr>
          <t xml:space="preserve">
2/5 I 客供外箱贴纸 329pcs
NI 通用客供外箱贴纸 329pcs</t>
        </r>
      </text>
    </comment>
    <comment ref="AJ881" authorId="0">
      <text>
        <r>
          <rPr>
            <b/>
            <sz val="9"/>
            <rFont val="宋体"/>
            <charset val="134"/>
          </rPr>
          <t>Administrator:</t>
        </r>
        <r>
          <rPr>
            <sz val="9"/>
            <rFont val="宋体"/>
            <charset val="134"/>
          </rPr>
          <t xml:space="preserve">
2/5 I 客供外箱贴纸 141pcs
NI 通用客供外箱贴纸 141pcs
</t>
        </r>
      </text>
    </comment>
    <comment ref="AJ882" authorId="0">
      <text>
        <r>
          <rPr>
            <b/>
            <sz val="9"/>
            <rFont val="宋体"/>
            <charset val="134"/>
          </rPr>
          <t>Administrator:</t>
        </r>
        <r>
          <rPr>
            <sz val="9"/>
            <rFont val="宋体"/>
            <charset val="134"/>
          </rPr>
          <t xml:space="preserve">
2/5 客供外箱条码贴纸 3788pcs 
</t>
        </r>
      </text>
    </comment>
  </commentList>
</comments>
</file>

<file path=xl/comments2.xml><?xml version="1.0" encoding="utf-8"?>
<comments xmlns="http://schemas.openxmlformats.org/spreadsheetml/2006/main">
  <authors>
    <author>Administrator</author>
    <author>RR</author>
  </authors>
  <commentList>
    <comment ref="AI16" authorId="0">
      <text>
        <r>
          <rPr>
            <b/>
            <sz val="9"/>
            <rFont val="宋体"/>
            <charset val="134"/>
          </rPr>
          <t>Administrator:</t>
        </r>
        <r>
          <rPr>
            <sz val="9"/>
            <rFont val="宋体"/>
            <charset val="134"/>
          </rPr>
          <t xml:space="preserve">
5/29 收到UPC贴纸200pcs</t>
        </r>
      </text>
    </comment>
    <comment ref="AF17" authorId="0">
      <text>
        <r>
          <rPr>
            <b/>
            <sz val="9"/>
            <rFont val="宋体"/>
            <charset val="134"/>
          </rPr>
          <t>Administrator:</t>
        </r>
        <r>
          <rPr>
            <sz val="9"/>
            <rFont val="宋体"/>
            <charset val="134"/>
          </rPr>
          <t xml:space="preserve">
2000861 5/19 1584pcs兴信</t>
        </r>
      </text>
    </comment>
    <comment ref="AF18" authorId="0">
      <text>
        <r>
          <rPr>
            <b/>
            <sz val="9"/>
            <rFont val="宋体"/>
            <charset val="134"/>
          </rPr>
          <t>Administrator:</t>
        </r>
        <r>
          <rPr>
            <sz val="9"/>
            <rFont val="宋体"/>
            <charset val="134"/>
          </rPr>
          <t xml:space="preserve">
0000750 4/14 20套散件莫A1C4</t>
        </r>
      </text>
    </comment>
    <comment ref="AF19" authorId="0">
      <text>
        <r>
          <rPr>
            <b/>
            <sz val="9"/>
            <rFont val="宋体"/>
            <charset val="134"/>
          </rPr>
          <t>Administrator:</t>
        </r>
        <r>
          <rPr>
            <sz val="9"/>
            <rFont val="宋体"/>
            <charset val="134"/>
          </rPr>
          <t xml:space="preserve">
0000750 4/14 1100套散件 莫A1C4</t>
        </r>
      </text>
    </comment>
    <comment ref="AF22" authorId="0">
      <text>
        <r>
          <rPr>
            <b/>
            <sz val="9"/>
            <rFont val="宋体"/>
            <charset val="134"/>
          </rPr>
          <t>Administrator:</t>
        </r>
        <r>
          <rPr>
            <sz val="9"/>
            <rFont val="宋体"/>
            <charset val="134"/>
          </rPr>
          <t xml:space="preserve">
0001540 4/21 600pcs</t>
        </r>
      </text>
    </comment>
    <comment ref="AF23" authorId="0">
      <text>
        <r>
          <rPr>
            <b/>
            <sz val="9"/>
            <rFont val="宋体"/>
            <charset val="134"/>
          </rPr>
          <t>Administrator:</t>
        </r>
        <r>
          <rPr>
            <sz val="9"/>
            <rFont val="宋体"/>
            <charset val="134"/>
          </rPr>
          <t xml:space="preserve">
0001541 4/21 30散件</t>
        </r>
      </text>
    </comment>
    <comment ref="AF24" authorId="0">
      <text>
        <r>
          <rPr>
            <b/>
            <sz val="9"/>
            <rFont val="宋体"/>
            <charset val="134"/>
          </rPr>
          <t>Administrator:</t>
        </r>
        <r>
          <rPr>
            <sz val="9"/>
            <rFont val="宋体"/>
            <charset val="134"/>
          </rPr>
          <t xml:space="preserve">
2001082 5/8 400pcs兴信</t>
        </r>
      </text>
    </comment>
    <comment ref="AF25" authorId="0">
      <text>
        <r>
          <rPr>
            <b/>
            <sz val="9"/>
            <rFont val="宋体"/>
            <charset val="134"/>
          </rPr>
          <t>Administrator:</t>
        </r>
        <r>
          <rPr>
            <sz val="9"/>
            <rFont val="宋体"/>
            <charset val="134"/>
          </rPr>
          <t xml:space="preserve">
0001541 4/21 30散件
</t>
        </r>
      </text>
    </comment>
    <comment ref="AF26" authorId="0">
      <text>
        <r>
          <rPr>
            <b/>
            <sz val="9"/>
            <rFont val="宋体"/>
            <charset val="134"/>
          </rPr>
          <t>Administrator:</t>
        </r>
        <r>
          <rPr>
            <sz val="9"/>
            <rFont val="宋体"/>
            <charset val="134"/>
          </rPr>
          <t xml:space="preserve">
0001626 4/22 504pcs回抽办数半成品球给东莞混装（因展示窗吸塑上得晚）
2001082 5/7 2632pcs华3B5</t>
        </r>
      </text>
    </comment>
    <comment ref="AI26" authorId="0">
      <text>
        <r>
          <rPr>
            <b/>
            <sz val="9"/>
            <rFont val="宋体"/>
            <charset val="134"/>
          </rPr>
          <t>Administrator:</t>
        </r>
        <r>
          <rPr>
            <sz val="9"/>
            <rFont val="宋体"/>
            <charset val="134"/>
          </rPr>
          <t xml:space="preserve">
3/21 上客供RFID贴纸3136pcs
4/11 上粉色艾利贴纸196pcs
</t>
        </r>
      </text>
    </comment>
    <comment ref="AF27" authorId="0">
      <text>
        <r>
          <rPr>
            <b/>
            <sz val="9"/>
            <rFont val="宋体"/>
            <charset val="134"/>
          </rPr>
          <t>Administrator:</t>
        </r>
        <r>
          <rPr>
            <sz val="9"/>
            <rFont val="宋体"/>
            <charset val="134"/>
          </rPr>
          <t xml:space="preserve">
0001769 4/28 816pcsA栋一楼</t>
        </r>
      </text>
    </comment>
    <comment ref="AF28" authorId="0">
      <text>
        <r>
          <rPr>
            <b/>
            <sz val="9"/>
            <rFont val="宋体"/>
            <charset val="134"/>
          </rPr>
          <t>Administrator:</t>
        </r>
        <r>
          <rPr>
            <sz val="9"/>
            <rFont val="宋体"/>
            <charset val="134"/>
          </rPr>
          <t xml:space="preserve">
0001769 4/28 504pcs
A栋一楼</t>
        </r>
      </text>
    </comment>
    <comment ref="AF29" authorId="0">
      <text>
        <r>
          <rPr>
            <b/>
            <sz val="9"/>
            <rFont val="宋体"/>
            <charset val="134"/>
          </rPr>
          <t>Administrator:</t>
        </r>
        <r>
          <rPr>
            <sz val="9"/>
            <rFont val="宋体"/>
            <charset val="134"/>
          </rPr>
          <t xml:space="preserve">
0001712 5/5 9000pcs直走</t>
        </r>
      </text>
    </comment>
    <comment ref="AI29" authorId="0">
      <text>
        <r>
          <rPr>
            <b/>
            <sz val="9"/>
            <rFont val="宋体"/>
            <charset val="134"/>
          </rPr>
          <t>Administrator:</t>
        </r>
        <r>
          <rPr>
            <sz val="9"/>
            <rFont val="宋体"/>
            <charset val="134"/>
          </rPr>
          <t xml:space="preserve">
4/21 上冰棒款-说明书荷兰语贴纸
蛋糕款-说明书荷兰语贴纸
布丁款-说明书荷兰语贴纸
以上三款贴纸各上5166pcs与56860pcs共用
</t>
        </r>
      </text>
    </comment>
    <comment ref="AF30" authorId="0">
      <text>
        <r>
          <rPr>
            <b/>
            <sz val="9"/>
            <rFont val="宋体"/>
            <charset val="134"/>
          </rPr>
          <t>Administrator:</t>
        </r>
        <r>
          <rPr>
            <sz val="9"/>
            <rFont val="宋体"/>
            <charset val="134"/>
          </rPr>
          <t xml:space="preserve">
0001796 4/25 3000pcs华3B11</t>
        </r>
      </text>
    </comment>
    <comment ref="AI30" authorId="0">
      <text>
        <r>
          <rPr>
            <b/>
            <sz val="9"/>
            <rFont val="宋体"/>
            <charset val="134"/>
          </rPr>
          <t>Administrator:</t>
        </r>
        <r>
          <rPr>
            <sz val="9"/>
            <rFont val="宋体"/>
            <charset val="134"/>
          </rPr>
          <t xml:space="preserve">
4/21 上冰棒款-说明书荷兰语贴纸
蛋糕款-说明书荷兰语贴纸
布丁款-说明书荷兰语贴纸
以上三款贴纸各上5166pcs与56860pcs共用
</t>
        </r>
      </text>
    </comment>
    <comment ref="AF31" authorId="0">
      <text>
        <r>
          <rPr>
            <b/>
            <sz val="9"/>
            <rFont val="宋体"/>
            <charset val="134"/>
          </rPr>
          <t>Administrator:</t>
        </r>
        <r>
          <rPr>
            <sz val="9"/>
            <rFont val="宋体"/>
            <charset val="134"/>
          </rPr>
          <t xml:space="preserve">
0001626 4/22 2280pcs送回半成品球给东莞混装（因展示窗吸塑上得晚）
</t>
        </r>
      </text>
    </comment>
    <comment ref="AI31" authorId="0">
      <text>
        <r>
          <rPr>
            <b/>
            <sz val="9"/>
            <rFont val="宋体"/>
            <charset val="134"/>
          </rPr>
          <t>Administrator:</t>
        </r>
        <r>
          <rPr>
            <sz val="9"/>
            <rFont val="宋体"/>
            <charset val="134"/>
          </rPr>
          <t xml:space="preserve">
3/25 上UPC贴纸608pcs
4/15 上UPC贴纸1672pcs
</t>
        </r>
      </text>
    </comment>
    <comment ref="AF32" authorId="0">
      <text>
        <r>
          <rPr>
            <b/>
            <sz val="9"/>
            <rFont val="宋体"/>
            <charset val="134"/>
          </rPr>
          <t>Administrator:</t>
        </r>
        <r>
          <rPr>
            <sz val="9"/>
            <rFont val="宋体"/>
            <charset val="134"/>
          </rPr>
          <t xml:space="preserve">
0001626 4/22 2280pcs送回半成品球给东莞混装（因展示窗吸塑上得晚）</t>
        </r>
      </text>
    </comment>
    <comment ref="AI32" authorId="0">
      <text>
        <r>
          <rPr>
            <b/>
            <sz val="9"/>
            <rFont val="宋体"/>
            <charset val="134"/>
          </rPr>
          <t>Administrator:</t>
        </r>
        <r>
          <rPr>
            <sz val="9"/>
            <rFont val="宋体"/>
            <charset val="134"/>
          </rPr>
          <t xml:space="preserve">
4/15 上UPC贴纸720pcs</t>
        </r>
      </text>
    </comment>
    <comment ref="AF33" authorId="0">
      <text>
        <r>
          <rPr>
            <b/>
            <sz val="9"/>
            <rFont val="宋体"/>
            <charset val="134"/>
          </rPr>
          <t>Administrator:</t>
        </r>
        <r>
          <rPr>
            <sz val="9"/>
            <rFont val="宋体"/>
            <charset val="134"/>
          </rPr>
          <t xml:space="preserve">
0001789 4/28 10075pcs华3B12</t>
        </r>
      </text>
    </comment>
    <comment ref="AF34" authorId="0">
      <text>
        <r>
          <rPr>
            <b/>
            <sz val="9"/>
            <rFont val="宋体"/>
            <charset val="134"/>
          </rPr>
          <t>Administrator:</t>
        </r>
        <r>
          <rPr>
            <sz val="9"/>
            <rFont val="宋体"/>
            <charset val="134"/>
          </rPr>
          <t xml:space="preserve">
0001763 4/29 1300pcs华3B8</t>
        </r>
      </text>
    </comment>
    <comment ref="AI34" authorId="0">
      <text>
        <r>
          <rPr>
            <b/>
            <sz val="9"/>
            <rFont val="宋体"/>
            <charset val="134"/>
          </rPr>
          <t>Administrator:</t>
        </r>
        <r>
          <rPr>
            <sz val="9"/>
            <rFont val="宋体"/>
            <charset val="134"/>
          </rPr>
          <t xml:space="preserve">
4/14 上可移动材质的价格贴纸1300pcs
UPC贴纸1300pcs</t>
        </r>
      </text>
    </comment>
    <comment ref="AF35" authorId="0">
      <text>
        <r>
          <rPr>
            <b/>
            <sz val="9"/>
            <rFont val="宋体"/>
            <charset val="134"/>
          </rPr>
          <t>Administrator:</t>
        </r>
        <r>
          <rPr>
            <sz val="9"/>
            <rFont val="宋体"/>
            <charset val="134"/>
          </rPr>
          <t xml:space="preserve">
0001736 5/3 1146pcs华3A32</t>
        </r>
      </text>
    </comment>
    <comment ref="AI35" authorId="0">
      <text>
        <r>
          <rPr>
            <b/>
            <sz val="9"/>
            <rFont val="宋体"/>
            <charset val="134"/>
          </rPr>
          <t>Administrator:</t>
        </r>
        <r>
          <rPr>
            <sz val="9"/>
            <rFont val="宋体"/>
            <charset val="134"/>
          </rPr>
          <t xml:space="preserve">
4/30 上UPC条码贴纸4548pcs 本PO已挪用其它订单的来用
三个PO共用
5/7 上UPC贴纸4584pcs</t>
        </r>
      </text>
    </comment>
    <comment ref="AF36" authorId="0">
      <text>
        <r>
          <rPr>
            <b/>
            <sz val="9"/>
            <rFont val="宋体"/>
            <charset val="134"/>
          </rPr>
          <t>Administrator:</t>
        </r>
        <r>
          <rPr>
            <sz val="9"/>
            <rFont val="宋体"/>
            <charset val="134"/>
          </rPr>
          <t xml:space="preserve">
0001736 5/3 2292pcs华3A32
</t>
        </r>
      </text>
    </comment>
    <comment ref="AF37" authorId="0">
      <text>
        <r>
          <rPr>
            <b/>
            <sz val="9"/>
            <rFont val="宋体"/>
            <charset val="134"/>
          </rPr>
          <t>Administrator:</t>
        </r>
        <r>
          <rPr>
            <sz val="9"/>
            <rFont val="宋体"/>
            <charset val="134"/>
          </rPr>
          <t xml:space="preserve">
0001736 5/3 1146pcs华3A32
</t>
        </r>
      </text>
    </comment>
    <comment ref="AF38" authorId="0">
      <text>
        <r>
          <rPr>
            <b/>
            <sz val="9"/>
            <rFont val="宋体"/>
            <charset val="134"/>
          </rPr>
          <t>Administrator:</t>
        </r>
        <r>
          <rPr>
            <sz val="9"/>
            <rFont val="宋体"/>
            <charset val="134"/>
          </rPr>
          <t xml:space="preserve">
0001763 4/29 5000pcs直走</t>
        </r>
      </text>
    </comment>
    <comment ref="AI38" authorId="0">
      <text>
        <r>
          <rPr>
            <b/>
            <sz val="9"/>
            <rFont val="宋体"/>
            <charset val="134"/>
          </rPr>
          <t>Administrator:</t>
        </r>
        <r>
          <rPr>
            <sz val="9"/>
            <rFont val="宋体"/>
            <charset val="134"/>
          </rPr>
          <t xml:space="preserve">
4/14 上客人通用进口商贴纸12200pcs
4/30 上UPC条码贴纸8600pcs</t>
        </r>
      </text>
    </comment>
    <comment ref="AF39" authorId="0">
      <text>
        <r>
          <rPr>
            <b/>
            <sz val="9"/>
            <rFont val="宋体"/>
            <charset val="134"/>
          </rPr>
          <t>Administrator:</t>
        </r>
        <r>
          <rPr>
            <sz val="9"/>
            <rFont val="宋体"/>
            <charset val="134"/>
          </rPr>
          <t xml:space="preserve">
0001763 4/29 3600pcs
直走</t>
        </r>
      </text>
    </comment>
    <comment ref="AF40" authorId="0">
      <text>
        <r>
          <rPr>
            <b/>
            <sz val="9"/>
            <rFont val="宋体"/>
            <charset val="134"/>
          </rPr>
          <t>Administrator:</t>
        </r>
        <r>
          <rPr>
            <sz val="9"/>
            <rFont val="宋体"/>
            <charset val="134"/>
          </rPr>
          <t xml:space="preserve">
0001723 5/6 10413pcs华一F11</t>
        </r>
      </text>
    </comment>
    <comment ref="AI40" authorId="0">
      <text>
        <r>
          <rPr>
            <b/>
            <sz val="9"/>
            <rFont val="宋体"/>
            <charset val="134"/>
          </rPr>
          <t>Administrator:</t>
        </r>
        <r>
          <rPr>
            <sz val="9"/>
            <rFont val="宋体"/>
            <charset val="134"/>
          </rPr>
          <t xml:space="preserve">
3/31 上白色防盗贴10413pcs
4/11 上UPC条码贴纸10413pcs
4/17 上KM外箱贴纸801pcs
</t>
        </r>
      </text>
    </comment>
    <comment ref="AF41" authorId="0">
      <text>
        <r>
          <rPr>
            <b/>
            <sz val="9"/>
            <rFont val="宋体"/>
            <charset val="134"/>
          </rPr>
          <t>Administrator:</t>
        </r>
        <r>
          <rPr>
            <sz val="9"/>
            <rFont val="宋体"/>
            <charset val="134"/>
          </rPr>
          <t xml:space="preserve">
0001723 5/6 1352pcs华3B14</t>
        </r>
      </text>
    </comment>
    <comment ref="AI41" authorId="0">
      <text>
        <r>
          <rPr>
            <b/>
            <sz val="9"/>
            <rFont val="宋体"/>
            <charset val="134"/>
          </rPr>
          <t>Administrator:</t>
        </r>
        <r>
          <rPr>
            <sz val="9"/>
            <rFont val="宋体"/>
            <charset val="134"/>
          </rPr>
          <t xml:space="preserve">
3/31 上白色防盗贴纸1352pcs
4/11 上UPC条码贴纸1352pcs
4/17 上KM外箱贴纸104pcs
</t>
        </r>
      </text>
    </comment>
    <comment ref="AF42" authorId="0">
      <text>
        <r>
          <rPr>
            <b/>
            <sz val="9"/>
            <rFont val="宋体"/>
            <charset val="134"/>
          </rPr>
          <t>Administrator:</t>
        </r>
        <r>
          <rPr>
            <sz val="9"/>
            <rFont val="宋体"/>
            <charset val="134"/>
          </rPr>
          <t xml:space="preserve">
2001082 5/7 2600pcs华3A16</t>
        </r>
      </text>
    </comment>
    <comment ref="AI42" authorId="0">
      <text>
        <r>
          <rPr>
            <b/>
            <sz val="9"/>
            <rFont val="宋体"/>
            <charset val="134"/>
          </rPr>
          <t>Administrator:</t>
        </r>
        <r>
          <rPr>
            <sz val="9"/>
            <rFont val="宋体"/>
            <charset val="134"/>
          </rPr>
          <t xml:space="preserve">
4/15 上多语折叠警告语贴纸2600pcs
</t>
        </r>
      </text>
    </comment>
    <comment ref="AF43" authorId="0">
      <text>
        <r>
          <rPr>
            <b/>
            <sz val="9"/>
            <rFont val="宋体"/>
            <charset val="134"/>
          </rPr>
          <t>Administrator:</t>
        </r>
        <r>
          <rPr>
            <sz val="9"/>
            <rFont val="宋体"/>
            <charset val="134"/>
          </rPr>
          <t xml:space="preserve">
2001112 5/9 6924pcs华3A26
2001116 5/10 2400pcs
华3A26
2001146 5/12 24pcs华3A26</t>
        </r>
      </text>
    </comment>
    <comment ref="AI43" authorId="0">
      <text>
        <r>
          <rPr>
            <b/>
            <sz val="9"/>
            <rFont val="宋体"/>
            <charset val="134"/>
          </rPr>
          <t>Administrator:</t>
        </r>
        <r>
          <rPr>
            <sz val="9"/>
            <rFont val="宋体"/>
            <charset val="134"/>
          </rPr>
          <t xml:space="preserve">
4/24 上空白贴纸18696pcs</t>
        </r>
      </text>
    </comment>
    <comment ref="AF44" authorId="0">
      <text>
        <r>
          <rPr>
            <b/>
            <sz val="9"/>
            <rFont val="宋体"/>
            <charset val="134"/>
          </rPr>
          <t>Administrator:</t>
        </r>
        <r>
          <rPr>
            <sz val="9"/>
            <rFont val="宋体"/>
            <charset val="134"/>
          </rPr>
          <t xml:space="preserve">
2001116 5/10 5850pcs华3B16</t>
        </r>
      </text>
    </comment>
    <comment ref="AI44" authorId="0">
      <text>
        <r>
          <rPr>
            <b/>
            <sz val="9"/>
            <rFont val="宋体"/>
            <charset val="134"/>
          </rPr>
          <t>Administrator:</t>
        </r>
        <r>
          <rPr>
            <sz val="9"/>
            <rFont val="宋体"/>
            <charset val="134"/>
          </rPr>
          <t xml:space="preserve">
4/30 上UPC条码贴纸23400pcs
四个同PO共用
5/7 上UPC条码贴纸23400pcs</t>
        </r>
      </text>
    </comment>
    <comment ref="AF45" authorId="0">
      <text>
        <r>
          <rPr>
            <b/>
            <sz val="9"/>
            <rFont val="宋体"/>
            <charset val="134"/>
          </rPr>
          <t>Administrator:</t>
        </r>
        <r>
          <rPr>
            <sz val="9"/>
            <rFont val="宋体"/>
            <charset val="134"/>
          </rPr>
          <t xml:space="preserve">
2001116 5/10 5850pcs
华3B16</t>
        </r>
      </text>
    </comment>
    <comment ref="AF46" authorId="0">
      <text>
        <r>
          <rPr>
            <b/>
            <sz val="9"/>
            <rFont val="宋体"/>
            <charset val="134"/>
          </rPr>
          <t>Administrator:</t>
        </r>
        <r>
          <rPr>
            <sz val="9"/>
            <rFont val="宋体"/>
            <charset val="134"/>
          </rPr>
          <t xml:space="preserve">
2001118 5/10 5200pcs直走</t>
        </r>
      </text>
    </comment>
    <comment ref="AI46" authorId="0">
      <text>
        <r>
          <rPr>
            <b/>
            <sz val="9"/>
            <rFont val="宋体"/>
            <charset val="134"/>
          </rPr>
          <t>Administrator:</t>
        </r>
        <r>
          <rPr>
            <sz val="9"/>
            <rFont val="宋体"/>
            <charset val="134"/>
          </rPr>
          <t xml:space="preserve">
4/1 上UPC条码贴纸5200pcs</t>
        </r>
      </text>
    </comment>
    <comment ref="AF47" authorId="0">
      <text>
        <r>
          <rPr>
            <b/>
            <sz val="9"/>
            <rFont val="宋体"/>
            <charset val="134"/>
          </rPr>
          <t>Administrator:</t>
        </r>
        <r>
          <rPr>
            <sz val="9"/>
            <rFont val="宋体"/>
            <charset val="134"/>
          </rPr>
          <t xml:space="preserve">
2001076 5/8 2624pcs华3B3</t>
        </r>
      </text>
    </comment>
    <comment ref="AI47" authorId="0">
      <text>
        <r>
          <rPr>
            <b/>
            <sz val="9"/>
            <rFont val="宋体"/>
            <charset val="134"/>
          </rPr>
          <t>Administrator:</t>
        </r>
        <r>
          <rPr>
            <sz val="9"/>
            <rFont val="宋体"/>
            <charset val="134"/>
          </rPr>
          <t xml:space="preserve">
4/15 上客供RFID贴纸2624pcs
</t>
        </r>
      </text>
    </comment>
    <comment ref="AF48" authorId="0">
      <text>
        <r>
          <rPr>
            <b/>
            <sz val="9"/>
            <rFont val="宋体"/>
            <charset val="134"/>
          </rPr>
          <t>Administrator:</t>
        </r>
        <r>
          <rPr>
            <sz val="9"/>
            <rFont val="宋体"/>
            <charset val="134"/>
          </rPr>
          <t xml:space="preserve">
2001082 5/8 3520pcs华3B3</t>
        </r>
      </text>
    </comment>
    <comment ref="AI48" authorId="0">
      <text>
        <r>
          <rPr>
            <b/>
            <sz val="9"/>
            <rFont val="宋体"/>
            <charset val="134"/>
          </rPr>
          <t>Administrator:</t>
        </r>
        <r>
          <rPr>
            <sz val="9"/>
            <rFont val="宋体"/>
            <charset val="134"/>
          </rPr>
          <t xml:space="preserve">
4/15 上客供RFID贴纸3520pcs
</t>
        </r>
      </text>
    </comment>
    <comment ref="AF49" authorId="0">
      <text>
        <r>
          <rPr>
            <b/>
            <sz val="9"/>
            <rFont val="宋体"/>
            <charset val="134"/>
          </rPr>
          <t>Administrator:</t>
        </r>
        <r>
          <rPr>
            <sz val="9"/>
            <rFont val="宋体"/>
            <charset val="134"/>
          </rPr>
          <t xml:space="preserve">
2001076 5/8 3500pcs华3B3</t>
        </r>
      </text>
    </comment>
    <comment ref="AI49" authorId="0">
      <text>
        <r>
          <rPr>
            <b/>
            <sz val="9"/>
            <rFont val="宋体"/>
            <charset val="134"/>
          </rPr>
          <t>Administrator:</t>
        </r>
        <r>
          <rPr>
            <sz val="9"/>
            <rFont val="宋体"/>
            <charset val="134"/>
          </rPr>
          <t xml:space="preserve">
4/21 上冰棒款-说明书荷兰语贴纸
蛋糕款-说明书荷兰语贴纸
布丁款-说明书荷兰语贴纸
以上三款贴纸各上5166pcs与56860pcs共用</t>
        </r>
      </text>
    </comment>
    <comment ref="AF50" authorId="0">
      <text>
        <r>
          <rPr>
            <b/>
            <sz val="9"/>
            <rFont val="宋体"/>
            <charset val="134"/>
          </rPr>
          <t>Administrator:</t>
        </r>
        <r>
          <rPr>
            <sz val="9"/>
            <rFont val="宋体"/>
            <charset val="134"/>
          </rPr>
          <t xml:space="preserve">
2001076 5/8 7950pcs华3B6
2001131 5/10 50pcs华3A7</t>
        </r>
      </text>
    </comment>
    <comment ref="AI50" authorId="0">
      <text>
        <r>
          <rPr>
            <b/>
            <sz val="9"/>
            <rFont val="宋体"/>
            <charset val="134"/>
          </rPr>
          <t>Administrator:</t>
        </r>
        <r>
          <rPr>
            <sz val="9"/>
            <rFont val="宋体"/>
            <charset val="134"/>
          </rPr>
          <t xml:space="preserve">
3/31 上冰棒款-说明书荷兰语贴纸2670pcs
蛋糕款-说明书荷兰语贴纸2670pcs
布丁款-说明书荷兰语贴纸2670pcs</t>
        </r>
      </text>
    </comment>
    <comment ref="AF51" authorId="0">
      <text>
        <r>
          <rPr>
            <b/>
            <sz val="9"/>
            <rFont val="宋体"/>
            <charset val="134"/>
          </rPr>
          <t>Administrator:</t>
        </r>
        <r>
          <rPr>
            <sz val="9"/>
            <rFont val="宋体"/>
            <charset val="134"/>
          </rPr>
          <t xml:space="preserve">
2001082 5/8 5200pcs直走</t>
        </r>
      </text>
    </comment>
    <comment ref="AI51" authorId="0">
      <text>
        <r>
          <rPr>
            <b/>
            <sz val="9"/>
            <rFont val="宋体"/>
            <charset val="134"/>
          </rPr>
          <t>Administrator:</t>
        </r>
        <r>
          <rPr>
            <sz val="9"/>
            <rFont val="宋体"/>
            <charset val="134"/>
          </rPr>
          <t xml:space="preserve">
4/15 上多语折叠警告语贴纸5200pcs
</t>
        </r>
      </text>
    </comment>
    <comment ref="AF52" authorId="0">
      <text>
        <r>
          <rPr>
            <b/>
            <sz val="9"/>
            <rFont val="宋体"/>
            <charset val="134"/>
          </rPr>
          <t>Administrator:</t>
        </r>
        <r>
          <rPr>
            <sz val="9"/>
            <rFont val="宋体"/>
            <charset val="134"/>
          </rPr>
          <t xml:space="preserve">
2001133 5/10 1300pcs华3B4</t>
        </r>
      </text>
    </comment>
    <comment ref="AI52" authorId="0">
      <text>
        <r>
          <rPr>
            <b/>
            <sz val="9"/>
            <rFont val="宋体"/>
            <charset val="134"/>
          </rPr>
          <t>Administrator:</t>
        </r>
        <r>
          <rPr>
            <sz val="9"/>
            <rFont val="宋体"/>
            <charset val="134"/>
          </rPr>
          <t xml:space="preserve">
4/14 上UPC条码贴纸1300pcs
警语贴纸1300pcs</t>
        </r>
      </text>
    </comment>
    <comment ref="AF53" authorId="0">
      <text>
        <r>
          <rPr>
            <b/>
            <sz val="9"/>
            <rFont val="宋体"/>
            <charset val="134"/>
          </rPr>
          <t>Administrator:</t>
        </r>
        <r>
          <rPr>
            <sz val="9"/>
            <rFont val="宋体"/>
            <charset val="134"/>
          </rPr>
          <t xml:space="preserve">
2001149 5/12 21900pcs华3A13</t>
        </r>
      </text>
    </comment>
    <comment ref="AI53" authorId="0">
      <text>
        <r>
          <rPr>
            <b/>
            <sz val="9"/>
            <rFont val="宋体"/>
            <charset val="134"/>
          </rPr>
          <t>Administrator:</t>
        </r>
        <r>
          <rPr>
            <sz val="9"/>
            <rFont val="宋体"/>
            <charset val="134"/>
          </rPr>
          <t xml:space="preserve">
4/3 上客供外箱条码贴纸885pcs
</t>
        </r>
      </text>
    </comment>
    <comment ref="AF54" authorId="0">
      <text>
        <r>
          <rPr>
            <b/>
            <sz val="9"/>
            <rFont val="宋体"/>
            <charset val="134"/>
          </rPr>
          <t>Administrator:</t>
        </r>
        <r>
          <rPr>
            <sz val="9"/>
            <rFont val="宋体"/>
            <charset val="134"/>
          </rPr>
          <t xml:space="preserve">
2001149 5/12 20000pcs华3A13</t>
        </r>
      </text>
    </comment>
    <comment ref="AI54" authorId="0">
      <text>
        <r>
          <rPr>
            <b/>
            <sz val="9"/>
            <rFont val="宋体"/>
            <charset val="134"/>
          </rPr>
          <t>Administrator:</t>
        </r>
        <r>
          <rPr>
            <sz val="9"/>
            <rFont val="宋体"/>
            <charset val="134"/>
          </rPr>
          <t xml:space="preserve">
4/3 上客供外箱条码贴纸808pcs
</t>
        </r>
      </text>
    </comment>
    <comment ref="AF55" authorId="0">
      <text>
        <r>
          <rPr>
            <b/>
            <sz val="9"/>
            <rFont val="宋体"/>
            <charset val="134"/>
          </rPr>
          <t>Administrator:</t>
        </r>
        <r>
          <rPr>
            <sz val="9"/>
            <rFont val="宋体"/>
            <charset val="134"/>
          </rPr>
          <t xml:space="preserve">
0001022 5/13 10650pcs莫4-C8
0001011 5/15 19500pcs华3A23</t>
        </r>
      </text>
    </comment>
    <comment ref="AI55" authorId="0">
      <text>
        <r>
          <rPr>
            <b/>
            <sz val="9"/>
            <rFont val="宋体"/>
            <charset val="134"/>
          </rPr>
          <t>Administrator:</t>
        </r>
        <r>
          <rPr>
            <sz val="9"/>
            <rFont val="宋体"/>
            <charset val="134"/>
          </rPr>
          <t xml:space="preserve">
4/3 上客供外箱条码贴纸1218pcs</t>
        </r>
      </text>
    </comment>
    <comment ref="AF56" authorId="0">
      <text>
        <r>
          <rPr>
            <b/>
            <sz val="9"/>
            <rFont val="宋体"/>
            <charset val="134"/>
          </rPr>
          <t>Administrator:</t>
        </r>
        <r>
          <rPr>
            <sz val="9"/>
            <rFont val="宋体"/>
            <charset val="134"/>
          </rPr>
          <t xml:space="preserve">
2001213 5/14 16120pcs华3A24
2001228 5/15 13pcs华3楼</t>
        </r>
      </text>
    </comment>
    <comment ref="AF57" authorId="0">
      <text>
        <r>
          <rPr>
            <b/>
            <sz val="9"/>
            <rFont val="宋体"/>
            <charset val="134"/>
          </rPr>
          <t>Administrator:</t>
        </r>
        <r>
          <rPr>
            <sz val="9"/>
            <rFont val="宋体"/>
            <charset val="134"/>
          </rPr>
          <t xml:space="preserve">
2001182 5/13 12736pcsB栋四楼</t>
        </r>
      </text>
    </comment>
    <comment ref="AI57" authorId="0">
      <text>
        <r>
          <rPr>
            <b/>
            <sz val="9"/>
            <rFont val="宋体"/>
            <charset val="134"/>
          </rPr>
          <t>Administrator:</t>
        </r>
        <r>
          <rPr>
            <sz val="9"/>
            <rFont val="宋体"/>
            <charset val="134"/>
          </rPr>
          <t xml:space="preserve">
3/21 上客供RFID贴纸12736pcs
4/11 上粉色艾利贴纸796pcs
</t>
        </r>
      </text>
    </comment>
    <comment ref="AF58" authorId="0">
      <text>
        <r>
          <rPr>
            <b/>
            <sz val="9"/>
            <rFont val="宋体"/>
            <charset val="134"/>
          </rPr>
          <t>Administrator:</t>
        </r>
        <r>
          <rPr>
            <sz val="9"/>
            <rFont val="宋体"/>
            <charset val="134"/>
          </rPr>
          <t xml:space="preserve">
2001182 5/13 16960pcs
B栋四楼</t>
        </r>
      </text>
    </comment>
    <comment ref="AI58" authorId="0">
      <text>
        <r>
          <rPr>
            <b/>
            <sz val="9"/>
            <rFont val="宋体"/>
            <charset val="134"/>
          </rPr>
          <t>Administrator:</t>
        </r>
        <r>
          <rPr>
            <sz val="9"/>
            <rFont val="宋体"/>
            <charset val="134"/>
          </rPr>
          <t xml:space="preserve">
3/21 上客供RFID贴纸16960pcs
4/11 上粉色艾利贴纸1060pcs
</t>
        </r>
      </text>
    </comment>
    <comment ref="AF59" authorId="0">
      <text>
        <r>
          <rPr>
            <b/>
            <sz val="9"/>
            <rFont val="宋体"/>
            <charset val="134"/>
          </rPr>
          <t>Administrator:</t>
        </r>
        <r>
          <rPr>
            <sz val="9"/>
            <rFont val="宋体"/>
            <charset val="134"/>
          </rPr>
          <t xml:space="preserve">
2001182 5/13 15104pcs
B栋四楼</t>
        </r>
      </text>
    </comment>
    <comment ref="AI59" authorId="0">
      <text>
        <r>
          <rPr>
            <b/>
            <sz val="9"/>
            <rFont val="宋体"/>
            <charset val="134"/>
          </rPr>
          <t>Administrator:</t>
        </r>
        <r>
          <rPr>
            <sz val="9"/>
            <rFont val="宋体"/>
            <charset val="134"/>
          </rPr>
          <t xml:space="preserve">
3/21 上客供RFID贴纸15104pcs
4/11 上粉色艾利贴纸944pcs
</t>
        </r>
      </text>
    </comment>
    <comment ref="AF60" authorId="0">
      <text>
        <r>
          <rPr>
            <b/>
            <sz val="9"/>
            <rFont val="宋体"/>
            <charset val="134"/>
          </rPr>
          <t>Administrator:</t>
        </r>
        <r>
          <rPr>
            <sz val="9"/>
            <rFont val="宋体"/>
            <charset val="134"/>
          </rPr>
          <t xml:space="preserve">
2001154 5/13 4032pcs华3B5</t>
        </r>
      </text>
    </comment>
    <comment ref="AI60" authorId="0">
      <text>
        <r>
          <rPr>
            <b/>
            <sz val="9"/>
            <rFont val="宋体"/>
            <charset val="134"/>
          </rPr>
          <t>Administrator:</t>
        </r>
        <r>
          <rPr>
            <sz val="9"/>
            <rFont val="宋体"/>
            <charset val="134"/>
          </rPr>
          <t xml:space="preserve">
4/15 上客供RFID贴纸4032pcs
</t>
        </r>
      </text>
    </comment>
    <comment ref="AF61" authorId="0">
      <text>
        <r>
          <rPr>
            <b/>
            <sz val="9"/>
            <rFont val="宋体"/>
            <charset val="134"/>
          </rPr>
          <t>Administrator:</t>
        </r>
        <r>
          <rPr>
            <sz val="9"/>
            <rFont val="宋体"/>
            <charset val="134"/>
          </rPr>
          <t xml:space="preserve">
2001186 5/14 2000pcs华3B14</t>
        </r>
      </text>
    </comment>
    <comment ref="AI61" authorId="0">
      <text>
        <r>
          <rPr>
            <b/>
            <sz val="9"/>
            <rFont val="宋体"/>
            <charset val="134"/>
          </rPr>
          <t>Administrator:</t>
        </r>
        <r>
          <rPr>
            <sz val="9"/>
            <rFont val="宋体"/>
            <charset val="134"/>
          </rPr>
          <t xml:space="preserve">
4/28 上进口商贴纸5000pcs
两个同PO共用</t>
        </r>
      </text>
    </comment>
    <comment ref="AF62" authorId="0">
      <text>
        <r>
          <rPr>
            <b/>
            <sz val="9"/>
            <rFont val="宋体"/>
            <charset val="134"/>
          </rPr>
          <t>Administrator:</t>
        </r>
        <r>
          <rPr>
            <sz val="9"/>
            <rFont val="宋体"/>
            <charset val="134"/>
          </rPr>
          <t xml:space="preserve">
2001154 5/13 6604pcs华3B16</t>
        </r>
      </text>
    </comment>
    <comment ref="AI62" authorId="0">
      <text>
        <r>
          <rPr>
            <b/>
            <sz val="9"/>
            <rFont val="宋体"/>
            <charset val="134"/>
          </rPr>
          <t>Administrator:</t>
        </r>
        <r>
          <rPr>
            <sz val="9"/>
            <rFont val="宋体"/>
            <charset val="134"/>
          </rPr>
          <t xml:space="preserve">
4/30 多语警语折叠贴纸6604pcs
</t>
        </r>
      </text>
    </comment>
    <comment ref="AF63" authorId="0">
      <text>
        <r>
          <rPr>
            <b/>
            <sz val="9"/>
            <rFont val="宋体"/>
            <charset val="134"/>
          </rPr>
          <t>Administrator:</t>
        </r>
        <r>
          <rPr>
            <sz val="9"/>
            <rFont val="宋体"/>
            <charset val="134"/>
          </rPr>
          <t xml:space="preserve">
2001159 5/13 3016pcs
华3A14</t>
        </r>
      </text>
    </comment>
    <comment ref="AI63" authorId="0">
      <text>
        <r>
          <rPr>
            <b/>
            <sz val="9"/>
            <rFont val="宋体"/>
            <charset val="134"/>
          </rPr>
          <t>Administrator:</t>
        </r>
        <r>
          <rPr>
            <sz val="9"/>
            <rFont val="宋体"/>
            <charset val="134"/>
          </rPr>
          <t xml:space="preserve">
4/14 上客供警语贴纸底部3112pcs
客供警语贴纸说明书上3110pcs
客供警语贴纸收藏指南31102pcs
4/14 上UPC条码贴纸3016pcs</t>
        </r>
      </text>
    </comment>
    <comment ref="AF64" authorId="0">
      <text>
        <r>
          <rPr>
            <b/>
            <sz val="9"/>
            <rFont val="宋体"/>
            <charset val="134"/>
          </rPr>
          <t>Administrator:</t>
        </r>
        <r>
          <rPr>
            <sz val="9"/>
            <rFont val="宋体"/>
            <charset val="134"/>
          </rPr>
          <t xml:space="preserve">
2001228 5/15 2080pcs华3B14</t>
        </r>
      </text>
    </comment>
    <comment ref="AI64" authorId="0">
      <text>
        <r>
          <rPr>
            <b/>
            <sz val="9"/>
            <rFont val="宋体"/>
            <charset val="134"/>
          </rPr>
          <t>Administrator:</t>
        </r>
        <r>
          <rPr>
            <sz val="9"/>
            <rFont val="宋体"/>
            <charset val="134"/>
          </rPr>
          <t xml:space="preserve">
4/21 上进口商贴纸2080pcs
UPC贴纸2080pcs</t>
        </r>
      </text>
    </comment>
    <comment ref="AF65" authorId="0">
      <text>
        <r>
          <rPr>
            <b/>
            <sz val="9"/>
            <rFont val="宋体"/>
            <charset val="134"/>
          </rPr>
          <t>Administrator:</t>
        </r>
        <r>
          <rPr>
            <sz val="9"/>
            <rFont val="宋体"/>
            <charset val="134"/>
          </rPr>
          <t xml:space="preserve">
2001213 5/14 50pcs华3B14</t>
        </r>
      </text>
    </comment>
    <comment ref="AI65" authorId="0">
      <text>
        <r>
          <rPr>
            <b/>
            <sz val="9"/>
            <rFont val="宋体"/>
            <charset val="134"/>
          </rPr>
          <t>Administrator:</t>
        </r>
        <r>
          <rPr>
            <sz val="9"/>
            <rFont val="宋体"/>
            <charset val="134"/>
          </rPr>
          <t xml:space="preserve">
4/10 上外箱黄色贴纸8pcs</t>
        </r>
      </text>
    </comment>
    <comment ref="AF66" authorId="0">
      <text>
        <r>
          <rPr>
            <b/>
            <sz val="9"/>
            <rFont val="宋体"/>
            <charset val="134"/>
          </rPr>
          <t>Administrator:</t>
        </r>
        <r>
          <rPr>
            <sz val="9"/>
            <rFont val="宋体"/>
            <charset val="134"/>
          </rPr>
          <t xml:space="preserve">
2001186 5/14 10075pcs
华3B9</t>
        </r>
      </text>
    </comment>
    <comment ref="AF67" authorId="0">
      <text>
        <r>
          <rPr>
            <b/>
            <sz val="9"/>
            <rFont val="宋体"/>
            <charset val="134"/>
          </rPr>
          <t>Administrator:</t>
        </r>
        <r>
          <rPr>
            <sz val="9"/>
            <rFont val="宋体"/>
            <charset val="134"/>
          </rPr>
          <t xml:space="preserve">
2001186 5/14 5000pcs
华3B15</t>
        </r>
      </text>
    </comment>
    <comment ref="AF68" authorId="0">
      <text>
        <r>
          <rPr>
            <b/>
            <sz val="9"/>
            <rFont val="宋体"/>
            <charset val="134"/>
          </rPr>
          <t>Administrator:</t>
        </r>
        <r>
          <rPr>
            <sz val="9"/>
            <rFont val="宋体"/>
            <charset val="134"/>
          </rPr>
          <t xml:space="preserve">
2001159 5/13 4672pcs华3A10</t>
        </r>
      </text>
    </comment>
    <comment ref="AI68" authorId="0">
      <text>
        <r>
          <rPr>
            <b/>
            <sz val="9"/>
            <rFont val="宋体"/>
            <charset val="134"/>
          </rPr>
          <t>Administrator:</t>
        </r>
        <r>
          <rPr>
            <sz val="9"/>
            <rFont val="宋体"/>
            <charset val="134"/>
          </rPr>
          <t xml:space="preserve">
4/15 上客供RFID贴纸4672pcs
</t>
        </r>
      </text>
    </comment>
    <comment ref="AF69" authorId="0">
      <text>
        <r>
          <rPr>
            <b/>
            <sz val="9"/>
            <rFont val="宋体"/>
            <charset val="134"/>
          </rPr>
          <t>Administrator:</t>
        </r>
        <r>
          <rPr>
            <sz val="9"/>
            <rFont val="宋体"/>
            <charset val="134"/>
          </rPr>
          <t xml:space="preserve">
2001159 5/13 5850pcs
华3B11</t>
        </r>
      </text>
    </comment>
    <comment ref="AF70" authorId="0">
      <text>
        <r>
          <rPr>
            <b/>
            <sz val="9"/>
            <rFont val="宋体"/>
            <charset val="134"/>
          </rPr>
          <t>Administrator:</t>
        </r>
        <r>
          <rPr>
            <sz val="9"/>
            <rFont val="宋体"/>
            <charset val="134"/>
          </rPr>
          <t xml:space="preserve">
2001159 5/13 5850pcs
华3B11</t>
        </r>
      </text>
    </comment>
    <comment ref="AF71" authorId="0">
      <text>
        <r>
          <rPr>
            <b/>
            <sz val="9"/>
            <rFont val="宋体"/>
            <charset val="134"/>
          </rPr>
          <t>Administrator:</t>
        </r>
        <r>
          <rPr>
            <sz val="9"/>
            <rFont val="宋体"/>
            <charset val="134"/>
          </rPr>
          <t xml:space="preserve">
2001213 5/14 2106pcs华3B13</t>
        </r>
      </text>
    </comment>
    <comment ref="AI71" authorId="0">
      <text>
        <r>
          <rPr>
            <b/>
            <sz val="9"/>
            <rFont val="宋体"/>
            <charset val="134"/>
          </rPr>
          <t>Administrator:</t>
        </r>
        <r>
          <rPr>
            <sz val="9"/>
            <rFont val="宋体"/>
            <charset val="134"/>
          </rPr>
          <t xml:space="preserve">
4/25 上白色防盗贴纸2106pcs
5/8 上KM单外箱贴纸162pcs
5/14 上UPC贴纸2106pcs此单贴纸已挪用其它订单来用</t>
        </r>
      </text>
    </comment>
    <comment ref="AF72" authorId="0">
      <text>
        <r>
          <rPr>
            <b/>
            <sz val="9"/>
            <rFont val="宋体"/>
            <charset val="134"/>
          </rPr>
          <t>Administrator:</t>
        </r>
        <r>
          <rPr>
            <sz val="9"/>
            <rFont val="宋体"/>
            <charset val="134"/>
          </rPr>
          <t xml:space="preserve">
2001133 5/10 260pcs华3B4</t>
        </r>
      </text>
    </comment>
    <comment ref="AI72" authorId="0">
      <text>
        <r>
          <rPr>
            <b/>
            <sz val="9"/>
            <rFont val="宋体"/>
            <charset val="134"/>
          </rPr>
          <t>Administrator:</t>
        </r>
        <r>
          <rPr>
            <sz val="9"/>
            <rFont val="宋体"/>
            <charset val="134"/>
          </rPr>
          <t xml:space="preserve">
4/30 多语警语折叠贴纸260pcs
</t>
        </r>
      </text>
    </comment>
    <comment ref="AF73" authorId="0">
      <text>
        <r>
          <rPr>
            <b/>
            <sz val="9"/>
            <rFont val="宋体"/>
            <charset val="134"/>
          </rPr>
          <t>Administrator:</t>
        </r>
        <r>
          <rPr>
            <sz val="9"/>
            <rFont val="宋体"/>
            <charset val="134"/>
          </rPr>
          <t xml:space="preserve">
2001159 5/13 3296pcs华3A10</t>
        </r>
      </text>
    </comment>
    <comment ref="AI73" authorId="0">
      <text>
        <r>
          <rPr>
            <b/>
            <sz val="9"/>
            <rFont val="宋体"/>
            <charset val="134"/>
          </rPr>
          <t>Administrator:</t>
        </r>
        <r>
          <rPr>
            <sz val="9"/>
            <rFont val="宋体"/>
            <charset val="134"/>
          </rPr>
          <t xml:space="preserve">
4/15 上客供RFID贴纸3296pcs</t>
        </r>
      </text>
    </comment>
    <comment ref="AF74" authorId="0">
      <text>
        <r>
          <rPr>
            <b/>
            <sz val="9"/>
            <rFont val="宋体"/>
            <charset val="134"/>
          </rPr>
          <t>Administrator:</t>
        </r>
        <r>
          <rPr>
            <sz val="9"/>
            <rFont val="宋体"/>
            <charset val="134"/>
          </rPr>
          <t xml:space="preserve">
2001159 5/13 3184pcs
华3A10</t>
        </r>
      </text>
    </comment>
    <comment ref="AI74" authorId="0">
      <text>
        <r>
          <rPr>
            <b/>
            <sz val="9"/>
            <rFont val="宋体"/>
            <charset val="134"/>
          </rPr>
          <t>Administrator:</t>
        </r>
        <r>
          <rPr>
            <sz val="9"/>
            <rFont val="宋体"/>
            <charset val="134"/>
          </rPr>
          <t xml:space="preserve">
4/15 上客供RFID贴纸3184pcs
</t>
        </r>
      </text>
    </comment>
    <comment ref="AF75" authorId="0">
      <text>
        <r>
          <rPr>
            <b/>
            <sz val="9"/>
            <rFont val="宋体"/>
            <charset val="134"/>
          </rPr>
          <t>Administrator:</t>
        </r>
        <r>
          <rPr>
            <sz val="9"/>
            <rFont val="宋体"/>
            <charset val="134"/>
          </rPr>
          <t xml:space="preserve">
2001159 5/13 4240pcs
华3A10</t>
        </r>
      </text>
    </comment>
    <comment ref="AI75" authorId="0">
      <text>
        <r>
          <rPr>
            <b/>
            <sz val="9"/>
            <rFont val="宋体"/>
            <charset val="134"/>
          </rPr>
          <t>Administrator:</t>
        </r>
        <r>
          <rPr>
            <sz val="9"/>
            <rFont val="宋体"/>
            <charset val="134"/>
          </rPr>
          <t xml:space="preserve">
4/15 上客供RFID贴纸4240pcs
</t>
        </r>
      </text>
    </comment>
    <comment ref="AF76" authorId="0">
      <text>
        <r>
          <rPr>
            <b/>
            <sz val="9"/>
            <rFont val="宋体"/>
            <charset val="134"/>
          </rPr>
          <t>Administrator:</t>
        </r>
        <r>
          <rPr>
            <sz val="9"/>
            <rFont val="宋体"/>
            <charset val="134"/>
          </rPr>
          <t xml:space="preserve">
2000982 5/17 475pcs莫4A7</t>
        </r>
      </text>
    </comment>
    <comment ref="AI76" authorId="0">
      <text>
        <r>
          <rPr>
            <b/>
            <sz val="9"/>
            <rFont val="宋体"/>
            <charset val="134"/>
          </rPr>
          <t>Administrator:</t>
        </r>
        <r>
          <rPr>
            <sz val="9"/>
            <rFont val="宋体"/>
            <charset val="134"/>
          </rPr>
          <t xml:space="preserve">
4/28 上警示语贴纸475pcs</t>
        </r>
      </text>
    </comment>
    <comment ref="AF77" authorId="0">
      <text>
        <r>
          <rPr>
            <b/>
            <sz val="9"/>
            <rFont val="宋体"/>
            <charset val="134"/>
          </rPr>
          <t>Administrator:</t>
        </r>
        <r>
          <rPr>
            <sz val="9"/>
            <rFont val="宋体"/>
            <charset val="134"/>
          </rPr>
          <t xml:space="preserve">
2001213 5/14 3000pcs华3B11</t>
        </r>
      </text>
    </comment>
    <comment ref="AF78" authorId="0">
      <text>
        <r>
          <rPr>
            <b/>
            <sz val="9"/>
            <rFont val="宋体"/>
            <charset val="134"/>
          </rPr>
          <t>Administrator:</t>
        </r>
        <r>
          <rPr>
            <sz val="9"/>
            <rFont val="宋体"/>
            <charset val="134"/>
          </rPr>
          <t xml:space="preserve">
2000861 5/19 1140pcs华3B11</t>
        </r>
      </text>
    </comment>
    <comment ref="AI78" authorId="0">
      <text>
        <r>
          <rPr>
            <b/>
            <sz val="9"/>
            <rFont val="宋体"/>
            <charset val="134"/>
          </rPr>
          <t>Administrator:</t>
        </r>
        <r>
          <rPr>
            <sz val="9"/>
            <rFont val="宋体"/>
            <charset val="134"/>
          </rPr>
          <t xml:space="preserve">
4/16 上UPC贴纸1140pcs
</t>
        </r>
      </text>
    </comment>
    <comment ref="AF79" authorId="0">
      <text>
        <r>
          <rPr>
            <b/>
            <sz val="9"/>
            <rFont val="宋体"/>
            <charset val="134"/>
          </rPr>
          <t>Administrator:</t>
        </r>
        <r>
          <rPr>
            <sz val="9"/>
            <rFont val="宋体"/>
            <charset val="134"/>
          </rPr>
          <t xml:space="preserve">
2000861 5/19 360pcs华3B11</t>
        </r>
      </text>
    </comment>
    <comment ref="AI79" authorId="0">
      <text>
        <r>
          <rPr>
            <b/>
            <sz val="9"/>
            <rFont val="宋体"/>
            <charset val="134"/>
          </rPr>
          <t>Administrator:</t>
        </r>
        <r>
          <rPr>
            <sz val="9"/>
            <rFont val="宋体"/>
            <charset val="134"/>
          </rPr>
          <t xml:space="preserve">
4/16 上UPC贴纸360pcs</t>
        </r>
      </text>
    </comment>
    <comment ref="AF80" authorId="0">
      <text>
        <r>
          <rPr>
            <b/>
            <sz val="9"/>
            <rFont val="宋体"/>
            <charset val="134"/>
          </rPr>
          <t>Administrator:</t>
        </r>
        <r>
          <rPr>
            <sz val="9"/>
            <rFont val="宋体"/>
            <charset val="134"/>
          </rPr>
          <t xml:space="preserve">
20010011 5/20 1512pcs直走</t>
        </r>
      </text>
    </comment>
    <comment ref="AI80" authorId="0">
      <text>
        <r>
          <rPr>
            <b/>
            <sz val="9"/>
            <rFont val="宋体"/>
            <charset val="134"/>
          </rPr>
          <t>Administrator:</t>
        </r>
        <r>
          <rPr>
            <sz val="9"/>
            <rFont val="宋体"/>
            <charset val="134"/>
          </rPr>
          <t xml:space="preserve">
4/24 上外箱贴纸63pcs
上客供价格贴纸1589pcs</t>
        </r>
      </text>
    </comment>
    <comment ref="AF81" authorId="0">
      <text>
        <r>
          <rPr>
            <b/>
            <sz val="9"/>
            <rFont val="宋体"/>
            <charset val="134"/>
          </rPr>
          <t>Administrator:</t>
        </r>
        <r>
          <rPr>
            <sz val="9"/>
            <rFont val="宋体"/>
            <charset val="134"/>
          </rPr>
          <t xml:space="preserve">
2000861 5/19 2200pcs华3B13</t>
        </r>
      </text>
    </comment>
    <comment ref="AF82" authorId="0">
      <text>
        <r>
          <rPr>
            <b/>
            <sz val="9"/>
            <rFont val="宋体"/>
            <charset val="134"/>
          </rPr>
          <t>Administrator:</t>
        </r>
        <r>
          <rPr>
            <sz val="9"/>
            <rFont val="宋体"/>
            <charset val="134"/>
          </rPr>
          <t xml:space="preserve">
2001021 5/20 22656pcs华3A11</t>
        </r>
      </text>
    </comment>
    <comment ref="AI82" authorId="0">
      <text>
        <r>
          <rPr>
            <b/>
            <sz val="9"/>
            <rFont val="宋体"/>
            <charset val="134"/>
          </rPr>
          <t>Administrator:</t>
        </r>
        <r>
          <rPr>
            <sz val="9"/>
            <rFont val="宋体"/>
            <charset val="134"/>
          </rPr>
          <t xml:space="preserve">
3/21 上客供RFID贴纸22656pcs
4/11 上粉色艾利贴纸1416pcs</t>
        </r>
      </text>
    </comment>
    <comment ref="AF83" authorId="0">
      <text>
        <r>
          <rPr>
            <b/>
            <sz val="9"/>
            <rFont val="宋体"/>
            <charset val="134"/>
          </rPr>
          <t>Administrator:</t>
        </r>
        <r>
          <rPr>
            <sz val="9"/>
            <rFont val="宋体"/>
            <charset val="134"/>
          </rPr>
          <t xml:space="preserve">
2001021 5/20 19552pcs
华3A9</t>
        </r>
      </text>
    </comment>
    <comment ref="AI83" authorId="0">
      <text>
        <r>
          <rPr>
            <b/>
            <sz val="9"/>
            <rFont val="宋体"/>
            <charset val="134"/>
          </rPr>
          <t>Administrator:</t>
        </r>
        <r>
          <rPr>
            <sz val="9"/>
            <rFont val="宋体"/>
            <charset val="134"/>
          </rPr>
          <t xml:space="preserve">
3/21 上客供RFID贴纸19552pcs
4/11 上粉色艾利贴纸1222pcs</t>
        </r>
      </text>
    </comment>
    <comment ref="AF84" authorId="0">
      <text>
        <r>
          <rPr>
            <b/>
            <sz val="9"/>
            <rFont val="宋体"/>
            <charset val="134"/>
          </rPr>
          <t>Administrator:</t>
        </r>
        <r>
          <rPr>
            <sz val="9"/>
            <rFont val="宋体"/>
            <charset val="134"/>
          </rPr>
          <t xml:space="preserve">
2001021 5/20 3168pcs
华3A12</t>
        </r>
      </text>
    </comment>
    <comment ref="AI84" authorId="0">
      <text>
        <r>
          <rPr>
            <b/>
            <sz val="9"/>
            <rFont val="宋体"/>
            <charset val="134"/>
          </rPr>
          <t>Administrator:</t>
        </r>
        <r>
          <rPr>
            <sz val="9"/>
            <rFont val="宋体"/>
            <charset val="134"/>
          </rPr>
          <t xml:space="preserve">
4/15 上客供RFID贴纸3168pcs
</t>
        </r>
      </text>
    </comment>
    <comment ref="AF85" authorId="0">
      <text>
        <r>
          <rPr>
            <b/>
            <sz val="9"/>
            <rFont val="宋体"/>
            <charset val="134"/>
          </rPr>
          <t>Administrator:</t>
        </r>
        <r>
          <rPr>
            <sz val="9"/>
            <rFont val="宋体"/>
            <charset val="134"/>
          </rPr>
          <t xml:space="preserve">
2001021 5/20 3760pcs
华3A9</t>
        </r>
      </text>
    </comment>
    <comment ref="AI85" authorId="0">
      <text>
        <r>
          <rPr>
            <b/>
            <sz val="9"/>
            <rFont val="宋体"/>
            <charset val="134"/>
          </rPr>
          <t>Administrator:</t>
        </r>
        <r>
          <rPr>
            <sz val="9"/>
            <rFont val="宋体"/>
            <charset val="134"/>
          </rPr>
          <t xml:space="preserve">
4/15 上客供RFID贴纸3760pcs
</t>
        </r>
      </text>
    </comment>
    <comment ref="AF86" authorId="0">
      <text>
        <r>
          <rPr>
            <b/>
            <sz val="9"/>
            <rFont val="宋体"/>
            <charset val="134"/>
          </rPr>
          <t>Administrator:</t>
        </r>
        <r>
          <rPr>
            <sz val="9"/>
            <rFont val="宋体"/>
            <charset val="134"/>
          </rPr>
          <t xml:space="preserve">
20000881 5/20 11100pcs华一F4</t>
        </r>
      </text>
    </comment>
    <comment ref="AI86" authorId="0">
      <text>
        <r>
          <rPr>
            <b/>
            <sz val="9"/>
            <rFont val="宋体"/>
            <charset val="134"/>
          </rPr>
          <t>Administrator:</t>
        </r>
        <r>
          <rPr>
            <sz val="9"/>
            <rFont val="宋体"/>
            <charset val="134"/>
          </rPr>
          <t xml:space="preserve">
4/30 上UPC条码贴纸17000pcs
进口商贴纸17000pcs</t>
        </r>
      </text>
    </comment>
    <comment ref="AF87" authorId="0">
      <text>
        <r>
          <rPr>
            <b/>
            <sz val="9"/>
            <rFont val="宋体"/>
            <charset val="134"/>
          </rPr>
          <t>Administrator:</t>
        </r>
        <r>
          <rPr>
            <sz val="9"/>
            <rFont val="宋体"/>
            <charset val="134"/>
          </rPr>
          <t xml:space="preserve">
2000861 5/19 4888pcs华3B9</t>
        </r>
      </text>
    </comment>
    <comment ref="AI87" authorId="0">
      <text>
        <r>
          <rPr>
            <b/>
            <sz val="9"/>
            <rFont val="宋体"/>
            <charset val="134"/>
          </rPr>
          <t>Administrator:</t>
        </r>
        <r>
          <rPr>
            <sz val="9"/>
            <rFont val="宋体"/>
            <charset val="134"/>
          </rPr>
          <t xml:space="preserve">
4/30 多语警语折叠贴纸4888pcs
</t>
        </r>
      </text>
    </comment>
    <comment ref="AF88" authorId="0">
      <text>
        <r>
          <rPr>
            <b/>
            <sz val="9"/>
            <rFont val="宋体"/>
            <charset val="134"/>
          </rPr>
          <t>Administrator:</t>
        </r>
        <r>
          <rPr>
            <sz val="9"/>
            <rFont val="宋体"/>
            <charset val="134"/>
          </rPr>
          <t xml:space="preserve">
2000861 5/19 5460pcs华3B9
2000900 5/22 52pcs</t>
        </r>
      </text>
    </comment>
    <comment ref="AI88" authorId="0">
      <text>
        <r>
          <rPr>
            <b/>
            <sz val="9"/>
            <rFont val="宋体"/>
            <charset val="134"/>
          </rPr>
          <t>Administrator:</t>
        </r>
        <r>
          <rPr>
            <sz val="9"/>
            <rFont val="宋体"/>
            <charset val="134"/>
          </rPr>
          <t xml:space="preserve">
5/9 上UPC条码贴纸5512pcs</t>
        </r>
      </text>
    </comment>
    <comment ref="AF89" authorId="0">
      <text>
        <r>
          <rPr>
            <b/>
            <sz val="9"/>
            <rFont val="宋体"/>
            <charset val="134"/>
          </rPr>
          <t>Administrator:</t>
        </r>
        <r>
          <rPr>
            <sz val="9"/>
            <rFont val="宋体"/>
            <charset val="134"/>
          </rPr>
          <t xml:space="preserve">
2001007 5/19 5200pcs华3B16</t>
        </r>
      </text>
    </comment>
    <comment ref="AF90" authorId="0">
      <text>
        <r>
          <rPr>
            <b/>
            <sz val="9"/>
            <rFont val="宋体"/>
            <charset val="134"/>
          </rPr>
          <t>Administrator:</t>
        </r>
        <r>
          <rPr>
            <sz val="9"/>
            <rFont val="宋体"/>
            <charset val="134"/>
          </rPr>
          <t xml:space="preserve">
2001007 5/19 2600pcs华3B16</t>
        </r>
      </text>
    </comment>
    <comment ref="AF91" authorId="0">
      <text>
        <r>
          <rPr>
            <b/>
            <sz val="9"/>
            <rFont val="宋体"/>
            <charset val="134"/>
          </rPr>
          <t>Administrator:</t>
        </r>
        <r>
          <rPr>
            <sz val="9"/>
            <rFont val="宋体"/>
            <charset val="134"/>
          </rPr>
          <t xml:space="preserve">
2000896 5/23 4150pcs直走</t>
        </r>
      </text>
    </comment>
    <comment ref="AF92" authorId="0">
      <text>
        <r>
          <rPr>
            <b/>
            <sz val="9"/>
            <rFont val="宋体"/>
            <charset val="134"/>
          </rPr>
          <t>Administrator:</t>
        </r>
        <r>
          <rPr>
            <sz val="9"/>
            <rFont val="宋体"/>
            <charset val="134"/>
          </rPr>
          <t xml:space="preserve">
2000895 5/22 26pcs
2000906 5/22 2993pcs
2000803 5/24 13pcs因回货点数少数</t>
        </r>
      </text>
    </comment>
    <comment ref="AI92" authorId="0">
      <text>
        <r>
          <rPr>
            <b/>
            <sz val="9"/>
            <rFont val="宋体"/>
            <charset val="134"/>
          </rPr>
          <t>Administrator:</t>
        </r>
        <r>
          <rPr>
            <sz val="9"/>
            <rFont val="宋体"/>
            <charset val="134"/>
          </rPr>
          <t xml:space="preserve">
4/30 上UPC贴纸6019pcs
</t>
        </r>
      </text>
    </comment>
    <comment ref="AF93" authorId="0">
      <text>
        <r>
          <rPr>
            <b/>
            <sz val="9"/>
            <rFont val="宋体"/>
            <charset val="134"/>
          </rPr>
          <t>Administrator:</t>
        </r>
        <r>
          <rPr>
            <sz val="9"/>
            <rFont val="宋体"/>
            <charset val="134"/>
          </rPr>
          <t xml:space="preserve">
2000788 5/23 15904pcs
华3A10</t>
        </r>
      </text>
    </comment>
    <comment ref="AI93" authorId="0">
      <text>
        <r>
          <rPr>
            <b/>
            <sz val="9"/>
            <rFont val="宋体"/>
            <charset val="134"/>
          </rPr>
          <t>Administrator:</t>
        </r>
        <r>
          <rPr>
            <sz val="9"/>
            <rFont val="宋体"/>
            <charset val="134"/>
          </rPr>
          <t xml:space="preserve">
3/21 上客供RFID贴纸15904pcs
4/11 上粉色艾利贴纸994pcs
</t>
        </r>
      </text>
    </comment>
    <comment ref="AF94" authorId="0">
      <text>
        <r>
          <rPr>
            <b/>
            <sz val="9"/>
            <rFont val="宋体"/>
            <charset val="134"/>
          </rPr>
          <t>Administrator:</t>
        </r>
        <r>
          <rPr>
            <sz val="9"/>
            <rFont val="宋体"/>
            <charset val="134"/>
          </rPr>
          <t xml:space="preserve">
2000788 5/23 15296pcs
华3A8</t>
        </r>
      </text>
    </comment>
    <comment ref="AI94" authorId="0">
      <text>
        <r>
          <rPr>
            <b/>
            <sz val="9"/>
            <rFont val="宋体"/>
            <charset val="134"/>
          </rPr>
          <t>Administrator:</t>
        </r>
        <r>
          <rPr>
            <sz val="9"/>
            <rFont val="宋体"/>
            <charset val="134"/>
          </rPr>
          <t xml:space="preserve">
3/21 上客供RFID贴纸15296pcs
4/11 上粉色艾利贴纸956pcs
</t>
        </r>
      </text>
    </comment>
    <comment ref="AF95" authorId="0">
      <text>
        <r>
          <rPr>
            <b/>
            <sz val="9"/>
            <rFont val="宋体"/>
            <charset val="134"/>
          </rPr>
          <t>Administrator:</t>
        </r>
        <r>
          <rPr>
            <sz val="9"/>
            <rFont val="宋体"/>
            <charset val="134"/>
          </rPr>
          <t xml:space="preserve">
2000897 5/23 4880pcs华3A12</t>
        </r>
      </text>
    </comment>
    <comment ref="AI95" authorId="0">
      <text>
        <r>
          <rPr>
            <b/>
            <sz val="9"/>
            <rFont val="宋体"/>
            <charset val="134"/>
          </rPr>
          <t>Administrator:</t>
        </r>
        <r>
          <rPr>
            <sz val="9"/>
            <rFont val="宋体"/>
            <charset val="134"/>
          </rPr>
          <t xml:space="preserve">
4/15 上客供RFID贴纸4880pcs
</t>
        </r>
      </text>
    </comment>
    <comment ref="AF96" authorId="0">
      <text>
        <r>
          <rPr>
            <b/>
            <sz val="9"/>
            <rFont val="宋体"/>
            <charset val="134"/>
          </rPr>
          <t>Administrator:</t>
        </r>
        <r>
          <rPr>
            <sz val="9"/>
            <rFont val="宋体"/>
            <charset val="134"/>
          </rPr>
          <t xml:space="preserve">
2000788 5/23 6250pcs华3B11</t>
        </r>
      </text>
    </comment>
    <comment ref="AI96" authorId="0">
      <text>
        <r>
          <rPr>
            <b/>
            <sz val="9"/>
            <rFont val="宋体"/>
            <charset val="134"/>
          </rPr>
          <t>Administrator:</t>
        </r>
        <r>
          <rPr>
            <sz val="9"/>
            <rFont val="宋体"/>
            <charset val="134"/>
          </rPr>
          <t xml:space="preserve">
5/9 上挪威语警语贴纸6250pcs</t>
        </r>
      </text>
    </comment>
    <comment ref="AF97" authorId="0">
      <text>
        <r>
          <rPr>
            <b/>
            <sz val="9"/>
            <rFont val="宋体"/>
            <charset val="134"/>
          </rPr>
          <t>Administrator:</t>
        </r>
        <r>
          <rPr>
            <sz val="9"/>
            <rFont val="宋体"/>
            <charset val="134"/>
          </rPr>
          <t xml:space="preserve">
2000788 5/23 4500pcs
华3A30</t>
        </r>
      </text>
    </comment>
    <comment ref="AF98" authorId="0">
      <text>
        <r>
          <rPr>
            <b/>
            <sz val="9"/>
            <rFont val="宋体"/>
            <charset val="134"/>
          </rPr>
          <t>Administrator:</t>
        </r>
        <r>
          <rPr>
            <sz val="9"/>
            <rFont val="宋体"/>
            <charset val="134"/>
          </rPr>
          <t xml:space="preserve">
2000788 5/23 9000pcs
华3A30</t>
        </r>
      </text>
    </comment>
    <comment ref="AF99" authorId="0">
      <text>
        <r>
          <rPr>
            <b/>
            <sz val="9"/>
            <rFont val="宋体"/>
            <charset val="134"/>
          </rPr>
          <t>Administrator:</t>
        </r>
        <r>
          <rPr>
            <sz val="9"/>
            <rFont val="宋体"/>
            <charset val="134"/>
          </rPr>
          <t xml:space="preserve">
2000782 5/24 3950pcs华3A16
</t>
        </r>
      </text>
    </comment>
    <comment ref="AI99" authorId="0">
      <text>
        <r>
          <rPr>
            <b/>
            <sz val="9"/>
            <rFont val="宋体"/>
            <charset val="134"/>
          </rPr>
          <t>Administrator:</t>
        </r>
        <r>
          <rPr>
            <sz val="9"/>
            <rFont val="宋体"/>
            <charset val="134"/>
          </rPr>
          <t xml:space="preserve">
4/25 上进口商贴纸3950pcs
</t>
        </r>
      </text>
    </comment>
    <comment ref="AF100" authorId="0">
      <text>
        <r>
          <rPr>
            <b/>
            <sz val="9"/>
            <rFont val="宋体"/>
            <charset val="134"/>
          </rPr>
          <t>Administrator:</t>
        </r>
        <r>
          <rPr>
            <sz val="9"/>
            <rFont val="宋体"/>
            <charset val="134"/>
          </rPr>
          <t xml:space="preserve">
2000782 5/24 7150pcs
华3A25</t>
        </r>
      </text>
    </comment>
    <comment ref="AI100" authorId="0">
      <text>
        <r>
          <rPr>
            <b/>
            <sz val="9"/>
            <rFont val="宋体"/>
            <charset val="134"/>
          </rPr>
          <t>Administrator:</t>
        </r>
        <r>
          <rPr>
            <sz val="9"/>
            <rFont val="宋体"/>
            <charset val="134"/>
          </rPr>
          <t xml:space="preserve">
4/25 上进口商贴纸7150pcs</t>
        </r>
      </text>
    </comment>
    <comment ref="AF101" authorId="0">
      <text>
        <r>
          <rPr>
            <b/>
            <sz val="9"/>
            <rFont val="宋体"/>
            <charset val="134"/>
          </rPr>
          <t>Administrator:</t>
        </r>
        <r>
          <rPr>
            <sz val="9"/>
            <rFont val="宋体"/>
            <charset val="134"/>
          </rPr>
          <t xml:space="preserve">
2000782 5/24 4350pcs
华3A29
2000758 5/24 6450pcs华3A29</t>
        </r>
      </text>
    </comment>
    <comment ref="AI101" authorId="0">
      <text>
        <r>
          <rPr>
            <b/>
            <sz val="9"/>
            <rFont val="宋体"/>
            <charset val="134"/>
          </rPr>
          <t>Administrator:</t>
        </r>
        <r>
          <rPr>
            <sz val="9"/>
            <rFont val="宋体"/>
            <charset val="134"/>
          </rPr>
          <t xml:space="preserve">
4/25 上进口商贴纸10800pcs
</t>
        </r>
      </text>
    </comment>
    <comment ref="AF102" authorId="0">
      <text>
        <r>
          <rPr>
            <b/>
            <sz val="9"/>
            <rFont val="宋体"/>
            <charset val="134"/>
          </rPr>
          <t>Administrator:</t>
        </r>
        <r>
          <rPr>
            <sz val="9"/>
            <rFont val="宋体"/>
            <charset val="134"/>
          </rPr>
          <t xml:space="preserve">
2000897 5/23 400pcs华3B7</t>
        </r>
      </text>
    </comment>
    <comment ref="AI102" authorId="0">
      <text>
        <r>
          <rPr>
            <b/>
            <sz val="9"/>
            <rFont val="宋体"/>
            <charset val="134"/>
          </rPr>
          <t>Administrator:</t>
        </r>
        <r>
          <rPr>
            <sz val="9"/>
            <rFont val="宋体"/>
            <charset val="134"/>
          </rPr>
          <t xml:space="preserve">
4/25 上警告语贴纸400pcs</t>
        </r>
      </text>
    </comment>
    <comment ref="AF103" authorId="0">
      <text>
        <r>
          <rPr>
            <b/>
            <sz val="9"/>
            <rFont val="宋体"/>
            <charset val="134"/>
          </rPr>
          <t>Administrator:</t>
        </r>
        <r>
          <rPr>
            <sz val="9"/>
            <rFont val="宋体"/>
            <charset val="134"/>
          </rPr>
          <t xml:space="preserve">
2000758 5/24 1508pcs华3B15</t>
        </r>
      </text>
    </comment>
    <comment ref="AI103" authorId="0">
      <text>
        <r>
          <rPr>
            <b/>
            <sz val="9"/>
            <rFont val="宋体"/>
            <charset val="134"/>
          </rPr>
          <t>Administrator:</t>
        </r>
        <r>
          <rPr>
            <sz val="9"/>
            <rFont val="宋体"/>
            <charset val="134"/>
          </rPr>
          <t xml:space="preserve">
5/12 上KM单外箱贴纸116pcs
 白色防盗贴纸1508pcs
5/23 上UPC条码贴纸1508pcs</t>
        </r>
      </text>
    </comment>
    <comment ref="AF104" authorId="0">
      <text>
        <r>
          <rPr>
            <b/>
            <sz val="9"/>
            <rFont val="宋体"/>
            <charset val="134"/>
          </rPr>
          <t>Administrator:</t>
        </r>
        <r>
          <rPr>
            <sz val="9"/>
            <rFont val="宋体"/>
            <charset val="134"/>
          </rPr>
          <t xml:space="preserve">
2000774 5/23 1950pcs华3B4
2000758 5/24 50pcs华3B4</t>
        </r>
      </text>
    </comment>
    <comment ref="AF105" authorId="0">
      <text>
        <r>
          <rPr>
            <b/>
            <sz val="9"/>
            <rFont val="宋体"/>
            <charset val="134"/>
          </rPr>
          <t>Administrator:</t>
        </r>
        <r>
          <rPr>
            <sz val="9"/>
            <rFont val="宋体"/>
            <charset val="134"/>
          </rPr>
          <t xml:space="preserve">
2000659 5/27 2873pcs
直走</t>
        </r>
      </text>
    </comment>
    <comment ref="AI105" authorId="0">
      <text>
        <r>
          <rPr>
            <b/>
            <sz val="9"/>
            <rFont val="宋体"/>
            <charset val="134"/>
          </rPr>
          <t>Administrator:</t>
        </r>
        <r>
          <rPr>
            <sz val="9"/>
            <rFont val="宋体"/>
            <charset val="134"/>
          </rPr>
          <t xml:space="preserve">
5/15 多语警语折叠贴纸2873pcs</t>
        </r>
      </text>
    </comment>
    <comment ref="AF106" authorId="0">
      <text>
        <r>
          <rPr>
            <b/>
            <sz val="9"/>
            <rFont val="宋体"/>
            <charset val="134"/>
          </rPr>
          <t>Administrator:</t>
        </r>
        <r>
          <rPr>
            <sz val="9"/>
            <rFont val="宋体"/>
            <charset val="134"/>
          </rPr>
          <t xml:space="preserve">
2001053 5/28 1495pcs华3B4</t>
        </r>
      </text>
    </comment>
    <comment ref="AI106" authorId="0">
      <text>
        <r>
          <rPr>
            <b/>
            <sz val="9"/>
            <rFont val="宋体"/>
            <charset val="134"/>
          </rPr>
          <t>Administrator:</t>
        </r>
        <r>
          <rPr>
            <sz val="9"/>
            <rFont val="宋体"/>
            <charset val="134"/>
          </rPr>
          <t xml:space="preserve">
5/7 德语警告语贴纸1495pcs
  产品图片贴纸480pcs</t>
        </r>
      </text>
    </comment>
    <comment ref="AF107" authorId="0">
      <text>
        <r>
          <rPr>
            <b/>
            <sz val="9"/>
            <rFont val="宋体"/>
            <charset val="134"/>
          </rPr>
          <t>Administrator:</t>
        </r>
        <r>
          <rPr>
            <sz val="9"/>
            <rFont val="宋体"/>
            <charset val="134"/>
          </rPr>
          <t xml:space="preserve">
2002464 5/29 5664pcs莫4B7</t>
        </r>
      </text>
    </comment>
    <comment ref="AI107" authorId="0">
      <text>
        <r>
          <rPr>
            <b/>
            <sz val="9"/>
            <rFont val="宋体"/>
            <charset val="134"/>
          </rPr>
          <t>Administrator:</t>
        </r>
        <r>
          <rPr>
            <sz val="9"/>
            <rFont val="宋体"/>
            <charset val="134"/>
          </rPr>
          <t xml:space="preserve">
4/15 上客供RFID贴纸5664pcs
</t>
        </r>
      </text>
    </comment>
    <comment ref="AF108" authorId="0">
      <text>
        <r>
          <rPr>
            <b/>
            <sz val="9"/>
            <rFont val="宋体"/>
            <charset val="134"/>
          </rPr>
          <t>Administrator:</t>
        </r>
        <r>
          <rPr>
            <sz val="9"/>
            <rFont val="宋体"/>
            <charset val="134"/>
          </rPr>
          <t xml:space="preserve">
2000682 5/26 450pcs华3B13</t>
        </r>
      </text>
    </comment>
    <comment ref="AI108" authorId="0">
      <text>
        <r>
          <rPr>
            <b/>
            <sz val="9"/>
            <rFont val="宋体"/>
            <charset val="134"/>
          </rPr>
          <t>Administrator:</t>
        </r>
        <r>
          <rPr>
            <sz val="9"/>
            <rFont val="宋体"/>
            <charset val="134"/>
          </rPr>
          <t xml:space="preserve">
4/21 上西班牙环保标/邮箱贴纸450pcs
</t>
        </r>
      </text>
    </comment>
    <comment ref="AF109" authorId="0">
      <text>
        <r>
          <rPr>
            <b/>
            <sz val="9"/>
            <rFont val="宋体"/>
            <charset val="134"/>
          </rPr>
          <t>Administrator:</t>
        </r>
        <r>
          <rPr>
            <sz val="9"/>
            <rFont val="宋体"/>
            <charset val="134"/>
          </rPr>
          <t xml:space="preserve">
20001242 5/28 120pcs华3B14</t>
        </r>
      </text>
    </comment>
    <comment ref="AI109" authorId="0">
      <text>
        <r>
          <rPr>
            <b/>
            <sz val="9"/>
            <rFont val="宋体"/>
            <charset val="134"/>
          </rPr>
          <t>Administrator:</t>
        </r>
        <r>
          <rPr>
            <sz val="9"/>
            <rFont val="宋体"/>
            <charset val="134"/>
          </rPr>
          <t xml:space="preserve">
5/7 上客人白色CALLABEL贴纸120pcs
</t>
        </r>
      </text>
    </comment>
    <comment ref="AF110" authorId="0">
      <text>
        <r>
          <rPr>
            <b/>
            <sz val="9"/>
            <rFont val="宋体"/>
            <charset val="134"/>
          </rPr>
          <t>Administrator:</t>
        </r>
        <r>
          <rPr>
            <sz val="9"/>
            <rFont val="宋体"/>
            <charset val="134"/>
          </rPr>
          <t xml:space="preserve">
2001242 5/28 225pcs华3B14</t>
        </r>
      </text>
    </comment>
    <comment ref="AF111" authorId="0">
      <text>
        <r>
          <rPr>
            <b/>
            <sz val="9"/>
            <rFont val="宋体"/>
            <charset val="134"/>
          </rPr>
          <t>Administrator:</t>
        </r>
        <r>
          <rPr>
            <sz val="9"/>
            <rFont val="宋体"/>
            <charset val="134"/>
          </rPr>
          <t xml:space="preserve">
2001242 5/28 210pcs华3B14</t>
        </r>
      </text>
    </comment>
    <comment ref="AF112" authorId="0">
      <text>
        <r>
          <rPr>
            <b/>
            <sz val="9"/>
            <rFont val="宋体"/>
            <charset val="134"/>
          </rPr>
          <t>Administrator:</t>
        </r>
        <r>
          <rPr>
            <sz val="9"/>
            <rFont val="宋体"/>
            <charset val="134"/>
          </rPr>
          <t xml:space="preserve">
2002469 5/30 3984pcs华3A13</t>
        </r>
      </text>
    </comment>
    <comment ref="AI112" authorId="0">
      <text>
        <r>
          <rPr>
            <b/>
            <sz val="9"/>
            <rFont val="宋体"/>
            <charset val="134"/>
          </rPr>
          <t>Administrator:</t>
        </r>
        <r>
          <rPr>
            <sz val="9"/>
            <rFont val="宋体"/>
            <charset val="134"/>
          </rPr>
          <t xml:space="preserve">
5/12 上客供RFID贴纸3984pcs</t>
        </r>
      </text>
    </comment>
    <comment ref="AF113" authorId="0">
      <text>
        <r>
          <rPr>
            <b/>
            <sz val="9"/>
            <rFont val="宋体"/>
            <charset val="134"/>
          </rPr>
          <t>Administrator:</t>
        </r>
        <r>
          <rPr>
            <sz val="9"/>
            <rFont val="宋体"/>
            <charset val="134"/>
          </rPr>
          <t xml:space="preserve">
2002469 5/30 3824pcs华3A13
</t>
        </r>
      </text>
    </comment>
    <comment ref="AI113" authorId="0">
      <text>
        <r>
          <rPr>
            <b/>
            <sz val="9"/>
            <rFont val="宋体"/>
            <charset val="134"/>
          </rPr>
          <t>Administrator:</t>
        </r>
        <r>
          <rPr>
            <sz val="9"/>
            <rFont val="宋体"/>
            <charset val="134"/>
          </rPr>
          <t xml:space="preserve">
5/12 上客供RFID贴纸3824pcs</t>
        </r>
      </text>
    </comment>
    <comment ref="AF114" authorId="0">
      <text>
        <r>
          <rPr>
            <b/>
            <sz val="9"/>
            <rFont val="宋体"/>
            <charset val="134"/>
          </rPr>
          <t>Administrator:</t>
        </r>
        <r>
          <rPr>
            <sz val="9"/>
            <rFont val="宋体"/>
            <charset val="134"/>
          </rPr>
          <t xml:space="preserve">
2002469 5/30 3408pcs华3A13
</t>
        </r>
      </text>
    </comment>
    <comment ref="AI114" authorId="0">
      <text>
        <r>
          <rPr>
            <b/>
            <sz val="9"/>
            <rFont val="宋体"/>
            <charset val="134"/>
          </rPr>
          <t>Administrator:</t>
        </r>
        <r>
          <rPr>
            <sz val="9"/>
            <rFont val="宋体"/>
            <charset val="134"/>
          </rPr>
          <t xml:space="preserve">
5/12 上客供RFID贴纸3408pcs</t>
        </r>
      </text>
    </comment>
    <comment ref="AF115" authorId="0">
      <text>
        <r>
          <rPr>
            <b/>
            <sz val="9"/>
            <rFont val="宋体"/>
            <charset val="134"/>
          </rPr>
          <t>Administrator:</t>
        </r>
        <r>
          <rPr>
            <sz val="9"/>
            <rFont val="宋体"/>
            <charset val="134"/>
          </rPr>
          <t xml:space="preserve">
2002469 5/30 4544pcs华3A13
</t>
        </r>
      </text>
    </comment>
    <comment ref="AI115" authorId="0">
      <text>
        <r>
          <rPr>
            <b/>
            <sz val="9"/>
            <rFont val="宋体"/>
            <charset val="134"/>
          </rPr>
          <t>Administrator:</t>
        </r>
        <r>
          <rPr>
            <sz val="9"/>
            <rFont val="宋体"/>
            <charset val="134"/>
          </rPr>
          <t xml:space="preserve">
5/12 上客供RFID贴纸4544pcs</t>
        </r>
      </text>
    </comment>
    <comment ref="AF116" authorId="0">
      <text>
        <r>
          <rPr>
            <b/>
            <sz val="9"/>
            <rFont val="宋体"/>
            <charset val="134"/>
          </rPr>
          <t>Administrator:</t>
        </r>
        <r>
          <rPr>
            <sz val="9"/>
            <rFont val="宋体"/>
            <charset val="134"/>
          </rPr>
          <t xml:space="preserve">
2002469 5/30 4048pcs华3A13
</t>
        </r>
      </text>
    </comment>
    <comment ref="AI116" authorId="0">
      <text>
        <r>
          <rPr>
            <b/>
            <sz val="9"/>
            <rFont val="宋体"/>
            <charset val="134"/>
          </rPr>
          <t>Administrator:</t>
        </r>
        <r>
          <rPr>
            <sz val="9"/>
            <rFont val="宋体"/>
            <charset val="134"/>
          </rPr>
          <t xml:space="preserve">
5/12 上客供RFID贴纸4048pcs</t>
        </r>
      </text>
    </comment>
    <comment ref="AF117" authorId="0">
      <text>
        <r>
          <rPr>
            <b/>
            <sz val="9"/>
            <rFont val="宋体"/>
            <charset val="134"/>
          </rPr>
          <t>Administrator:</t>
        </r>
        <r>
          <rPr>
            <sz val="9"/>
            <rFont val="宋体"/>
            <charset val="134"/>
          </rPr>
          <t xml:space="preserve">
2002464 5/29 1000pcs莫4B7</t>
        </r>
      </text>
    </comment>
    <comment ref="AI117" authorId="0">
      <text>
        <r>
          <rPr>
            <b/>
            <sz val="9"/>
            <rFont val="宋体"/>
            <charset val="134"/>
          </rPr>
          <t>Administrator:</t>
        </r>
        <r>
          <rPr>
            <sz val="9"/>
            <rFont val="宋体"/>
            <charset val="134"/>
          </rPr>
          <t xml:space="preserve">
5/19 上UPC贴纸1000pcs</t>
        </r>
      </text>
    </comment>
    <comment ref="AF118" authorId="0">
      <text>
        <r>
          <rPr>
            <b/>
            <sz val="9"/>
            <rFont val="宋体"/>
            <charset val="134"/>
          </rPr>
          <t>Administrator:</t>
        </r>
        <r>
          <rPr>
            <sz val="9"/>
            <rFont val="宋体"/>
            <charset val="134"/>
          </rPr>
          <t xml:space="preserve">
2000659 5/27 3075pcs华3B9</t>
        </r>
      </text>
    </comment>
    <comment ref="AF119" authorId="0">
      <text>
        <r>
          <rPr>
            <b/>
            <sz val="9"/>
            <rFont val="宋体"/>
            <charset val="134"/>
          </rPr>
          <t>Administrator:</t>
        </r>
        <r>
          <rPr>
            <sz val="9"/>
            <rFont val="宋体"/>
            <charset val="134"/>
          </rPr>
          <t xml:space="preserve">
2000656 5/27 700pcs华3B17</t>
        </r>
      </text>
    </comment>
    <comment ref="AF120" authorId="0">
      <text>
        <r>
          <rPr>
            <b/>
            <sz val="9"/>
            <rFont val="宋体"/>
            <charset val="134"/>
          </rPr>
          <t>Administrator:</t>
        </r>
        <r>
          <rPr>
            <sz val="9"/>
            <rFont val="宋体"/>
            <charset val="134"/>
          </rPr>
          <t xml:space="preserve">
2000659 5/27 775pcs
华3B12</t>
        </r>
      </text>
    </comment>
    <comment ref="AF121" authorId="0">
      <text>
        <r>
          <rPr>
            <b/>
            <sz val="9"/>
            <rFont val="宋体"/>
            <charset val="134"/>
          </rPr>
          <t>Administrator:</t>
        </r>
        <r>
          <rPr>
            <sz val="9"/>
            <rFont val="宋体"/>
            <charset val="134"/>
          </rPr>
          <t xml:space="preserve">
2002580 5/29 1500pcs华3B13</t>
        </r>
      </text>
    </comment>
    <comment ref="AI121" authorId="0">
      <text>
        <r>
          <rPr>
            <b/>
            <sz val="9"/>
            <rFont val="宋体"/>
            <charset val="134"/>
          </rPr>
          <t>Administrator:</t>
        </r>
        <r>
          <rPr>
            <sz val="9"/>
            <rFont val="宋体"/>
            <charset val="134"/>
          </rPr>
          <t xml:space="preserve">
5/23 上UPC条码贴纸1500pcs</t>
        </r>
      </text>
    </comment>
    <comment ref="AF122" authorId="0">
      <text>
        <r>
          <rPr>
            <b/>
            <sz val="9"/>
            <rFont val="宋体"/>
            <charset val="134"/>
          </rPr>
          <t>Administrator:</t>
        </r>
        <r>
          <rPr>
            <sz val="9"/>
            <rFont val="宋体"/>
            <charset val="134"/>
          </rPr>
          <t xml:space="preserve">
20002541 6/5 2160pcs
王1-A5
2002545 6/6 3240pcs王1-A5
</t>
        </r>
      </text>
    </comment>
    <comment ref="AI122" authorId="0">
      <text>
        <r>
          <rPr>
            <b/>
            <sz val="9"/>
            <rFont val="宋体"/>
            <charset val="134"/>
          </rPr>
          <t>Administrator:</t>
        </r>
        <r>
          <rPr>
            <sz val="9"/>
            <rFont val="宋体"/>
            <charset val="134"/>
          </rPr>
          <t xml:space="preserve">
5/14 上条码贴纸5400pcs
进口商贴纸5400pcs
产品贴纸5400pcs
WEEE说明书纸5400pcs
</t>
        </r>
      </text>
    </comment>
    <comment ref="AF123" authorId="0">
      <text>
        <r>
          <rPr>
            <b/>
            <sz val="9"/>
            <rFont val="宋体"/>
            <charset val="134"/>
          </rPr>
          <t>Administrator:</t>
        </r>
        <r>
          <rPr>
            <sz val="9"/>
            <rFont val="宋体"/>
            <charset val="134"/>
          </rPr>
          <t xml:space="preserve">
2002541 6/5 3024pcs
王 1-A6
2002523 6/6 390pcs 王1-A6</t>
        </r>
      </text>
    </comment>
    <comment ref="AI123" authorId="0">
      <text>
        <r>
          <rPr>
            <b/>
            <sz val="9"/>
            <rFont val="宋体"/>
            <charset val="134"/>
          </rPr>
          <t>Administrator:</t>
        </r>
        <r>
          <rPr>
            <sz val="9"/>
            <rFont val="宋体"/>
            <charset val="134"/>
          </rPr>
          <t xml:space="preserve">
5/14 上条码贴纸3414pcs
进口商贴纸3414pcs
产品贴纸3414pcs
WEEE说明书纸3414pcs</t>
        </r>
      </text>
    </comment>
    <comment ref="AF124" authorId="0">
      <text>
        <r>
          <rPr>
            <b/>
            <sz val="9"/>
            <rFont val="宋体"/>
            <charset val="134"/>
          </rPr>
          <t>Administrator:</t>
        </r>
        <r>
          <rPr>
            <sz val="9"/>
            <rFont val="宋体"/>
            <charset val="134"/>
          </rPr>
          <t xml:space="preserve">
2002416 6/4 9750pcs王1-A3</t>
        </r>
      </text>
    </comment>
    <comment ref="AI124" authorId="0">
      <text>
        <r>
          <rPr>
            <b/>
            <sz val="9"/>
            <rFont val="宋体"/>
            <charset val="134"/>
          </rPr>
          <t>Administrator:</t>
        </r>
        <r>
          <rPr>
            <sz val="9"/>
            <rFont val="宋体"/>
            <charset val="134"/>
          </rPr>
          <t xml:space="preserve">
5/26 上多语警语折叠贴纸9800pcs
</t>
        </r>
      </text>
    </comment>
    <comment ref="AF125" authorId="0">
      <text>
        <r>
          <rPr>
            <b/>
            <sz val="9"/>
            <rFont val="宋体"/>
            <charset val="134"/>
          </rPr>
          <t>Administrator:</t>
        </r>
        <r>
          <rPr>
            <sz val="9"/>
            <rFont val="宋体"/>
            <charset val="134"/>
          </rPr>
          <t xml:space="preserve">
2002453 6/2 2500pcs华3B14</t>
        </r>
      </text>
    </comment>
    <comment ref="AI125" authorId="0">
      <text>
        <r>
          <rPr>
            <b/>
            <sz val="9"/>
            <rFont val="宋体"/>
            <charset val="134"/>
          </rPr>
          <t>Administrator:</t>
        </r>
        <r>
          <rPr>
            <sz val="9"/>
            <rFont val="宋体"/>
            <charset val="134"/>
          </rPr>
          <t xml:space="preserve">
5/14 上进口含意大利环保贴纸2500pcs
</t>
        </r>
      </text>
    </comment>
    <comment ref="AF126" authorId="0">
      <text>
        <r>
          <rPr>
            <b/>
            <sz val="9"/>
            <rFont val="宋体"/>
            <charset val="134"/>
          </rPr>
          <t>Administrator:</t>
        </r>
        <r>
          <rPr>
            <sz val="9"/>
            <rFont val="宋体"/>
            <charset val="134"/>
          </rPr>
          <t xml:space="preserve">
2002394 6/4 750pcs王1-A2</t>
        </r>
      </text>
    </comment>
    <comment ref="AI126" authorId="0">
      <text>
        <r>
          <rPr>
            <b/>
            <sz val="9"/>
            <rFont val="宋体"/>
            <charset val="134"/>
          </rPr>
          <t>Administrator:</t>
        </r>
        <r>
          <rPr>
            <sz val="9"/>
            <rFont val="宋体"/>
            <charset val="134"/>
          </rPr>
          <t xml:space="preserve">
5/14 意大利环保贴纸750pcs</t>
        </r>
      </text>
    </comment>
    <comment ref="AF127" authorId="0">
      <text>
        <r>
          <rPr>
            <b/>
            <sz val="9"/>
            <rFont val="宋体"/>
            <charset val="134"/>
          </rPr>
          <t>Administrator:</t>
        </r>
        <r>
          <rPr>
            <sz val="9"/>
            <rFont val="宋体"/>
            <charset val="134"/>
          </rPr>
          <t xml:space="preserve">
2002453 6/2 3000pcs华3B5</t>
        </r>
      </text>
    </comment>
    <comment ref="AI127" authorId="0">
      <text>
        <r>
          <rPr>
            <b/>
            <sz val="9"/>
            <rFont val="宋体"/>
            <charset val="134"/>
          </rPr>
          <t>Administrator:</t>
        </r>
        <r>
          <rPr>
            <sz val="9"/>
            <rFont val="宋体"/>
            <charset val="134"/>
          </rPr>
          <t xml:space="preserve">
5/16 上警告语/进口商贴纸3990pcs
5/29 上警语进口商贴纸1008pcs补订</t>
        </r>
      </text>
    </comment>
    <comment ref="AF128" authorId="0">
      <text>
        <r>
          <rPr>
            <b/>
            <sz val="9"/>
            <rFont val="宋体"/>
            <charset val="134"/>
          </rPr>
          <t>Administrator:</t>
        </r>
        <r>
          <rPr>
            <sz val="9"/>
            <rFont val="宋体"/>
            <charset val="134"/>
          </rPr>
          <t xml:space="preserve">
2002453 6/2 990pcs华3B4</t>
        </r>
      </text>
    </comment>
    <comment ref="AI128" authorId="0">
      <text>
        <r>
          <rPr>
            <b/>
            <sz val="9"/>
            <rFont val="宋体"/>
            <charset val="134"/>
          </rPr>
          <t>Administrator:</t>
        </r>
        <r>
          <rPr>
            <sz val="9"/>
            <rFont val="宋体"/>
            <charset val="134"/>
          </rPr>
          <t xml:space="preserve">
5/16 上EAN贴纸990pcs</t>
        </r>
      </text>
    </comment>
    <comment ref="AF129" authorId="0">
      <text>
        <r>
          <rPr>
            <b/>
            <sz val="9"/>
            <rFont val="宋体"/>
            <charset val="134"/>
          </rPr>
          <t>Administrator:</t>
        </r>
        <r>
          <rPr>
            <sz val="9"/>
            <rFont val="宋体"/>
            <charset val="134"/>
          </rPr>
          <t xml:space="preserve">
2002394 6/4 1456pcs王1-A2</t>
        </r>
      </text>
    </comment>
    <comment ref="AF130" authorId="0">
      <text>
        <r>
          <rPr>
            <b/>
            <sz val="9"/>
            <rFont val="宋体"/>
            <charset val="134"/>
          </rPr>
          <t>Administrator:</t>
        </r>
        <r>
          <rPr>
            <sz val="9"/>
            <rFont val="宋体"/>
            <charset val="134"/>
          </rPr>
          <t xml:space="preserve">
2002354 6/6 1560pcs罗1F4</t>
        </r>
      </text>
    </comment>
    <comment ref="AI130" authorId="0">
      <text>
        <r>
          <rPr>
            <b/>
            <sz val="9"/>
            <rFont val="宋体"/>
            <charset val="134"/>
          </rPr>
          <t>Administrator:</t>
        </r>
        <r>
          <rPr>
            <sz val="9"/>
            <rFont val="宋体"/>
            <charset val="134"/>
          </rPr>
          <t xml:space="preserve">
5/21 上进口商贴纸1560pcs
UPC贴纸1560pcs</t>
        </r>
      </text>
    </comment>
    <comment ref="AF131" authorId="0">
      <text>
        <r>
          <rPr>
            <b/>
            <sz val="9"/>
            <rFont val="宋体"/>
            <charset val="134"/>
          </rPr>
          <t>Administrator:</t>
        </r>
        <r>
          <rPr>
            <sz val="9"/>
            <rFont val="宋体"/>
            <charset val="134"/>
          </rPr>
          <t xml:space="preserve">
2002369 6/5 5000pcs 王 1-B4</t>
        </r>
      </text>
    </comment>
    <comment ref="AI131" authorId="0">
      <text>
        <r>
          <rPr>
            <b/>
            <sz val="9"/>
            <rFont val="宋体"/>
            <charset val="134"/>
          </rPr>
          <t>Administrator:</t>
        </r>
        <r>
          <rPr>
            <sz val="9"/>
            <rFont val="宋体"/>
            <charset val="134"/>
          </rPr>
          <t xml:space="preserve">
5/14 上进口商贴纸5000pcs</t>
        </r>
      </text>
    </comment>
    <comment ref="AF132" authorId="0">
      <text>
        <r>
          <rPr>
            <b/>
            <sz val="9"/>
            <rFont val="宋体"/>
            <charset val="134"/>
          </rPr>
          <t>Administrator:</t>
        </r>
        <r>
          <rPr>
            <sz val="9"/>
            <rFont val="宋体"/>
            <charset val="134"/>
          </rPr>
          <t xml:space="preserve">
2002496 6/14 48pcsA1楼</t>
        </r>
      </text>
    </comment>
    <comment ref="AF133" authorId="0">
      <text>
        <r>
          <rPr>
            <b/>
            <sz val="9"/>
            <rFont val="宋体"/>
            <charset val="134"/>
          </rPr>
          <t>Administrator:</t>
        </r>
        <r>
          <rPr>
            <sz val="9"/>
            <rFont val="宋体"/>
            <charset val="134"/>
          </rPr>
          <t xml:space="preserve">
2002530 6/6 600pcs王1-A8
</t>
        </r>
      </text>
    </comment>
    <comment ref="AI133" authorId="0">
      <text>
        <r>
          <rPr>
            <b/>
            <sz val="9"/>
            <rFont val="宋体"/>
            <charset val="134"/>
          </rPr>
          <t>Administrator:</t>
        </r>
        <r>
          <rPr>
            <sz val="9"/>
            <rFont val="宋体"/>
            <charset val="134"/>
          </rPr>
          <t xml:space="preserve">
4/14 上客供警语贴纸底部1240pcs
客供警语贴纸说明书上1240pcs
客供警语贴纸收藏指南1242pcs
5/7 上空白贴纸1200pcs</t>
        </r>
      </text>
    </comment>
    <comment ref="AF134" authorId="0">
      <text>
        <r>
          <rPr>
            <b/>
            <sz val="9"/>
            <rFont val="宋体"/>
            <charset val="134"/>
          </rPr>
          <t>Administrator:</t>
        </r>
        <r>
          <rPr>
            <sz val="9"/>
            <rFont val="宋体"/>
            <charset val="134"/>
          </rPr>
          <t xml:space="preserve">
2002314 6/7 528pcs华3B8</t>
        </r>
      </text>
    </comment>
    <comment ref="AI134" authorId="0">
      <text>
        <r>
          <rPr>
            <b/>
            <sz val="9"/>
            <rFont val="宋体"/>
            <charset val="134"/>
          </rPr>
          <t>Administrator:</t>
        </r>
        <r>
          <rPr>
            <sz val="9"/>
            <rFont val="宋体"/>
            <charset val="134"/>
          </rPr>
          <t xml:space="preserve">
5/12 亚马逊外箱贴纸44pcs
5/12 上空白贴纸2088pcs
两上同PO共用
 环保标贴纸1044pcs
两个同PO共用</t>
        </r>
      </text>
    </comment>
    <comment ref="AF135" authorId="0">
      <text>
        <r>
          <rPr>
            <b/>
            <sz val="9"/>
            <rFont val="宋体"/>
            <charset val="134"/>
          </rPr>
          <t>Administrator:</t>
        </r>
        <r>
          <rPr>
            <sz val="9"/>
            <rFont val="宋体"/>
            <charset val="134"/>
          </rPr>
          <t xml:space="preserve">
2002314 6/7 516pcs华3B16
</t>
        </r>
      </text>
    </comment>
    <comment ref="AI135" authorId="0">
      <text>
        <r>
          <rPr>
            <b/>
            <sz val="9"/>
            <rFont val="宋体"/>
            <charset val="134"/>
          </rPr>
          <t>Administrator:</t>
        </r>
        <r>
          <rPr>
            <sz val="9"/>
            <rFont val="宋体"/>
            <charset val="134"/>
          </rPr>
          <t xml:space="preserve">
5/12 亚马逊外箱贴纸43pcs</t>
        </r>
      </text>
    </comment>
    <comment ref="AF136" authorId="0">
      <text>
        <r>
          <rPr>
            <b/>
            <sz val="9"/>
            <rFont val="宋体"/>
            <charset val="134"/>
          </rPr>
          <t>Administrator:</t>
        </r>
        <r>
          <rPr>
            <sz val="9"/>
            <rFont val="宋体"/>
            <charset val="134"/>
          </rPr>
          <t xml:space="preserve">
2002304 6/7 2928pcs华3B10</t>
        </r>
      </text>
    </comment>
    <comment ref="AI136" authorId="0">
      <text>
        <r>
          <rPr>
            <b/>
            <sz val="9"/>
            <rFont val="宋体"/>
            <charset val="134"/>
          </rPr>
          <t>Administrator:</t>
        </r>
        <r>
          <rPr>
            <sz val="9"/>
            <rFont val="宋体"/>
            <charset val="134"/>
          </rPr>
          <t xml:space="preserve">
5/12 上空白贴纸10512pcs
三个同PO共用
上环保标贴纸5256pcs
两个同PO共用
5/19 上亚马逊外箱贴纸244pcs
</t>
        </r>
      </text>
    </comment>
    <comment ref="AF137" authorId="0">
      <text>
        <r>
          <rPr>
            <b/>
            <sz val="9"/>
            <rFont val="宋体"/>
            <charset val="134"/>
          </rPr>
          <t>Administrator:</t>
        </r>
        <r>
          <rPr>
            <sz val="9"/>
            <rFont val="宋体"/>
            <charset val="134"/>
          </rPr>
          <t xml:space="preserve">
2002314 6/7 1548pcs华3A16</t>
        </r>
      </text>
    </comment>
    <comment ref="AI137" authorId="0">
      <text>
        <r>
          <rPr>
            <b/>
            <sz val="9"/>
            <rFont val="宋体"/>
            <charset val="134"/>
          </rPr>
          <t>Administrator:</t>
        </r>
        <r>
          <rPr>
            <sz val="9"/>
            <rFont val="宋体"/>
            <charset val="134"/>
          </rPr>
          <t xml:space="preserve">
5/19 上亚马逊外箱贴纸129pcs</t>
        </r>
      </text>
    </comment>
    <comment ref="AF138" authorId="0">
      <text>
        <r>
          <rPr>
            <b/>
            <sz val="9"/>
            <rFont val="宋体"/>
            <charset val="134"/>
          </rPr>
          <t>Administrator:</t>
        </r>
        <r>
          <rPr>
            <sz val="9"/>
            <rFont val="宋体"/>
            <charset val="134"/>
          </rPr>
          <t xml:space="preserve">
2002304 6/7 780pcs华3B14
</t>
        </r>
      </text>
    </comment>
    <comment ref="AI138" authorId="0">
      <text>
        <r>
          <rPr>
            <b/>
            <sz val="9"/>
            <rFont val="宋体"/>
            <charset val="134"/>
          </rPr>
          <t>Administrator:</t>
        </r>
        <r>
          <rPr>
            <sz val="9"/>
            <rFont val="宋体"/>
            <charset val="134"/>
          </rPr>
          <t xml:space="preserve">
5/19 上亚马逊外箱贴纸65pcs</t>
        </r>
      </text>
    </comment>
    <comment ref="AF139" authorId="0">
      <text>
        <r>
          <rPr>
            <b/>
            <sz val="9"/>
            <rFont val="宋体"/>
            <charset val="134"/>
          </rPr>
          <t>Administrator:</t>
        </r>
        <r>
          <rPr>
            <sz val="9"/>
            <rFont val="宋体"/>
            <charset val="134"/>
          </rPr>
          <t xml:space="preserve">
2002343 6/6 5500pcs王1-A7</t>
        </r>
      </text>
    </comment>
    <comment ref="AI139" authorId="0">
      <text>
        <r>
          <rPr>
            <b/>
            <sz val="9"/>
            <rFont val="宋体"/>
            <charset val="134"/>
          </rPr>
          <t>Administrator:</t>
        </r>
        <r>
          <rPr>
            <sz val="9"/>
            <rFont val="宋体"/>
            <charset val="134"/>
          </rPr>
          <t xml:space="preserve">
5/29 上外箱贴纸110pcs
5/29 上进口商贴纸5500pcs
UPC贴纸5500pcs</t>
        </r>
      </text>
    </comment>
    <comment ref="AF140" authorId="0">
      <text>
        <r>
          <rPr>
            <b/>
            <sz val="9"/>
            <rFont val="宋体"/>
            <charset val="134"/>
          </rPr>
          <t>Administrator:</t>
        </r>
        <r>
          <rPr>
            <sz val="9"/>
            <rFont val="宋体"/>
            <charset val="134"/>
          </rPr>
          <t xml:space="preserve">
2002304 6/7 504pcs华3B14
</t>
        </r>
      </text>
    </comment>
    <comment ref="AI140" authorId="0">
      <text>
        <r>
          <rPr>
            <b/>
            <sz val="9"/>
            <rFont val="宋体"/>
            <charset val="134"/>
          </rPr>
          <t>Administrator:</t>
        </r>
        <r>
          <rPr>
            <sz val="9"/>
            <rFont val="宋体"/>
            <charset val="134"/>
          </rPr>
          <t xml:space="preserve">
5/19 上亚马逊外箱贴纸42pcs
5/20 上空白贴纸2016pcs
环保标贴纸1008pcs</t>
        </r>
      </text>
    </comment>
    <comment ref="AF141" authorId="0">
      <text>
        <r>
          <rPr>
            <b/>
            <sz val="9"/>
            <rFont val="宋体"/>
            <charset val="134"/>
          </rPr>
          <t>Administrator:</t>
        </r>
        <r>
          <rPr>
            <sz val="9"/>
            <rFont val="宋体"/>
            <charset val="134"/>
          </rPr>
          <t xml:space="preserve">
2002304 6/7 504pcs华3B14</t>
        </r>
      </text>
    </comment>
    <comment ref="AI141" authorId="0">
      <text>
        <r>
          <rPr>
            <b/>
            <sz val="9"/>
            <rFont val="宋体"/>
            <charset val="134"/>
          </rPr>
          <t>Administrator:</t>
        </r>
        <r>
          <rPr>
            <sz val="9"/>
            <rFont val="宋体"/>
            <charset val="134"/>
          </rPr>
          <t xml:space="preserve">
5/19 上亚马逊外箱贴纸42pcs
</t>
        </r>
      </text>
    </comment>
    <comment ref="AF142" authorId="0">
      <text>
        <r>
          <rPr>
            <b/>
            <sz val="9"/>
            <rFont val="宋体"/>
            <charset val="134"/>
          </rPr>
          <t>Administrator:</t>
        </r>
        <r>
          <rPr>
            <sz val="9"/>
            <rFont val="宋体"/>
            <charset val="134"/>
          </rPr>
          <t xml:space="preserve">
2002280 6/9 50pcs罗
2002349 6/6 4950pcs王 1-A4</t>
        </r>
      </text>
    </comment>
    <comment ref="AF143" authorId="0">
      <text>
        <r>
          <rPr>
            <b/>
            <sz val="9"/>
            <rFont val="宋体"/>
            <charset val="134"/>
          </rPr>
          <t>Administrator:</t>
        </r>
        <r>
          <rPr>
            <sz val="9"/>
            <rFont val="宋体"/>
            <charset val="134"/>
          </rPr>
          <t xml:space="preserve">
2002354 6/6 504pcs罗1-F4</t>
        </r>
      </text>
    </comment>
    <comment ref="AI143" authorId="0">
      <text>
        <r>
          <rPr>
            <b/>
            <sz val="9"/>
            <rFont val="宋体"/>
            <charset val="134"/>
          </rPr>
          <t>Administrator:</t>
        </r>
        <r>
          <rPr>
            <sz val="9"/>
            <rFont val="宋体"/>
            <charset val="134"/>
          </rPr>
          <t xml:space="preserve">
冰棒款说明书荷兰语贴纸168pcs
蛋糕款说明书荷兰语贴纸168pcs
布丁款说明书荷兰语贴纸168pcs
</t>
        </r>
      </text>
    </comment>
    <comment ref="AF144" authorId="0">
      <text>
        <r>
          <rPr>
            <b/>
            <sz val="9"/>
            <rFont val="宋体"/>
            <charset val="134"/>
          </rPr>
          <t>Administrator:</t>
        </r>
        <r>
          <rPr>
            <sz val="9"/>
            <rFont val="宋体"/>
            <charset val="134"/>
          </rPr>
          <t xml:space="preserve">
2002362 6/6 1000pcs莫4B9</t>
        </r>
      </text>
    </comment>
    <comment ref="AI144" authorId="0">
      <text>
        <r>
          <rPr>
            <b/>
            <sz val="9"/>
            <rFont val="宋体"/>
            <charset val="134"/>
          </rPr>
          <t>Administrator:</t>
        </r>
        <r>
          <rPr>
            <sz val="9"/>
            <rFont val="宋体"/>
            <charset val="134"/>
          </rPr>
          <t xml:space="preserve">
5/21 上UPC条码贴纸1000pcs</t>
        </r>
      </text>
    </comment>
    <comment ref="AF145" authorId="0">
      <text>
        <r>
          <rPr>
            <b/>
            <sz val="9"/>
            <rFont val="宋体"/>
            <charset val="134"/>
          </rPr>
          <t>Administrator:</t>
        </r>
        <r>
          <rPr>
            <sz val="9"/>
            <rFont val="宋体"/>
            <charset val="134"/>
          </rPr>
          <t xml:space="preserve">
2002352 6/7 725pcs王1-B10</t>
        </r>
      </text>
    </comment>
    <comment ref="AF146" authorId="0">
      <text>
        <r>
          <rPr>
            <b/>
            <sz val="9"/>
            <rFont val="宋体"/>
            <charset val="134"/>
          </rPr>
          <t>Administrator:</t>
        </r>
        <r>
          <rPr>
            <sz val="9"/>
            <rFont val="宋体"/>
            <charset val="134"/>
          </rPr>
          <t xml:space="preserve">
2002352 6/7 750pcs王1-B10</t>
        </r>
      </text>
    </comment>
    <comment ref="AF147" authorId="0">
      <text>
        <r>
          <rPr>
            <b/>
            <sz val="9"/>
            <rFont val="宋体"/>
            <charset val="134"/>
          </rPr>
          <t>Administrator:</t>
        </r>
        <r>
          <rPr>
            <sz val="9"/>
            <rFont val="宋体"/>
            <charset val="134"/>
          </rPr>
          <t xml:space="preserve">
2002352 6/7 1000pcs王1-B10
</t>
        </r>
      </text>
    </comment>
    <comment ref="AF148" authorId="0">
      <text>
        <r>
          <rPr>
            <b/>
            <sz val="9"/>
            <rFont val="宋体"/>
            <charset val="134"/>
          </rPr>
          <t>Administrator:</t>
        </r>
        <r>
          <rPr>
            <sz val="9"/>
            <rFont val="宋体"/>
            <charset val="134"/>
          </rPr>
          <t xml:space="preserve">
2002352 6/7 550pcs王1-B10
</t>
        </r>
      </text>
    </comment>
    <comment ref="AF149" authorId="0">
      <text>
        <r>
          <rPr>
            <b/>
            <sz val="9"/>
            <rFont val="宋体"/>
            <charset val="134"/>
          </rPr>
          <t>Administrator:</t>
        </r>
        <r>
          <rPr>
            <sz val="9"/>
            <rFont val="宋体"/>
            <charset val="134"/>
          </rPr>
          <t xml:space="preserve">
2002297 6/9 2483pcs莫5-A7</t>
        </r>
      </text>
    </comment>
    <comment ref="AI149" authorId="0">
      <text>
        <r>
          <rPr>
            <b/>
            <sz val="9"/>
            <rFont val="宋体"/>
            <charset val="134"/>
          </rPr>
          <t>Administrator:</t>
        </r>
        <r>
          <rPr>
            <sz val="9"/>
            <rFont val="宋体"/>
            <charset val="134"/>
          </rPr>
          <t xml:space="preserve">
5/12 上白色防盗贴纸2483pcs
5/24 上UPC条码贴纸2483pcs
KM外箱贴纸191pcs</t>
        </r>
      </text>
    </comment>
    <comment ref="AF150" authorId="0">
      <text>
        <r>
          <rPr>
            <b/>
            <sz val="9"/>
            <rFont val="宋体"/>
            <charset val="134"/>
          </rPr>
          <t>Administrator:</t>
        </r>
        <r>
          <rPr>
            <sz val="9"/>
            <rFont val="宋体"/>
            <charset val="134"/>
          </rPr>
          <t xml:space="preserve">
2002510 6/7 1002pcs直走</t>
        </r>
      </text>
    </comment>
    <comment ref="AI150" authorId="0">
      <text>
        <r>
          <rPr>
            <b/>
            <sz val="9"/>
            <rFont val="宋体"/>
            <charset val="134"/>
          </rPr>
          <t>Administrator:</t>
        </r>
        <r>
          <rPr>
            <sz val="9"/>
            <rFont val="宋体"/>
            <charset val="134"/>
          </rPr>
          <t xml:space="preserve">
5/19 WEEE带电池走货欧洲30语通用黑白说明书1002pcs
EAN条码贴纸1002pcs
进口商贴纸1002pcs
6/5 上进口商贴纸1002pcs补订</t>
        </r>
      </text>
    </comment>
    <comment ref="AF151" authorId="0">
      <text>
        <r>
          <rPr>
            <b/>
            <sz val="9"/>
            <rFont val="宋体"/>
            <charset val="134"/>
          </rPr>
          <t>Administrator:</t>
        </r>
        <r>
          <rPr>
            <sz val="9"/>
            <rFont val="宋体"/>
            <charset val="134"/>
          </rPr>
          <t xml:space="preserve">
2002243 6/12 1008pcs
</t>
        </r>
      </text>
    </comment>
    <comment ref="AF152" authorId="0">
      <text>
        <r>
          <rPr>
            <b/>
            <sz val="9"/>
            <rFont val="宋体"/>
            <charset val="134"/>
          </rPr>
          <t>Administrator:</t>
        </r>
        <r>
          <rPr>
            <sz val="9"/>
            <rFont val="宋体"/>
            <charset val="134"/>
          </rPr>
          <t xml:space="preserve">
2002243 6/12 1008pcs</t>
        </r>
      </text>
    </comment>
    <comment ref="AF153" authorId="0">
      <text>
        <r>
          <rPr>
            <b/>
            <sz val="9"/>
            <rFont val="宋体"/>
            <charset val="134"/>
          </rPr>
          <t>Administrator:</t>
        </r>
        <r>
          <rPr>
            <sz val="9"/>
            <rFont val="宋体"/>
            <charset val="134"/>
          </rPr>
          <t xml:space="preserve">
2002276 6/9 800pcs罗3B8</t>
        </r>
      </text>
    </comment>
    <comment ref="AI153" authorId="0">
      <text>
        <r>
          <rPr>
            <b/>
            <sz val="9"/>
            <rFont val="宋体"/>
            <charset val="134"/>
          </rPr>
          <t>Administrator:</t>
        </r>
        <r>
          <rPr>
            <sz val="9"/>
            <rFont val="宋体"/>
            <charset val="134"/>
          </rPr>
          <t xml:space="preserve">
5/14 上进口商贴纸800pcs
5/24 上价标贴纸800pcs
5/26 上客供HU贴纸16pcs
客供AS贴纸16pcs</t>
        </r>
      </text>
    </comment>
    <comment ref="AF154" authorId="0">
      <text>
        <r>
          <rPr>
            <b/>
            <sz val="9"/>
            <rFont val="宋体"/>
            <charset val="134"/>
          </rPr>
          <t>Administrator:</t>
        </r>
        <r>
          <rPr>
            <sz val="9"/>
            <rFont val="宋体"/>
            <charset val="134"/>
          </rPr>
          <t xml:space="preserve">
2000801 5/24 7200pcs</t>
        </r>
      </text>
    </comment>
    <comment ref="AI154" authorId="0">
      <text>
        <r>
          <rPr>
            <b/>
            <sz val="9"/>
            <rFont val="宋体"/>
            <charset val="134"/>
          </rPr>
          <t>Administrator:</t>
        </r>
        <r>
          <rPr>
            <sz val="9"/>
            <rFont val="宋体"/>
            <charset val="134"/>
          </rPr>
          <t xml:space="preserve">
5/14 上进口含意大利环保贴纸7200pcs
5/14 展示架条码贴纸80pcs
展示架条码贴纸130pcs</t>
        </r>
      </text>
    </comment>
    <comment ref="AF155" authorId="0">
      <text>
        <r>
          <rPr>
            <b/>
            <sz val="9"/>
            <rFont val="宋体"/>
            <charset val="134"/>
          </rPr>
          <t>Administrator:</t>
        </r>
        <r>
          <rPr>
            <sz val="9"/>
            <rFont val="宋体"/>
            <charset val="134"/>
          </rPr>
          <t xml:space="preserve">
2002465 5/29 2520pcs莫4B9送回半成品车间混装</t>
        </r>
      </text>
    </comment>
    <comment ref="AF156" authorId="0">
      <text>
        <r>
          <rPr>
            <b/>
            <sz val="9"/>
            <rFont val="宋体"/>
            <charset val="134"/>
          </rPr>
          <t>Administrator:</t>
        </r>
        <r>
          <rPr>
            <sz val="9"/>
            <rFont val="宋体"/>
            <charset val="134"/>
          </rPr>
          <t xml:space="preserve">
2002267 6/10 1248pcs
华3B8</t>
        </r>
      </text>
    </comment>
    <comment ref="AI156" authorId="0">
      <text>
        <r>
          <rPr>
            <b/>
            <sz val="9"/>
            <rFont val="宋体"/>
            <charset val="134"/>
          </rPr>
          <t>Administrator:</t>
        </r>
        <r>
          <rPr>
            <sz val="9"/>
            <rFont val="宋体"/>
            <charset val="134"/>
          </rPr>
          <t xml:space="preserve">
5/12 上空白贴纸1248pcs
EAN条码贴纸1248pcs
警告语贴纸pcs</t>
        </r>
      </text>
    </comment>
    <comment ref="AF157" authorId="0">
      <text>
        <r>
          <rPr>
            <b/>
            <sz val="9"/>
            <rFont val="宋体"/>
            <charset val="134"/>
          </rPr>
          <t>Administrator:</t>
        </r>
        <r>
          <rPr>
            <sz val="9"/>
            <rFont val="宋体"/>
            <charset val="134"/>
          </rPr>
          <t xml:space="preserve">
2000785 5/24 2700pcs东莞混装送回半成品球</t>
        </r>
      </text>
    </comment>
    <comment ref="AI157" authorId="0">
      <text>
        <r>
          <rPr>
            <b/>
            <sz val="9"/>
            <rFont val="宋体"/>
            <charset val="134"/>
          </rPr>
          <t>Administrator:</t>
        </r>
        <r>
          <rPr>
            <sz val="9"/>
            <rFont val="宋体"/>
            <charset val="134"/>
          </rPr>
          <t xml:space="preserve">
5/9 上意大利环保标通用地址贴纸2700pcs</t>
        </r>
      </text>
    </comment>
    <comment ref="AF158" authorId="0">
      <text>
        <r>
          <rPr>
            <b/>
            <sz val="9"/>
            <rFont val="宋体"/>
            <charset val="134"/>
          </rPr>
          <t>Administrator:</t>
        </r>
        <r>
          <rPr>
            <sz val="9"/>
            <rFont val="宋体"/>
            <charset val="134"/>
          </rPr>
          <t xml:space="preserve">
2002318 6/7 20016pcs莫4B8</t>
        </r>
      </text>
    </comment>
    <comment ref="AF159" authorId="0">
      <text>
        <r>
          <rPr>
            <b/>
            <sz val="9"/>
            <rFont val="宋体"/>
            <charset val="134"/>
          </rPr>
          <t>Administrator:</t>
        </r>
        <r>
          <rPr>
            <sz val="9"/>
            <rFont val="宋体"/>
            <charset val="134"/>
          </rPr>
          <t xml:space="preserve">
2002303 6/7 3840pcs
2002318 6/7 20016pcs莫4A5
</t>
        </r>
      </text>
    </comment>
    <comment ref="AF160" authorId="0">
      <text>
        <r>
          <rPr>
            <b/>
            <sz val="9"/>
            <rFont val="宋体"/>
            <charset val="134"/>
          </rPr>
          <t>Administrator:</t>
        </r>
        <r>
          <rPr>
            <sz val="9"/>
            <rFont val="宋体"/>
            <charset val="134"/>
          </rPr>
          <t xml:space="preserve">
 2002353 6/7 19200pcs莫B栋 C7</t>
        </r>
      </text>
    </comment>
    <comment ref="AF161" authorId="0">
      <text>
        <r>
          <rPr>
            <b/>
            <sz val="9"/>
            <rFont val="宋体"/>
            <charset val="134"/>
          </rPr>
          <t>Administrator:</t>
        </r>
        <r>
          <rPr>
            <sz val="9"/>
            <rFont val="宋体"/>
            <charset val="134"/>
          </rPr>
          <t xml:space="preserve">
2002297 6/9 6576pcs莫4-B9</t>
        </r>
      </text>
    </comment>
    <comment ref="AF162" authorId="0">
      <text>
        <r>
          <rPr>
            <b/>
            <sz val="9"/>
            <rFont val="宋体"/>
            <charset val="134"/>
          </rPr>
          <t>Administrator:</t>
        </r>
        <r>
          <rPr>
            <sz val="9"/>
            <rFont val="宋体"/>
            <charset val="134"/>
          </rPr>
          <t xml:space="preserve">
2002318 6/7 20784pcs莫4A5
</t>
        </r>
      </text>
    </comment>
    <comment ref="AF163" authorId="0">
      <text>
        <r>
          <rPr>
            <b/>
            <sz val="9"/>
            <rFont val="宋体"/>
            <charset val="134"/>
          </rPr>
          <t>Administrator:</t>
        </r>
        <r>
          <rPr>
            <sz val="9"/>
            <rFont val="宋体"/>
            <charset val="134"/>
          </rPr>
          <t xml:space="preserve">
2002303 6/7 38400pcs莫4C5</t>
        </r>
      </text>
    </comment>
    <comment ref="AF164" authorId="0">
      <text>
        <r>
          <rPr>
            <b/>
            <sz val="9"/>
            <rFont val="宋体"/>
            <charset val="134"/>
          </rPr>
          <t>Administrator:</t>
        </r>
        <r>
          <rPr>
            <sz val="9"/>
            <rFont val="宋体"/>
            <charset val="134"/>
          </rPr>
          <t xml:space="preserve">
2002267 6/10 1200pcs
华3B8</t>
        </r>
      </text>
    </comment>
    <comment ref="AI164" authorId="0">
      <text>
        <r>
          <rPr>
            <b/>
            <sz val="9"/>
            <rFont val="宋体"/>
            <charset val="134"/>
          </rPr>
          <t>Administrator:</t>
        </r>
        <r>
          <rPr>
            <sz val="9"/>
            <rFont val="宋体"/>
            <charset val="134"/>
          </rPr>
          <t xml:space="preserve">
5/21 上警告语/信息翻译贴纸600pcs
1 袋子警告语贴纸1800pcs
1 袋子警告语贴纸600pcs
说明书警告语贴纸1200pcs
6/3 上袋子警告语贴纸3600pcs</t>
        </r>
      </text>
    </comment>
    <comment ref="AF165" authorId="0">
      <text>
        <r>
          <rPr>
            <b/>
            <sz val="9"/>
            <rFont val="宋体"/>
            <charset val="134"/>
          </rPr>
          <t>Administrator:</t>
        </r>
        <r>
          <rPr>
            <sz val="9"/>
            <rFont val="宋体"/>
            <charset val="134"/>
          </rPr>
          <t xml:space="preserve">
3002287 6/10 3000pcs直走</t>
        </r>
      </text>
    </comment>
    <comment ref="AI165" authorId="0">
      <text>
        <r>
          <rPr>
            <b/>
            <sz val="9"/>
            <rFont val="宋体"/>
            <charset val="134"/>
          </rPr>
          <t>Administrator:</t>
        </r>
        <r>
          <rPr>
            <sz val="9"/>
            <rFont val="宋体"/>
            <charset val="134"/>
          </rPr>
          <t xml:space="preserve">
5/27 上进口商贴纸3000pcs
UPC贴纸3000pcs</t>
        </r>
      </text>
    </comment>
    <comment ref="AF166" authorId="0">
      <text>
        <r>
          <rPr>
            <b/>
            <sz val="9"/>
            <rFont val="宋体"/>
            <charset val="134"/>
          </rPr>
          <t>Administrator:</t>
        </r>
        <r>
          <rPr>
            <sz val="9"/>
            <rFont val="宋体"/>
            <charset val="134"/>
          </rPr>
          <t xml:space="preserve">
2002243 6/12 1200pcs华3B14</t>
        </r>
      </text>
    </comment>
    <comment ref="AF167" authorId="0">
      <text>
        <r>
          <rPr>
            <b/>
            <sz val="9"/>
            <rFont val="宋体"/>
            <charset val="134"/>
          </rPr>
          <t>Administrator:</t>
        </r>
        <r>
          <rPr>
            <sz val="9"/>
            <rFont val="宋体"/>
            <charset val="134"/>
          </rPr>
          <t xml:space="preserve">
2002236 6/12 5044pcs
华3B9</t>
        </r>
      </text>
    </comment>
    <comment ref="AI167" authorId="0">
      <text>
        <r>
          <rPr>
            <b/>
            <sz val="9"/>
            <rFont val="宋体"/>
            <charset val="134"/>
          </rPr>
          <t>Administrator:</t>
        </r>
        <r>
          <rPr>
            <sz val="9"/>
            <rFont val="宋体"/>
            <charset val="134"/>
          </rPr>
          <t xml:space="preserve">
5/19 上进口商贴纸5344pcs
UPC贴纸5344pcs
以上两个同PO共用</t>
        </r>
      </text>
    </comment>
    <comment ref="AF168" authorId="0">
      <text>
        <r>
          <rPr>
            <b/>
            <sz val="9"/>
            <rFont val="宋体"/>
            <charset val="134"/>
          </rPr>
          <t>Administrator:</t>
        </r>
        <r>
          <rPr>
            <sz val="9"/>
            <rFont val="宋体"/>
            <charset val="134"/>
          </rPr>
          <t xml:space="preserve">
2002236 6/12 300pcs
华3</t>
        </r>
      </text>
    </comment>
    <comment ref="AF169" authorId="0">
      <text>
        <r>
          <rPr>
            <b/>
            <sz val="9"/>
            <rFont val="宋体"/>
            <charset val="134"/>
          </rPr>
          <t>Administrator:</t>
        </r>
        <r>
          <rPr>
            <sz val="9"/>
            <rFont val="宋体"/>
            <charset val="134"/>
          </rPr>
          <t xml:space="preserve">
2002260 6/11 6064pcs华3A12</t>
        </r>
      </text>
    </comment>
    <comment ref="AI169" authorId="0">
      <text>
        <r>
          <rPr>
            <b/>
            <sz val="9"/>
            <rFont val="宋体"/>
            <charset val="134"/>
          </rPr>
          <t>Administrator:</t>
        </r>
        <r>
          <rPr>
            <sz val="9"/>
            <rFont val="宋体"/>
            <charset val="134"/>
          </rPr>
          <t xml:space="preserve">
5/12 上客供RFID贴纸6064pcs</t>
        </r>
      </text>
    </comment>
    <comment ref="AF170" authorId="0">
      <text>
        <r>
          <rPr>
            <b/>
            <sz val="9"/>
            <rFont val="宋体"/>
            <charset val="134"/>
          </rPr>
          <t>Administrator:</t>
        </r>
        <r>
          <rPr>
            <sz val="9"/>
            <rFont val="宋体"/>
            <charset val="134"/>
          </rPr>
          <t xml:space="preserve">
2002237 6/11 5232pcs华3A10</t>
        </r>
      </text>
    </comment>
    <comment ref="AI170" authorId="0">
      <text>
        <r>
          <rPr>
            <b/>
            <sz val="9"/>
            <rFont val="宋体"/>
            <charset val="134"/>
          </rPr>
          <t>Administrator:</t>
        </r>
        <r>
          <rPr>
            <sz val="9"/>
            <rFont val="宋体"/>
            <charset val="134"/>
          </rPr>
          <t xml:space="preserve">
5/12 上客供RFID贴纸5232pcs</t>
        </r>
      </text>
    </comment>
    <comment ref="AF171" authorId="0">
      <text>
        <r>
          <rPr>
            <b/>
            <sz val="9"/>
            <rFont val="宋体"/>
            <charset val="134"/>
          </rPr>
          <t>Administrator:</t>
        </r>
        <r>
          <rPr>
            <sz val="9"/>
            <rFont val="宋体"/>
            <charset val="134"/>
          </rPr>
          <t xml:space="preserve">
2002237 6/11 2600pcs华3A28</t>
        </r>
      </text>
    </comment>
    <comment ref="AI171" authorId="0">
      <text>
        <r>
          <rPr>
            <b/>
            <sz val="9"/>
            <rFont val="宋体"/>
            <charset val="134"/>
          </rPr>
          <t>Administrator:</t>
        </r>
        <r>
          <rPr>
            <sz val="9"/>
            <rFont val="宋体"/>
            <charset val="134"/>
          </rPr>
          <t xml:space="preserve">
5/15 上多语警语折叠贴纸25100pcs
三个同PO共用</t>
        </r>
      </text>
    </comment>
    <comment ref="AF172" authorId="0">
      <text>
        <r>
          <rPr>
            <b/>
            <sz val="9"/>
            <rFont val="宋体"/>
            <charset val="134"/>
          </rPr>
          <t>Administrator:</t>
        </r>
        <r>
          <rPr>
            <sz val="9"/>
            <rFont val="宋体"/>
            <charset val="134"/>
          </rPr>
          <t xml:space="preserve">
2002237 6/11 4500pcs华3
B3</t>
        </r>
      </text>
    </comment>
    <comment ref="AF173" authorId="0">
      <text>
        <r>
          <rPr>
            <b/>
            <sz val="9"/>
            <rFont val="宋体"/>
            <charset val="134"/>
          </rPr>
          <t>Administrator:</t>
        </r>
        <r>
          <rPr>
            <sz val="9"/>
            <rFont val="宋体"/>
            <charset val="134"/>
          </rPr>
          <t xml:space="preserve">
2002354 6/6 2700pcs罗 1-F4</t>
        </r>
      </text>
    </comment>
    <comment ref="AI174" authorId="0">
      <text>
        <r>
          <rPr>
            <b/>
            <sz val="9"/>
            <rFont val="宋体"/>
            <charset val="134"/>
          </rPr>
          <t>Administrator:</t>
        </r>
        <r>
          <rPr>
            <sz val="9"/>
            <rFont val="宋体"/>
            <charset val="134"/>
          </rPr>
          <t xml:space="preserve">
5/26 上多语警语折叠贴纸7300pcs
以上三个同PO共用
5/27 上EAN条码贴纸7344pcs
三个同PO共用
5/30 上多语折叠贴纸4560pcs</t>
        </r>
      </text>
    </comment>
    <comment ref="AF175" authorId="0">
      <text>
        <r>
          <rPr>
            <b/>
            <sz val="9"/>
            <rFont val="宋体"/>
            <charset val="134"/>
          </rPr>
          <t>Administrator:</t>
        </r>
        <r>
          <rPr>
            <sz val="9"/>
            <rFont val="宋体"/>
            <charset val="134"/>
          </rPr>
          <t xml:space="preserve">
2002236 6/12 12425pcs
华3A23
2002212 6/13 200pcs华3A23</t>
        </r>
      </text>
    </comment>
    <comment ref="AI175" authorId="0">
      <text>
        <r>
          <rPr>
            <b/>
            <sz val="9"/>
            <rFont val="宋体"/>
            <charset val="134"/>
          </rPr>
          <t>Administrator:</t>
        </r>
        <r>
          <rPr>
            <sz val="9"/>
            <rFont val="宋体"/>
            <charset val="134"/>
          </rPr>
          <t xml:space="preserve">
5/30 上客供外箱条码贴纸510pcs
</t>
        </r>
      </text>
    </comment>
    <comment ref="AF176" authorId="0">
      <text>
        <r>
          <rPr>
            <b/>
            <sz val="9"/>
            <rFont val="宋体"/>
            <charset val="134"/>
          </rPr>
          <t>Administrator:</t>
        </r>
        <r>
          <rPr>
            <sz val="9"/>
            <rFont val="宋体"/>
            <charset val="134"/>
          </rPr>
          <t xml:space="preserve">
2002199 6/13 9893pcs华3A10</t>
        </r>
      </text>
    </comment>
    <comment ref="AI176" authorId="0">
      <text>
        <r>
          <rPr>
            <b/>
            <sz val="9"/>
            <rFont val="宋体"/>
            <charset val="134"/>
          </rPr>
          <t>Administrator:</t>
        </r>
        <r>
          <rPr>
            <sz val="9"/>
            <rFont val="宋体"/>
            <charset val="134"/>
          </rPr>
          <t xml:space="preserve">
5/30 上多语折叠贴纸9893pcs
</t>
        </r>
      </text>
    </comment>
    <comment ref="AF177" authorId="0">
      <text>
        <r>
          <rPr>
            <b/>
            <sz val="9"/>
            <rFont val="宋体"/>
            <charset val="134"/>
          </rPr>
          <t>Administrator:</t>
        </r>
        <r>
          <rPr>
            <sz val="9"/>
            <rFont val="宋体"/>
            <charset val="134"/>
          </rPr>
          <t xml:space="preserve">
2002236 6/12 2327pcs华3A16</t>
        </r>
      </text>
    </comment>
    <comment ref="AI177" authorId="0">
      <text>
        <r>
          <rPr>
            <b/>
            <sz val="9"/>
            <rFont val="宋体"/>
            <charset val="134"/>
          </rPr>
          <t>Administrator:</t>
        </r>
        <r>
          <rPr>
            <sz val="9"/>
            <rFont val="宋体"/>
            <charset val="134"/>
          </rPr>
          <t xml:space="preserve">
5/14 进口商贴纸2327pcs</t>
        </r>
      </text>
    </comment>
    <comment ref="AF178" authorId="0">
      <text>
        <r>
          <rPr>
            <b/>
            <sz val="9"/>
            <rFont val="宋体"/>
            <charset val="134"/>
          </rPr>
          <t>Administrator:</t>
        </r>
        <r>
          <rPr>
            <sz val="9"/>
            <rFont val="宋体"/>
            <charset val="134"/>
          </rPr>
          <t xml:space="preserve">
2002212 6/13 12375pcs华3A20
2002216 6/13 2775pcs华3A20</t>
        </r>
      </text>
    </comment>
    <comment ref="AI178" authorId="0">
      <text>
        <r>
          <rPr>
            <b/>
            <sz val="9"/>
            <rFont val="宋体"/>
            <charset val="134"/>
          </rPr>
          <t>Administrator:</t>
        </r>
        <r>
          <rPr>
            <sz val="9"/>
            <rFont val="宋体"/>
            <charset val="134"/>
          </rPr>
          <t xml:space="preserve">
5/30 上客供外箱条码贴纸612pcs
</t>
        </r>
      </text>
    </comment>
    <comment ref="AF179" authorId="0">
      <text>
        <r>
          <rPr>
            <b/>
            <sz val="9"/>
            <rFont val="宋体"/>
            <charset val="134"/>
          </rPr>
          <t>Administrator:</t>
        </r>
        <r>
          <rPr>
            <sz val="9"/>
            <rFont val="宋体"/>
            <charset val="134"/>
          </rPr>
          <t xml:space="preserve">
2002212 6/13 20850pcs华3A21
2002205 6/14 25pcs华3A21</t>
        </r>
      </text>
    </comment>
    <comment ref="AI179" authorId="0">
      <text>
        <r>
          <rPr>
            <b/>
            <sz val="9"/>
            <rFont val="宋体"/>
            <charset val="134"/>
          </rPr>
          <t>Administrator:</t>
        </r>
        <r>
          <rPr>
            <sz val="9"/>
            <rFont val="宋体"/>
            <charset val="134"/>
          </rPr>
          <t xml:space="preserve">
5/30 上客供外箱条码贴纸843pcs
</t>
        </r>
      </text>
    </comment>
    <comment ref="AF180" authorId="0">
      <text>
        <r>
          <rPr>
            <b/>
            <sz val="9"/>
            <rFont val="宋体"/>
            <charset val="134"/>
          </rPr>
          <t>Administrator:</t>
        </r>
        <r>
          <rPr>
            <sz val="9"/>
            <rFont val="宋体"/>
            <charset val="134"/>
          </rPr>
          <t xml:space="preserve">
2002216 6/13 17400pcs华3A21</t>
        </r>
      </text>
    </comment>
    <comment ref="AF181" authorId="0">
      <text>
        <r>
          <rPr>
            <b/>
            <sz val="9"/>
            <rFont val="宋体"/>
            <charset val="134"/>
          </rPr>
          <t>Administrator:</t>
        </r>
        <r>
          <rPr>
            <sz val="9"/>
            <rFont val="宋体"/>
            <charset val="134"/>
          </rPr>
          <t xml:space="preserve">
2002155 6/17 26pcs张全 一楼</t>
        </r>
      </text>
    </comment>
    <comment ref="AF183" authorId="0">
      <text>
        <r>
          <rPr>
            <b/>
            <sz val="9"/>
            <rFont val="宋体"/>
            <charset val="134"/>
          </rPr>
          <t>Administrator:</t>
        </r>
        <r>
          <rPr>
            <sz val="9"/>
            <rFont val="宋体"/>
            <charset val="134"/>
          </rPr>
          <t xml:space="preserve">
2002129 6/18 8450pcs华3A18</t>
        </r>
      </text>
    </comment>
    <comment ref="AF184" authorId="0">
      <text>
        <r>
          <rPr>
            <b/>
            <sz val="9"/>
            <rFont val="宋体"/>
            <charset val="134"/>
          </rPr>
          <t>Administrator:</t>
        </r>
        <r>
          <rPr>
            <sz val="9"/>
            <rFont val="宋体"/>
            <charset val="134"/>
          </rPr>
          <t xml:space="preserve">
2002082 6/18 50pcs
华3A23
2002164 6/18 6200pcs华3A23</t>
        </r>
      </text>
    </comment>
    <comment ref="AI184" authorId="0">
      <text>
        <r>
          <rPr>
            <b/>
            <sz val="9"/>
            <rFont val="宋体"/>
            <charset val="134"/>
          </rPr>
          <t>Administrator:</t>
        </r>
        <r>
          <rPr>
            <sz val="9"/>
            <rFont val="宋体"/>
            <charset val="134"/>
          </rPr>
          <t xml:space="preserve">
5/7 上客人款号EAN条码贴纸6250pcs
冰棒款说明书荷兰语贴纸2084pcs
蛋糕款说明书荷兰语贴纸2084pcs
布丁款说明书荷兰语贴纸2084pcs</t>
        </r>
      </text>
    </comment>
    <comment ref="AF185" authorId="0">
      <text>
        <r>
          <rPr>
            <b/>
            <sz val="9"/>
            <rFont val="宋体"/>
            <charset val="134"/>
          </rPr>
          <t>Administrator:</t>
        </r>
        <r>
          <rPr>
            <sz val="9"/>
            <rFont val="宋体"/>
            <charset val="134"/>
          </rPr>
          <t xml:space="preserve">
2002199 6/13 3328pcs华3B6</t>
        </r>
      </text>
    </comment>
    <comment ref="AI185" authorId="0">
      <text>
        <r>
          <rPr>
            <b/>
            <sz val="9"/>
            <rFont val="宋体"/>
            <charset val="134"/>
          </rPr>
          <t>Administrator:</t>
        </r>
        <r>
          <rPr>
            <sz val="9"/>
            <rFont val="宋体"/>
            <charset val="134"/>
          </rPr>
          <t xml:space="preserve">
5/24 上进口商贴纸3328pcs
说明书贴纸3328pcs
</t>
        </r>
      </text>
    </comment>
    <comment ref="AF186" authorId="0">
      <text>
        <r>
          <rPr>
            <b/>
            <sz val="9"/>
            <rFont val="宋体"/>
            <charset val="134"/>
          </rPr>
          <t>Administrator:</t>
        </r>
        <r>
          <rPr>
            <sz val="9"/>
            <rFont val="宋体"/>
            <charset val="134"/>
          </rPr>
          <t xml:space="preserve">
2002152 6/16 1508pcs
华3A27</t>
        </r>
      </text>
    </comment>
    <comment ref="AI186" authorId="0">
      <text>
        <r>
          <rPr>
            <b/>
            <sz val="9"/>
            <rFont val="宋体"/>
            <charset val="134"/>
          </rPr>
          <t>Administrator:</t>
        </r>
        <r>
          <rPr>
            <sz val="9"/>
            <rFont val="宋体"/>
            <charset val="134"/>
          </rPr>
          <t xml:space="preserve">
5/20 上白色防盗贴纸1508pcs
5/23 上UPC条码贴纸1508pcs
6/5 KM单116pcs</t>
        </r>
      </text>
    </comment>
    <comment ref="AF187" authorId="0">
      <text>
        <r>
          <rPr>
            <b/>
            <sz val="9"/>
            <rFont val="宋体"/>
            <charset val="134"/>
          </rPr>
          <t>Administrator:</t>
        </r>
        <r>
          <rPr>
            <sz val="9"/>
            <rFont val="宋体"/>
            <charset val="134"/>
          </rPr>
          <t xml:space="preserve">
3001792 6/27 3400pcs直走</t>
        </r>
      </text>
    </comment>
    <comment ref="AF188" authorId="0">
      <text>
        <r>
          <rPr>
            <b/>
            <sz val="9"/>
            <rFont val="宋体"/>
            <charset val="134"/>
          </rPr>
          <t>Administrator:</t>
        </r>
        <r>
          <rPr>
            <sz val="9"/>
            <rFont val="宋体"/>
            <charset val="134"/>
          </rPr>
          <t xml:space="preserve">
2002129 6800pcs华一F3</t>
        </r>
      </text>
    </comment>
    <comment ref="AF189" authorId="0">
      <text>
        <r>
          <rPr>
            <b/>
            <sz val="9"/>
            <rFont val="宋体"/>
            <charset val="134"/>
          </rPr>
          <t>Administrator:</t>
        </r>
        <r>
          <rPr>
            <sz val="9"/>
            <rFont val="宋体"/>
            <charset val="134"/>
          </rPr>
          <t xml:space="preserve">
2002128 6/18 4256pcs
华3A13</t>
        </r>
      </text>
    </comment>
    <comment ref="AI189" authorId="0">
      <text>
        <r>
          <rPr>
            <b/>
            <sz val="9"/>
            <rFont val="宋体"/>
            <charset val="134"/>
          </rPr>
          <t>Administrator:</t>
        </r>
        <r>
          <rPr>
            <sz val="9"/>
            <rFont val="宋体"/>
            <charset val="134"/>
          </rPr>
          <t xml:space="preserve">
5/12 上客供RFID贴纸4256pcs</t>
        </r>
      </text>
    </comment>
    <comment ref="AF190" authorId="0">
      <text>
        <r>
          <rPr>
            <b/>
            <sz val="9"/>
            <rFont val="宋体"/>
            <charset val="134"/>
          </rPr>
          <t>Administrator:</t>
        </r>
        <r>
          <rPr>
            <sz val="9"/>
            <rFont val="宋体"/>
            <charset val="134"/>
          </rPr>
          <t xml:space="preserve">
2002128 6/18 4096pcs华3A13</t>
        </r>
      </text>
    </comment>
    <comment ref="AI190" authorId="0">
      <text>
        <r>
          <rPr>
            <b/>
            <sz val="9"/>
            <rFont val="宋体"/>
            <charset val="134"/>
          </rPr>
          <t>Administrator:</t>
        </r>
        <r>
          <rPr>
            <sz val="9"/>
            <rFont val="宋体"/>
            <charset val="134"/>
          </rPr>
          <t xml:space="preserve">
5/12 上客供RFID贴纸4096pcs</t>
        </r>
      </text>
    </comment>
    <comment ref="AF191" authorId="0">
      <text>
        <r>
          <rPr>
            <b/>
            <sz val="9"/>
            <rFont val="宋体"/>
            <charset val="134"/>
          </rPr>
          <t>Administrator:</t>
        </r>
        <r>
          <rPr>
            <sz val="9"/>
            <rFont val="宋体"/>
            <charset val="134"/>
          </rPr>
          <t xml:space="preserve">
2002128 6/18 6544pcs
华3A10</t>
        </r>
      </text>
    </comment>
    <comment ref="AI191" authorId="0">
      <text>
        <r>
          <rPr>
            <b/>
            <sz val="9"/>
            <rFont val="宋体"/>
            <charset val="134"/>
          </rPr>
          <t>Administrator:</t>
        </r>
        <r>
          <rPr>
            <sz val="9"/>
            <rFont val="宋体"/>
            <charset val="134"/>
          </rPr>
          <t xml:space="preserve">
5/12 上客供RFID贴纸6544pcs</t>
        </r>
      </text>
    </comment>
    <comment ref="AF192" authorId="0">
      <text>
        <r>
          <rPr>
            <b/>
            <sz val="9"/>
            <rFont val="宋体"/>
            <charset val="134"/>
          </rPr>
          <t>Administrator:</t>
        </r>
        <r>
          <rPr>
            <sz val="9"/>
            <rFont val="宋体"/>
            <charset val="134"/>
          </rPr>
          <t xml:space="preserve">
2002128 6/18 4896pcs
华3A13</t>
        </r>
      </text>
    </comment>
    <comment ref="AI192" authorId="0">
      <text>
        <r>
          <rPr>
            <b/>
            <sz val="9"/>
            <rFont val="宋体"/>
            <charset val="134"/>
          </rPr>
          <t>Administrator:</t>
        </r>
        <r>
          <rPr>
            <sz val="9"/>
            <rFont val="宋体"/>
            <charset val="134"/>
          </rPr>
          <t xml:space="preserve">
5/12 上客供RFID贴纸4896pcs</t>
        </r>
      </text>
    </comment>
    <comment ref="AF193" authorId="0">
      <text>
        <r>
          <rPr>
            <b/>
            <sz val="9"/>
            <rFont val="宋体"/>
            <charset val="134"/>
          </rPr>
          <t>Administrator:</t>
        </r>
        <r>
          <rPr>
            <sz val="9"/>
            <rFont val="宋体"/>
            <charset val="134"/>
          </rPr>
          <t xml:space="preserve">
2002128 6/18 5808pcs
华3A13</t>
        </r>
      </text>
    </comment>
    <comment ref="AI193" authorId="0">
      <text>
        <r>
          <rPr>
            <b/>
            <sz val="9"/>
            <rFont val="宋体"/>
            <charset val="134"/>
          </rPr>
          <t>Administrator:</t>
        </r>
        <r>
          <rPr>
            <sz val="9"/>
            <rFont val="宋体"/>
            <charset val="134"/>
          </rPr>
          <t xml:space="preserve">
5/12 上客供RFID贴纸5808pcs</t>
        </r>
      </text>
    </comment>
    <comment ref="AF194" authorId="0">
      <text>
        <r>
          <rPr>
            <b/>
            <sz val="9"/>
            <rFont val="宋体"/>
            <charset val="134"/>
          </rPr>
          <t>Administrator:</t>
        </r>
        <r>
          <rPr>
            <sz val="9"/>
            <rFont val="宋体"/>
            <charset val="134"/>
          </rPr>
          <t xml:space="preserve">
2002152 6/16 1755pcs
华3A28</t>
        </r>
      </text>
    </comment>
    <comment ref="AF195" authorId="0">
      <text>
        <r>
          <rPr>
            <b/>
            <sz val="9"/>
            <rFont val="宋体"/>
            <charset val="134"/>
          </rPr>
          <t>Administrator:</t>
        </r>
        <r>
          <rPr>
            <sz val="9"/>
            <rFont val="宋体"/>
            <charset val="134"/>
          </rPr>
          <t xml:space="preserve">
2002152 6/16 3250pcs直走</t>
        </r>
      </text>
    </comment>
    <comment ref="AF196" authorId="0">
      <text>
        <r>
          <rPr>
            <b/>
            <sz val="9"/>
            <rFont val="宋体"/>
            <charset val="134"/>
          </rPr>
          <t>Administrator:</t>
        </r>
        <r>
          <rPr>
            <sz val="9"/>
            <rFont val="宋体"/>
            <charset val="134"/>
          </rPr>
          <t xml:space="preserve">
2002123 6/18 5625pcs华3A32</t>
        </r>
      </text>
    </comment>
    <comment ref="AF197" authorId="0">
      <text>
        <r>
          <rPr>
            <b/>
            <sz val="9"/>
            <rFont val="宋体"/>
            <charset val="134"/>
          </rPr>
          <t>Administrator:</t>
        </r>
        <r>
          <rPr>
            <sz val="9"/>
            <rFont val="宋体"/>
            <charset val="134"/>
          </rPr>
          <t xml:space="preserve">
2002126 6/18 6625pcs华3A20</t>
        </r>
      </text>
    </comment>
    <comment ref="AI197" authorId="0">
      <text>
        <r>
          <rPr>
            <b/>
            <sz val="9"/>
            <rFont val="宋体"/>
            <charset val="134"/>
          </rPr>
          <t>Administrator:</t>
        </r>
        <r>
          <rPr>
            <sz val="9"/>
            <rFont val="宋体"/>
            <charset val="134"/>
          </rPr>
          <t xml:space="preserve">
5/30 上UPC贴纸490pcs</t>
        </r>
      </text>
    </comment>
    <comment ref="AF198" authorId="0">
      <text>
        <r>
          <rPr>
            <b/>
            <sz val="9"/>
            <rFont val="宋体"/>
            <charset val="134"/>
          </rPr>
          <t>Administrator:</t>
        </r>
        <r>
          <rPr>
            <sz val="9"/>
            <rFont val="宋体"/>
            <charset val="134"/>
          </rPr>
          <t xml:space="preserve">
2001981 6/23 950pcs
王3-C1
3001799 6/25 50pcs直走</t>
        </r>
      </text>
    </comment>
    <comment ref="AI198" authorId="0">
      <text>
        <r>
          <rPr>
            <b/>
            <sz val="9"/>
            <rFont val="宋体"/>
            <charset val="134"/>
          </rPr>
          <t>Administrator:</t>
        </r>
        <r>
          <rPr>
            <sz val="9"/>
            <rFont val="宋体"/>
            <charset val="134"/>
          </rPr>
          <t xml:space="preserve">
5/30 上UPC条码贴纸1000pcs</t>
        </r>
      </text>
    </comment>
    <comment ref="AF199" authorId="0">
      <text>
        <r>
          <rPr>
            <b/>
            <sz val="9"/>
            <rFont val="宋体"/>
            <charset val="134"/>
          </rPr>
          <t>Administrator:</t>
        </r>
        <r>
          <rPr>
            <sz val="9"/>
            <rFont val="宋体"/>
            <charset val="134"/>
          </rPr>
          <t xml:space="preserve">
2000845 6/20 60pcs华3A25
2000830 6/18 840pcs莫4B4</t>
        </r>
      </text>
    </comment>
    <comment ref="AF201" authorId="0">
      <text>
        <r>
          <rPr>
            <b/>
            <sz val="9"/>
            <rFont val="宋体"/>
            <charset val="134"/>
          </rPr>
          <t>Administrator:</t>
        </r>
        <r>
          <rPr>
            <sz val="9"/>
            <rFont val="宋体"/>
            <charset val="134"/>
          </rPr>
          <t xml:space="preserve">
2002129 6/18 6700pcs华3A18</t>
        </r>
      </text>
    </comment>
    <comment ref="AI201" authorId="0">
      <text>
        <r>
          <rPr>
            <b/>
            <sz val="9"/>
            <rFont val="宋体"/>
            <charset val="134"/>
          </rPr>
          <t>Administrator:</t>
        </r>
        <r>
          <rPr>
            <sz val="9"/>
            <rFont val="宋体"/>
            <charset val="134"/>
          </rPr>
          <t xml:space="preserve">
5/27 上进口商贴纸6700pcs
UPC贴纸6700pcs</t>
        </r>
      </text>
    </comment>
    <comment ref="AF202" authorId="0">
      <text>
        <r>
          <rPr>
            <b/>
            <sz val="9"/>
            <rFont val="宋体"/>
            <charset val="134"/>
          </rPr>
          <t>Administrator:</t>
        </r>
        <r>
          <rPr>
            <sz val="9"/>
            <rFont val="宋体"/>
            <charset val="134"/>
          </rPr>
          <t xml:space="preserve">
2002186 6/19 1248pcs华3A15</t>
        </r>
      </text>
    </comment>
    <comment ref="AF203" authorId="0">
      <text>
        <r>
          <rPr>
            <b/>
            <sz val="9"/>
            <rFont val="宋体"/>
            <charset val="134"/>
          </rPr>
          <t>Administrator:</t>
        </r>
        <r>
          <rPr>
            <sz val="9"/>
            <rFont val="宋体"/>
            <charset val="134"/>
          </rPr>
          <t xml:space="preserve">
25002186 6/19 720pcs华3A15</t>
        </r>
      </text>
    </comment>
    <comment ref="AF204" authorId="0">
      <text>
        <r>
          <rPr>
            <b/>
            <sz val="9"/>
            <rFont val="宋体"/>
            <charset val="134"/>
          </rPr>
          <t>Administrator:</t>
        </r>
        <r>
          <rPr>
            <sz val="9"/>
            <rFont val="宋体"/>
            <charset val="134"/>
          </rPr>
          <t xml:space="preserve">
2002046 6/21 1000pcs王1-B10</t>
        </r>
      </text>
    </comment>
    <comment ref="AI204" authorId="0">
      <text>
        <r>
          <rPr>
            <b/>
            <sz val="9"/>
            <rFont val="宋体"/>
            <charset val="134"/>
          </rPr>
          <t>Administrator:</t>
        </r>
        <r>
          <rPr>
            <sz val="9"/>
            <rFont val="宋体"/>
            <charset val="134"/>
          </rPr>
          <t xml:space="preserve">
5/27 上UPC贴纸1000pcs</t>
        </r>
      </text>
    </comment>
    <comment ref="AF205" authorId="0">
      <text>
        <r>
          <rPr>
            <b/>
            <sz val="9"/>
            <rFont val="宋体"/>
            <charset val="134"/>
          </rPr>
          <t>Administrator:</t>
        </r>
        <r>
          <rPr>
            <sz val="9"/>
            <rFont val="宋体"/>
            <charset val="134"/>
          </rPr>
          <t xml:space="preserve">
2002046 6/21 2940pcs王1-B10
2002050 6/21 60pcs 王</t>
        </r>
      </text>
    </comment>
    <comment ref="AI205" authorId="0">
      <text>
        <r>
          <rPr>
            <b/>
            <sz val="9"/>
            <rFont val="宋体"/>
            <charset val="134"/>
          </rPr>
          <t>Administrator:</t>
        </r>
        <r>
          <rPr>
            <sz val="9"/>
            <rFont val="宋体"/>
            <charset val="134"/>
          </rPr>
          <t xml:space="preserve">
5/30 上警语/进口商贴纸3000pcs</t>
        </r>
      </text>
    </comment>
    <comment ref="AF206" authorId="0">
      <text>
        <r>
          <rPr>
            <b/>
            <sz val="9"/>
            <rFont val="宋体"/>
            <charset val="134"/>
          </rPr>
          <t>Administrator:</t>
        </r>
        <r>
          <rPr>
            <sz val="9"/>
            <rFont val="宋体"/>
            <charset val="134"/>
          </rPr>
          <t xml:space="preserve">
20002062 6/20 16000pcs兴信</t>
        </r>
      </text>
    </comment>
    <comment ref="AI206" authorId="0">
      <text>
        <r>
          <rPr>
            <b/>
            <sz val="9"/>
            <rFont val="宋体"/>
            <charset val="134"/>
          </rPr>
          <t>Administrator:</t>
        </r>
        <r>
          <rPr>
            <sz val="9"/>
            <rFont val="宋体"/>
            <charset val="134"/>
          </rPr>
          <t xml:space="preserve">
5/20 上UPC贴纸16000pcs
进口商贴纸16000pcs</t>
        </r>
      </text>
    </comment>
    <comment ref="AF207" authorId="0">
      <text>
        <r>
          <rPr>
            <b/>
            <sz val="9"/>
            <rFont val="宋体"/>
            <charset val="134"/>
          </rPr>
          <t>Administrator:</t>
        </r>
        <r>
          <rPr>
            <sz val="9"/>
            <rFont val="宋体"/>
            <charset val="134"/>
          </rPr>
          <t xml:space="preserve">
2002187 6/19 2050pcs直走</t>
        </r>
      </text>
    </comment>
    <comment ref="AI207" authorId="0">
      <text>
        <r>
          <rPr>
            <b/>
            <sz val="9"/>
            <rFont val="宋体"/>
            <charset val="134"/>
          </rPr>
          <t>Administrator:</t>
        </r>
        <r>
          <rPr>
            <sz val="9"/>
            <rFont val="宋体"/>
            <charset val="134"/>
          </rPr>
          <t xml:space="preserve">
5/29 上进口商贴纸2050pcs
UPC贴纸2050pcs
</t>
        </r>
      </text>
    </comment>
    <comment ref="AF208" authorId="0">
      <text>
        <r>
          <rPr>
            <b/>
            <sz val="9"/>
            <rFont val="宋体"/>
            <charset val="134"/>
          </rPr>
          <t>Administrator:</t>
        </r>
        <r>
          <rPr>
            <sz val="9"/>
            <rFont val="宋体"/>
            <charset val="134"/>
          </rPr>
          <t xml:space="preserve">
2002515 6/7 600pcs送回半成品球东莞混装莫4A1
2002495 6/14 1860pcs送回半成品混装
2000834 6/21 2428pcs送回半成品混装</t>
        </r>
      </text>
    </comment>
    <comment ref="AF210" authorId="0">
      <text>
        <r>
          <rPr>
            <b/>
            <sz val="9"/>
            <rFont val="宋体"/>
            <charset val="134"/>
          </rPr>
          <t>Administrator:</t>
        </r>
        <r>
          <rPr>
            <sz val="9"/>
            <rFont val="宋体"/>
            <charset val="134"/>
          </rPr>
          <t xml:space="preserve">
2002187 6/19 4368pcs
华3A21</t>
        </r>
      </text>
    </comment>
    <comment ref="AI210" authorId="0">
      <text>
        <r>
          <rPr>
            <b/>
            <sz val="9"/>
            <rFont val="宋体"/>
            <charset val="134"/>
          </rPr>
          <t>Administrator:</t>
        </r>
        <r>
          <rPr>
            <sz val="9"/>
            <rFont val="宋体"/>
            <charset val="134"/>
          </rPr>
          <t xml:space="preserve">
5/26 上德语警告语贴纸4368pcs
5/30 上客供价格贴纸4368pcs</t>
        </r>
      </text>
    </comment>
    <comment ref="AF211" authorId="0">
      <text>
        <r>
          <rPr>
            <b/>
            <sz val="9"/>
            <rFont val="宋体"/>
            <charset val="134"/>
          </rPr>
          <t>Administrator:</t>
        </r>
        <r>
          <rPr>
            <sz val="9"/>
            <rFont val="宋体"/>
            <charset val="134"/>
          </rPr>
          <t xml:space="preserve">
2001992 6/23 10000pcs王 3-C7</t>
        </r>
      </text>
    </comment>
    <comment ref="AI211" authorId="0">
      <text>
        <r>
          <rPr>
            <b/>
            <sz val="9"/>
            <rFont val="宋体"/>
            <charset val="134"/>
          </rPr>
          <t>Administrator:</t>
        </r>
        <r>
          <rPr>
            <sz val="9"/>
            <rFont val="宋体"/>
            <charset val="134"/>
          </rPr>
          <t xml:space="preserve">
6/13 上进口商贴纸10000pcsUPC UPC贴纸10000pcs</t>
        </r>
      </text>
    </comment>
    <comment ref="AF212" authorId="0">
      <text>
        <r>
          <rPr>
            <b/>
            <sz val="9"/>
            <rFont val="宋体"/>
            <charset val="134"/>
          </rPr>
          <t>Administrator:</t>
        </r>
        <r>
          <rPr>
            <sz val="9"/>
            <rFont val="宋体"/>
            <charset val="134"/>
          </rPr>
          <t xml:space="preserve">
2001989 6/24 550pcs王B-10</t>
        </r>
      </text>
    </comment>
    <comment ref="AI212" authorId="0">
      <text>
        <r>
          <rPr>
            <b/>
            <sz val="9"/>
            <rFont val="宋体"/>
            <charset val="134"/>
          </rPr>
          <t>Administrator:</t>
        </r>
        <r>
          <rPr>
            <sz val="9"/>
            <rFont val="宋体"/>
            <charset val="134"/>
          </rPr>
          <t xml:space="preserve">
6/13 上SNIperLABEL贴纸550pcs
UPC条码贴纸550pcs
收藏指南贴纸550pcs</t>
        </r>
      </text>
    </comment>
    <comment ref="AF213" authorId="0">
      <text>
        <r>
          <rPr>
            <b/>
            <sz val="9"/>
            <rFont val="宋体"/>
            <charset val="134"/>
          </rPr>
          <t>Administrator:</t>
        </r>
        <r>
          <rPr>
            <sz val="9"/>
            <rFont val="宋体"/>
            <charset val="134"/>
          </rPr>
          <t xml:space="preserve">
2001981 6/23 400pcs
王3-C1</t>
        </r>
      </text>
    </comment>
    <comment ref="AF214" authorId="0">
      <text>
        <r>
          <rPr>
            <b/>
            <sz val="9"/>
            <rFont val="宋体"/>
            <charset val="134"/>
          </rPr>
          <t>Administrator:</t>
        </r>
        <r>
          <rPr>
            <sz val="9"/>
            <rFont val="宋体"/>
            <charset val="134"/>
          </rPr>
          <t xml:space="preserve">
2001981 6/23 1989pcs王1-B10</t>
        </r>
      </text>
    </comment>
    <comment ref="AF215" authorId="0">
      <text>
        <r>
          <rPr>
            <b/>
            <sz val="9"/>
            <rFont val="宋体"/>
            <charset val="134"/>
          </rPr>
          <t>Administrator:</t>
        </r>
        <r>
          <rPr>
            <sz val="9"/>
            <rFont val="宋体"/>
            <charset val="134"/>
          </rPr>
          <t xml:space="preserve">
2002046 6/21 1625pcs王1-小房间
2001989 6/24 25pcs王1-1-01</t>
        </r>
      </text>
    </comment>
    <comment ref="AF216" authorId="0">
      <text>
        <r>
          <rPr>
            <b/>
            <sz val="9"/>
            <rFont val="宋体"/>
            <charset val="134"/>
          </rPr>
          <t>Administrator:</t>
        </r>
        <r>
          <rPr>
            <sz val="9"/>
            <rFont val="宋体"/>
            <charset val="134"/>
          </rPr>
          <t xml:space="preserve">
2002186 6/19 7600pcs
华3A10</t>
        </r>
      </text>
    </comment>
    <comment ref="AF217" authorId="0">
      <text>
        <r>
          <rPr>
            <b/>
            <sz val="9"/>
            <rFont val="宋体"/>
            <charset val="134"/>
          </rPr>
          <t>Administrator:</t>
        </r>
        <r>
          <rPr>
            <sz val="9"/>
            <rFont val="宋体"/>
            <charset val="134"/>
          </rPr>
          <t xml:space="preserve">
2002186 6/19 9008pcs
华3A7</t>
        </r>
      </text>
    </comment>
    <comment ref="AF218" authorId="0">
      <text>
        <r>
          <rPr>
            <b/>
            <sz val="9"/>
            <rFont val="宋体"/>
            <charset val="134"/>
          </rPr>
          <t>Administrator:</t>
        </r>
        <r>
          <rPr>
            <sz val="9"/>
            <rFont val="宋体"/>
            <charset val="134"/>
          </rPr>
          <t xml:space="preserve">
2001981 6/23 4000pcs王3-C11</t>
        </r>
      </text>
    </comment>
    <comment ref="AF219" authorId="0">
      <text>
        <r>
          <rPr>
            <b/>
            <sz val="9"/>
            <rFont val="宋体"/>
            <charset val="134"/>
          </rPr>
          <t>Administrator:</t>
        </r>
        <r>
          <rPr>
            <sz val="9"/>
            <rFont val="宋体"/>
            <charset val="134"/>
          </rPr>
          <t xml:space="preserve">
2002186 6/19 13520pcs
华3A8</t>
        </r>
      </text>
    </comment>
    <comment ref="AI219" authorId="0">
      <text>
        <r>
          <rPr>
            <b/>
            <sz val="9"/>
            <rFont val="宋体"/>
            <charset val="134"/>
          </rPr>
          <t>Administrator:</t>
        </r>
        <r>
          <rPr>
            <sz val="9"/>
            <rFont val="宋体"/>
            <charset val="134"/>
          </rPr>
          <t xml:space="preserve">
5/26 上客供RFID贴纸13520pcs
</t>
        </r>
      </text>
    </comment>
    <comment ref="AF220" authorId="0">
      <text>
        <r>
          <rPr>
            <b/>
            <sz val="9"/>
            <rFont val="宋体"/>
            <charset val="134"/>
          </rPr>
          <t>Administrator:</t>
        </r>
        <r>
          <rPr>
            <sz val="9"/>
            <rFont val="宋体"/>
            <charset val="134"/>
          </rPr>
          <t xml:space="preserve">
2002187 6/19 11664pcs
华3A17</t>
        </r>
      </text>
    </comment>
    <comment ref="AF221" authorId="0">
      <text>
        <r>
          <rPr>
            <b/>
            <sz val="9"/>
            <rFont val="宋体"/>
            <charset val="134"/>
          </rPr>
          <t>Administrator:</t>
        </r>
        <r>
          <rPr>
            <sz val="9"/>
            <rFont val="宋体"/>
            <charset val="134"/>
          </rPr>
          <t xml:space="preserve">
2002196 6/20 9488pcs华3B2</t>
        </r>
      </text>
    </comment>
    <comment ref="AF222" authorId="0">
      <text>
        <r>
          <rPr>
            <b/>
            <sz val="9"/>
            <rFont val="宋体"/>
            <charset val="134"/>
          </rPr>
          <t>Administrator:</t>
        </r>
        <r>
          <rPr>
            <sz val="9"/>
            <rFont val="宋体"/>
            <charset val="134"/>
          </rPr>
          <t xml:space="preserve">
2002196 6/20 9120pcs华3B2
</t>
        </r>
      </text>
    </comment>
    <comment ref="AI222" authorId="0">
      <text>
        <r>
          <rPr>
            <b/>
            <sz val="9"/>
            <rFont val="宋体"/>
            <charset val="134"/>
          </rPr>
          <t>Administrator:</t>
        </r>
        <r>
          <rPr>
            <sz val="9"/>
            <rFont val="宋体"/>
            <charset val="134"/>
          </rPr>
          <t xml:space="preserve">
5/26 上客供RFID贴纸9120pcs</t>
        </r>
      </text>
    </comment>
    <comment ref="AF223" authorId="0">
      <text>
        <r>
          <rPr>
            <b/>
            <sz val="9"/>
            <rFont val="宋体"/>
            <charset val="134"/>
          </rPr>
          <t>Administrator:</t>
        </r>
        <r>
          <rPr>
            <sz val="9"/>
            <rFont val="宋体"/>
            <charset val="134"/>
          </rPr>
          <t xml:space="preserve">
2001981 6/23 300pcs
王1-B10</t>
        </r>
      </text>
    </comment>
    <comment ref="AF224" authorId="0">
      <text>
        <r>
          <rPr>
            <b/>
            <sz val="9"/>
            <rFont val="宋体"/>
            <charset val="134"/>
          </rPr>
          <t>Administrator:</t>
        </r>
        <r>
          <rPr>
            <sz val="9"/>
            <rFont val="宋体"/>
            <charset val="134"/>
          </rPr>
          <t xml:space="preserve">
3001793 6/24 3000pcs王3-B10</t>
        </r>
      </text>
    </comment>
    <comment ref="AF225" authorId="0">
      <text>
        <r>
          <rPr>
            <b/>
            <sz val="9"/>
            <rFont val="宋体"/>
            <charset val="134"/>
          </rPr>
          <t>Administrator:</t>
        </r>
        <r>
          <rPr>
            <sz val="9"/>
            <rFont val="宋体"/>
            <charset val="134"/>
          </rPr>
          <t xml:space="preserve">
2002186 6/19 10112pcs华3A8</t>
        </r>
      </text>
    </comment>
    <comment ref="AF226" authorId="0">
      <text>
        <r>
          <rPr>
            <b/>
            <sz val="9"/>
            <rFont val="宋体"/>
            <charset val="134"/>
          </rPr>
          <t>Administrator:</t>
        </r>
        <r>
          <rPr>
            <sz val="9"/>
            <rFont val="宋体"/>
            <charset val="134"/>
          </rPr>
          <t xml:space="preserve">
2002252 6/11 18000pcs莫B栋5楼B4</t>
        </r>
      </text>
    </comment>
    <comment ref="AF227" authorId="0">
      <text>
        <r>
          <rPr>
            <b/>
            <sz val="9"/>
            <rFont val="宋体"/>
            <charset val="134"/>
          </rPr>
          <t>Administrator:</t>
        </r>
        <r>
          <rPr>
            <sz val="9"/>
            <rFont val="宋体"/>
            <charset val="134"/>
          </rPr>
          <t xml:space="preserve">
2002050 6/21 1800pcs华3B8</t>
        </r>
      </text>
    </comment>
    <comment ref="AF228" authorId="0">
      <text>
        <r>
          <rPr>
            <b/>
            <sz val="9"/>
            <rFont val="宋体"/>
            <charset val="134"/>
          </rPr>
          <t>Administrator:</t>
        </r>
        <r>
          <rPr>
            <sz val="9"/>
            <rFont val="宋体"/>
            <charset val="134"/>
          </rPr>
          <t xml:space="preserve">
3001838 6/25 1053pcs
华3A27</t>
        </r>
      </text>
    </comment>
    <comment ref="AI228" authorId="0">
      <text>
        <r>
          <rPr>
            <b/>
            <sz val="9"/>
            <rFont val="宋体"/>
            <charset val="134"/>
          </rPr>
          <t>Administrator:</t>
        </r>
        <r>
          <rPr>
            <sz val="9"/>
            <rFont val="宋体"/>
            <charset val="134"/>
          </rPr>
          <t xml:space="preserve">
6/5 上法国回收LOGO贴纸1053pcs</t>
        </r>
      </text>
    </comment>
    <comment ref="AF229" authorId="0">
      <text>
        <r>
          <rPr>
            <b/>
            <sz val="9"/>
            <rFont val="宋体"/>
            <charset val="134"/>
          </rPr>
          <t>Administrator:</t>
        </r>
        <r>
          <rPr>
            <sz val="9"/>
            <rFont val="宋体"/>
            <charset val="134"/>
          </rPr>
          <t xml:space="preserve">
3001816 6/26 7536pcs</t>
        </r>
      </text>
    </comment>
    <comment ref="AI229" authorId="0">
      <text>
        <r>
          <rPr>
            <b/>
            <sz val="9"/>
            <rFont val="宋体"/>
            <charset val="134"/>
          </rPr>
          <t>Administrator:</t>
        </r>
        <r>
          <rPr>
            <sz val="9"/>
            <rFont val="宋体"/>
            <charset val="134"/>
          </rPr>
          <t xml:space="preserve">
5/12 上客供RFID贴纸7536pcs</t>
        </r>
      </text>
    </comment>
    <comment ref="AF230" authorId="0">
      <text>
        <r>
          <rPr>
            <b/>
            <sz val="9"/>
            <rFont val="宋体"/>
            <charset val="134"/>
          </rPr>
          <t>Administrator:</t>
        </r>
        <r>
          <rPr>
            <sz val="9"/>
            <rFont val="宋体"/>
            <charset val="134"/>
          </rPr>
          <t xml:space="preserve">
3001838 6/25 1200pcs
华3B13</t>
        </r>
      </text>
    </comment>
    <comment ref="AF231" authorId="0">
      <text>
        <r>
          <rPr>
            <b/>
            <sz val="9"/>
            <rFont val="宋体"/>
            <charset val="134"/>
          </rPr>
          <t>Administrator:</t>
        </r>
        <r>
          <rPr>
            <sz val="9"/>
            <rFont val="宋体"/>
            <charset val="134"/>
          </rPr>
          <t xml:space="preserve">
3001838 6/25 2124pcs
华3B12</t>
        </r>
      </text>
    </comment>
    <comment ref="AI231" authorId="0">
      <text>
        <r>
          <rPr>
            <b/>
            <sz val="9"/>
            <rFont val="宋体"/>
            <charset val="134"/>
          </rPr>
          <t>Administrator:</t>
        </r>
        <r>
          <rPr>
            <sz val="9"/>
            <rFont val="宋体"/>
            <charset val="134"/>
          </rPr>
          <t xml:space="preserve">
6/3 上空白贴纸4248pcs
环保标贴纸2124pcs
6/23 上亚马逊外箱贴纸2pcs</t>
        </r>
      </text>
    </comment>
    <comment ref="AF232" authorId="0">
      <text>
        <r>
          <rPr>
            <b/>
            <sz val="9"/>
            <rFont val="宋体"/>
            <charset val="134"/>
          </rPr>
          <t>Administrator:</t>
        </r>
        <r>
          <rPr>
            <sz val="9"/>
            <rFont val="宋体"/>
            <charset val="134"/>
          </rPr>
          <t xml:space="preserve">
3001838 6/25 504pcs
华3B13</t>
        </r>
      </text>
    </comment>
    <comment ref="AI232" authorId="0">
      <text>
        <r>
          <rPr>
            <b/>
            <sz val="9"/>
            <rFont val="宋体"/>
            <charset val="134"/>
          </rPr>
          <t>Administrator:</t>
        </r>
        <r>
          <rPr>
            <sz val="9"/>
            <rFont val="宋体"/>
            <charset val="134"/>
          </rPr>
          <t xml:space="preserve">
6/14 上空白贴纸1008pcs
环保标贴纸1008pcs</t>
        </r>
      </text>
    </comment>
    <comment ref="AF233" authorId="0">
      <text>
        <r>
          <rPr>
            <b/>
            <sz val="9"/>
            <rFont val="宋体"/>
            <charset val="134"/>
          </rPr>
          <t>Administrator:</t>
        </r>
        <r>
          <rPr>
            <sz val="9"/>
            <rFont val="宋体"/>
            <charset val="134"/>
          </rPr>
          <t xml:space="preserve">
3001838 6/25 8216pcs华3B15</t>
        </r>
      </text>
    </comment>
    <comment ref="AF234" authorId="0">
      <text>
        <r>
          <rPr>
            <b/>
            <sz val="9"/>
            <rFont val="宋体"/>
            <charset val="134"/>
          </rPr>
          <t>Administrator:</t>
        </r>
        <r>
          <rPr>
            <sz val="9"/>
            <rFont val="宋体"/>
            <charset val="134"/>
          </rPr>
          <t xml:space="preserve">
3001838 6/25 195pcs
华3B14</t>
        </r>
      </text>
    </comment>
    <comment ref="AF235" authorId="0">
      <text>
        <r>
          <rPr>
            <b/>
            <sz val="9"/>
            <rFont val="宋体"/>
            <charset val="134"/>
          </rPr>
          <t>Administrator:</t>
        </r>
        <r>
          <rPr>
            <sz val="9"/>
            <rFont val="宋体"/>
            <charset val="134"/>
          </rPr>
          <t xml:space="preserve">
3001838 6/25 130pcs
华3B14</t>
        </r>
      </text>
    </comment>
    <comment ref="AF236" authorId="0">
      <text>
        <r>
          <rPr>
            <b/>
            <sz val="9"/>
            <rFont val="宋体"/>
            <charset val="134"/>
          </rPr>
          <t>Administrator:</t>
        </r>
        <r>
          <rPr>
            <sz val="9"/>
            <rFont val="宋体"/>
            <charset val="134"/>
          </rPr>
          <t xml:space="preserve">
3001816 6/26 8480pcs
</t>
        </r>
      </text>
    </comment>
    <comment ref="AI236" authorId="0">
      <text>
        <r>
          <rPr>
            <b/>
            <sz val="9"/>
            <rFont val="宋体"/>
            <charset val="134"/>
          </rPr>
          <t>Administrator:</t>
        </r>
        <r>
          <rPr>
            <sz val="9"/>
            <rFont val="宋体"/>
            <charset val="134"/>
          </rPr>
          <t xml:space="preserve">
7/16 上客供RFID贴纸 8480pcs
</t>
        </r>
      </text>
    </comment>
    <comment ref="AF237" authorId="0">
      <text>
        <r>
          <rPr>
            <b/>
            <sz val="9"/>
            <rFont val="宋体"/>
            <charset val="134"/>
          </rPr>
          <t>Administrator:</t>
        </r>
        <r>
          <rPr>
            <sz val="9"/>
            <rFont val="宋体"/>
            <charset val="134"/>
          </rPr>
          <t xml:space="preserve">
3001816 6/26 6352pcs
</t>
        </r>
      </text>
    </comment>
    <comment ref="AF238" authorId="0">
      <text>
        <r>
          <rPr>
            <b/>
            <sz val="9"/>
            <rFont val="宋体"/>
            <charset val="134"/>
          </rPr>
          <t>Administrator:</t>
        </r>
        <r>
          <rPr>
            <sz val="9"/>
            <rFont val="宋体"/>
            <charset val="134"/>
          </rPr>
          <t xml:space="preserve">
3001816 6/26 7352pcs
3001758 6/27 16pcs华3A12</t>
        </r>
      </text>
    </comment>
    <comment ref="AF239" authorId="0">
      <text>
        <r>
          <rPr>
            <b/>
            <sz val="9"/>
            <rFont val="宋体"/>
            <charset val="134"/>
          </rPr>
          <t>Administrator:</t>
        </r>
        <r>
          <rPr>
            <sz val="9"/>
            <rFont val="宋体"/>
            <charset val="134"/>
          </rPr>
          <t xml:space="preserve">
3001744 6/28 5825pcs莫4A4</t>
        </r>
      </text>
    </comment>
    <comment ref="AF240" authorId="0">
      <text>
        <r>
          <rPr>
            <b/>
            <sz val="9"/>
            <rFont val="宋体"/>
            <charset val="134"/>
          </rPr>
          <t>Administrator:</t>
        </r>
        <r>
          <rPr>
            <sz val="9"/>
            <rFont val="宋体"/>
            <charset val="134"/>
          </rPr>
          <t xml:space="preserve">
2001643 6/27 1620pcs华3B15</t>
        </r>
      </text>
    </comment>
    <comment ref="AI240" authorId="0">
      <text>
        <r>
          <rPr>
            <b/>
            <sz val="9"/>
            <rFont val="宋体"/>
            <charset val="134"/>
          </rPr>
          <t>Administrator:</t>
        </r>
        <r>
          <rPr>
            <sz val="9"/>
            <rFont val="宋体"/>
            <charset val="134"/>
          </rPr>
          <t xml:space="preserve">
6/5 上WEEE电池说明书3240pcs</t>
        </r>
      </text>
    </comment>
    <comment ref="AF241" authorId="0">
      <text>
        <r>
          <rPr>
            <b/>
            <sz val="9"/>
            <rFont val="宋体"/>
            <charset val="134"/>
          </rPr>
          <t>Administrator:</t>
        </r>
        <r>
          <rPr>
            <sz val="9"/>
            <rFont val="宋体"/>
            <charset val="134"/>
          </rPr>
          <t xml:space="preserve">
3001763 6/27 6500pcs张泉
3001744 6/28 50pcs张</t>
        </r>
      </text>
    </comment>
    <comment ref="AF242" authorId="0">
      <text>
        <r>
          <rPr>
            <b/>
            <sz val="9"/>
            <rFont val="宋体"/>
            <charset val="134"/>
          </rPr>
          <t>Administrator:</t>
        </r>
        <r>
          <rPr>
            <sz val="9"/>
            <rFont val="宋体"/>
            <charset val="134"/>
          </rPr>
          <t xml:space="preserve">
3001971 7/1 4500pcs
华3A20
3001955 7/1 1500pcs华3A20</t>
        </r>
      </text>
    </comment>
    <comment ref="AI242" authorId="0">
      <text>
        <r>
          <rPr>
            <b/>
            <sz val="9"/>
            <rFont val="宋体"/>
            <charset val="134"/>
          </rPr>
          <t>Administrator:</t>
        </r>
        <r>
          <rPr>
            <sz val="9"/>
            <rFont val="宋体"/>
            <charset val="134"/>
          </rPr>
          <t xml:space="preserve">
3/31 上冰棒款-说明书荷兰语贴纸6000pcs
蛋糕款-说明书荷兰语贴纸6000pcs
布丁款-说明书荷兰语贴纸6000pcs
</t>
        </r>
      </text>
    </comment>
    <comment ref="AF243" authorId="0">
      <text>
        <r>
          <rPr>
            <b/>
            <sz val="9"/>
            <rFont val="宋体"/>
            <charset val="134"/>
          </rPr>
          <t>Administrator:</t>
        </r>
        <r>
          <rPr>
            <sz val="9"/>
            <rFont val="宋体"/>
            <charset val="134"/>
          </rPr>
          <t xml:space="preserve">
2001624 7/1 1002pcs华3B15</t>
        </r>
      </text>
    </comment>
    <comment ref="AF244" authorId="0">
      <text>
        <r>
          <rPr>
            <b/>
            <sz val="9"/>
            <rFont val="宋体"/>
            <charset val="134"/>
          </rPr>
          <t>Administrator:</t>
        </r>
        <r>
          <rPr>
            <sz val="9"/>
            <rFont val="宋体"/>
            <charset val="134"/>
          </rPr>
          <t xml:space="preserve">
3001820 6/26 14560pcs
3001808 6/26 1040pcs</t>
        </r>
      </text>
    </comment>
    <comment ref="AI244" authorId="0">
      <text>
        <r>
          <rPr>
            <b/>
            <sz val="9"/>
            <rFont val="宋体"/>
            <charset val="134"/>
          </rPr>
          <t>Administrator:</t>
        </r>
        <r>
          <rPr>
            <sz val="9"/>
            <rFont val="宋体"/>
            <charset val="134"/>
          </rPr>
          <t xml:space="preserve">
5/30 上UPC条码贴纸15600pcs
</t>
        </r>
      </text>
    </comment>
    <comment ref="AF245" authorId="0">
      <text>
        <r>
          <rPr>
            <b/>
            <sz val="9"/>
            <rFont val="宋体"/>
            <charset val="134"/>
          </rPr>
          <t>Administrator:</t>
        </r>
        <r>
          <rPr>
            <sz val="9"/>
            <rFont val="宋体"/>
            <charset val="134"/>
          </rPr>
          <t xml:space="preserve">
3001983 7/2 1521pcs华3B11</t>
        </r>
      </text>
    </comment>
    <comment ref="AI245" authorId="0">
      <text>
        <r>
          <rPr>
            <b/>
            <sz val="9"/>
            <rFont val="宋体"/>
            <charset val="134"/>
          </rPr>
          <t>Administrator:</t>
        </r>
        <r>
          <rPr>
            <sz val="9"/>
            <rFont val="宋体"/>
            <charset val="134"/>
          </rPr>
          <t xml:space="preserve">
6/14 上UPC贴纸2509pcs
6/11 上KM单外箱贴纸193pcs
6/19 上白色防盗贴纸2509pcs
</t>
        </r>
      </text>
    </comment>
    <comment ref="AF246" authorId="0">
      <text>
        <r>
          <rPr>
            <b/>
            <sz val="9"/>
            <rFont val="宋体"/>
            <charset val="134"/>
          </rPr>
          <t>Administrator:</t>
        </r>
        <r>
          <rPr>
            <sz val="9"/>
            <rFont val="宋体"/>
            <charset val="134"/>
          </rPr>
          <t xml:space="preserve">
3001983 7/2 988pcs
华3B11</t>
        </r>
      </text>
    </comment>
    <comment ref="AF247" authorId="0">
      <text>
        <r>
          <rPr>
            <b/>
            <sz val="9"/>
            <rFont val="宋体"/>
            <charset val="134"/>
          </rPr>
          <t>Administrator:</t>
        </r>
        <r>
          <rPr>
            <sz val="9"/>
            <rFont val="宋体"/>
            <charset val="134"/>
          </rPr>
          <t xml:space="preserve">
3001592 6/30 8720pcs华3A9</t>
        </r>
      </text>
    </comment>
    <comment ref="AI247" authorId="0">
      <text>
        <r>
          <rPr>
            <b/>
            <sz val="9"/>
            <rFont val="宋体"/>
            <charset val="134"/>
          </rPr>
          <t>Administrator:</t>
        </r>
        <r>
          <rPr>
            <sz val="9"/>
            <rFont val="宋体"/>
            <charset val="134"/>
          </rPr>
          <t xml:space="preserve">
5/12 上客供RFID贴纸8720pcs</t>
        </r>
      </text>
    </comment>
    <comment ref="AF248" authorId="0">
      <text>
        <r>
          <rPr>
            <b/>
            <sz val="9"/>
            <rFont val="宋体"/>
            <charset val="134"/>
          </rPr>
          <t>Administrator:</t>
        </r>
        <r>
          <rPr>
            <sz val="9"/>
            <rFont val="宋体"/>
            <charset val="134"/>
          </rPr>
          <t xml:space="preserve">
3001565 7/2 7600pcs莫4C7</t>
        </r>
      </text>
    </comment>
    <comment ref="AF249" authorId="0">
      <text>
        <r>
          <rPr>
            <b/>
            <sz val="9"/>
            <rFont val="宋体"/>
            <charset val="134"/>
          </rPr>
          <t>Administrator:</t>
        </r>
        <r>
          <rPr>
            <sz val="9"/>
            <rFont val="宋体"/>
            <charset val="134"/>
          </rPr>
          <t xml:space="preserve">
3001997 7/2 9008pcs莫4B7</t>
        </r>
      </text>
    </comment>
    <comment ref="AF250" authorId="0">
      <text>
        <r>
          <rPr>
            <b/>
            <sz val="9"/>
            <rFont val="宋体"/>
            <charset val="134"/>
          </rPr>
          <t>Administrator:</t>
        </r>
        <r>
          <rPr>
            <sz val="9"/>
            <rFont val="宋体"/>
            <charset val="134"/>
          </rPr>
          <t xml:space="preserve">
3001971 7/1 13520pcs华3A17</t>
        </r>
      </text>
    </comment>
    <comment ref="AF251" authorId="0">
      <text>
        <r>
          <rPr>
            <b/>
            <sz val="9"/>
            <rFont val="宋体"/>
            <charset val="134"/>
          </rPr>
          <t>Administrator:</t>
        </r>
        <r>
          <rPr>
            <sz val="9"/>
            <rFont val="宋体"/>
            <charset val="134"/>
          </rPr>
          <t xml:space="preserve">
3001997 7/2 11664pcs
莫4A4</t>
        </r>
      </text>
    </comment>
    <comment ref="AF252" authorId="0">
      <text>
        <r>
          <rPr>
            <b/>
            <sz val="9"/>
            <rFont val="宋体"/>
            <charset val="134"/>
          </rPr>
          <t>Administrator:</t>
        </r>
        <r>
          <rPr>
            <sz val="9"/>
            <rFont val="宋体"/>
            <charset val="134"/>
          </rPr>
          <t xml:space="preserve">
3001744 6/28 9472pcs莫4A5
3001366 6/28 16pcs莫4A5</t>
        </r>
      </text>
    </comment>
    <comment ref="AF253" authorId="0">
      <text>
        <r>
          <rPr>
            <b/>
            <sz val="9"/>
            <rFont val="宋体"/>
            <charset val="134"/>
          </rPr>
          <t>Administrator:</t>
        </r>
        <r>
          <rPr>
            <sz val="9"/>
            <rFont val="宋体"/>
            <charset val="134"/>
          </rPr>
          <t xml:space="preserve">
3001997 7/2 10112pcs
莫4C7</t>
        </r>
      </text>
    </comment>
    <comment ref="AF254" authorId="0">
      <text>
        <r>
          <rPr>
            <b/>
            <sz val="9"/>
            <rFont val="宋体"/>
            <charset val="134"/>
          </rPr>
          <t>Administrator:</t>
        </r>
        <r>
          <rPr>
            <sz val="9"/>
            <rFont val="宋体"/>
            <charset val="134"/>
          </rPr>
          <t xml:space="preserve">
3001997 7/2 9120pcs
莫4C6</t>
        </r>
      </text>
    </comment>
    <comment ref="AF255" authorId="0">
      <text>
        <r>
          <rPr>
            <b/>
            <sz val="9"/>
            <rFont val="宋体"/>
            <charset val="134"/>
          </rPr>
          <t>Administrator:</t>
        </r>
        <r>
          <rPr>
            <sz val="9"/>
            <rFont val="宋体"/>
            <charset val="134"/>
          </rPr>
          <t xml:space="preserve">
3001997 7/2 7648pcs莫4C6
</t>
        </r>
      </text>
    </comment>
    <comment ref="AI255" authorId="0">
      <text>
        <r>
          <rPr>
            <b/>
            <sz val="9"/>
            <rFont val="宋体"/>
            <charset val="134"/>
          </rPr>
          <t>Administrator:</t>
        </r>
        <r>
          <rPr>
            <sz val="9"/>
            <rFont val="宋体"/>
            <charset val="134"/>
          </rPr>
          <t xml:space="preserve">
5/12 上客供RFID贴纸7648pcs</t>
        </r>
      </text>
    </comment>
    <comment ref="AF256" authorId="0">
      <text>
        <r>
          <rPr>
            <b/>
            <sz val="9"/>
            <rFont val="宋体"/>
            <charset val="134"/>
          </rPr>
          <t>Administrator:</t>
        </r>
        <r>
          <rPr>
            <sz val="9"/>
            <rFont val="宋体"/>
            <charset val="134"/>
          </rPr>
          <t xml:space="preserve">
3001565 7/2 1650pcs
莫4B7</t>
        </r>
      </text>
    </comment>
    <comment ref="AF257" authorId="0">
      <text>
        <r>
          <rPr>
            <b/>
            <sz val="9"/>
            <rFont val="宋体"/>
            <charset val="134"/>
          </rPr>
          <t>Administrator:</t>
        </r>
        <r>
          <rPr>
            <sz val="9"/>
            <rFont val="宋体"/>
            <charset val="134"/>
          </rPr>
          <t xml:space="preserve">
3001971 7/1 1612pcs兴信</t>
        </r>
      </text>
    </comment>
    <comment ref="AF258" authorId="0">
      <text>
        <r>
          <rPr>
            <b/>
            <sz val="9"/>
            <rFont val="宋体"/>
            <charset val="134"/>
          </rPr>
          <t>Administrator:</t>
        </r>
        <r>
          <rPr>
            <sz val="9"/>
            <rFont val="宋体"/>
            <charset val="134"/>
          </rPr>
          <t xml:space="preserve">
3001565 7/2 975pcs
莫4A4</t>
        </r>
      </text>
    </comment>
    <comment ref="AF259" authorId="0">
      <text>
        <r>
          <rPr>
            <b/>
            <sz val="9"/>
            <rFont val="宋体"/>
            <charset val="134"/>
          </rPr>
          <t>Administrator:</t>
        </r>
        <r>
          <rPr>
            <sz val="9"/>
            <rFont val="宋体"/>
            <charset val="134"/>
          </rPr>
          <t xml:space="preserve">
3001655 7/9 1050pcs</t>
        </r>
      </text>
    </comment>
    <comment ref="AI259" authorId="0">
      <text>
        <r>
          <rPr>
            <b/>
            <sz val="9"/>
            <rFont val="宋体"/>
            <charset val="134"/>
          </rPr>
          <t>Administrator:</t>
        </r>
        <r>
          <rPr>
            <sz val="9"/>
            <rFont val="宋体"/>
            <charset val="134"/>
          </rPr>
          <t xml:space="preserve">
5/29 上UPc贴纸3150pcs
两个同PO共用
6/26 上PDq进口商贴纸146pcs
6/26 上PDq进口商贴纸42pcs
</t>
        </r>
      </text>
    </comment>
    <comment ref="AF260" authorId="0">
      <text>
        <r>
          <rPr>
            <b/>
            <sz val="9"/>
            <rFont val="宋体"/>
            <charset val="134"/>
          </rPr>
          <t>Administrator:</t>
        </r>
        <r>
          <rPr>
            <sz val="9"/>
            <rFont val="宋体"/>
            <charset val="134"/>
          </rPr>
          <t xml:space="preserve">
3001700 7/8 1264pcs 华3B10</t>
        </r>
      </text>
    </comment>
    <comment ref="AI260" authorId="0">
      <text>
        <r>
          <rPr>
            <b/>
            <sz val="9"/>
            <rFont val="宋体"/>
            <charset val="134"/>
          </rPr>
          <t>Administrator:</t>
        </r>
        <r>
          <rPr>
            <sz val="9"/>
            <rFont val="宋体"/>
            <charset val="134"/>
          </rPr>
          <t xml:space="preserve">
6/5 上进口商贴纸6050pcs
两个同PO共用
5/29 上UPC贴纸6050pcs
两个同PO共用
6/26 上PDq进口商贴纸146pcs
</t>
        </r>
      </text>
    </comment>
    <comment ref="AF261" authorId="0">
      <text>
        <r>
          <rPr>
            <b/>
            <sz val="9"/>
            <rFont val="宋体"/>
            <charset val="134"/>
          </rPr>
          <t>Administrator:</t>
        </r>
        <r>
          <rPr>
            <sz val="9"/>
            <rFont val="宋体"/>
            <charset val="134"/>
          </rPr>
          <t xml:space="preserve">
3001877 7/5 2400pcs 华3A29</t>
        </r>
      </text>
    </comment>
    <comment ref="AI261" authorId="0">
      <text>
        <r>
          <rPr>
            <b/>
            <sz val="9"/>
            <rFont val="宋体"/>
            <charset val="134"/>
          </rPr>
          <t>Administrator:</t>
        </r>
        <r>
          <rPr>
            <sz val="9"/>
            <rFont val="宋体"/>
            <charset val="134"/>
          </rPr>
          <t xml:space="preserve">
6/26 上展示架进口商贴纸80pcs</t>
        </r>
      </text>
    </comment>
    <comment ref="AF262" authorId="0">
      <text>
        <r>
          <rPr>
            <b/>
            <sz val="9"/>
            <rFont val="宋体"/>
            <charset val="134"/>
          </rPr>
          <t>Administrator:</t>
        </r>
        <r>
          <rPr>
            <sz val="9"/>
            <rFont val="宋体"/>
            <charset val="134"/>
          </rPr>
          <t xml:space="preserve">
3001877 7/2 2100pcs 华3B11
</t>
        </r>
      </text>
    </comment>
    <comment ref="AI262" authorId="0">
      <text>
        <r>
          <rPr>
            <b/>
            <sz val="9"/>
            <rFont val="宋体"/>
            <charset val="134"/>
          </rPr>
          <t>Administrator:</t>
        </r>
        <r>
          <rPr>
            <sz val="9"/>
            <rFont val="宋体"/>
            <charset val="134"/>
          </rPr>
          <t xml:space="preserve">
6/26 上展示架进口商贴纸70pcs</t>
        </r>
      </text>
    </comment>
    <comment ref="AF265" authorId="0">
      <text>
        <r>
          <rPr>
            <b/>
            <sz val="9"/>
            <rFont val="宋体"/>
            <charset val="134"/>
          </rPr>
          <t>Administrator:</t>
        </r>
        <r>
          <rPr>
            <sz val="9"/>
            <rFont val="宋体"/>
            <charset val="134"/>
          </rPr>
          <t xml:space="preserve">
2001606 7/2 240pcs华3B13</t>
        </r>
      </text>
    </comment>
    <comment ref="AI265" authorId="0">
      <text>
        <r>
          <rPr>
            <b/>
            <sz val="9"/>
            <rFont val="宋体"/>
            <charset val="134"/>
          </rPr>
          <t>Administrator:</t>
        </r>
        <r>
          <rPr>
            <sz val="9"/>
            <rFont val="宋体"/>
            <charset val="134"/>
          </rPr>
          <t xml:space="preserve">
7/5 上空白贴纸480pcs</t>
        </r>
      </text>
    </comment>
    <comment ref="AF266" authorId="0">
      <text>
        <r>
          <rPr>
            <b/>
            <sz val="9"/>
            <rFont val="宋体"/>
            <charset val="134"/>
          </rPr>
          <t>Administrator:</t>
        </r>
        <r>
          <rPr>
            <sz val="9"/>
            <rFont val="宋体"/>
            <charset val="134"/>
          </rPr>
          <t xml:space="preserve">
2001636 6/30 4080pcs</t>
        </r>
      </text>
    </comment>
    <comment ref="AF268" authorId="0">
      <text>
        <r>
          <rPr>
            <b/>
            <sz val="9"/>
            <rFont val="宋体"/>
            <charset val="134"/>
          </rPr>
          <t>Administrator:</t>
        </r>
        <r>
          <rPr>
            <sz val="9"/>
            <rFont val="宋体"/>
            <charset val="134"/>
          </rPr>
          <t xml:space="preserve">
3001676 7/7 1000pcs
华3S14
</t>
        </r>
      </text>
    </comment>
    <comment ref="AI268" authorId="0">
      <text>
        <r>
          <rPr>
            <b/>
            <sz val="9"/>
            <rFont val="宋体"/>
            <charset val="134"/>
          </rPr>
          <t>Administrator:</t>
        </r>
        <r>
          <rPr>
            <sz val="9"/>
            <rFont val="宋体"/>
            <charset val="134"/>
          </rPr>
          <t xml:space="preserve">
6/5 上冰棒-说明书荷兰语贴纸1000pcs
蛋糕款-荷兰语贴纸1000pcs
布丁款-荷兰语贴纸1000pcs</t>
        </r>
      </text>
    </comment>
    <comment ref="AF269" authorId="0">
      <text>
        <r>
          <rPr>
            <b/>
            <sz val="9"/>
            <rFont val="宋体"/>
            <charset val="134"/>
          </rPr>
          <t>Administrator:</t>
        </r>
        <r>
          <rPr>
            <sz val="9"/>
            <rFont val="宋体"/>
            <charset val="134"/>
          </rPr>
          <t xml:space="preserve">
3001915 7/3 156pcs华3B27</t>
        </r>
      </text>
    </comment>
    <comment ref="AI269" authorId="0">
      <text>
        <r>
          <rPr>
            <b/>
            <sz val="9"/>
            <rFont val="宋体"/>
            <charset val="134"/>
          </rPr>
          <t>Administrator:</t>
        </r>
        <r>
          <rPr>
            <sz val="9"/>
            <rFont val="宋体"/>
            <charset val="134"/>
          </rPr>
          <t xml:space="preserve">
6/14 上UPC贴纸156pcs
6/11 上KM单外箱贴纸12pcs
6/19 上白色防盗贴纸156pcs</t>
        </r>
      </text>
    </comment>
    <comment ref="AF270" authorId="0">
      <text>
        <r>
          <rPr>
            <b/>
            <sz val="9"/>
            <rFont val="宋体"/>
            <charset val="134"/>
          </rPr>
          <t>Administrator:</t>
        </r>
        <r>
          <rPr>
            <sz val="9"/>
            <rFont val="宋体"/>
            <charset val="134"/>
          </rPr>
          <t xml:space="preserve">
3001905 7/4 2002pcs
直走</t>
        </r>
      </text>
    </comment>
    <comment ref="AI270" authorId="0">
      <text>
        <r>
          <rPr>
            <b/>
            <sz val="9"/>
            <rFont val="宋体"/>
            <charset val="134"/>
          </rPr>
          <t>Administrator:</t>
        </r>
        <r>
          <rPr>
            <sz val="9"/>
            <rFont val="宋体"/>
            <charset val="134"/>
          </rPr>
          <t xml:space="preserve">
5/30 上多语折叠贴纸2002pcs
</t>
        </r>
      </text>
    </comment>
    <comment ref="AF271" authorId="0">
      <text>
        <r>
          <rPr>
            <b/>
            <sz val="9"/>
            <rFont val="宋体"/>
            <charset val="134"/>
          </rPr>
          <t>Administrator:</t>
        </r>
        <r>
          <rPr>
            <sz val="9"/>
            <rFont val="宋体"/>
            <charset val="134"/>
          </rPr>
          <t xml:space="preserve">
3001641 7/9 492pcs
3001534 7/11 12pcs</t>
        </r>
      </text>
    </comment>
    <comment ref="AI271" authorId="0">
      <text>
        <r>
          <rPr>
            <b/>
            <sz val="9"/>
            <rFont val="宋体"/>
            <charset val="134"/>
          </rPr>
          <t>Administrator:</t>
        </r>
        <r>
          <rPr>
            <sz val="9"/>
            <rFont val="宋体"/>
            <charset val="134"/>
          </rPr>
          <t xml:space="preserve">
6/14 上空白贴纸1008pcs
环保标贴纸1008pcs
</t>
        </r>
      </text>
    </comment>
    <comment ref="AF272" authorId="0">
      <text>
        <r>
          <rPr>
            <b/>
            <sz val="9"/>
            <rFont val="宋体"/>
            <charset val="134"/>
          </rPr>
          <t>Administrator:</t>
        </r>
        <r>
          <rPr>
            <sz val="9"/>
            <rFont val="宋体"/>
            <charset val="134"/>
          </rPr>
          <t xml:space="preserve">
3001904 7/4 700pcs华3B1</t>
        </r>
      </text>
    </comment>
    <comment ref="AF273" authorId="0">
      <text>
        <r>
          <rPr>
            <b/>
            <sz val="9"/>
            <rFont val="宋体"/>
            <charset val="134"/>
          </rPr>
          <t>Administrator:</t>
        </r>
        <r>
          <rPr>
            <sz val="9"/>
            <rFont val="宋体"/>
            <charset val="134"/>
          </rPr>
          <t xml:space="preserve">
2001575 7/7 5400psc 华1A4
2001583 7/8 3300pcs 直走</t>
        </r>
      </text>
    </comment>
    <comment ref="AI273" authorId="0">
      <text>
        <r>
          <rPr>
            <b/>
            <sz val="9"/>
            <rFont val="宋体"/>
            <charset val="134"/>
          </rPr>
          <t>Administrator:</t>
        </r>
        <r>
          <rPr>
            <sz val="9"/>
            <rFont val="宋体"/>
            <charset val="134"/>
          </rPr>
          <t xml:space="preserve">
6/5 上条码贴纸34800pcs
两个同PO共用
6/25 上空白贴纸34800pcs
两个同PO共用</t>
        </r>
      </text>
    </comment>
    <comment ref="AF274" authorId="0">
      <text>
        <r>
          <rPr>
            <b/>
            <sz val="9"/>
            <rFont val="宋体"/>
            <charset val="134"/>
          </rPr>
          <t>Administrator:</t>
        </r>
        <r>
          <rPr>
            <sz val="9"/>
            <rFont val="宋体"/>
            <charset val="134"/>
          </rPr>
          <t xml:space="preserve">
3001904 7/4 500pcs
华3B1</t>
        </r>
      </text>
    </comment>
    <comment ref="AF275" authorId="0">
      <text>
        <r>
          <rPr>
            <b/>
            <sz val="9"/>
            <rFont val="宋体"/>
            <charset val="134"/>
          </rPr>
          <t>Administrator:</t>
        </r>
        <r>
          <rPr>
            <sz val="9"/>
            <rFont val="宋体"/>
            <charset val="134"/>
          </rPr>
          <t xml:space="preserve">
3001641 7/9 2400pcs
</t>
        </r>
      </text>
    </comment>
    <comment ref="AI275" authorId="0">
      <text>
        <r>
          <rPr>
            <b/>
            <sz val="9"/>
            <rFont val="宋体"/>
            <charset val="134"/>
          </rPr>
          <t>Administrator:</t>
        </r>
        <r>
          <rPr>
            <sz val="9"/>
            <rFont val="宋体"/>
            <charset val="134"/>
          </rPr>
          <t xml:space="preserve">
6/13 上冰棒款-说明书荷兰语贴纸2400pcs
蛋糕款-说明书荷兰语贴纸2400pcs
布丁款-说明书荷兰语贴纸2400pcs
</t>
        </r>
      </text>
    </comment>
    <comment ref="AF276" authorId="0">
      <text>
        <r>
          <rPr>
            <b/>
            <sz val="9"/>
            <rFont val="宋体"/>
            <charset val="134"/>
          </rPr>
          <t>Administrator:</t>
        </r>
        <r>
          <rPr>
            <sz val="9"/>
            <rFont val="宋体"/>
            <charset val="134"/>
          </rPr>
          <t xml:space="preserve">
3001904 7/4 500pcs
华3B1</t>
        </r>
      </text>
    </comment>
    <comment ref="AF277" authorId="0">
      <text>
        <r>
          <rPr>
            <b/>
            <sz val="9"/>
            <rFont val="宋体"/>
            <charset val="134"/>
          </rPr>
          <t>Administrator:</t>
        </r>
        <r>
          <rPr>
            <sz val="9"/>
            <rFont val="宋体"/>
            <charset val="134"/>
          </rPr>
          <t xml:space="preserve">
3001905 7/4 1664pcs
直走</t>
        </r>
      </text>
    </comment>
    <comment ref="AI277" authorId="0">
      <text>
        <r>
          <rPr>
            <b/>
            <sz val="9"/>
            <rFont val="宋体"/>
            <charset val="134"/>
          </rPr>
          <t>Administrator:</t>
        </r>
        <r>
          <rPr>
            <sz val="9"/>
            <rFont val="宋体"/>
            <charset val="134"/>
          </rPr>
          <t xml:space="preserve">
6/23 上纸袋希腊警语贴纸1664pcs
WEEE30L带电走货电池说明书1664pcs
客人警语贴纸1664pcs
6/30 上纸袋警告贴纸8320pcs</t>
        </r>
      </text>
    </comment>
    <comment ref="AF278" authorId="0">
      <text>
        <r>
          <rPr>
            <b/>
            <sz val="9"/>
            <rFont val="宋体"/>
            <charset val="134"/>
          </rPr>
          <t>Administrator:</t>
        </r>
        <r>
          <rPr>
            <sz val="9"/>
            <rFont val="宋体"/>
            <charset val="134"/>
          </rPr>
          <t xml:space="preserve">
3001905 7/4 120pcs
华3B1</t>
        </r>
      </text>
    </comment>
    <comment ref="AI278" authorId="0">
      <text>
        <r>
          <rPr>
            <b/>
            <sz val="9"/>
            <rFont val="宋体"/>
            <charset val="134"/>
          </rPr>
          <t>Administrator:</t>
        </r>
        <r>
          <rPr>
            <sz val="9"/>
            <rFont val="宋体"/>
            <charset val="134"/>
          </rPr>
          <t xml:space="preserve">
5/7 上客人白色CALLABEL贴纸120pcs
</t>
        </r>
      </text>
    </comment>
    <comment ref="AF279" authorId="0">
      <text>
        <r>
          <rPr>
            <b/>
            <sz val="9"/>
            <rFont val="宋体"/>
            <charset val="134"/>
          </rPr>
          <t>Administrator:</t>
        </r>
        <r>
          <rPr>
            <sz val="9"/>
            <rFont val="宋体"/>
            <charset val="134"/>
          </rPr>
          <t xml:space="preserve">
3001877 7/5 300pcs 华3A24</t>
        </r>
      </text>
    </comment>
    <comment ref="AF280" authorId="0">
      <text>
        <r>
          <rPr>
            <b/>
            <sz val="9"/>
            <rFont val="宋体"/>
            <charset val="134"/>
          </rPr>
          <t>Administrator:</t>
        </r>
        <r>
          <rPr>
            <sz val="9"/>
            <rFont val="宋体"/>
            <charset val="134"/>
          </rPr>
          <t xml:space="preserve">
3001905 7/4 1450pcs B栋4楼</t>
        </r>
      </text>
    </comment>
    <comment ref="AI280" authorId="0">
      <text>
        <r>
          <rPr>
            <b/>
            <sz val="9"/>
            <rFont val="宋体"/>
            <charset val="134"/>
          </rPr>
          <t>Administrator:</t>
        </r>
        <r>
          <rPr>
            <sz val="9"/>
            <rFont val="宋体"/>
            <charset val="134"/>
          </rPr>
          <t xml:space="preserve">
5/29 上UPC贴纸2500pcs
两个同PO共用
6/17 上进口商贴纸2500pcs
两个同PO共用
6/26 上PDq进口商贴纸58pcs
</t>
        </r>
      </text>
    </comment>
    <comment ref="AF281" authorId="0">
      <text>
        <r>
          <rPr>
            <b/>
            <sz val="9"/>
            <rFont val="宋体"/>
            <charset val="134"/>
          </rPr>
          <t>Administrator:</t>
        </r>
        <r>
          <rPr>
            <sz val="9"/>
            <rFont val="宋体"/>
            <charset val="134"/>
          </rPr>
          <t xml:space="preserve">
3001877 7/5 1050pcs 兴信</t>
        </r>
      </text>
    </comment>
    <comment ref="AI281" authorId="0">
      <text>
        <r>
          <rPr>
            <b/>
            <sz val="9"/>
            <rFont val="宋体"/>
            <charset val="134"/>
          </rPr>
          <t>Administrator:</t>
        </r>
        <r>
          <rPr>
            <sz val="9"/>
            <rFont val="宋体"/>
            <charset val="134"/>
          </rPr>
          <t xml:space="preserve">
6/26 上展示架进口商贴纸35pcs</t>
        </r>
      </text>
    </comment>
    <comment ref="AF282" authorId="0">
      <text>
        <r>
          <rPr>
            <b/>
            <sz val="9"/>
            <rFont val="宋体"/>
            <charset val="134"/>
          </rPr>
          <t>Administrator:</t>
        </r>
        <r>
          <rPr>
            <sz val="9"/>
            <rFont val="宋体"/>
            <charset val="134"/>
          </rPr>
          <t xml:space="preserve">
3001736 7/5 1000psc 华3B15</t>
        </r>
      </text>
    </comment>
    <comment ref="AI282" authorId="0">
      <text>
        <r>
          <rPr>
            <b/>
            <sz val="9"/>
            <rFont val="宋体"/>
            <charset val="134"/>
          </rPr>
          <t>Administrator:</t>
        </r>
        <r>
          <rPr>
            <sz val="9"/>
            <rFont val="宋体"/>
            <charset val="134"/>
          </rPr>
          <t xml:space="preserve">
6/21 上进口商贴纸1000pcs
UPC/价标贴纸1000pcs</t>
        </r>
      </text>
    </comment>
    <comment ref="AF283" authorId="0">
      <text>
        <r>
          <rPr>
            <b/>
            <sz val="9"/>
            <rFont val="宋体"/>
            <charset val="134"/>
          </rPr>
          <t>Administrator:</t>
        </r>
        <r>
          <rPr>
            <sz val="9"/>
            <rFont val="宋体"/>
            <charset val="134"/>
          </rPr>
          <t xml:space="preserve">
3001877 7/5 2400pcs 华3A24</t>
        </r>
      </text>
    </comment>
    <comment ref="AI283" authorId="0">
      <text>
        <r>
          <rPr>
            <b/>
            <sz val="9"/>
            <rFont val="宋体"/>
            <charset val="134"/>
          </rPr>
          <t>Administrator:</t>
        </r>
        <r>
          <rPr>
            <sz val="9"/>
            <rFont val="宋体"/>
            <charset val="134"/>
          </rPr>
          <t xml:space="preserve">
6/11 上多语折叠贴纸2400pcs
6/21 上多语警语折叠贴纸26400pcs数量自行分配</t>
        </r>
      </text>
    </comment>
    <comment ref="AF284" authorId="0">
      <text>
        <r>
          <rPr>
            <b/>
            <sz val="9"/>
            <rFont val="宋体"/>
            <charset val="134"/>
          </rPr>
          <t>Administrator:</t>
        </r>
        <r>
          <rPr>
            <sz val="9"/>
            <rFont val="宋体"/>
            <charset val="134"/>
          </rPr>
          <t xml:space="preserve">
3001733 7/5 6128pcs
B栋4A4</t>
        </r>
      </text>
    </comment>
    <comment ref="AI284" authorId="0">
      <text>
        <r>
          <rPr>
            <b/>
            <sz val="9"/>
            <rFont val="宋体"/>
            <charset val="134"/>
          </rPr>
          <t>Administrator:</t>
        </r>
        <r>
          <rPr>
            <sz val="9"/>
            <rFont val="宋体"/>
            <charset val="134"/>
          </rPr>
          <t xml:space="preserve">
6/11 上客供RFID贴纸6128pcs
</t>
        </r>
      </text>
    </comment>
    <comment ref="AF285" authorId="0">
      <text>
        <r>
          <rPr>
            <b/>
            <sz val="9"/>
            <rFont val="宋体"/>
            <charset val="134"/>
          </rPr>
          <t>Administrator:</t>
        </r>
        <r>
          <rPr>
            <sz val="9"/>
            <rFont val="宋体"/>
            <charset val="134"/>
          </rPr>
          <t xml:space="preserve">
3001733 7/5 8576pcs
B栋4C7</t>
        </r>
      </text>
    </comment>
    <comment ref="AI285" authorId="0">
      <text>
        <r>
          <rPr>
            <b/>
            <sz val="9"/>
            <rFont val="宋体"/>
            <charset val="134"/>
          </rPr>
          <t>Administrator:</t>
        </r>
        <r>
          <rPr>
            <sz val="9"/>
            <rFont val="宋体"/>
            <charset val="134"/>
          </rPr>
          <t xml:space="preserve">
6/11 上客供RFID贴纸8576pcs
</t>
        </r>
      </text>
    </comment>
    <comment ref="AF286" authorId="0">
      <text>
        <r>
          <rPr>
            <b/>
            <sz val="9"/>
            <rFont val="宋体"/>
            <charset val="134"/>
          </rPr>
          <t>Administrator:</t>
        </r>
        <r>
          <rPr>
            <sz val="9"/>
            <rFont val="宋体"/>
            <charset val="134"/>
          </rPr>
          <t xml:space="preserve">
3001733 7/5 6464pcs
B栋4A4</t>
        </r>
      </text>
    </comment>
    <comment ref="AI286" authorId="0">
      <text>
        <r>
          <rPr>
            <b/>
            <sz val="9"/>
            <rFont val="宋体"/>
            <charset val="134"/>
          </rPr>
          <t>Administrator:</t>
        </r>
        <r>
          <rPr>
            <sz val="9"/>
            <rFont val="宋体"/>
            <charset val="134"/>
          </rPr>
          <t xml:space="preserve">
6/11 上客供RFID贴纸6464pcs
</t>
        </r>
      </text>
    </comment>
    <comment ref="AF287" authorId="0">
      <text>
        <r>
          <rPr>
            <b/>
            <sz val="9"/>
            <rFont val="宋体"/>
            <charset val="134"/>
          </rPr>
          <t>Administrator:</t>
        </r>
        <r>
          <rPr>
            <sz val="9"/>
            <rFont val="宋体"/>
            <charset val="134"/>
          </rPr>
          <t xml:space="preserve">
3001733 7/5 5888pcs
B栋4A4</t>
        </r>
      </text>
    </comment>
    <comment ref="AI287" authorId="0">
      <text>
        <r>
          <rPr>
            <b/>
            <sz val="9"/>
            <rFont val="宋体"/>
            <charset val="134"/>
          </rPr>
          <t>Administrator:</t>
        </r>
        <r>
          <rPr>
            <sz val="9"/>
            <rFont val="宋体"/>
            <charset val="134"/>
          </rPr>
          <t xml:space="preserve">
6/11 上客供RFID贴纸5888pcs
</t>
        </r>
      </text>
    </comment>
    <comment ref="AF288" authorId="0">
      <text>
        <r>
          <rPr>
            <b/>
            <sz val="9"/>
            <rFont val="宋体"/>
            <charset val="134"/>
          </rPr>
          <t>Administrator:</t>
        </r>
        <r>
          <rPr>
            <sz val="9"/>
            <rFont val="宋体"/>
            <charset val="134"/>
          </rPr>
          <t xml:space="preserve">
3001700 7/8 1264PCS 华3B14</t>
        </r>
      </text>
    </comment>
    <comment ref="AI288" authorId="0">
      <text>
        <r>
          <rPr>
            <b/>
            <sz val="9"/>
            <rFont val="宋体"/>
            <charset val="134"/>
          </rPr>
          <t>Administrator:</t>
        </r>
        <r>
          <rPr>
            <sz val="9"/>
            <rFont val="宋体"/>
            <charset val="134"/>
          </rPr>
          <t xml:space="preserve">
6/19 上客供RFID贴纸1264pcs
</t>
        </r>
      </text>
    </comment>
    <comment ref="AF289" authorId="0">
      <text>
        <r>
          <rPr>
            <b/>
            <sz val="9"/>
            <rFont val="宋体"/>
            <charset val="134"/>
          </rPr>
          <t>Administrator:</t>
        </r>
        <r>
          <rPr>
            <sz val="9"/>
            <rFont val="宋体"/>
            <charset val="134"/>
          </rPr>
          <t xml:space="preserve">
3001700 7/8 1792PCS 华3B14
</t>
        </r>
      </text>
    </comment>
    <comment ref="AI289" authorId="0">
      <text>
        <r>
          <rPr>
            <b/>
            <sz val="9"/>
            <rFont val="宋体"/>
            <charset val="134"/>
          </rPr>
          <t>Administrator:</t>
        </r>
        <r>
          <rPr>
            <sz val="9"/>
            <rFont val="宋体"/>
            <charset val="134"/>
          </rPr>
          <t xml:space="preserve">
6/19 上客供RFID贴纸1792pcs
</t>
        </r>
      </text>
    </comment>
    <comment ref="AF290" authorId="0">
      <text>
        <r>
          <rPr>
            <b/>
            <sz val="9"/>
            <rFont val="宋体"/>
            <charset val="134"/>
          </rPr>
          <t>Administrator:</t>
        </r>
        <r>
          <rPr>
            <sz val="9"/>
            <rFont val="宋体"/>
            <charset val="134"/>
          </rPr>
          <t xml:space="preserve">
3001700 7/8 608PCS 华3B13
</t>
        </r>
      </text>
    </comment>
    <comment ref="AI290" authorId="0">
      <text>
        <r>
          <rPr>
            <b/>
            <sz val="9"/>
            <rFont val="宋体"/>
            <charset val="134"/>
          </rPr>
          <t>Administrator:</t>
        </r>
        <r>
          <rPr>
            <sz val="9"/>
            <rFont val="宋体"/>
            <charset val="134"/>
          </rPr>
          <t xml:space="preserve">
6/19 上客供RFID贴纸608pcs
</t>
        </r>
      </text>
    </comment>
    <comment ref="AF291" authorId="0">
      <text>
        <r>
          <rPr>
            <b/>
            <sz val="9"/>
            <rFont val="宋体"/>
            <charset val="134"/>
          </rPr>
          <t>Administrator:</t>
        </r>
        <r>
          <rPr>
            <sz val="9"/>
            <rFont val="宋体"/>
            <charset val="134"/>
          </rPr>
          <t xml:space="preserve">
3001700 7/8 512PCS 华3B13
</t>
        </r>
      </text>
    </comment>
    <comment ref="AI291" authorId="0">
      <text>
        <r>
          <rPr>
            <b/>
            <sz val="9"/>
            <rFont val="宋体"/>
            <charset val="134"/>
          </rPr>
          <t>Administrator:</t>
        </r>
        <r>
          <rPr>
            <sz val="9"/>
            <rFont val="宋体"/>
            <charset val="134"/>
          </rPr>
          <t xml:space="preserve">
6/19 上客供RFID贴纸512pcs
</t>
        </r>
      </text>
    </comment>
    <comment ref="AF292" authorId="0">
      <text>
        <r>
          <rPr>
            <b/>
            <sz val="9"/>
            <rFont val="宋体"/>
            <charset val="134"/>
          </rPr>
          <t>Administrator:</t>
        </r>
        <r>
          <rPr>
            <sz val="9"/>
            <rFont val="宋体"/>
            <charset val="134"/>
          </rPr>
          <t xml:space="preserve">
3001676 7/7 750pcs
华3B13
</t>
        </r>
      </text>
    </comment>
    <comment ref="AI292" authorId="0">
      <text>
        <r>
          <rPr>
            <b/>
            <sz val="9"/>
            <rFont val="宋体"/>
            <charset val="134"/>
          </rPr>
          <t>Administrator:</t>
        </r>
        <r>
          <rPr>
            <sz val="9"/>
            <rFont val="宋体"/>
            <charset val="134"/>
          </rPr>
          <t xml:space="preserve">
6/13 上UPC贴纸750pcs</t>
        </r>
      </text>
    </comment>
    <comment ref="AF293" authorId="0">
      <text>
        <r>
          <rPr>
            <b/>
            <sz val="9"/>
            <rFont val="宋体"/>
            <charset val="134"/>
          </rPr>
          <t>Administrator:</t>
        </r>
        <r>
          <rPr>
            <sz val="9"/>
            <rFont val="宋体"/>
            <charset val="134"/>
          </rPr>
          <t xml:space="preserve">
3001618 7/10 4680pcs华3A29</t>
        </r>
      </text>
    </comment>
    <comment ref="AI293" authorId="0">
      <text>
        <r>
          <rPr>
            <b/>
            <sz val="9"/>
            <rFont val="宋体"/>
            <charset val="134"/>
          </rPr>
          <t>Administrator:</t>
        </r>
        <r>
          <rPr>
            <sz val="9"/>
            <rFont val="宋体"/>
            <charset val="134"/>
          </rPr>
          <t xml:space="preserve">
6/23 上UPC条码贴纸4680pcs</t>
        </r>
      </text>
    </comment>
    <comment ref="AF294" authorId="0">
      <text>
        <r>
          <rPr>
            <b/>
            <sz val="9"/>
            <rFont val="宋体"/>
            <charset val="134"/>
          </rPr>
          <t>Administrator:</t>
        </r>
        <r>
          <rPr>
            <sz val="9"/>
            <rFont val="宋体"/>
            <charset val="134"/>
          </rPr>
          <t xml:space="preserve">
3001700 7/8 3864pcs 华3A31</t>
        </r>
      </text>
    </comment>
    <comment ref="AI294" authorId="0">
      <text>
        <r>
          <rPr>
            <b/>
            <sz val="9"/>
            <rFont val="宋体"/>
            <charset val="134"/>
          </rPr>
          <t>Administrator:</t>
        </r>
        <r>
          <rPr>
            <sz val="9"/>
            <rFont val="宋体"/>
            <charset val="134"/>
          </rPr>
          <t xml:space="preserve">
6/24 上客供亚马逊外箱贴纸322pcs
</t>
        </r>
      </text>
    </comment>
    <comment ref="AF295" authorId="0">
      <text>
        <r>
          <rPr>
            <b/>
            <sz val="9"/>
            <rFont val="宋体"/>
            <charset val="134"/>
          </rPr>
          <t>Administrator:</t>
        </r>
        <r>
          <rPr>
            <sz val="9"/>
            <rFont val="宋体"/>
            <charset val="134"/>
          </rPr>
          <t xml:space="preserve">
3001700 7/8 4332pcs 华3A31
</t>
        </r>
      </text>
    </comment>
    <comment ref="AI295" authorId="0">
      <text>
        <r>
          <rPr>
            <b/>
            <sz val="9"/>
            <rFont val="宋体"/>
            <charset val="134"/>
          </rPr>
          <t>Administrator:</t>
        </r>
        <r>
          <rPr>
            <sz val="9"/>
            <rFont val="宋体"/>
            <charset val="134"/>
          </rPr>
          <t xml:space="preserve">
6/24 上客供亚马逊外箱贴纸361pcs
</t>
        </r>
      </text>
    </comment>
    <comment ref="AF296" authorId="0">
      <text>
        <r>
          <rPr>
            <b/>
            <sz val="9"/>
            <rFont val="宋体"/>
            <charset val="134"/>
          </rPr>
          <t>Administrator:</t>
        </r>
        <r>
          <rPr>
            <sz val="9"/>
            <rFont val="宋体"/>
            <charset val="134"/>
          </rPr>
          <t xml:space="preserve">
3001733 7/5 11312pcs  
B栋4A4</t>
        </r>
      </text>
    </comment>
    <comment ref="AI296" authorId="0">
      <text>
        <r>
          <rPr>
            <b/>
            <sz val="9"/>
            <rFont val="宋体"/>
            <charset val="134"/>
          </rPr>
          <t>Administrator:</t>
        </r>
        <r>
          <rPr>
            <sz val="9"/>
            <rFont val="宋体"/>
            <charset val="134"/>
          </rPr>
          <t xml:space="preserve">
6/11 上客供RFID贴纸11312pcs
</t>
        </r>
      </text>
    </comment>
    <comment ref="AF297" authorId="0">
      <text>
        <r>
          <rPr>
            <b/>
            <sz val="9"/>
            <rFont val="宋体"/>
            <charset val="134"/>
          </rPr>
          <t>Administrator:</t>
        </r>
        <r>
          <rPr>
            <sz val="9"/>
            <rFont val="宋体"/>
            <charset val="134"/>
          </rPr>
          <t xml:space="preserve">
3001715 7/5 9776pcs 华3A10</t>
        </r>
      </text>
    </comment>
    <comment ref="AI297" authorId="0">
      <text>
        <r>
          <rPr>
            <b/>
            <sz val="9"/>
            <rFont val="宋体"/>
            <charset val="134"/>
          </rPr>
          <t>Administrator:</t>
        </r>
        <r>
          <rPr>
            <sz val="9"/>
            <rFont val="宋体"/>
            <charset val="134"/>
          </rPr>
          <t xml:space="preserve">
6/11 上客供RFID贴纸9776pcs
</t>
        </r>
      </text>
    </comment>
    <comment ref="AF298" authorId="0">
      <text>
        <r>
          <rPr>
            <b/>
            <sz val="9"/>
            <rFont val="宋体"/>
            <charset val="134"/>
          </rPr>
          <t>Administrator:</t>
        </r>
        <r>
          <rPr>
            <sz val="9"/>
            <rFont val="宋体"/>
            <charset val="134"/>
          </rPr>
          <t xml:space="preserve">
3001685 7/8 9888pcs B栋4C6</t>
        </r>
      </text>
    </comment>
    <comment ref="AI298" authorId="0">
      <text>
        <r>
          <rPr>
            <b/>
            <sz val="9"/>
            <rFont val="宋体"/>
            <charset val="134"/>
          </rPr>
          <t>Administrator:</t>
        </r>
        <r>
          <rPr>
            <sz val="9"/>
            <rFont val="宋体"/>
            <charset val="134"/>
          </rPr>
          <t xml:space="preserve">
6/11 上客供RFID贴纸9888pcs
</t>
        </r>
      </text>
    </comment>
    <comment ref="AF299" authorId="0">
      <text>
        <r>
          <rPr>
            <b/>
            <sz val="9"/>
            <rFont val="宋体"/>
            <charset val="134"/>
          </rPr>
          <t>Administrator:</t>
        </r>
        <r>
          <rPr>
            <sz val="9"/>
            <rFont val="宋体"/>
            <charset val="134"/>
          </rPr>
          <t xml:space="preserve">
3001641 7/9 11488pcs
</t>
        </r>
      </text>
    </comment>
    <comment ref="AI299" authorId="0">
      <text>
        <r>
          <rPr>
            <b/>
            <sz val="9"/>
            <rFont val="宋体"/>
            <charset val="134"/>
          </rPr>
          <t>Administrator:</t>
        </r>
        <r>
          <rPr>
            <sz val="9"/>
            <rFont val="宋体"/>
            <charset val="134"/>
          </rPr>
          <t xml:space="preserve">
6/11 上客供RFID贴纸11488pcs
</t>
        </r>
      </text>
    </comment>
    <comment ref="AF300" authorId="0">
      <text>
        <r>
          <rPr>
            <b/>
            <sz val="9"/>
            <rFont val="宋体"/>
            <charset val="134"/>
          </rPr>
          <t>Administrator:</t>
        </r>
        <r>
          <rPr>
            <sz val="9"/>
            <rFont val="宋体"/>
            <charset val="134"/>
          </rPr>
          <t xml:space="preserve">
3001641 7/9 6750pcs
3001615 7/9 2625pcs
华3A19
3001618 7/10 10925pcs华3B8</t>
        </r>
      </text>
    </comment>
    <comment ref="AI300" authorId="0">
      <text>
        <r>
          <rPr>
            <b/>
            <sz val="9"/>
            <rFont val="宋体"/>
            <charset val="134"/>
          </rPr>
          <t>Administrator:</t>
        </r>
        <r>
          <rPr>
            <sz val="9"/>
            <rFont val="宋体"/>
            <charset val="134"/>
          </rPr>
          <t xml:space="preserve">
6/24 上客供外箱条码贴纸820pcs
</t>
        </r>
      </text>
    </comment>
    <comment ref="AF301" authorId="0">
      <text>
        <r>
          <rPr>
            <b/>
            <sz val="9"/>
            <rFont val="宋体"/>
            <charset val="134"/>
          </rPr>
          <t>Administrator:</t>
        </r>
        <r>
          <rPr>
            <sz val="9"/>
            <rFont val="宋体"/>
            <charset val="134"/>
          </rPr>
          <t xml:space="preserve">
3001641 7/9 299pcs
</t>
        </r>
      </text>
    </comment>
    <comment ref="AI301" authorId="0">
      <text>
        <r>
          <rPr>
            <b/>
            <sz val="9"/>
            <rFont val="宋体"/>
            <charset val="134"/>
          </rPr>
          <t>Administrator:</t>
        </r>
        <r>
          <rPr>
            <sz val="9"/>
            <rFont val="宋体"/>
            <charset val="134"/>
          </rPr>
          <t xml:space="preserve">
6/19 上白色防盗贴299pcs
</t>
        </r>
      </text>
    </comment>
    <comment ref="AF302" authorId="0">
      <text>
        <r>
          <rPr>
            <b/>
            <sz val="9"/>
            <rFont val="宋体"/>
            <charset val="134"/>
          </rPr>
          <t>Administrator:</t>
        </r>
        <r>
          <rPr>
            <sz val="9"/>
            <rFont val="宋体"/>
            <charset val="134"/>
          </rPr>
          <t xml:space="preserve">
3001618 7/10 2899pcs华3A32</t>
        </r>
      </text>
    </comment>
    <comment ref="AI302" authorId="0">
      <text>
        <r>
          <rPr>
            <b/>
            <sz val="9"/>
            <rFont val="宋体"/>
            <charset val="134"/>
          </rPr>
          <t>Administrator:</t>
        </r>
        <r>
          <rPr>
            <sz val="9"/>
            <rFont val="宋体"/>
            <charset val="134"/>
          </rPr>
          <t xml:space="preserve">
6/19 上白色防盗贴纸2899pcs
6/26 上UPC条码贴纸3198pcs</t>
        </r>
      </text>
    </comment>
    <comment ref="AF303" authorId="0">
      <text>
        <r>
          <rPr>
            <b/>
            <sz val="9"/>
            <rFont val="宋体"/>
            <charset val="134"/>
          </rPr>
          <t>Administrator:</t>
        </r>
        <r>
          <rPr>
            <sz val="9"/>
            <rFont val="宋体"/>
            <charset val="134"/>
          </rPr>
          <t xml:space="preserve">
2002515 6/7 600pcs送回半成品球东莞混装莫4A1
2002495 6/14 1250pcs送回半成品东莞混装
2001690 6/24 3550pcs送回半成品</t>
        </r>
      </text>
    </comment>
    <comment ref="AF305" authorId="0">
      <text>
        <r>
          <rPr>
            <b/>
            <sz val="9"/>
            <rFont val="宋体"/>
            <charset val="134"/>
          </rPr>
          <t>Administrator:</t>
        </r>
        <r>
          <rPr>
            <sz val="9"/>
            <rFont val="宋体"/>
            <charset val="134"/>
          </rPr>
          <t xml:space="preserve">
2001818 7/10 360pcs华3A24</t>
        </r>
      </text>
    </comment>
    <comment ref="AI305" authorId="0">
      <text>
        <r>
          <rPr>
            <b/>
            <sz val="9"/>
            <rFont val="宋体"/>
            <charset val="134"/>
          </rPr>
          <t>Administrator:</t>
        </r>
        <r>
          <rPr>
            <sz val="9"/>
            <rFont val="宋体"/>
            <charset val="134"/>
          </rPr>
          <t xml:space="preserve">
6/13 上客户进口商贴纸720pcs
EAN条码贴纸720pcs
7/5 上空白贴纸720pcs
</t>
        </r>
      </text>
    </comment>
    <comment ref="AF306" authorId="0">
      <text>
        <r>
          <rPr>
            <b/>
            <sz val="9"/>
            <rFont val="宋体"/>
            <charset val="134"/>
          </rPr>
          <t>Administrator:</t>
        </r>
        <r>
          <rPr>
            <sz val="9"/>
            <rFont val="宋体"/>
            <charset val="134"/>
          </rPr>
          <t xml:space="preserve">
3001905 7/4 1008pcs</t>
        </r>
      </text>
    </comment>
    <comment ref="AF307" authorId="0">
      <text>
        <r>
          <rPr>
            <b/>
            <sz val="9"/>
            <rFont val="宋体"/>
            <charset val="134"/>
          </rPr>
          <t>Administrator:</t>
        </r>
        <r>
          <rPr>
            <sz val="9"/>
            <rFont val="宋体"/>
            <charset val="134"/>
          </rPr>
          <t xml:space="preserve">
3001904 7/4 150pcs
华3B1</t>
        </r>
      </text>
    </comment>
    <comment ref="AF308" authorId="0">
      <text>
        <r>
          <rPr>
            <b/>
            <sz val="9"/>
            <rFont val="宋体"/>
            <charset val="134"/>
          </rPr>
          <t>Administrator:</t>
        </r>
        <r>
          <rPr>
            <sz val="9"/>
            <rFont val="宋体"/>
            <charset val="134"/>
          </rPr>
          <t xml:space="preserve">
2002495 6/14 800pcs送回半成品东莞混装
2001600 7/2 4005pcs 送回半成品东莞混装
2001610 7/3 595pcs送回半成品东莞混装</t>
        </r>
      </text>
    </comment>
    <comment ref="AF310" authorId="0">
      <text>
        <r>
          <rPr>
            <b/>
            <sz val="9"/>
            <rFont val="宋体"/>
            <charset val="134"/>
          </rPr>
          <t>Administrator:</t>
        </r>
        <r>
          <rPr>
            <sz val="9"/>
            <rFont val="宋体"/>
            <charset val="134"/>
          </rPr>
          <t xml:space="preserve">
3001904 7/4 500pcs华3B1</t>
        </r>
      </text>
    </comment>
    <comment ref="AF311" authorId="0">
      <text>
        <r>
          <rPr>
            <b/>
            <sz val="9"/>
            <rFont val="宋体"/>
            <charset val="134"/>
          </rPr>
          <t>Administrator:</t>
        </r>
        <r>
          <rPr>
            <sz val="9"/>
            <rFont val="宋体"/>
            <charset val="134"/>
          </rPr>
          <t xml:space="preserve">
3001904 7/4 350pcs华3B1</t>
        </r>
      </text>
    </comment>
    <comment ref="AF312" authorId="0">
      <text>
        <r>
          <rPr>
            <b/>
            <sz val="9"/>
            <rFont val="宋体"/>
            <charset val="134"/>
          </rPr>
          <t>Administrator:</t>
        </r>
        <r>
          <rPr>
            <sz val="9"/>
            <rFont val="宋体"/>
            <charset val="134"/>
          </rPr>
          <t xml:space="preserve">
3001676 7/7 500pcs 华
3A23</t>
        </r>
      </text>
    </comment>
    <comment ref="AI312" authorId="0">
      <text>
        <r>
          <rPr>
            <b/>
            <sz val="9"/>
            <rFont val="宋体"/>
            <charset val="134"/>
          </rPr>
          <t>Administrator:</t>
        </r>
        <r>
          <rPr>
            <sz val="9"/>
            <rFont val="宋体"/>
            <charset val="134"/>
          </rPr>
          <t xml:space="preserve">
6/18 上西班牙环保标/邮箱贴纸500pcs
</t>
        </r>
      </text>
    </comment>
    <comment ref="AF313" authorId="0">
      <text>
        <r>
          <rPr>
            <b/>
            <sz val="9"/>
            <rFont val="宋体"/>
            <charset val="134"/>
          </rPr>
          <t>Administrator:</t>
        </r>
        <r>
          <rPr>
            <sz val="9"/>
            <rFont val="宋体"/>
            <charset val="134"/>
          </rPr>
          <t xml:space="preserve">
2001818 7/10 300pcs华3B14</t>
        </r>
      </text>
    </comment>
    <comment ref="AI313" authorId="0">
      <text>
        <r>
          <rPr>
            <b/>
            <sz val="9"/>
            <rFont val="宋体"/>
            <charset val="134"/>
          </rPr>
          <t>Administrator:</t>
        </r>
        <r>
          <rPr>
            <sz val="9"/>
            <rFont val="宋体"/>
            <charset val="134"/>
          </rPr>
          <t xml:space="preserve">
6/18 上EAN贴纸600pcs
7/5 上空白贴纸600pcs
</t>
        </r>
      </text>
    </comment>
    <comment ref="AF314" authorId="0">
      <text>
        <r>
          <rPr>
            <b/>
            <sz val="9"/>
            <rFont val="宋体"/>
            <charset val="134"/>
          </rPr>
          <t>Administrator:</t>
        </r>
        <r>
          <rPr>
            <sz val="9"/>
            <rFont val="宋体"/>
            <charset val="134"/>
          </rPr>
          <t xml:space="preserve">
2001818 7/10 120pcs华3A6</t>
        </r>
      </text>
    </comment>
    <comment ref="AI314" authorId="0">
      <text>
        <r>
          <rPr>
            <b/>
            <sz val="9"/>
            <rFont val="宋体"/>
            <charset val="134"/>
          </rPr>
          <t>Administrator:</t>
        </r>
        <r>
          <rPr>
            <sz val="9"/>
            <rFont val="宋体"/>
            <charset val="134"/>
          </rPr>
          <t xml:space="preserve">
7/5 上空白贴纸240pcs
</t>
        </r>
      </text>
    </comment>
    <comment ref="AF315" authorId="0">
      <text>
        <r>
          <rPr>
            <b/>
            <sz val="9"/>
            <rFont val="宋体"/>
            <charset val="134"/>
          </rPr>
          <t>Administrator:</t>
        </r>
        <r>
          <rPr>
            <sz val="9"/>
            <rFont val="宋体"/>
            <charset val="134"/>
          </rPr>
          <t xml:space="preserve">
2001818 7/10 42pcs华3A6</t>
        </r>
      </text>
    </comment>
    <comment ref="AI315" authorId="0">
      <text>
        <r>
          <rPr>
            <b/>
            <sz val="9"/>
            <rFont val="宋体"/>
            <charset val="134"/>
          </rPr>
          <t>Administrator:</t>
        </r>
        <r>
          <rPr>
            <sz val="9"/>
            <rFont val="宋体"/>
            <charset val="134"/>
          </rPr>
          <t xml:space="preserve">
6/13 上EAN条码贴纸84pcs
7/5 上空白贴纸84pcs
</t>
        </r>
      </text>
    </comment>
    <comment ref="AF316" authorId="0">
      <text>
        <r>
          <rPr>
            <b/>
            <sz val="9"/>
            <rFont val="宋体"/>
            <charset val="134"/>
          </rPr>
          <t>Administrator:</t>
        </r>
        <r>
          <rPr>
            <sz val="9"/>
            <rFont val="宋体"/>
            <charset val="134"/>
          </rPr>
          <t xml:space="preserve">
3001633 7/11 1300pcs</t>
        </r>
      </text>
    </comment>
    <comment ref="AI316" authorId="0">
      <text>
        <r>
          <rPr>
            <b/>
            <sz val="9"/>
            <rFont val="宋体"/>
            <charset val="134"/>
          </rPr>
          <t>Administrator:</t>
        </r>
        <r>
          <rPr>
            <sz val="9"/>
            <rFont val="宋体"/>
            <charset val="134"/>
          </rPr>
          <t xml:space="preserve">
6/21 上UPC贴纸1300pcs
上进口商贴纸1300pcs</t>
        </r>
      </text>
    </comment>
    <comment ref="AF317" authorId="0">
      <text>
        <r>
          <rPr>
            <b/>
            <sz val="9"/>
            <rFont val="宋体"/>
            <charset val="134"/>
          </rPr>
          <t>Administrator:</t>
        </r>
        <r>
          <rPr>
            <sz val="9"/>
            <rFont val="宋体"/>
            <charset val="134"/>
          </rPr>
          <t xml:space="preserve">
3001549 7/11 1800pcs</t>
        </r>
      </text>
    </comment>
    <comment ref="AF318" authorId="0">
      <text>
        <r>
          <rPr>
            <b/>
            <sz val="9"/>
            <rFont val="宋体"/>
            <charset val="134"/>
          </rPr>
          <t>Administrator:</t>
        </r>
        <r>
          <rPr>
            <sz val="9"/>
            <rFont val="宋体"/>
            <charset val="134"/>
          </rPr>
          <t xml:space="preserve">
3001549 7/11 14725pcs</t>
        </r>
      </text>
    </comment>
    <comment ref="AI318" authorId="0">
      <text>
        <r>
          <rPr>
            <b/>
            <sz val="9"/>
            <rFont val="宋体"/>
            <charset val="134"/>
          </rPr>
          <t>Administrator:</t>
        </r>
        <r>
          <rPr>
            <sz val="9"/>
            <rFont val="宋体"/>
            <charset val="134"/>
          </rPr>
          <t xml:space="preserve">
6/24 上客供外箱条码贴纸595pcs
</t>
        </r>
      </text>
    </comment>
    <comment ref="AF319" authorId="0">
      <text>
        <r>
          <rPr>
            <b/>
            <sz val="9"/>
            <rFont val="宋体"/>
            <charset val="134"/>
          </rPr>
          <t>Administrator:</t>
        </r>
        <r>
          <rPr>
            <sz val="9"/>
            <rFont val="宋体"/>
            <charset val="134"/>
          </rPr>
          <t xml:space="preserve">
3001633 7/11 600pcs</t>
        </r>
      </text>
    </comment>
    <comment ref="AF320" authorId="0">
      <text>
        <r>
          <rPr>
            <b/>
            <sz val="9"/>
            <rFont val="宋体"/>
            <charset val="134"/>
          </rPr>
          <t>Administrator:</t>
        </r>
        <r>
          <rPr>
            <sz val="9"/>
            <rFont val="宋体"/>
            <charset val="134"/>
          </rPr>
          <t xml:space="preserve">
3001549 7/11 6775pCS 华3A26</t>
        </r>
      </text>
    </comment>
    <comment ref="AF321" authorId="0">
      <text>
        <r>
          <rPr>
            <b/>
            <sz val="9"/>
            <rFont val="宋体"/>
            <charset val="134"/>
          </rPr>
          <t>Administrator:</t>
        </r>
        <r>
          <rPr>
            <sz val="9"/>
            <rFont val="宋体"/>
            <charset val="134"/>
          </rPr>
          <t xml:space="preserve">
3001624 7/10 7888pcs
华3A3
3001633 7/11 48pcs</t>
        </r>
      </text>
    </comment>
    <comment ref="AI321" authorId="0">
      <text>
        <r>
          <rPr>
            <b/>
            <sz val="9"/>
            <rFont val="宋体"/>
            <charset val="134"/>
          </rPr>
          <t>Administrator:</t>
        </r>
        <r>
          <rPr>
            <sz val="9"/>
            <rFont val="宋体"/>
            <charset val="134"/>
          </rPr>
          <t xml:space="preserve">
6/11 上客供RFID贴纸7936pcs
</t>
        </r>
      </text>
    </comment>
    <comment ref="AF322" authorId="0">
      <text>
        <r>
          <rPr>
            <b/>
            <sz val="9"/>
            <rFont val="宋体"/>
            <charset val="134"/>
          </rPr>
          <t>Administrator:</t>
        </r>
        <r>
          <rPr>
            <sz val="9"/>
            <rFont val="宋体"/>
            <charset val="134"/>
          </rPr>
          <t xml:space="preserve">
3001624 7/10 7632pcs华3B2</t>
        </r>
      </text>
    </comment>
    <comment ref="AI322" authorId="0">
      <text>
        <r>
          <rPr>
            <b/>
            <sz val="9"/>
            <rFont val="宋体"/>
            <charset val="134"/>
          </rPr>
          <t>Administrator:</t>
        </r>
        <r>
          <rPr>
            <sz val="9"/>
            <rFont val="宋体"/>
            <charset val="134"/>
          </rPr>
          <t xml:space="preserve">
6/11 上客供RFID贴纸7632pcs
</t>
        </r>
      </text>
    </comment>
    <comment ref="AF323" authorId="0">
      <text>
        <r>
          <rPr>
            <b/>
            <sz val="9"/>
            <rFont val="宋体"/>
            <charset val="134"/>
          </rPr>
          <t>Administrator:</t>
        </r>
        <r>
          <rPr>
            <sz val="9"/>
            <rFont val="宋体"/>
            <charset val="134"/>
          </rPr>
          <t xml:space="preserve">
3001624 7/10 5120pcs华3A3</t>
        </r>
      </text>
    </comment>
    <comment ref="AI323" authorId="0">
      <text>
        <r>
          <rPr>
            <b/>
            <sz val="9"/>
            <rFont val="宋体"/>
            <charset val="134"/>
          </rPr>
          <t>Administrator:</t>
        </r>
        <r>
          <rPr>
            <sz val="9"/>
            <rFont val="宋体"/>
            <charset val="134"/>
          </rPr>
          <t xml:space="preserve">
6/11 上客供RFID贴纸5120pcs
</t>
        </r>
      </text>
    </comment>
    <comment ref="AF324" authorId="0">
      <text>
        <r>
          <rPr>
            <b/>
            <sz val="9"/>
            <rFont val="宋体"/>
            <charset val="134"/>
          </rPr>
          <t>Administrator:</t>
        </r>
        <r>
          <rPr>
            <sz val="9"/>
            <rFont val="宋体"/>
            <charset val="134"/>
          </rPr>
          <t xml:space="preserve">
2001819 7/10 2400pcs莫5楼B3</t>
        </r>
      </text>
    </comment>
    <comment ref="AF326" authorId="0">
      <text>
        <r>
          <rPr>
            <b/>
            <sz val="9"/>
            <rFont val="宋体"/>
            <charset val="134"/>
          </rPr>
          <t>Administrator:</t>
        </r>
        <r>
          <rPr>
            <sz val="9"/>
            <rFont val="宋体"/>
            <charset val="134"/>
          </rPr>
          <t xml:space="preserve">
3001535 7/11 3988pcs
3001509 7/14 96pcs</t>
        </r>
      </text>
    </comment>
    <comment ref="AF327" authorId="0">
      <text>
        <r>
          <rPr>
            <b/>
            <sz val="9"/>
            <rFont val="宋体"/>
            <charset val="134"/>
          </rPr>
          <t>Administrator:</t>
        </r>
        <r>
          <rPr>
            <sz val="9"/>
            <rFont val="宋体"/>
            <charset val="134"/>
          </rPr>
          <t xml:space="preserve">
2001809 7/10 4800pcs莫B5B9</t>
        </r>
      </text>
    </comment>
    <comment ref="AF329" authorId="0">
      <text>
        <r>
          <rPr>
            <b/>
            <sz val="9"/>
            <rFont val="宋体"/>
            <charset val="134"/>
          </rPr>
          <t>Administrator:</t>
        </r>
        <r>
          <rPr>
            <sz val="9"/>
            <rFont val="宋体"/>
            <charset val="134"/>
          </rPr>
          <t xml:space="preserve">
3001472 7/14 4384pcs
华3A133001514 7/14 4224pcs华3A13</t>
        </r>
      </text>
    </comment>
    <comment ref="AI329" authorId="0">
      <text>
        <r>
          <rPr>
            <b/>
            <sz val="9"/>
            <rFont val="宋体"/>
            <charset val="134"/>
          </rPr>
          <t>Administrator:</t>
        </r>
        <r>
          <rPr>
            <sz val="9"/>
            <rFont val="宋体"/>
            <charset val="134"/>
          </rPr>
          <t xml:space="preserve">
6/24 上客供RFID贴纸8608pcs
</t>
        </r>
      </text>
    </comment>
    <comment ref="AF330" authorId="0">
      <text>
        <r>
          <rPr>
            <b/>
            <sz val="9"/>
            <rFont val="宋体"/>
            <charset val="134"/>
          </rPr>
          <t>Administrator:</t>
        </r>
        <r>
          <rPr>
            <sz val="9"/>
            <rFont val="宋体"/>
            <charset val="134"/>
          </rPr>
          <t xml:space="preserve">
3001472 7/14 9664pcs
华3A13</t>
        </r>
      </text>
    </comment>
    <comment ref="AI330" authorId="0">
      <text>
        <r>
          <rPr>
            <b/>
            <sz val="9"/>
            <rFont val="宋体"/>
            <charset val="134"/>
          </rPr>
          <t>Administrator:</t>
        </r>
        <r>
          <rPr>
            <sz val="9"/>
            <rFont val="宋体"/>
            <charset val="134"/>
          </rPr>
          <t xml:space="preserve">
6/24 上客供RFID贴纸9664pcs
</t>
        </r>
      </text>
    </comment>
    <comment ref="AF331" authorId="0">
      <text>
        <r>
          <rPr>
            <b/>
            <sz val="9"/>
            <rFont val="宋体"/>
            <charset val="134"/>
          </rPr>
          <t>Administrator:</t>
        </r>
        <r>
          <rPr>
            <sz val="9"/>
            <rFont val="宋体"/>
            <charset val="134"/>
          </rPr>
          <t xml:space="preserve">
3001514 7/14 8064pcs华3A16</t>
        </r>
      </text>
    </comment>
    <comment ref="AI331" authorId="0">
      <text>
        <r>
          <rPr>
            <b/>
            <sz val="9"/>
            <rFont val="宋体"/>
            <charset val="134"/>
          </rPr>
          <t>Administrator:</t>
        </r>
        <r>
          <rPr>
            <sz val="9"/>
            <rFont val="宋体"/>
            <charset val="134"/>
          </rPr>
          <t xml:space="preserve">
6/24 上客供RFID贴纸8064pcs
</t>
        </r>
      </text>
    </comment>
    <comment ref="AF332" authorId="0">
      <text>
        <r>
          <rPr>
            <b/>
            <sz val="9"/>
            <rFont val="宋体"/>
            <charset val="134"/>
          </rPr>
          <t>Administrator:</t>
        </r>
        <r>
          <rPr>
            <sz val="9"/>
            <rFont val="宋体"/>
            <charset val="134"/>
          </rPr>
          <t xml:space="preserve">
3001472 7/14 7264pcs
华3A12</t>
        </r>
      </text>
    </comment>
    <comment ref="AI332" authorId="0">
      <text>
        <r>
          <rPr>
            <b/>
            <sz val="9"/>
            <rFont val="宋体"/>
            <charset val="134"/>
          </rPr>
          <t>Administrator:</t>
        </r>
        <r>
          <rPr>
            <sz val="9"/>
            <rFont val="宋体"/>
            <charset val="134"/>
          </rPr>
          <t xml:space="preserve">
6/24 上客供RFID贴纸7264pcs
</t>
        </r>
      </text>
    </comment>
    <comment ref="AF333" authorId="0">
      <text>
        <r>
          <rPr>
            <b/>
            <sz val="9"/>
            <rFont val="宋体"/>
            <charset val="134"/>
          </rPr>
          <t>Administrator:</t>
        </r>
        <r>
          <rPr>
            <sz val="9"/>
            <rFont val="宋体"/>
            <charset val="134"/>
          </rPr>
          <t xml:space="preserve">
3001472 7/14 7744pcs
华3B7</t>
        </r>
      </text>
    </comment>
    <comment ref="AI333" authorId="0">
      <text>
        <r>
          <rPr>
            <b/>
            <sz val="9"/>
            <rFont val="宋体"/>
            <charset val="134"/>
          </rPr>
          <t>Administrator:</t>
        </r>
        <r>
          <rPr>
            <sz val="9"/>
            <rFont val="宋体"/>
            <charset val="134"/>
          </rPr>
          <t xml:space="preserve">
6/24 上客供RFID贴纸7744pcs
</t>
        </r>
      </text>
    </comment>
    <comment ref="AF336" authorId="0">
      <text>
        <r>
          <rPr>
            <b/>
            <sz val="9"/>
            <rFont val="宋体"/>
            <charset val="134"/>
          </rPr>
          <t>Administrator:</t>
        </r>
        <r>
          <rPr>
            <sz val="9"/>
            <rFont val="宋体"/>
            <charset val="134"/>
          </rPr>
          <t xml:space="preserve">
3002626 7/18 1950pcs华3A32</t>
        </r>
      </text>
    </comment>
    <comment ref="AF337" authorId="0">
      <text>
        <r>
          <rPr>
            <b/>
            <sz val="9"/>
            <rFont val="宋体"/>
            <charset val="134"/>
          </rPr>
          <t>Administrator:</t>
        </r>
        <r>
          <rPr>
            <sz val="9"/>
            <rFont val="宋体"/>
            <charset val="134"/>
          </rPr>
          <t xml:space="preserve">
3002626 7/18 800pcs华3B15</t>
        </r>
      </text>
    </comment>
    <comment ref="AI337" authorId="0">
      <text>
        <r>
          <rPr>
            <b/>
            <sz val="9"/>
            <rFont val="宋体"/>
            <charset val="134"/>
          </rPr>
          <t>Administrator:</t>
        </r>
        <r>
          <rPr>
            <sz val="9"/>
            <rFont val="宋体"/>
            <charset val="134"/>
          </rPr>
          <t xml:space="preserve">
6/23 上进口商贴纸800pcs
</t>
        </r>
      </text>
    </comment>
    <comment ref="AF338" authorId="0">
      <text>
        <r>
          <rPr>
            <b/>
            <sz val="9"/>
            <rFont val="宋体"/>
            <charset val="134"/>
          </rPr>
          <t>Administrator:</t>
        </r>
        <r>
          <rPr>
            <sz val="9"/>
            <rFont val="宋体"/>
            <charset val="134"/>
          </rPr>
          <t xml:space="preserve">
3001915 7/3 50pcs
华3B15
2002031 7/3 10950pcs华3B15</t>
        </r>
      </text>
    </comment>
    <comment ref="AF339" authorId="0">
      <text>
        <r>
          <rPr>
            <b/>
            <sz val="9"/>
            <rFont val="宋体"/>
            <charset val="134"/>
          </rPr>
          <t>Administrator:</t>
        </r>
        <r>
          <rPr>
            <sz val="9"/>
            <rFont val="宋体"/>
            <charset val="134"/>
          </rPr>
          <t xml:space="preserve">
3002608 7/18 2808pcs莫4B8</t>
        </r>
      </text>
    </comment>
    <comment ref="AI339" authorId="0">
      <text>
        <r>
          <rPr>
            <b/>
            <sz val="9"/>
            <rFont val="宋体"/>
            <charset val="134"/>
          </rPr>
          <t>Administrator:</t>
        </r>
        <r>
          <rPr>
            <sz val="9"/>
            <rFont val="宋体"/>
            <charset val="134"/>
          </rPr>
          <t xml:space="preserve">
6/26 上UPC条码贴纸2808pcs</t>
        </r>
      </text>
    </comment>
    <comment ref="AF340" authorId="0">
      <text>
        <r>
          <rPr>
            <b/>
            <sz val="9"/>
            <rFont val="宋体"/>
            <charset val="134"/>
          </rPr>
          <t>Administrator:</t>
        </r>
        <r>
          <rPr>
            <sz val="9"/>
            <rFont val="宋体"/>
            <charset val="134"/>
          </rPr>
          <t xml:space="preserve">
0001752 7/18 1512pcs
0001732 7/19 7188pcs</t>
        </r>
      </text>
    </comment>
    <comment ref="AF341" authorId="0">
      <text>
        <r>
          <rPr>
            <b/>
            <sz val="9"/>
            <rFont val="宋体"/>
            <charset val="134"/>
          </rPr>
          <t>Administrator:</t>
        </r>
        <r>
          <rPr>
            <sz val="9"/>
            <rFont val="宋体"/>
            <charset val="134"/>
          </rPr>
          <t xml:space="preserve">
3002616 7/19 3550pcs华3</t>
        </r>
      </text>
    </comment>
    <comment ref="AI341" authorId="0">
      <text>
        <r>
          <rPr>
            <b/>
            <sz val="9"/>
            <rFont val="宋体"/>
            <charset val="134"/>
          </rPr>
          <t>Administrator:</t>
        </r>
        <r>
          <rPr>
            <sz val="9"/>
            <rFont val="宋体"/>
            <charset val="134"/>
          </rPr>
          <t xml:space="preserve">
7/1 上UPC条码贴纸3550pcs
红色LOGO贴纸3550pcs
进口商贴纸3550pcs</t>
        </r>
      </text>
    </comment>
    <comment ref="AF342" authorId="0">
      <text>
        <r>
          <rPr>
            <b/>
            <sz val="9"/>
            <rFont val="宋体"/>
            <charset val="134"/>
          </rPr>
          <t>Administrator:</t>
        </r>
        <r>
          <rPr>
            <sz val="9"/>
            <rFont val="宋体"/>
            <charset val="134"/>
          </rPr>
          <t xml:space="preserve">
3002644 7/18 1200pcs莫4A1</t>
        </r>
      </text>
    </comment>
    <comment ref="AI342" authorId="0">
      <text>
        <r>
          <rPr>
            <b/>
            <sz val="9"/>
            <rFont val="宋体"/>
            <charset val="134"/>
          </rPr>
          <t>Administrator:</t>
        </r>
        <r>
          <rPr>
            <sz val="9"/>
            <rFont val="宋体"/>
            <charset val="134"/>
          </rPr>
          <t xml:space="preserve">
6/28 上进口商贴纸1200pcs</t>
        </r>
      </text>
    </comment>
    <comment ref="AF343" authorId="0">
      <text>
        <r>
          <rPr>
            <b/>
            <sz val="9"/>
            <rFont val="宋体"/>
            <charset val="134"/>
          </rPr>
          <t>Administrator:</t>
        </r>
        <r>
          <rPr>
            <sz val="9"/>
            <rFont val="宋体"/>
            <charset val="134"/>
          </rPr>
          <t xml:space="preserve">
3001418 7/16 6848pcs 新仓库3楼C3</t>
        </r>
      </text>
    </comment>
    <comment ref="AF344" authorId="0">
      <text>
        <r>
          <rPr>
            <b/>
            <sz val="9"/>
            <rFont val="宋体"/>
            <charset val="134"/>
          </rPr>
          <t>Administrator:</t>
        </r>
        <r>
          <rPr>
            <sz val="9"/>
            <rFont val="宋体"/>
            <charset val="134"/>
          </rPr>
          <t xml:space="preserve">
3001418 7/16 6064pcs 新仓库3楼C3         3001398 7/17 16pcs   新仓库</t>
        </r>
      </text>
    </comment>
    <comment ref="AF345" authorId="0">
      <text>
        <r>
          <rPr>
            <b/>
            <sz val="9"/>
            <rFont val="宋体"/>
            <charset val="134"/>
          </rPr>
          <t>Administrator:</t>
        </r>
        <r>
          <rPr>
            <sz val="9"/>
            <rFont val="宋体"/>
            <charset val="134"/>
          </rPr>
          <t xml:space="preserve">
3002616 7/19 648pcs
华3A23</t>
        </r>
      </text>
    </comment>
    <comment ref="AI345" authorId="0">
      <text>
        <r>
          <rPr>
            <b/>
            <sz val="9"/>
            <rFont val="宋体"/>
            <charset val="134"/>
          </rPr>
          <t>Administrator:</t>
        </r>
        <r>
          <rPr>
            <sz val="9"/>
            <rFont val="宋体"/>
            <charset val="134"/>
          </rPr>
          <t xml:space="preserve">
6/30 上进口商贴纸696pcs
条码贴纸696pcs
两个同PO共用
7/10 上客供亚马逊外箱贴纸54pcs</t>
        </r>
      </text>
    </comment>
    <comment ref="AF346" authorId="0">
      <text>
        <r>
          <rPr>
            <b/>
            <sz val="9"/>
            <rFont val="宋体"/>
            <charset val="134"/>
          </rPr>
          <t>Administrator:</t>
        </r>
        <r>
          <rPr>
            <sz val="9"/>
            <rFont val="宋体"/>
            <charset val="134"/>
          </rPr>
          <t xml:space="preserve">
3002616 7/19 48pcs
华3B15</t>
        </r>
      </text>
    </comment>
    <comment ref="AI346" authorId="0">
      <text>
        <r>
          <rPr>
            <b/>
            <sz val="9"/>
            <rFont val="宋体"/>
            <charset val="134"/>
          </rPr>
          <t>Administrator:</t>
        </r>
        <r>
          <rPr>
            <sz val="9"/>
            <rFont val="宋体"/>
            <charset val="134"/>
          </rPr>
          <t xml:space="preserve">
7/10 上客供亚马逊外箱贴纸4pcs
</t>
        </r>
      </text>
    </comment>
    <comment ref="AF347" authorId="0">
      <text>
        <r>
          <rPr>
            <b/>
            <sz val="9"/>
            <rFont val="宋体"/>
            <charset val="134"/>
          </rPr>
          <t>Administrator:</t>
        </r>
        <r>
          <rPr>
            <sz val="9"/>
            <rFont val="宋体"/>
            <charset val="134"/>
          </rPr>
          <t xml:space="preserve">
3001406 7/17 806pcs 华3B12</t>
        </r>
      </text>
    </comment>
    <comment ref="AF348" authorId="0">
      <text>
        <r>
          <rPr>
            <b/>
            <sz val="9"/>
            <rFont val="宋体"/>
            <charset val="134"/>
          </rPr>
          <t>Administrator:</t>
        </r>
        <r>
          <rPr>
            <sz val="9"/>
            <rFont val="宋体"/>
            <charset val="134"/>
          </rPr>
          <t xml:space="preserve">
3002639 7/18 2450pcs华3B12
3002616 7/19 50pcs</t>
        </r>
      </text>
    </comment>
    <comment ref="AF349" authorId="0">
      <text>
        <r>
          <rPr>
            <b/>
            <sz val="9"/>
            <rFont val="宋体"/>
            <charset val="134"/>
          </rPr>
          <t>Administrator:</t>
        </r>
        <r>
          <rPr>
            <sz val="9"/>
            <rFont val="宋体"/>
            <charset val="134"/>
          </rPr>
          <t xml:space="preserve">
3001406 7/17 250pcs 华3B12</t>
        </r>
      </text>
    </comment>
    <comment ref="AF350" authorId="0">
      <text>
        <r>
          <rPr>
            <b/>
            <sz val="9"/>
            <rFont val="宋体"/>
            <charset val="134"/>
          </rPr>
          <t>Administrator:</t>
        </r>
        <r>
          <rPr>
            <sz val="9"/>
            <rFont val="宋体"/>
            <charset val="134"/>
          </rPr>
          <t xml:space="preserve">
3001406 7/17 750pcs  华3B12</t>
        </r>
      </text>
    </comment>
    <comment ref="AF351" authorId="0">
      <text>
        <r>
          <rPr>
            <b/>
            <sz val="9"/>
            <rFont val="宋体"/>
            <charset val="134"/>
          </rPr>
          <t>Administrator:</t>
        </r>
        <r>
          <rPr>
            <sz val="9"/>
            <rFont val="宋体"/>
            <charset val="134"/>
          </rPr>
          <t xml:space="preserve">
3002497 7/23 2400pcs华3A28</t>
        </r>
      </text>
    </comment>
    <comment ref="AI351" authorId="0">
      <text>
        <r>
          <rPr>
            <b/>
            <sz val="9"/>
            <rFont val="宋体"/>
            <charset val="134"/>
          </rPr>
          <t>Administrator:</t>
        </r>
        <r>
          <rPr>
            <sz val="9"/>
            <rFont val="宋体"/>
            <charset val="134"/>
          </rPr>
          <t xml:space="preserve">
7/5 上进口商贴纸2400pcs
UPC条码贴纸2400pcs</t>
        </r>
      </text>
    </comment>
    <comment ref="AF352" authorId="0">
      <text>
        <r>
          <rPr>
            <b/>
            <sz val="9"/>
            <rFont val="宋体"/>
            <charset val="134"/>
          </rPr>
          <t>Administrator:</t>
        </r>
        <r>
          <rPr>
            <sz val="9"/>
            <rFont val="宋体"/>
            <charset val="134"/>
          </rPr>
          <t xml:space="preserve">
3001418 7/16 11168pcs 新仓库3楼C2</t>
        </r>
      </text>
    </comment>
    <comment ref="AI352" authorId="0">
      <text>
        <r>
          <rPr>
            <b/>
            <sz val="9"/>
            <rFont val="宋体"/>
            <charset val="134"/>
          </rPr>
          <t>Administrator:</t>
        </r>
        <r>
          <rPr>
            <sz val="9"/>
            <rFont val="宋体"/>
            <charset val="134"/>
          </rPr>
          <t xml:space="preserve">
6/24 上客供RFID贴纸11168pcs
</t>
        </r>
      </text>
    </comment>
    <comment ref="AF353" authorId="0">
      <text>
        <r>
          <rPr>
            <b/>
            <sz val="9"/>
            <rFont val="宋体"/>
            <charset val="134"/>
          </rPr>
          <t>Administrator:</t>
        </r>
        <r>
          <rPr>
            <sz val="9"/>
            <rFont val="宋体"/>
            <charset val="134"/>
          </rPr>
          <t xml:space="preserve">
3001418 7/16 12928pcs 新仓库3楼C2
</t>
        </r>
      </text>
    </comment>
    <comment ref="AI353" authorId="0">
      <text>
        <r>
          <rPr>
            <b/>
            <sz val="9"/>
            <rFont val="宋体"/>
            <charset val="134"/>
          </rPr>
          <t>Administrator:</t>
        </r>
        <r>
          <rPr>
            <sz val="9"/>
            <rFont val="宋体"/>
            <charset val="134"/>
          </rPr>
          <t xml:space="preserve">
6/24 上客供RFID贴纸12928pcs
</t>
        </r>
      </text>
    </comment>
    <comment ref="AF354" authorId="0">
      <text>
        <r>
          <rPr>
            <b/>
            <sz val="9"/>
            <rFont val="宋体"/>
            <charset val="134"/>
          </rPr>
          <t>Administrator:</t>
        </r>
        <r>
          <rPr>
            <sz val="9"/>
            <rFont val="宋体"/>
            <charset val="134"/>
          </rPr>
          <t xml:space="preserve">
3002644 7/18 1150pcs莫4A1</t>
        </r>
      </text>
    </comment>
    <comment ref="AI354" authorId="0">
      <text>
        <r>
          <rPr>
            <b/>
            <sz val="9"/>
            <rFont val="宋体"/>
            <charset val="134"/>
          </rPr>
          <t>Administrator:</t>
        </r>
        <r>
          <rPr>
            <sz val="9"/>
            <rFont val="宋体"/>
            <charset val="134"/>
          </rPr>
          <t xml:space="preserve">
7/3 上UPC贴纸1150pcs</t>
        </r>
      </text>
    </comment>
    <comment ref="AF355" authorId="0">
      <text>
        <r>
          <rPr>
            <b/>
            <sz val="9"/>
            <rFont val="宋体"/>
            <charset val="134"/>
          </rPr>
          <t>Administrator:</t>
        </r>
        <r>
          <rPr>
            <sz val="9"/>
            <rFont val="宋体"/>
            <charset val="134"/>
          </rPr>
          <t xml:space="preserve">
3002644 7/18 400pcs莫4A1</t>
        </r>
      </text>
    </comment>
    <comment ref="AJ355" authorId="0">
      <text>
        <r>
          <rPr>
            <b/>
            <sz val="9"/>
            <rFont val="宋体"/>
            <charset val="134"/>
          </rPr>
          <t>Administrator:</t>
        </r>
        <r>
          <rPr>
            <sz val="9"/>
            <rFont val="宋体"/>
            <charset val="134"/>
          </rPr>
          <t xml:space="preserve">
7/3 上UPC贴纸400pcs
</t>
        </r>
      </text>
    </comment>
    <comment ref="AF356" authorId="0">
      <text>
        <r>
          <rPr>
            <b/>
            <sz val="9"/>
            <rFont val="宋体"/>
            <charset val="134"/>
          </rPr>
          <t>Administrator:</t>
        </r>
        <r>
          <rPr>
            <sz val="9"/>
            <rFont val="宋体"/>
            <charset val="134"/>
          </rPr>
          <t xml:space="preserve">
3002626 7/18 1650pcs华3A23</t>
        </r>
      </text>
    </comment>
    <comment ref="AF357" authorId="0">
      <text>
        <r>
          <rPr>
            <b/>
            <sz val="9"/>
            <rFont val="宋体"/>
            <charset val="134"/>
          </rPr>
          <t>Administrator:</t>
        </r>
        <r>
          <rPr>
            <sz val="9"/>
            <rFont val="宋体"/>
            <charset val="134"/>
          </rPr>
          <t xml:space="preserve">
3002626 7/18 725pcs华3A32</t>
        </r>
      </text>
    </comment>
    <comment ref="AI357" authorId="0">
      <text>
        <r>
          <rPr>
            <b/>
            <sz val="9"/>
            <rFont val="宋体"/>
            <charset val="134"/>
          </rPr>
          <t>Administrator:</t>
        </r>
        <r>
          <rPr>
            <sz val="9"/>
            <rFont val="宋体"/>
            <charset val="134"/>
          </rPr>
          <t xml:space="preserve">
警告语/进口商贴纸725pcs
</t>
        </r>
      </text>
    </comment>
    <comment ref="AF358" authorId="0">
      <text>
        <r>
          <rPr>
            <b/>
            <sz val="9"/>
            <rFont val="宋体"/>
            <charset val="134"/>
          </rPr>
          <t>Administrator:</t>
        </r>
        <r>
          <rPr>
            <sz val="9"/>
            <rFont val="宋体"/>
            <charset val="134"/>
          </rPr>
          <t xml:space="preserve">
3002644 7/18 520pcs莫4A1</t>
        </r>
      </text>
    </comment>
    <comment ref="AI358" authorId="0">
      <text>
        <r>
          <rPr>
            <b/>
            <sz val="9"/>
            <rFont val="宋体"/>
            <charset val="134"/>
          </rPr>
          <t>Administrator:</t>
        </r>
        <r>
          <rPr>
            <sz val="9"/>
            <rFont val="宋体"/>
            <charset val="134"/>
          </rPr>
          <t xml:space="preserve">
6/18 上德语包装警告语贴纸520pcs
客人款号贴纸520pcs
Kinderherz 2025 logo 520pcs
</t>
        </r>
      </text>
    </comment>
    <comment ref="AF359" authorId="0">
      <text>
        <r>
          <rPr>
            <b/>
            <sz val="9"/>
            <rFont val="宋体"/>
            <charset val="134"/>
          </rPr>
          <t>Administrator:</t>
        </r>
        <r>
          <rPr>
            <sz val="9"/>
            <rFont val="宋体"/>
            <charset val="134"/>
          </rPr>
          <t xml:space="preserve">
3002434 7/24 4100pcs
</t>
        </r>
      </text>
    </comment>
    <comment ref="AI359" authorId="0">
      <text>
        <r>
          <rPr>
            <b/>
            <sz val="9"/>
            <rFont val="宋体"/>
            <charset val="134"/>
          </rPr>
          <t>Administrator:</t>
        </r>
        <r>
          <rPr>
            <sz val="9"/>
            <rFont val="宋体"/>
            <charset val="134"/>
          </rPr>
          <t xml:space="preserve">
7/7 上进口商贴纸1896pcs
产品贴纸1896pcs
环保标贴纸4100pcs</t>
        </r>
      </text>
    </comment>
    <comment ref="AF360" authorId="0">
      <text>
        <r>
          <rPr>
            <b/>
            <sz val="9"/>
            <rFont val="宋体"/>
            <charset val="134"/>
          </rPr>
          <t>Administrator:</t>
        </r>
        <r>
          <rPr>
            <sz val="9"/>
            <rFont val="宋体"/>
            <charset val="134"/>
          </rPr>
          <t xml:space="preserve">
3002537 7/22 972pcs华3B11</t>
        </r>
      </text>
    </comment>
    <comment ref="AI360" authorId="0">
      <text>
        <r>
          <rPr>
            <b/>
            <sz val="9"/>
            <rFont val="宋体"/>
            <charset val="134"/>
          </rPr>
          <t>Administrator:</t>
        </r>
        <r>
          <rPr>
            <sz val="9"/>
            <rFont val="宋体"/>
            <charset val="134"/>
          </rPr>
          <t xml:space="preserve">
7/3 上环保标贴纸972pcs
7/3 上空白贴纸1944pcs</t>
        </r>
      </text>
    </comment>
    <comment ref="AF361" authorId="0">
      <text>
        <r>
          <rPr>
            <b/>
            <sz val="9"/>
            <rFont val="宋体"/>
            <charset val="134"/>
          </rPr>
          <t>Administrator:</t>
        </r>
        <r>
          <rPr>
            <sz val="9"/>
            <rFont val="宋体"/>
            <charset val="134"/>
          </rPr>
          <t xml:space="preserve">
3002537 7/22 972pcs
华3B12</t>
        </r>
      </text>
    </comment>
    <comment ref="AI361" authorId="0">
      <text>
        <r>
          <rPr>
            <b/>
            <sz val="9"/>
            <rFont val="宋体"/>
            <charset val="134"/>
          </rPr>
          <t>Administrator:</t>
        </r>
        <r>
          <rPr>
            <sz val="9"/>
            <rFont val="宋体"/>
            <charset val="134"/>
          </rPr>
          <t xml:space="preserve">
7/3 上环保标贴纸516pcs
7/3 上空白贴纸1032pcs
</t>
        </r>
      </text>
    </comment>
    <comment ref="AF362" authorId="0">
      <text>
        <r>
          <rPr>
            <b/>
            <sz val="9"/>
            <rFont val="宋体"/>
            <charset val="134"/>
          </rPr>
          <t>Administrator:</t>
        </r>
        <r>
          <rPr>
            <sz val="9"/>
            <rFont val="宋体"/>
            <charset val="134"/>
          </rPr>
          <t xml:space="preserve">
3002536 7/22 520pcs
华3B8</t>
        </r>
      </text>
    </comment>
    <comment ref="AF363" authorId="0">
      <text>
        <r>
          <rPr>
            <b/>
            <sz val="9"/>
            <rFont val="宋体"/>
            <charset val="134"/>
          </rPr>
          <t>Administrator:</t>
        </r>
        <r>
          <rPr>
            <sz val="9"/>
            <rFont val="宋体"/>
            <charset val="134"/>
          </rPr>
          <t xml:space="preserve">
3002608 7/19 756pcs
莫4B3</t>
        </r>
      </text>
    </comment>
    <comment ref="AJ363" authorId="0">
      <text>
        <r>
          <rPr>
            <b/>
            <sz val="9"/>
            <rFont val="宋体"/>
            <charset val="134"/>
          </rPr>
          <t>Administrator:</t>
        </r>
        <r>
          <rPr>
            <sz val="9"/>
            <rFont val="宋体"/>
            <charset val="134"/>
          </rPr>
          <t xml:space="preserve">
6/23 上UPC贴纸3000pcs
三个同PO共用</t>
        </r>
      </text>
    </comment>
    <comment ref="AF364" authorId="0">
      <text>
        <r>
          <rPr>
            <b/>
            <sz val="9"/>
            <rFont val="宋体"/>
            <charset val="134"/>
          </rPr>
          <t>Administrator:</t>
        </r>
        <r>
          <rPr>
            <sz val="9"/>
            <rFont val="宋体"/>
            <charset val="134"/>
          </rPr>
          <t xml:space="preserve">
3002608 7/19 1488pcs莫4B3</t>
        </r>
      </text>
    </comment>
    <comment ref="AF365" authorId="0">
      <text>
        <r>
          <rPr>
            <b/>
            <sz val="9"/>
            <rFont val="宋体"/>
            <charset val="134"/>
          </rPr>
          <t>Administrator:</t>
        </r>
        <r>
          <rPr>
            <sz val="9"/>
            <rFont val="宋体"/>
            <charset val="134"/>
          </rPr>
          <t xml:space="preserve">
3002608 7/19 756pcs莫4B3</t>
        </r>
      </text>
    </comment>
    <comment ref="AF366" authorId="0">
      <text>
        <r>
          <rPr>
            <b/>
            <sz val="9"/>
            <rFont val="宋体"/>
            <charset val="134"/>
          </rPr>
          <t>Administrator:</t>
        </r>
        <r>
          <rPr>
            <sz val="9"/>
            <rFont val="宋体"/>
            <charset val="134"/>
          </rPr>
          <t xml:space="preserve">
3002434 7/24 4950pcs
3002457 7/26 50pcs华3B15</t>
        </r>
      </text>
    </comment>
    <comment ref="AI366" authorId="0">
      <text>
        <r>
          <rPr>
            <b/>
            <sz val="9"/>
            <rFont val="宋体"/>
            <charset val="134"/>
          </rPr>
          <t>Administrator:</t>
        </r>
        <r>
          <rPr>
            <sz val="9"/>
            <rFont val="宋体"/>
            <charset val="134"/>
          </rPr>
          <t xml:space="preserve">
3/31 上冰棒款-说明书荷兰语贴纸5000pcs
蛋糕款-说明书荷兰语贴纸5000pcs
布丁款-说明书荷兰语贴纸5000pcs
</t>
        </r>
      </text>
    </comment>
    <comment ref="AF367" authorId="0">
      <text>
        <r>
          <rPr>
            <b/>
            <sz val="9"/>
            <rFont val="宋体"/>
            <charset val="134"/>
          </rPr>
          <t>Administrator:</t>
        </r>
        <r>
          <rPr>
            <sz val="9"/>
            <rFont val="宋体"/>
            <charset val="134"/>
          </rPr>
          <t xml:space="preserve">
3002497 7/23 1800pcs
华3A6</t>
        </r>
      </text>
    </comment>
    <comment ref="AI367" authorId="0">
      <text>
        <r>
          <rPr>
            <b/>
            <sz val="9"/>
            <rFont val="宋体"/>
            <charset val="134"/>
          </rPr>
          <t>Administrator:</t>
        </r>
        <r>
          <rPr>
            <sz val="9"/>
            <rFont val="宋体"/>
            <charset val="134"/>
          </rPr>
          <t xml:space="preserve">
6/30 上进口商贴纸1800pcs
UPC条码贴纸1800pcs
</t>
        </r>
      </text>
    </comment>
    <comment ref="AF368" authorId="0">
      <text>
        <r>
          <rPr>
            <b/>
            <sz val="9"/>
            <rFont val="宋体"/>
            <charset val="134"/>
          </rPr>
          <t>Administrator:</t>
        </r>
        <r>
          <rPr>
            <sz val="9"/>
            <rFont val="宋体"/>
            <charset val="134"/>
          </rPr>
          <t xml:space="preserve">
3002608 7/19 350pcs莫4B1</t>
        </r>
      </text>
    </comment>
    <comment ref="AF369" authorId="0">
      <text>
        <r>
          <rPr>
            <b/>
            <sz val="9"/>
            <rFont val="宋体"/>
            <charset val="134"/>
          </rPr>
          <t>Administrator:</t>
        </r>
        <r>
          <rPr>
            <sz val="9"/>
            <rFont val="宋体"/>
            <charset val="134"/>
          </rPr>
          <t xml:space="preserve">
2001727 7/23 240pcs直走</t>
        </r>
      </text>
    </comment>
    <comment ref="AI369" authorId="0">
      <text>
        <r>
          <rPr>
            <b/>
            <sz val="9"/>
            <rFont val="宋体"/>
            <charset val="134"/>
          </rPr>
          <t>Administrator:</t>
        </r>
        <r>
          <rPr>
            <sz val="9"/>
            <rFont val="宋体"/>
            <charset val="134"/>
          </rPr>
          <t xml:space="preserve">
6/23 上进口商贴纸480pcs
EAN条码贴纸480pcs
7/5 上空白贴纸480pcs
</t>
        </r>
      </text>
    </comment>
    <comment ref="AF370" authorId="0">
      <text>
        <r>
          <rPr>
            <b/>
            <sz val="9"/>
            <rFont val="宋体"/>
            <charset val="134"/>
          </rPr>
          <t>Administrator:</t>
        </r>
        <r>
          <rPr>
            <sz val="9"/>
            <rFont val="宋体"/>
            <charset val="134"/>
          </rPr>
          <t xml:space="preserve">
3002536 7/22 6416pcs华3B6</t>
        </r>
      </text>
    </comment>
    <comment ref="AI370" authorId="0">
      <text>
        <r>
          <rPr>
            <b/>
            <sz val="9"/>
            <rFont val="宋体"/>
            <charset val="134"/>
          </rPr>
          <t>Administrator:</t>
        </r>
        <r>
          <rPr>
            <sz val="9"/>
            <rFont val="宋体"/>
            <charset val="134"/>
          </rPr>
          <t xml:space="preserve">
6/24 上客供RFID贴纸6416pcs
</t>
        </r>
      </text>
    </comment>
    <comment ref="AF371" authorId="0">
      <text>
        <r>
          <rPr>
            <b/>
            <sz val="9"/>
            <rFont val="宋体"/>
            <charset val="134"/>
          </rPr>
          <t>Administrator:</t>
        </r>
        <r>
          <rPr>
            <sz val="9"/>
            <rFont val="宋体"/>
            <charset val="134"/>
          </rPr>
          <t xml:space="preserve">
3002536 7/22 6160pcs
华3A13</t>
        </r>
      </text>
    </comment>
    <comment ref="AI371" authorId="0">
      <text>
        <r>
          <rPr>
            <b/>
            <sz val="9"/>
            <rFont val="宋体"/>
            <charset val="134"/>
          </rPr>
          <t>Administrator:</t>
        </r>
        <r>
          <rPr>
            <sz val="9"/>
            <rFont val="宋体"/>
            <charset val="134"/>
          </rPr>
          <t xml:space="preserve">
6/24 上客供RFID贴纸6160pcs
</t>
        </r>
      </text>
    </comment>
    <comment ref="AF372" authorId="0">
      <text>
        <r>
          <rPr>
            <b/>
            <sz val="9"/>
            <rFont val="宋体"/>
            <charset val="134"/>
          </rPr>
          <t>Administrator:</t>
        </r>
        <r>
          <rPr>
            <sz val="9"/>
            <rFont val="宋体"/>
            <charset val="134"/>
          </rPr>
          <t xml:space="preserve">
3002536 7/22 7888pcs
华3B2</t>
        </r>
      </text>
    </comment>
    <comment ref="AI372" authorId="0">
      <text>
        <r>
          <rPr>
            <b/>
            <sz val="9"/>
            <rFont val="宋体"/>
            <charset val="134"/>
          </rPr>
          <t>Administrator:</t>
        </r>
        <r>
          <rPr>
            <sz val="9"/>
            <rFont val="宋体"/>
            <charset val="134"/>
          </rPr>
          <t xml:space="preserve">
6/24 上客供RFID贴纸7888pcs
</t>
        </r>
      </text>
    </comment>
    <comment ref="AF373" authorId="0">
      <text>
        <r>
          <rPr>
            <b/>
            <sz val="9"/>
            <rFont val="宋体"/>
            <charset val="134"/>
          </rPr>
          <t>Administrator:</t>
        </r>
        <r>
          <rPr>
            <sz val="9"/>
            <rFont val="宋体"/>
            <charset val="134"/>
          </rPr>
          <t xml:space="preserve">
3002536 7/22 9120pcs
华3A14</t>
        </r>
      </text>
    </comment>
    <comment ref="AI373" authorId="0">
      <text>
        <r>
          <rPr>
            <b/>
            <sz val="9"/>
            <rFont val="宋体"/>
            <charset val="134"/>
          </rPr>
          <t>Administrator:</t>
        </r>
        <r>
          <rPr>
            <sz val="9"/>
            <rFont val="宋体"/>
            <charset val="134"/>
          </rPr>
          <t xml:space="preserve">
6/24 上客供RFID贴纸9120pcs
</t>
        </r>
      </text>
    </comment>
    <comment ref="AF374" authorId="0">
      <text>
        <r>
          <rPr>
            <b/>
            <sz val="9"/>
            <rFont val="宋体"/>
            <charset val="134"/>
          </rPr>
          <t>Administrator:</t>
        </r>
        <r>
          <rPr>
            <sz val="9"/>
            <rFont val="宋体"/>
            <charset val="134"/>
          </rPr>
          <t xml:space="preserve">
3002556 7/21 1360pcs华3B6</t>
        </r>
      </text>
    </comment>
    <comment ref="AI374" authorId="0">
      <text>
        <r>
          <rPr>
            <b/>
            <sz val="9"/>
            <rFont val="宋体"/>
            <charset val="134"/>
          </rPr>
          <t>Administrator:</t>
        </r>
        <r>
          <rPr>
            <sz val="9"/>
            <rFont val="宋体"/>
            <charset val="134"/>
          </rPr>
          <t xml:space="preserve">
6/24 上客供RFID贴纸1360pcs
</t>
        </r>
      </text>
    </comment>
    <comment ref="AF375" authorId="0">
      <text>
        <r>
          <rPr>
            <b/>
            <sz val="9"/>
            <rFont val="宋体"/>
            <charset val="134"/>
          </rPr>
          <t>Administrator:</t>
        </r>
        <r>
          <rPr>
            <sz val="9"/>
            <rFont val="宋体"/>
            <charset val="134"/>
          </rPr>
          <t xml:space="preserve">
3002556 7/21 1616pcs
华3A10</t>
        </r>
      </text>
    </comment>
    <comment ref="AI375" authorId="0">
      <text>
        <r>
          <rPr>
            <b/>
            <sz val="9"/>
            <rFont val="宋体"/>
            <charset val="134"/>
          </rPr>
          <t>Administrator:</t>
        </r>
        <r>
          <rPr>
            <sz val="9"/>
            <rFont val="宋体"/>
            <charset val="134"/>
          </rPr>
          <t xml:space="preserve">
6/24 上客供RFID贴纸1616pcs
</t>
        </r>
      </text>
    </comment>
    <comment ref="AF376" authorId="0">
      <text>
        <r>
          <rPr>
            <b/>
            <sz val="9"/>
            <rFont val="宋体"/>
            <charset val="134"/>
          </rPr>
          <t>Administrator:</t>
        </r>
        <r>
          <rPr>
            <sz val="9"/>
            <rFont val="宋体"/>
            <charset val="134"/>
          </rPr>
          <t xml:space="preserve">
3002556 7/21 1808pcs
华3B6</t>
        </r>
      </text>
    </comment>
    <comment ref="AI376" authorId="0">
      <text>
        <r>
          <rPr>
            <b/>
            <sz val="9"/>
            <rFont val="宋体"/>
            <charset val="134"/>
          </rPr>
          <t>Administrator:</t>
        </r>
        <r>
          <rPr>
            <sz val="9"/>
            <rFont val="宋体"/>
            <charset val="134"/>
          </rPr>
          <t xml:space="preserve">
6/24 上客供RFID贴纸1808pcs
</t>
        </r>
      </text>
    </comment>
    <comment ref="AF377" authorId="0">
      <text>
        <r>
          <rPr>
            <b/>
            <sz val="9"/>
            <rFont val="宋体"/>
            <charset val="134"/>
          </rPr>
          <t>Administrator:</t>
        </r>
        <r>
          <rPr>
            <sz val="9"/>
            <rFont val="宋体"/>
            <charset val="134"/>
          </rPr>
          <t xml:space="preserve">
3002536 7/22 1000pcs
华3B10</t>
        </r>
      </text>
    </comment>
    <comment ref="AI377" authorId="0">
      <text>
        <r>
          <rPr>
            <b/>
            <sz val="9"/>
            <rFont val="宋体"/>
            <charset val="134"/>
          </rPr>
          <t>Administrator:</t>
        </r>
        <r>
          <rPr>
            <sz val="9"/>
            <rFont val="宋体"/>
            <charset val="134"/>
          </rPr>
          <t xml:space="preserve">
6/28 上UPC贴纸1000pcs</t>
        </r>
      </text>
    </comment>
    <comment ref="AF378" authorId="0">
      <text>
        <r>
          <rPr>
            <b/>
            <sz val="9"/>
            <rFont val="宋体"/>
            <charset val="134"/>
          </rPr>
          <t>Administrator:</t>
        </r>
        <r>
          <rPr>
            <sz val="9"/>
            <rFont val="宋体"/>
            <charset val="134"/>
          </rPr>
          <t xml:space="preserve">
3002537 7/22 3132pcs
华3A20</t>
        </r>
      </text>
    </comment>
    <comment ref="AI378" authorId="0">
      <text>
        <r>
          <rPr>
            <b/>
            <sz val="9"/>
            <rFont val="宋体"/>
            <charset val="134"/>
          </rPr>
          <t>Administrator:</t>
        </r>
        <r>
          <rPr>
            <sz val="9"/>
            <rFont val="宋体"/>
            <charset val="134"/>
          </rPr>
          <t xml:space="preserve">
7/12 上亚马逊外箱贴纸261pcs
</t>
        </r>
      </text>
    </comment>
    <comment ref="AF379" authorId="0">
      <text>
        <r>
          <rPr>
            <b/>
            <sz val="9"/>
            <rFont val="宋体"/>
            <charset val="134"/>
          </rPr>
          <t>Administrator:</t>
        </r>
        <r>
          <rPr>
            <sz val="9"/>
            <rFont val="宋体"/>
            <charset val="134"/>
          </rPr>
          <t xml:space="preserve">
3002537 7/22 900pcs
华3B10</t>
        </r>
      </text>
    </comment>
    <comment ref="AI379" authorId="0">
      <text>
        <r>
          <rPr>
            <b/>
            <sz val="9"/>
            <rFont val="宋体"/>
            <charset val="134"/>
          </rPr>
          <t>Administrator:</t>
        </r>
        <r>
          <rPr>
            <sz val="9"/>
            <rFont val="宋体"/>
            <charset val="134"/>
          </rPr>
          <t xml:space="preserve">
7/12 上亚马逊外箱贴纸75pcs</t>
        </r>
      </text>
    </comment>
    <comment ref="AF380" authorId="0">
      <text>
        <r>
          <rPr>
            <b/>
            <sz val="9"/>
            <rFont val="宋体"/>
            <charset val="134"/>
          </rPr>
          <t>Administrator:</t>
        </r>
        <r>
          <rPr>
            <sz val="9"/>
            <rFont val="宋体"/>
            <charset val="134"/>
          </rPr>
          <t xml:space="preserve">
3002537 7/22 4200pcs
华3B11</t>
        </r>
      </text>
    </comment>
    <comment ref="AI380" authorId="0">
      <text>
        <r>
          <rPr>
            <b/>
            <sz val="9"/>
            <rFont val="宋体"/>
            <charset val="134"/>
          </rPr>
          <t>Administrator:</t>
        </r>
        <r>
          <rPr>
            <sz val="9"/>
            <rFont val="宋体"/>
            <charset val="134"/>
          </rPr>
          <t xml:space="preserve">
7/12 上亚马逊外箱贴纸350pcs
</t>
        </r>
      </text>
    </comment>
    <comment ref="AF381" authorId="0">
      <text>
        <r>
          <rPr>
            <b/>
            <sz val="9"/>
            <rFont val="宋体"/>
            <charset val="134"/>
          </rPr>
          <t>Administrator:</t>
        </r>
        <r>
          <rPr>
            <sz val="9"/>
            <rFont val="宋体"/>
            <charset val="134"/>
          </rPr>
          <t xml:space="preserve">
3002537 7/22 2004pcs
华3B11
3002538 7/22 972pcs华3B11</t>
        </r>
      </text>
    </comment>
    <comment ref="AI381" authorId="0">
      <text>
        <r>
          <rPr>
            <b/>
            <sz val="9"/>
            <rFont val="宋体"/>
            <charset val="134"/>
          </rPr>
          <t>Administrator:</t>
        </r>
        <r>
          <rPr>
            <sz val="9"/>
            <rFont val="宋体"/>
            <charset val="134"/>
          </rPr>
          <t xml:space="preserve">
7/12 上亚马逊外箱贴纸248pcs
</t>
        </r>
      </text>
    </comment>
    <comment ref="AF382" authorId="0">
      <text>
        <r>
          <rPr>
            <b/>
            <sz val="9"/>
            <rFont val="宋体"/>
            <charset val="134"/>
          </rPr>
          <t>Administrator:</t>
        </r>
        <r>
          <rPr>
            <sz val="9"/>
            <rFont val="宋体"/>
            <charset val="134"/>
          </rPr>
          <t xml:space="preserve">
3002537 7/22 3912pcs
华3A19</t>
        </r>
      </text>
    </comment>
    <comment ref="AI382" authorId="0">
      <text>
        <r>
          <rPr>
            <b/>
            <sz val="9"/>
            <rFont val="宋体"/>
            <charset val="134"/>
          </rPr>
          <t>Administrator:</t>
        </r>
        <r>
          <rPr>
            <sz val="9"/>
            <rFont val="宋体"/>
            <charset val="134"/>
          </rPr>
          <t xml:space="preserve">
7/12 上亚马逊外箱贴纸326pcs
</t>
        </r>
      </text>
    </comment>
    <comment ref="AF383" authorId="0">
      <text>
        <r>
          <rPr>
            <b/>
            <sz val="9"/>
            <rFont val="宋体"/>
            <charset val="134"/>
          </rPr>
          <t>Administrator:</t>
        </r>
        <r>
          <rPr>
            <sz val="9"/>
            <rFont val="宋体"/>
            <charset val="134"/>
          </rPr>
          <t xml:space="preserve">
3002538 7/22 5064pcs华3B12</t>
        </r>
      </text>
    </comment>
    <comment ref="AI383" authorId="0">
      <text>
        <r>
          <rPr>
            <b/>
            <sz val="9"/>
            <rFont val="宋体"/>
            <charset val="134"/>
          </rPr>
          <t>Administrator:</t>
        </r>
        <r>
          <rPr>
            <sz val="9"/>
            <rFont val="宋体"/>
            <charset val="134"/>
          </rPr>
          <t xml:space="preserve">
7/12 上亚马逊外箱贴纸422pcs
</t>
        </r>
      </text>
    </comment>
    <comment ref="AF384" authorId="0">
      <text>
        <r>
          <rPr>
            <b/>
            <sz val="9"/>
            <rFont val="宋体"/>
            <charset val="134"/>
          </rPr>
          <t>Administrator:</t>
        </r>
        <r>
          <rPr>
            <sz val="9"/>
            <rFont val="宋体"/>
            <charset val="134"/>
          </rPr>
          <t xml:space="preserve">
3002434 7/24 299pcs</t>
        </r>
      </text>
    </comment>
    <comment ref="AI384" authorId="0">
      <text>
        <r>
          <rPr>
            <b/>
            <sz val="9"/>
            <rFont val="宋体"/>
            <charset val="134"/>
          </rPr>
          <t>Administrator:</t>
        </r>
        <r>
          <rPr>
            <sz val="9"/>
            <rFont val="宋体"/>
            <charset val="134"/>
          </rPr>
          <t xml:space="preserve">
6/19 上白色防盗贴纸299pcs
7/5 上UPC条码贴纸299pcs
7/9 上KM外箱贴纸 23pcs</t>
        </r>
      </text>
    </comment>
    <comment ref="AF385" authorId="0">
      <text>
        <r>
          <rPr>
            <b/>
            <sz val="9"/>
            <rFont val="宋体"/>
            <charset val="134"/>
          </rPr>
          <t>Administrator:</t>
        </r>
        <r>
          <rPr>
            <sz val="9"/>
            <rFont val="宋体"/>
            <charset val="134"/>
          </rPr>
          <t xml:space="preserve">
3002434 7/24 3536pcs
</t>
        </r>
      </text>
    </comment>
    <comment ref="AI385" authorId="0">
      <text>
        <r>
          <rPr>
            <b/>
            <sz val="9"/>
            <rFont val="宋体"/>
            <charset val="134"/>
          </rPr>
          <t>Administrator:</t>
        </r>
        <r>
          <rPr>
            <sz val="9"/>
            <rFont val="宋体"/>
            <charset val="134"/>
          </rPr>
          <t xml:space="preserve">
6/19 上白色防盗贴纸3536pcs
7/5 上UPC条码贴纸3536pcs
7/9 KM外箱贴纸 272pcs
</t>
        </r>
      </text>
    </comment>
    <comment ref="AF386" authorId="0">
      <text>
        <r>
          <rPr>
            <b/>
            <sz val="9"/>
            <rFont val="宋体"/>
            <charset val="134"/>
          </rPr>
          <t>Administrator:</t>
        </r>
        <r>
          <rPr>
            <sz val="9"/>
            <rFont val="宋体"/>
            <charset val="134"/>
          </rPr>
          <t xml:space="preserve">
3002422 7/25 8736pcs莫4C5</t>
        </r>
      </text>
    </comment>
    <comment ref="AF387" authorId="0">
      <text>
        <r>
          <rPr>
            <b/>
            <sz val="9"/>
            <rFont val="宋体"/>
            <charset val="134"/>
          </rPr>
          <t>Administrator:</t>
        </r>
        <r>
          <rPr>
            <sz val="9"/>
            <rFont val="宋体"/>
            <charset val="134"/>
          </rPr>
          <t xml:space="preserve">
3002422 7/25 9088pcs莫4C5
</t>
        </r>
      </text>
    </comment>
    <comment ref="AF388" authorId="0">
      <text>
        <r>
          <rPr>
            <b/>
            <sz val="9"/>
            <rFont val="宋体"/>
            <charset val="134"/>
          </rPr>
          <t>Administrator:</t>
        </r>
        <r>
          <rPr>
            <sz val="9"/>
            <rFont val="宋体"/>
            <charset val="134"/>
          </rPr>
          <t xml:space="preserve">
3002448 7/24 5000pcs华3B6</t>
        </r>
      </text>
    </comment>
    <comment ref="AI388" authorId="0">
      <text>
        <r>
          <rPr>
            <b/>
            <sz val="9"/>
            <rFont val="宋体"/>
            <charset val="134"/>
          </rPr>
          <t>Administrator:</t>
        </r>
        <r>
          <rPr>
            <sz val="9"/>
            <rFont val="宋体"/>
            <charset val="134"/>
          </rPr>
          <t xml:space="preserve">
7/5 上通用UPC条码贴纸5000pcs
客人通用进口商贴纸5000pcs</t>
        </r>
      </text>
    </comment>
    <comment ref="AF389" authorId="0">
      <text>
        <r>
          <rPr>
            <b/>
            <sz val="9"/>
            <rFont val="宋体"/>
            <charset val="134"/>
          </rPr>
          <t>Administrator:</t>
        </r>
        <r>
          <rPr>
            <sz val="9"/>
            <rFont val="宋体"/>
            <charset val="134"/>
          </rPr>
          <t xml:space="preserve">
3002490 7/23 20套散件</t>
        </r>
      </text>
    </comment>
    <comment ref="AF390" authorId="0">
      <text>
        <r>
          <rPr>
            <b/>
            <sz val="9"/>
            <rFont val="宋体"/>
            <charset val="134"/>
          </rPr>
          <t>Administrator:</t>
        </r>
        <r>
          <rPr>
            <sz val="9"/>
            <rFont val="宋体"/>
            <charset val="134"/>
          </rPr>
          <t xml:space="preserve">
3001378 7/17 15pcs 兴信</t>
        </r>
      </text>
    </comment>
    <comment ref="AF391" authorId="0">
      <text>
        <r>
          <rPr>
            <b/>
            <sz val="9"/>
            <rFont val="宋体"/>
            <charset val="134"/>
          </rPr>
          <t>Administrator:</t>
        </r>
        <r>
          <rPr>
            <sz val="9"/>
            <rFont val="宋体"/>
            <charset val="134"/>
          </rPr>
          <t xml:space="preserve">
3001406 7/17 507pcs 华3B12
3002626 7/18 13pcs华3B12</t>
        </r>
      </text>
    </comment>
    <comment ref="AI391" authorId="0">
      <text>
        <r>
          <rPr>
            <b/>
            <sz val="9"/>
            <rFont val="宋体"/>
            <charset val="134"/>
          </rPr>
          <t>Administrator:</t>
        </r>
        <r>
          <rPr>
            <sz val="9"/>
            <rFont val="宋体"/>
            <charset val="134"/>
          </rPr>
          <t xml:space="preserve">
6/11 上多语折叠贴纸520pcs
</t>
        </r>
      </text>
    </comment>
    <comment ref="AF392" authorId="0">
      <text>
        <r>
          <rPr>
            <b/>
            <sz val="9"/>
            <rFont val="宋体"/>
            <charset val="134"/>
          </rPr>
          <t>Administrator:</t>
        </r>
        <r>
          <rPr>
            <sz val="9"/>
            <rFont val="宋体"/>
            <charset val="134"/>
          </rPr>
          <t xml:space="preserve">
3001677 7/7 1800pcs</t>
        </r>
      </text>
    </comment>
    <comment ref="AI392" authorId="0">
      <text>
        <r>
          <rPr>
            <b/>
            <sz val="9"/>
            <rFont val="宋体"/>
            <charset val="134"/>
          </rPr>
          <t>Administrator:</t>
        </r>
        <r>
          <rPr>
            <sz val="9"/>
            <rFont val="宋体"/>
            <charset val="134"/>
          </rPr>
          <t xml:space="preserve">
6/25 上意大利sorting logO含进口商贴纸1800pcs
7/19 上进口商贴纸1800pcs</t>
        </r>
      </text>
    </comment>
    <comment ref="AF393" authorId="0">
      <text>
        <r>
          <rPr>
            <b/>
            <sz val="9"/>
            <rFont val="宋体"/>
            <charset val="134"/>
          </rPr>
          <t>Administrator:</t>
        </r>
        <r>
          <rPr>
            <sz val="9"/>
            <rFont val="宋体"/>
            <charset val="134"/>
          </rPr>
          <t xml:space="preserve">
3001544 7/12 3000pcs因展示架漏订送回半成品东莞帮混装</t>
        </r>
      </text>
    </comment>
    <comment ref="AF396" authorId="0">
      <text>
        <r>
          <rPr>
            <b/>
            <sz val="9"/>
            <rFont val="宋体"/>
            <charset val="134"/>
          </rPr>
          <t>Administrator:</t>
        </r>
        <r>
          <rPr>
            <sz val="9"/>
            <rFont val="宋体"/>
            <charset val="134"/>
          </rPr>
          <t xml:space="preserve">
3002109 7/26 19200pcs莫4C7
3002081 7/29 15792pcs
莫4C8</t>
        </r>
      </text>
    </comment>
    <comment ref="AF397" authorId="0">
      <text>
        <r>
          <rPr>
            <b/>
            <sz val="9"/>
            <rFont val="宋体"/>
            <charset val="134"/>
          </rPr>
          <t>Administrator:</t>
        </r>
        <r>
          <rPr>
            <sz val="9"/>
            <rFont val="宋体"/>
            <charset val="134"/>
          </rPr>
          <t xml:space="preserve">
2002217 6/13 3900pcs莫5楼B9
3002127 7/26 3900pcs因返工重送华3B5</t>
        </r>
      </text>
    </comment>
    <comment ref="AF398" authorId="0">
      <text>
        <r>
          <rPr>
            <b/>
            <sz val="9"/>
            <rFont val="宋体"/>
            <charset val="134"/>
          </rPr>
          <t>Administrator:</t>
        </r>
        <r>
          <rPr>
            <sz val="9"/>
            <rFont val="宋体"/>
            <charset val="134"/>
          </rPr>
          <t xml:space="preserve">
3002104 7/28 5275pcs华3B8</t>
        </r>
      </text>
    </comment>
    <comment ref="AF399" authorId="0">
      <text>
        <r>
          <rPr>
            <b/>
            <sz val="9"/>
            <rFont val="宋体"/>
            <charset val="134"/>
          </rPr>
          <t>Administrator:</t>
        </r>
        <r>
          <rPr>
            <sz val="9"/>
            <rFont val="宋体"/>
            <charset val="134"/>
          </rPr>
          <t xml:space="preserve">
3002104 7/28 4602pcs华1F3</t>
        </r>
      </text>
    </comment>
    <comment ref="AI399" authorId="0">
      <text>
        <r>
          <rPr>
            <b/>
            <sz val="9"/>
            <rFont val="宋体"/>
            <charset val="134"/>
          </rPr>
          <t>Administrator:</t>
        </r>
        <r>
          <rPr>
            <sz val="9"/>
            <rFont val="宋体"/>
            <charset val="134"/>
          </rPr>
          <t xml:space="preserve">
7/16 上UPC贴纸 4602pcs
</t>
        </r>
      </text>
    </comment>
    <comment ref="AF400" authorId="0">
      <text>
        <r>
          <rPr>
            <b/>
            <sz val="9"/>
            <rFont val="宋体"/>
            <charset val="134"/>
          </rPr>
          <t>Administrator:</t>
        </r>
        <r>
          <rPr>
            <sz val="9"/>
            <rFont val="宋体"/>
            <charset val="134"/>
          </rPr>
          <t xml:space="preserve">
3002048 7/30 91pcs
华3A32</t>
        </r>
      </text>
    </comment>
    <comment ref="AI400" authorId="0">
      <text>
        <r>
          <rPr>
            <b/>
            <sz val="9"/>
            <rFont val="宋体"/>
            <charset val="134"/>
          </rPr>
          <t>Administrator:</t>
        </r>
        <r>
          <rPr>
            <sz val="9"/>
            <rFont val="宋体"/>
            <charset val="134"/>
          </rPr>
          <t xml:space="preserve">
7/16 上白色防盗贴纸 91pcs
7/16 上Kmart外箱贴纸 7pcs
</t>
        </r>
      </text>
    </comment>
    <comment ref="AF401" authorId="0">
      <text>
        <r>
          <rPr>
            <b/>
            <sz val="9"/>
            <rFont val="宋体"/>
            <charset val="134"/>
          </rPr>
          <t>Administrator:</t>
        </r>
        <r>
          <rPr>
            <sz val="9"/>
            <rFont val="宋体"/>
            <charset val="134"/>
          </rPr>
          <t xml:space="preserve">
3002048 7/30 1599pcs华3A28
</t>
        </r>
      </text>
    </comment>
    <comment ref="AI401" authorId="0">
      <text>
        <r>
          <rPr>
            <b/>
            <sz val="9"/>
            <rFont val="宋体"/>
            <charset val="134"/>
          </rPr>
          <t>Administrator:</t>
        </r>
        <r>
          <rPr>
            <sz val="9"/>
            <rFont val="宋体"/>
            <charset val="134"/>
          </rPr>
          <t xml:space="preserve">
7/16 上白色防盗贴纸 1599pcs
7/16 上Kmart外箱贴纸 123pcs</t>
        </r>
      </text>
    </comment>
    <comment ref="AF402" authorId="0">
      <text>
        <r>
          <rPr>
            <b/>
            <sz val="9"/>
            <rFont val="宋体"/>
            <charset val="134"/>
          </rPr>
          <t>Administrator:</t>
        </r>
        <r>
          <rPr>
            <sz val="9"/>
            <rFont val="宋体"/>
            <charset val="134"/>
          </rPr>
          <t xml:space="preserve">
3002032 7/30 611pcs
华3A6</t>
        </r>
      </text>
    </comment>
    <comment ref="AI402" authorId="0">
      <text>
        <r>
          <rPr>
            <b/>
            <sz val="9"/>
            <rFont val="宋体"/>
            <charset val="134"/>
          </rPr>
          <t>Administrator:</t>
        </r>
        <r>
          <rPr>
            <sz val="9"/>
            <rFont val="宋体"/>
            <charset val="134"/>
          </rPr>
          <t xml:space="preserve">
7/15 上PDQ贴纸47pcs
进口商西班牙环保标贴纸611pcs</t>
        </r>
      </text>
    </comment>
    <comment ref="AF403" authorId="0">
      <text>
        <r>
          <rPr>
            <b/>
            <sz val="9"/>
            <rFont val="宋体"/>
            <charset val="134"/>
          </rPr>
          <t>Administrator:</t>
        </r>
        <r>
          <rPr>
            <sz val="9"/>
            <rFont val="宋体"/>
            <charset val="134"/>
          </rPr>
          <t xml:space="preserve">
3002041 7/30 4025pcs
华3B12</t>
        </r>
      </text>
    </comment>
    <comment ref="AF404" authorId="0">
      <text>
        <r>
          <rPr>
            <b/>
            <sz val="9"/>
            <rFont val="宋体"/>
            <charset val="134"/>
          </rPr>
          <t>Administrator:</t>
        </r>
        <r>
          <rPr>
            <sz val="9"/>
            <rFont val="宋体"/>
            <charset val="134"/>
          </rPr>
          <t xml:space="preserve">
3002041 7/30 4325pcs华3B12</t>
        </r>
      </text>
    </comment>
    <comment ref="AF405" authorId="0">
      <text>
        <r>
          <rPr>
            <b/>
            <sz val="9"/>
            <rFont val="宋体"/>
            <charset val="134"/>
          </rPr>
          <t>Administrator:</t>
        </r>
        <r>
          <rPr>
            <sz val="9"/>
            <rFont val="宋体"/>
            <charset val="134"/>
          </rPr>
          <t xml:space="preserve">
3002041 7/30 725pcs华3B12
</t>
        </r>
      </text>
    </comment>
    <comment ref="AF406" authorId="0">
      <text>
        <r>
          <rPr>
            <b/>
            <sz val="9"/>
            <rFont val="宋体"/>
            <charset val="134"/>
          </rPr>
          <t>Administrator:</t>
        </r>
        <r>
          <rPr>
            <sz val="9"/>
            <rFont val="宋体"/>
            <charset val="134"/>
          </rPr>
          <t xml:space="preserve">
3002067 7/29 2096pcs华3B8</t>
        </r>
      </text>
    </comment>
    <comment ref="AI406" authorId="0">
      <text>
        <r>
          <rPr>
            <b/>
            <sz val="9"/>
            <rFont val="宋体"/>
            <charset val="134"/>
          </rPr>
          <t>Administrator:</t>
        </r>
        <r>
          <rPr>
            <sz val="9"/>
            <rFont val="宋体"/>
            <charset val="134"/>
          </rPr>
          <t xml:space="preserve">
7/3 上客供RFID贴纸2096pcs
</t>
        </r>
      </text>
    </comment>
    <comment ref="AF407" authorId="0">
      <text>
        <r>
          <rPr>
            <b/>
            <sz val="9"/>
            <rFont val="宋体"/>
            <charset val="134"/>
          </rPr>
          <t>Administrator:</t>
        </r>
        <r>
          <rPr>
            <sz val="9"/>
            <rFont val="宋体"/>
            <charset val="134"/>
          </rPr>
          <t xml:space="preserve">
3002041 7/30 1632pcs华3B6</t>
        </r>
      </text>
    </comment>
    <comment ref="AI407" authorId="0">
      <text>
        <r>
          <rPr>
            <b/>
            <sz val="9"/>
            <rFont val="宋体"/>
            <charset val="134"/>
          </rPr>
          <t>Administrator:</t>
        </r>
        <r>
          <rPr>
            <sz val="9"/>
            <rFont val="宋体"/>
            <charset val="134"/>
          </rPr>
          <t xml:space="preserve">
7/3 上客供RFID贴纸1632pcs
</t>
        </r>
      </text>
    </comment>
    <comment ref="AF408" authorId="0">
      <text>
        <r>
          <rPr>
            <b/>
            <sz val="9"/>
            <rFont val="宋体"/>
            <charset val="134"/>
          </rPr>
          <t>Administrator:</t>
        </r>
        <r>
          <rPr>
            <sz val="9"/>
            <rFont val="宋体"/>
            <charset val="134"/>
          </rPr>
          <t xml:space="preserve">
3002041 7/30 2432pcs
华3B6</t>
        </r>
      </text>
    </comment>
    <comment ref="AI408" authorId="0">
      <text>
        <r>
          <rPr>
            <b/>
            <sz val="9"/>
            <rFont val="宋体"/>
            <charset val="134"/>
          </rPr>
          <t>Administrator:</t>
        </r>
        <r>
          <rPr>
            <sz val="9"/>
            <rFont val="宋体"/>
            <charset val="134"/>
          </rPr>
          <t xml:space="preserve">
7/3 上客供RFID贴纸2432pcs
</t>
        </r>
      </text>
    </comment>
    <comment ref="AF409" authorId="0">
      <text>
        <r>
          <rPr>
            <b/>
            <sz val="9"/>
            <rFont val="宋体"/>
            <charset val="134"/>
          </rPr>
          <t>Administrator:</t>
        </r>
        <r>
          <rPr>
            <sz val="9"/>
            <rFont val="宋体"/>
            <charset val="134"/>
          </rPr>
          <t xml:space="preserve">
3002041 7/30 1696pcs
华3B3</t>
        </r>
      </text>
    </comment>
    <comment ref="AI409" authorId="0">
      <text>
        <r>
          <rPr>
            <b/>
            <sz val="9"/>
            <rFont val="宋体"/>
            <charset val="134"/>
          </rPr>
          <t>Administrator:</t>
        </r>
        <r>
          <rPr>
            <sz val="9"/>
            <rFont val="宋体"/>
            <charset val="134"/>
          </rPr>
          <t xml:space="preserve">
7/3 上客供RFID贴纸1696pcs
</t>
        </r>
      </text>
    </comment>
    <comment ref="AF410" authorId="0">
      <text>
        <r>
          <rPr>
            <b/>
            <sz val="9"/>
            <rFont val="宋体"/>
            <charset val="134"/>
          </rPr>
          <t>Administrator:</t>
        </r>
        <r>
          <rPr>
            <sz val="9"/>
            <rFont val="宋体"/>
            <charset val="134"/>
          </rPr>
          <t xml:space="preserve">
3002032 7/30 5000pcs华3B3</t>
        </r>
      </text>
    </comment>
    <comment ref="AI410" authorId="0">
      <text>
        <r>
          <rPr>
            <b/>
            <sz val="9"/>
            <rFont val="宋体"/>
            <charset val="134"/>
          </rPr>
          <t>Administrator:</t>
        </r>
        <r>
          <rPr>
            <sz val="9"/>
            <rFont val="宋体"/>
            <charset val="134"/>
          </rPr>
          <t xml:space="preserve">
7/18 上客供价格贴纸5035pcs
</t>
        </r>
      </text>
    </comment>
    <comment ref="AF411" authorId="0">
      <text>
        <r>
          <rPr>
            <b/>
            <sz val="9"/>
            <rFont val="宋体"/>
            <charset val="134"/>
          </rPr>
          <t>Administrator:</t>
        </r>
        <r>
          <rPr>
            <sz val="9"/>
            <rFont val="宋体"/>
            <charset val="134"/>
          </rPr>
          <t xml:space="preserve">
3002048 7/30 700pcs华3A27</t>
        </r>
      </text>
    </comment>
    <comment ref="AI411" authorId="0">
      <text>
        <r>
          <rPr>
            <b/>
            <sz val="9"/>
            <rFont val="宋体"/>
            <charset val="134"/>
          </rPr>
          <t>Administrator:</t>
        </r>
        <r>
          <rPr>
            <sz val="9"/>
            <rFont val="宋体"/>
            <charset val="134"/>
          </rPr>
          <t xml:space="preserve">
7/10 上客供价标贴纸731pcs
</t>
        </r>
      </text>
    </comment>
    <comment ref="AF412" authorId="0">
      <text>
        <r>
          <rPr>
            <b/>
            <sz val="9"/>
            <rFont val="宋体"/>
            <charset val="134"/>
          </rPr>
          <t>Administrator:</t>
        </r>
        <r>
          <rPr>
            <sz val="9"/>
            <rFont val="宋体"/>
            <charset val="134"/>
          </rPr>
          <t xml:space="preserve">
3002067 7/29 17925pcs华3A23</t>
        </r>
      </text>
    </comment>
    <comment ref="AI412" authorId="0">
      <text>
        <r>
          <rPr>
            <b/>
            <sz val="9"/>
            <rFont val="宋体"/>
            <charset val="134"/>
          </rPr>
          <t>Administrator:</t>
        </r>
        <r>
          <rPr>
            <sz val="9"/>
            <rFont val="宋体"/>
            <charset val="134"/>
          </rPr>
          <t xml:space="preserve">
7/12 上客供外箱条码贴纸724pcs</t>
        </r>
      </text>
    </comment>
    <comment ref="AF413" authorId="0">
      <text>
        <r>
          <rPr>
            <b/>
            <sz val="9"/>
            <rFont val="宋体"/>
            <charset val="134"/>
          </rPr>
          <t>Administrator:</t>
        </r>
        <r>
          <rPr>
            <sz val="9"/>
            <rFont val="宋体"/>
            <charset val="134"/>
          </rPr>
          <t xml:space="preserve">
3002042 7/30 650pcs华3B8</t>
        </r>
      </text>
    </comment>
    <comment ref="AI413" authorId="0">
      <text>
        <r>
          <rPr>
            <b/>
            <sz val="9"/>
            <rFont val="宋体"/>
            <charset val="134"/>
          </rPr>
          <t>Administrator:</t>
        </r>
        <r>
          <rPr>
            <sz val="9"/>
            <rFont val="宋体"/>
            <charset val="134"/>
          </rPr>
          <t xml:space="preserve">
7/21 上UPC条码贴纸650pcs
进口商贴纸650pcs
</t>
        </r>
      </text>
    </comment>
    <comment ref="AF414" authorId="0">
      <text>
        <r>
          <rPr>
            <b/>
            <sz val="9"/>
            <rFont val="宋体"/>
            <charset val="134"/>
          </rPr>
          <t>Administrator:</t>
        </r>
        <r>
          <rPr>
            <sz val="9"/>
            <rFont val="宋体"/>
            <charset val="134"/>
          </rPr>
          <t xml:space="preserve">
3002048 7/30 216pcs
华3A32</t>
        </r>
      </text>
    </comment>
    <comment ref="AI414" authorId="0">
      <text>
        <r>
          <rPr>
            <b/>
            <sz val="9"/>
            <rFont val="宋体"/>
            <charset val="134"/>
          </rPr>
          <t>Administrator:</t>
        </r>
        <r>
          <rPr>
            <sz val="9"/>
            <rFont val="宋体"/>
            <charset val="134"/>
          </rPr>
          <t xml:space="preserve">
7/11 上客人白色CATLABEL贴纸216pcs</t>
        </r>
      </text>
    </comment>
    <comment ref="AF415" authorId="0">
      <text>
        <r>
          <rPr>
            <b/>
            <sz val="9"/>
            <rFont val="宋体"/>
            <charset val="134"/>
          </rPr>
          <t>Administrator:</t>
        </r>
        <r>
          <rPr>
            <sz val="9"/>
            <rFont val="宋体"/>
            <charset val="134"/>
          </rPr>
          <t xml:space="preserve">
3002127 7/26 350pcs华3B7</t>
        </r>
      </text>
    </comment>
    <comment ref="AI415" authorId="0">
      <text>
        <r>
          <rPr>
            <b/>
            <sz val="9"/>
            <rFont val="宋体"/>
            <charset val="134"/>
          </rPr>
          <t>Administrator:</t>
        </r>
        <r>
          <rPr>
            <sz val="9"/>
            <rFont val="宋体"/>
            <charset val="134"/>
          </rPr>
          <t xml:space="preserve">
7/5 上进口商贴纸含法国回收350pcs</t>
        </r>
      </text>
    </comment>
    <comment ref="AF416" authorId="0">
      <text>
        <r>
          <rPr>
            <b/>
            <sz val="9"/>
            <rFont val="宋体"/>
            <charset val="134"/>
          </rPr>
          <t>Administrator:</t>
        </r>
        <r>
          <rPr>
            <sz val="9"/>
            <rFont val="宋体"/>
            <charset val="134"/>
          </rPr>
          <t xml:space="preserve">
3002187 8/2 1500pcs华3B14</t>
        </r>
      </text>
    </comment>
    <comment ref="AI416" authorId="0">
      <text>
        <r>
          <rPr>
            <b/>
            <sz val="9"/>
            <rFont val="宋体"/>
            <charset val="134"/>
          </rPr>
          <t>Administrator:</t>
        </r>
        <r>
          <rPr>
            <sz val="9"/>
            <rFont val="宋体"/>
            <charset val="134"/>
          </rPr>
          <t xml:space="preserve">
7/5 上UPC条码贴纸1500pcs
进口商贴纸1500pcs
7/15 上正面收藏指南贴纸1500pcs
背面收藏指南贴纸1500pcs</t>
        </r>
      </text>
    </comment>
    <comment ref="AF417" authorId="0">
      <text>
        <r>
          <rPr>
            <b/>
            <sz val="9"/>
            <rFont val="宋体"/>
            <charset val="134"/>
          </rPr>
          <t>Administrator:</t>
        </r>
        <r>
          <rPr>
            <sz val="9"/>
            <rFont val="宋体"/>
            <charset val="134"/>
          </rPr>
          <t xml:space="preserve">
2001856 8/1 354pcs新仓3-C10
</t>
        </r>
      </text>
    </comment>
    <comment ref="AI417" authorId="0">
      <text>
        <r>
          <rPr>
            <b/>
            <sz val="9"/>
            <rFont val="宋体"/>
            <charset val="134"/>
          </rPr>
          <t>Administrator:</t>
        </r>
        <r>
          <rPr>
            <sz val="9"/>
            <rFont val="宋体"/>
            <charset val="134"/>
          </rPr>
          <t xml:space="preserve">
7/9 上KMart外箱贴纸 59pcs
7/30 上空白贴纸708pcs</t>
        </r>
      </text>
    </comment>
    <comment ref="AF418" authorId="0">
      <text>
        <r>
          <rPr>
            <b/>
            <sz val="9"/>
            <rFont val="宋体"/>
            <charset val="134"/>
          </rPr>
          <t>Administrator:</t>
        </r>
        <r>
          <rPr>
            <sz val="9"/>
            <rFont val="宋体"/>
            <charset val="134"/>
          </rPr>
          <t xml:space="preserve">
2001856 8/1 3246pcs新仓3-C10</t>
        </r>
      </text>
    </comment>
    <comment ref="AI418" authorId="0">
      <text>
        <r>
          <rPr>
            <b/>
            <sz val="9"/>
            <rFont val="宋体"/>
            <charset val="134"/>
          </rPr>
          <t>Administrator:</t>
        </r>
        <r>
          <rPr>
            <sz val="9"/>
            <rFont val="宋体"/>
            <charset val="134"/>
          </rPr>
          <t xml:space="preserve">
7/9 上KM外箱贴纸 541pcs
7/30 上空白贴纸6492pcs
</t>
        </r>
      </text>
    </comment>
    <comment ref="AF419" authorId="0">
      <text>
        <r>
          <rPr>
            <b/>
            <sz val="9"/>
            <rFont val="宋体"/>
            <charset val="134"/>
          </rPr>
          <t>Administrator:</t>
        </r>
        <r>
          <rPr>
            <sz val="9"/>
            <rFont val="宋体"/>
            <charset val="134"/>
          </rPr>
          <t xml:space="preserve">
3002187 8/2 1300pcs
华3B4</t>
        </r>
      </text>
    </comment>
    <comment ref="AF420" authorId="0">
      <text>
        <r>
          <rPr>
            <b/>
            <sz val="9"/>
            <rFont val="宋体"/>
            <charset val="134"/>
          </rPr>
          <t>Administrator:</t>
        </r>
        <r>
          <rPr>
            <sz val="9"/>
            <rFont val="宋体"/>
            <charset val="134"/>
          </rPr>
          <t xml:space="preserve">
3002187 8/2 500pcs
华3B7</t>
        </r>
      </text>
    </comment>
    <comment ref="AF421" authorId="0">
      <text>
        <r>
          <rPr>
            <b/>
            <sz val="9"/>
            <rFont val="宋体"/>
            <charset val="134"/>
          </rPr>
          <t>Administrator:</t>
        </r>
        <r>
          <rPr>
            <sz val="9"/>
            <rFont val="宋体"/>
            <charset val="134"/>
          </rPr>
          <t xml:space="preserve">
3002143 8/2 637pcs
华</t>
        </r>
      </text>
    </comment>
    <comment ref="AF422" authorId="0">
      <text>
        <r>
          <rPr>
            <b/>
            <sz val="9"/>
            <rFont val="宋体"/>
            <charset val="134"/>
          </rPr>
          <t>Administrator:</t>
        </r>
        <r>
          <rPr>
            <sz val="9"/>
            <rFont val="宋体"/>
            <charset val="134"/>
          </rPr>
          <t xml:space="preserve">
3002143 8/2 7800pcs华3A9</t>
        </r>
      </text>
    </comment>
    <comment ref="AF423" authorId="0">
      <text>
        <r>
          <rPr>
            <b/>
            <sz val="9"/>
            <rFont val="宋体"/>
            <charset val="134"/>
          </rPr>
          <t>Administrator:</t>
        </r>
        <r>
          <rPr>
            <sz val="9"/>
            <rFont val="宋体"/>
            <charset val="134"/>
          </rPr>
          <t xml:space="preserve">
3002143 8/2 3159pcs
华3B4</t>
        </r>
      </text>
    </comment>
    <comment ref="AF424" authorId="0">
      <text>
        <r>
          <rPr>
            <b/>
            <sz val="9"/>
            <rFont val="宋体"/>
            <charset val="134"/>
          </rPr>
          <t>Administrator:</t>
        </r>
        <r>
          <rPr>
            <sz val="9"/>
            <rFont val="宋体"/>
            <charset val="134"/>
          </rPr>
          <t xml:space="preserve">
3002193 8/2 5850pcs华1F3</t>
        </r>
      </text>
    </comment>
    <comment ref="AF425" authorId="0">
      <text>
        <r>
          <rPr>
            <b/>
            <sz val="9"/>
            <rFont val="宋体"/>
            <charset val="134"/>
          </rPr>
          <t>Administrator:</t>
        </r>
        <r>
          <rPr>
            <sz val="9"/>
            <rFont val="宋体"/>
            <charset val="134"/>
          </rPr>
          <t xml:space="preserve">
3002187 8/2 300pcs
wxf3B7</t>
        </r>
      </text>
    </comment>
    <comment ref="AF426" authorId="0">
      <text>
        <r>
          <rPr>
            <b/>
            <sz val="9"/>
            <rFont val="宋体"/>
            <charset val="134"/>
          </rPr>
          <t>Administrator:</t>
        </r>
        <r>
          <rPr>
            <sz val="9"/>
            <rFont val="宋体"/>
            <charset val="134"/>
          </rPr>
          <t xml:space="preserve">
3002330 8/6 3900pcs华3A20</t>
        </r>
      </text>
    </comment>
    <comment ref="AI426" authorId="0">
      <text>
        <r>
          <rPr>
            <b/>
            <sz val="9"/>
            <rFont val="宋体"/>
            <charset val="134"/>
          </rPr>
          <t>Administrator:</t>
        </r>
        <r>
          <rPr>
            <sz val="9"/>
            <rFont val="宋体"/>
            <charset val="134"/>
          </rPr>
          <t xml:space="preserve">
6/23 上价格贴纸3900pcs
7/26 上客供外箱条码贴纸300pcs
</t>
        </r>
      </text>
    </comment>
    <comment ref="AF427" authorId="0">
      <text>
        <r>
          <rPr>
            <b/>
            <sz val="9"/>
            <rFont val="宋体"/>
            <charset val="134"/>
          </rPr>
          <t>Administrator:</t>
        </r>
        <r>
          <rPr>
            <sz val="9"/>
            <rFont val="宋体"/>
            <charset val="134"/>
          </rPr>
          <t xml:space="preserve">
3002193 8/2 1056pcs
华3B3</t>
        </r>
      </text>
    </comment>
    <comment ref="AI427" authorId="0">
      <text>
        <r>
          <rPr>
            <b/>
            <sz val="9"/>
            <rFont val="宋体"/>
            <charset val="134"/>
          </rPr>
          <t>Administrator:</t>
        </r>
        <r>
          <rPr>
            <sz val="9"/>
            <rFont val="宋体"/>
            <charset val="134"/>
          </rPr>
          <t xml:space="preserve">
7/3 上环保标贴纸1056pcs
7/3 上空白贴纸2112pcs
7/11 上亚马逊外箱贴纸88pcs</t>
        </r>
      </text>
    </comment>
    <comment ref="AF428" authorId="0">
      <text>
        <r>
          <rPr>
            <b/>
            <sz val="9"/>
            <rFont val="宋体"/>
            <charset val="134"/>
          </rPr>
          <t>Administrator:</t>
        </r>
        <r>
          <rPr>
            <sz val="9"/>
            <rFont val="宋体"/>
            <charset val="134"/>
          </rPr>
          <t xml:space="preserve">
3002193 8/2 492pcs
华3B3</t>
        </r>
      </text>
    </comment>
    <comment ref="AI428" authorId="0">
      <text>
        <r>
          <rPr>
            <b/>
            <sz val="9"/>
            <rFont val="宋体"/>
            <charset val="134"/>
          </rPr>
          <t>Administrator:</t>
        </r>
        <r>
          <rPr>
            <sz val="9"/>
            <rFont val="宋体"/>
            <charset val="134"/>
          </rPr>
          <t xml:space="preserve">
7/3 上环保标贴纸492pcs
7/3 上空白贴纸984pcs
7/11 上亚马逊外箱贴纸41pcs
</t>
        </r>
      </text>
    </comment>
    <comment ref="AF429" authorId="0">
      <text>
        <r>
          <rPr>
            <b/>
            <sz val="9"/>
            <rFont val="宋体"/>
            <charset val="134"/>
          </rPr>
          <t>Administrator:</t>
        </r>
        <r>
          <rPr>
            <sz val="9"/>
            <rFont val="宋体"/>
            <charset val="134"/>
          </rPr>
          <t xml:space="preserve">
3002193 8/2 492pcs
华3B4</t>
        </r>
      </text>
    </comment>
    <comment ref="AI429" authorId="0">
      <text>
        <r>
          <rPr>
            <b/>
            <sz val="9"/>
            <rFont val="宋体"/>
            <charset val="134"/>
          </rPr>
          <t>Administrator:</t>
        </r>
        <r>
          <rPr>
            <sz val="9"/>
            <rFont val="宋体"/>
            <charset val="134"/>
          </rPr>
          <t xml:space="preserve">
7/3 上环保标贴纸492pcs
7/3 上空白贴纸984pcs
7/11 上亚马逊外箱贴纸41pcs
</t>
        </r>
      </text>
    </comment>
    <comment ref="AF430" authorId="0">
      <text>
        <r>
          <rPr>
            <b/>
            <sz val="9"/>
            <rFont val="宋体"/>
            <charset val="134"/>
          </rPr>
          <t>Administrator:</t>
        </r>
        <r>
          <rPr>
            <sz val="9"/>
            <rFont val="宋体"/>
            <charset val="134"/>
          </rPr>
          <t xml:space="preserve">
3002165 8/2 2500pcs</t>
        </r>
      </text>
    </comment>
    <comment ref="AI430" authorId="0">
      <text>
        <r>
          <rPr>
            <b/>
            <sz val="9"/>
            <rFont val="宋体"/>
            <charset val="134"/>
          </rPr>
          <t>Administrator:</t>
        </r>
        <r>
          <rPr>
            <sz val="9"/>
            <rFont val="宋体"/>
            <charset val="134"/>
          </rPr>
          <t xml:space="preserve">
7/16 上冰棒款-说明书荷兰语贴纸 2500pcs
     上蛋糕款-说明书荷兰语贴纸 2500pcs
     上布丁款-说明书荷兰语贴纸 2500pcs</t>
        </r>
      </text>
    </comment>
    <comment ref="AF431" authorId="0">
      <text>
        <r>
          <rPr>
            <b/>
            <sz val="9"/>
            <rFont val="宋体"/>
            <charset val="134"/>
          </rPr>
          <t>Administrator:</t>
        </r>
        <r>
          <rPr>
            <sz val="9"/>
            <rFont val="宋体"/>
            <charset val="134"/>
          </rPr>
          <t xml:space="preserve">
3002020 8/1 3500pcs新仓3-B11</t>
        </r>
      </text>
    </comment>
    <comment ref="AI431" authorId="0">
      <text>
        <r>
          <rPr>
            <b/>
            <sz val="9"/>
            <rFont val="宋体"/>
            <charset val="134"/>
          </rPr>
          <t>Administrator:</t>
        </r>
        <r>
          <rPr>
            <sz val="9"/>
            <rFont val="宋体"/>
            <charset val="134"/>
          </rPr>
          <t xml:space="preserve">
7/16 上进口商贴纸   3500pcs
      上UPC条码贴纸 3500pcs</t>
        </r>
      </text>
    </comment>
    <comment ref="AF432" authorId="0">
      <text>
        <r>
          <rPr>
            <b/>
            <sz val="9"/>
            <rFont val="宋体"/>
            <charset val="134"/>
          </rPr>
          <t>Administrator:</t>
        </r>
        <r>
          <rPr>
            <sz val="9"/>
            <rFont val="宋体"/>
            <charset val="134"/>
          </rPr>
          <t xml:space="preserve">
3002020 8/1 500pcs新仓3-B11
</t>
        </r>
      </text>
    </comment>
    <comment ref="AF437" authorId="0">
      <text>
        <r>
          <rPr>
            <b/>
            <sz val="9"/>
            <rFont val="宋体"/>
            <charset val="134"/>
          </rPr>
          <t>Administrator:</t>
        </r>
        <r>
          <rPr>
            <sz val="9"/>
            <rFont val="宋体"/>
            <charset val="134"/>
          </rPr>
          <t xml:space="preserve">
3002193 8/2 492pcs
华3B2</t>
        </r>
      </text>
    </comment>
    <comment ref="AI437" authorId="0">
      <text>
        <r>
          <rPr>
            <b/>
            <sz val="9"/>
            <rFont val="宋体"/>
            <charset val="134"/>
          </rPr>
          <t>Administrator:</t>
        </r>
        <r>
          <rPr>
            <sz val="9"/>
            <rFont val="宋体"/>
            <charset val="134"/>
          </rPr>
          <t xml:space="preserve">
7/21 上空白贴纸984pcs
7/21 上环保标贴纸492pcs
7/21 上亚马逊外箱贴纸41pcs</t>
        </r>
      </text>
    </comment>
    <comment ref="AF438" authorId="0">
      <text>
        <r>
          <rPr>
            <b/>
            <sz val="9"/>
            <rFont val="宋体"/>
            <charset val="134"/>
          </rPr>
          <t>Administrator:</t>
        </r>
        <r>
          <rPr>
            <sz val="9"/>
            <rFont val="宋体"/>
            <charset val="134"/>
          </rPr>
          <t xml:space="preserve">
3002380 8/5 3375pcs
华3B8</t>
        </r>
      </text>
    </comment>
    <comment ref="AF439" authorId="0">
      <text>
        <r>
          <rPr>
            <b/>
            <sz val="9"/>
            <rFont val="宋体"/>
            <charset val="134"/>
          </rPr>
          <t>Administrator:</t>
        </r>
        <r>
          <rPr>
            <sz val="9"/>
            <rFont val="宋体"/>
            <charset val="134"/>
          </rPr>
          <t xml:space="preserve">
3002193 8/2 1500pcs华3B6</t>
        </r>
      </text>
    </comment>
    <comment ref="AI439" authorId="0">
      <text>
        <r>
          <rPr>
            <b/>
            <sz val="9"/>
            <rFont val="宋体"/>
            <charset val="134"/>
          </rPr>
          <t>Administrator:</t>
        </r>
        <r>
          <rPr>
            <sz val="9"/>
            <rFont val="宋体"/>
            <charset val="134"/>
          </rPr>
          <t xml:space="preserve">
UPC条码贴纸1500pcs
进口商贴纸1500pcs
</t>
        </r>
      </text>
    </comment>
    <comment ref="AF440" authorId="0">
      <text>
        <r>
          <rPr>
            <b/>
            <sz val="9"/>
            <rFont val="宋体"/>
            <charset val="134"/>
          </rPr>
          <t>Administrator:</t>
        </r>
        <r>
          <rPr>
            <sz val="9"/>
            <rFont val="宋体"/>
            <charset val="134"/>
          </rPr>
          <t xml:space="preserve">
3002038 7/31 897pcs华3A14</t>
        </r>
      </text>
    </comment>
    <comment ref="AF441" authorId="0">
      <text>
        <r>
          <rPr>
            <b/>
            <sz val="9"/>
            <rFont val="宋体"/>
            <charset val="134"/>
          </rPr>
          <t>Administrator:</t>
        </r>
        <r>
          <rPr>
            <sz val="9"/>
            <rFont val="宋体"/>
            <charset val="134"/>
          </rPr>
          <t xml:space="preserve">
3002038 7/31 286pcs
华3B7</t>
        </r>
      </text>
    </comment>
    <comment ref="AF442" authorId="0">
      <text>
        <r>
          <rPr>
            <b/>
            <sz val="9"/>
            <rFont val="宋体"/>
            <charset val="134"/>
          </rPr>
          <t>Administrator:</t>
        </r>
        <r>
          <rPr>
            <sz val="9"/>
            <rFont val="宋体"/>
            <charset val="134"/>
          </rPr>
          <t xml:space="preserve">
3002038 7/31 1092pcs
华3A13</t>
        </r>
      </text>
    </comment>
    <comment ref="AF443" authorId="0">
      <text>
        <r>
          <rPr>
            <b/>
            <sz val="9"/>
            <rFont val="宋体"/>
            <charset val="134"/>
          </rPr>
          <t>Administrator:</t>
        </r>
        <r>
          <rPr>
            <sz val="9"/>
            <rFont val="宋体"/>
            <charset val="134"/>
          </rPr>
          <t xml:space="preserve">
3002038 7/31 390pcs华3B7
</t>
        </r>
      </text>
    </comment>
    <comment ref="AF444" authorId="0">
      <text>
        <r>
          <rPr>
            <b/>
            <sz val="9"/>
            <rFont val="宋体"/>
            <charset val="134"/>
          </rPr>
          <t>Administrator:</t>
        </r>
        <r>
          <rPr>
            <sz val="9"/>
            <rFont val="宋体"/>
            <charset val="134"/>
          </rPr>
          <t xml:space="preserve">
3002038 7/31 390pcs华3B7
</t>
        </r>
      </text>
    </comment>
    <comment ref="AF445" authorId="0">
      <text>
        <r>
          <rPr>
            <b/>
            <sz val="9"/>
            <rFont val="宋体"/>
            <charset val="134"/>
          </rPr>
          <t>Administrator:</t>
        </r>
        <r>
          <rPr>
            <sz val="9"/>
            <rFont val="宋体"/>
            <charset val="134"/>
          </rPr>
          <t xml:space="preserve">
3002038 7/31 143pcs华3B6
</t>
        </r>
      </text>
    </comment>
    <comment ref="AF446" authorId="0">
      <text>
        <r>
          <rPr>
            <b/>
            <sz val="9"/>
            <rFont val="宋体"/>
            <charset val="134"/>
          </rPr>
          <t>Administrator:</t>
        </r>
        <r>
          <rPr>
            <sz val="9"/>
            <rFont val="宋体"/>
            <charset val="134"/>
          </rPr>
          <t xml:space="preserve">
3002038 7/31 182pcs华3B6
</t>
        </r>
      </text>
    </comment>
    <comment ref="AF447" authorId="0">
      <text>
        <r>
          <rPr>
            <b/>
            <sz val="9"/>
            <rFont val="宋体"/>
            <charset val="134"/>
          </rPr>
          <t>Administrator:</t>
        </r>
        <r>
          <rPr>
            <sz val="9"/>
            <rFont val="宋体"/>
            <charset val="134"/>
          </rPr>
          <t xml:space="preserve">
3002038 7/31 130pcs
华3B7</t>
        </r>
      </text>
    </comment>
    <comment ref="AF449" authorId="0">
      <text>
        <r>
          <rPr>
            <b/>
            <sz val="9"/>
            <rFont val="宋体"/>
            <charset val="134"/>
          </rPr>
          <t>Administrator:</t>
        </r>
        <r>
          <rPr>
            <sz val="9"/>
            <rFont val="宋体"/>
            <charset val="134"/>
          </rPr>
          <t xml:space="preserve">
300232 8/5 312pcs莫4B8</t>
        </r>
      </text>
    </comment>
    <comment ref="AI449" authorId="0">
      <text>
        <r>
          <rPr>
            <b/>
            <sz val="9"/>
            <rFont val="宋体"/>
            <charset val="134"/>
          </rPr>
          <t>Administrator:</t>
        </r>
        <r>
          <rPr>
            <sz val="9"/>
            <rFont val="宋体"/>
            <charset val="134"/>
          </rPr>
          <t xml:space="preserve">
7/26 上客供外箱条码贴纸24pcs
</t>
        </r>
      </text>
    </comment>
    <comment ref="AF450" authorId="0">
      <text>
        <r>
          <rPr>
            <b/>
            <sz val="9"/>
            <rFont val="宋体"/>
            <charset val="134"/>
          </rPr>
          <t>Administrator:</t>
        </r>
        <r>
          <rPr>
            <sz val="9"/>
            <rFont val="宋体"/>
            <charset val="134"/>
          </rPr>
          <t xml:space="preserve">
3002339 8/6 3924pcs走走</t>
        </r>
      </text>
    </comment>
    <comment ref="AI450" authorId="0">
      <text>
        <r>
          <rPr>
            <b/>
            <sz val="9"/>
            <rFont val="宋体"/>
            <charset val="134"/>
          </rPr>
          <t>Administrator:</t>
        </r>
        <r>
          <rPr>
            <sz val="9"/>
            <rFont val="宋体"/>
            <charset val="134"/>
          </rPr>
          <t xml:space="preserve">
7/23 上客供亚马逊外箱贴纸327pcs</t>
        </r>
      </text>
    </comment>
    <comment ref="AF451" authorId="0">
      <text>
        <r>
          <rPr>
            <b/>
            <sz val="9"/>
            <rFont val="宋体"/>
            <charset val="134"/>
          </rPr>
          <t>Administrator:</t>
        </r>
        <r>
          <rPr>
            <sz val="9"/>
            <rFont val="宋体"/>
            <charset val="134"/>
          </rPr>
          <t xml:space="preserve">
3002339 8/6  4272pcs华1F4</t>
        </r>
      </text>
    </comment>
    <comment ref="AI451" authorId="0">
      <text>
        <r>
          <rPr>
            <b/>
            <sz val="9"/>
            <rFont val="宋体"/>
            <charset val="134"/>
          </rPr>
          <t>Administrator:</t>
        </r>
        <r>
          <rPr>
            <sz val="9"/>
            <rFont val="宋体"/>
            <charset val="134"/>
          </rPr>
          <t xml:space="preserve">
7/23 上客供亚马逊外箱贴纸356pcs
</t>
        </r>
      </text>
    </comment>
    <comment ref="AF452" authorId="0">
      <text>
        <r>
          <rPr>
            <b/>
            <sz val="9"/>
            <rFont val="宋体"/>
            <charset val="134"/>
          </rPr>
          <t>Administrator:</t>
        </r>
        <r>
          <rPr>
            <sz val="9"/>
            <rFont val="宋体"/>
            <charset val="134"/>
          </rPr>
          <t xml:space="preserve">
3002318 8/7 1600pcs莫A一楼A6
</t>
        </r>
      </text>
    </comment>
    <comment ref="AF453" authorId="0">
      <text>
        <r>
          <rPr>
            <b/>
            <sz val="9"/>
            <rFont val="宋体"/>
            <charset val="134"/>
          </rPr>
          <t>Administrator:</t>
        </r>
        <r>
          <rPr>
            <sz val="9"/>
            <rFont val="宋体"/>
            <charset val="134"/>
          </rPr>
          <t xml:space="preserve">
3002330 8/6 1300pcs华3B14</t>
        </r>
      </text>
    </comment>
    <comment ref="AI453" authorId="0">
      <text>
        <r>
          <rPr>
            <b/>
            <sz val="9"/>
            <rFont val="宋体"/>
            <charset val="134"/>
          </rPr>
          <t>Administrator:</t>
        </r>
        <r>
          <rPr>
            <sz val="9"/>
            <rFont val="宋体"/>
            <charset val="134"/>
          </rPr>
          <t xml:space="preserve">
7/15 上意大利环保标贴纸1300pcs</t>
        </r>
      </text>
    </comment>
    <comment ref="AF454" authorId="0">
      <text>
        <r>
          <rPr>
            <b/>
            <sz val="9"/>
            <rFont val="宋体"/>
            <charset val="134"/>
          </rPr>
          <t>Administrator:</t>
        </r>
        <r>
          <rPr>
            <sz val="9"/>
            <rFont val="宋体"/>
            <charset val="134"/>
          </rPr>
          <t xml:space="preserve">
3002380 8/5 5500pcs华3A30</t>
        </r>
      </text>
    </comment>
    <comment ref="AF455" authorId="0">
      <text>
        <r>
          <rPr>
            <b/>
            <sz val="9"/>
            <rFont val="宋体"/>
            <charset val="134"/>
          </rPr>
          <t>Administrator:</t>
        </r>
        <r>
          <rPr>
            <sz val="9"/>
            <rFont val="宋体"/>
            <charset val="134"/>
          </rPr>
          <t xml:space="preserve">
3002380 8/5 5000pcs
华3A24</t>
        </r>
      </text>
    </comment>
    <comment ref="AF456" authorId="0">
      <text>
        <r>
          <rPr>
            <b/>
            <sz val="9"/>
            <rFont val="宋体"/>
            <charset val="134"/>
          </rPr>
          <t>Administrator:</t>
        </r>
        <r>
          <rPr>
            <sz val="9"/>
            <rFont val="宋体"/>
            <charset val="134"/>
          </rPr>
          <t xml:space="preserve">
3002380 8/5 2200pcs
华3A30</t>
        </r>
      </text>
    </comment>
    <comment ref="AF457" authorId="0">
      <text>
        <r>
          <rPr>
            <b/>
            <sz val="9"/>
            <rFont val="宋体"/>
            <charset val="134"/>
          </rPr>
          <t>Administrator:</t>
        </r>
        <r>
          <rPr>
            <sz val="9"/>
            <rFont val="宋体"/>
            <charset val="134"/>
          </rPr>
          <t xml:space="preserve">
3002380 8/5 7000pcs
华3A24</t>
        </r>
      </text>
    </comment>
    <comment ref="AF458" authorId="0">
      <text>
        <r>
          <rPr>
            <b/>
            <sz val="9"/>
            <rFont val="宋体"/>
            <charset val="134"/>
          </rPr>
          <t>Administrator:</t>
        </r>
        <r>
          <rPr>
            <sz val="9"/>
            <rFont val="宋体"/>
            <charset val="134"/>
          </rPr>
          <t xml:space="preserve">
3002318 8/7 16825pcs莫A一楼A6</t>
        </r>
      </text>
    </comment>
    <comment ref="AI458" authorId="0">
      <text>
        <r>
          <rPr>
            <b/>
            <sz val="9"/>
            <rFont val="宋体"/>
            <charset val="134"/>
          </rPr>
          <t>Administrator:</t>
        </r>
        <r>
          <rPr>
            <sz val="9"/>
            <rFont val="宋体"/>
            <charset val="134"/>
          </rPr>
          <t xml:space="preserve">
7/16 上客供外箱条码贴纸680pcs</t>
        </r>
      </text>
    </comment>
    <comment ref="AF459" authorId="0">
      <text>
        <r>
          <rPr>
            <b/>
            <sz val="9"/>
            <rFont val="宋体"/>
            <charset val="134"/>
          </rPr>
          <t>Administrator:</t>
        </r>
        <r>
          <rPr>
            <sz val="9"/>
            <rFont val="宋体"/>
            <charset val="134"/>
          </rPr>
          <t xml:space="preserve">
3002312 8/8 169pcs华3B8</t>
        </r>
      </text>
    </comment>
    <comment ref="AI459" authorId="0">
      <text>
        <r>
          <rPr>
            <b/>
            <sz val="9"/>
            <rFont val="宋体"/>
            <charset val="134"/>
          </rPr>
          <t>Administrator:</t>
        </r>
        <r>
          <rPr>
            <sz val="9"/>
            <rFont val="宋体"/>
            <charset val="134"/>
          </rPr>
          <t xml:space="preserve">
7/16 上白色防盗贴纸 169pcs
7/23 上UPC条码贴纸169pcs
</t>
        </r>
      </text>
    </comment>
    <comment ref="AF460" authorId="0">
      <text>
        <r>
          <rPr>
            <b/>
            <sz val="9"/>
            <rFont val="宋体"/>
            <charset val="134"/>
          </rPr>
          <t>Administrator:</t>
        </r>
        <r>
          <rPr>
            <sz val="9"/>
            <rFont val="宋体"/>
            <charset val="134"/>
          </rPr>
          <t xml:space="preserve">
3002312 8/8 1339pcs
华3B8</t>
        </r>
      </text>
    </comment>
    <comment ref="AI460" authorId="0">
      <text>
        <r>
          <rPr>
            <b/>
            <sz val="9"/>
            <rFont val="宋体"/>
            <charset val="134"/>
          </rPr>
          <t>Administrator:</t>
        </r>
        <r>
          <rPr>
            <sz val="9"/>
            <rFont val="宋体"/>
            <charset val="134"/>
          </rPr>
          <t xml:space="preserve">
7/16 上白色防盗贴纸 1339pcs
7/23 上UPC条码贴纸1339pcs</t>
        </r>
      </text>
    </comment>
    <comment ref="AF461" authorId="0">
      <text>
        <r>
          <rPr>
            <b/>
            <sz val="9"/>
            <rFont val="宋体"/>
            <charset val="134"/>
          </rPr>
          <t>Administrator:</t>
        </r>
        <r>
          <rPr>
            <sz val="9"/>
            <rFont val="宋体"/>
            <charset val="134"/>
          </rPr>
          <t xml:space="preserve">
3002380 8/5 6000pcs
华3A24</t>
        </r>
      </text>
    </comment>
    <comment ref="AF462" authorId="0">
      <text>
        <r>
          <rPr>
            <b/>
            <sz val="9"/>
            <rFont val="宋体"/>
            <charset val="134"/>
          </rPr>
          <t>Administrator:</t>
        </r>
        <r>
          <rPr>
            <sz val="9"/>
            <rFont val="宋体"/>
            <charset val="134"/>
          </rPr>
          <t xml:space="preserve">
400330 8/12 2844pcs
新仓1-B2
</t>
        </r>
      </text>
    </comment>
    <comment ref="AI462" authorId="0">
      <text>
        <r>
          <rPr>
            <b/>
            <sz val="9"/>
            <rFont val="宋体"/>
            <charset val="134"/>
          </rPr>
          <t>Administrator:</t>
        </r>
        <r>
          <rPr>
            <sz val="9"/>
            <rFont val="宋体"/>
            <charset val="134"/>
          </rPr>
          <t xml:space="preserve">
7/23 上客供亚马逊外箱贴纸237pcs</t>
        </r>
      </text>
    </comment>
    <comment ref="AF463" authorId="0">
      <text>
        <r>
          <rPr>
            <b/>
            <sz val="9"/>
            <rFont val="宋体"/>
            <charset val="134"/>
          </rPr>
          <t>Administrator:</t>
        </r>
        <r>
          <rPr>
            <sz val="9"/>
            <rFont val="宋体"/>
            <charset val="134"/>
          </rPr>
          <t xml:space="preserve">
4000300 8/9 2832pcs
华3B9</t>
        </r>
      </text>
    </comment>
    <comment ref="AI463" authorId="0">
      <text>
        <r>
          <rPr>
            <b/>
            <sz val="9"/>
            <rFont val="宋体"/>
            <charset val="134"/>
          </rPr>
          <t>Administrator:</t>
        </r>
        <r>
          <rPr>
            <sz val="9"/>
            <rFont val="宋体"/>
            <charset val="134"/>
          </rPr>
          <t xml:space="preserve">
7/3 上客供RFID贴纸2832pcs
</t>
        </r>
      </text>
    </comment>
    <comment ref="AF464" authorId="0">
      <text>
        <r>
          <rPr>
            <b/>
            <sz val="9"/>
            <rFont val="宋体"/>
            <charset val="134"/>
          </rPr>
          <t>Administrator:</t>
        </r>
        <r>
          <rPr>
            <sz val="9"/>
            <rFont val="宋体"/>
            <charset val="134"/>
          </rPr>
          <t xml:space="preserve">
4000300 8/9 4048pcs
华3B9</t>
        </r>
      </text>
    </comment>
    <comment ref="AI464" authorId="0">
      <text>
        <r>
          <rPr>
            <b/>
            <sz val="9"/>
            <rFont val="宋体"/>
            <charset val="134"/>
          </rPr>
          <t>Administrator:</t>
        </r>
        <r>
          <rPr>
            <sz val="9"/>
            <rFont val="宋体"/>
            <charset val="134"/>
          </rPr>
          <t xml:space="preserve">
7/3 上客供RFID贴纸4048pcs
</t>
        </r>
      </text>
    </comment>
    <comment ref="AF465" authorId="0">
      <text>
        <r>
          <rPr>
            <b/>
            <sz val="9"/>
            <rFont val="宋体"/>
            <charset val="134"/>
          </rPr>
          <t>Administrator:</t>
        </r>
        <r>
          <rPr>
            <sz val="9"/>
            <rFont val="宋体"/>
            <charset val="134"/>
          </rPr>
          <t xml:space="preserve">
4000300 8/9 2736pcs
华3B8</t>
        </r>
      </text>
    </comment>
    <comment ref="AI465" authorId="0">
      <text>
        <r>
          <rPr>
            <b/>
            <sz val="9"/>
            <rFont val="宋体"/>
            <charset val="134"/>
          </rPr>
          <t>Administrator:</t>
        </r>
        <r>
          <rPr>
            <sz val="9"/>
            <rFont val="宋体"/>
            <charset val="134"/>
          </rPr>
          <t xml:space="preserve">
7/3 上客供RFID贴纸2736pcs
</t>
        </r>
      </text>
    </comment>
    <comment ref="AF466" authorId="0">
      <text>
        <r>
          <rPr>
            <b/>
            <sz val="9"/>
            <rFont val="宋体"/>
            <charset val="134"/>
          </rPr>
          <t>Administrator:</t>
        </r>
        <r>
          <rPr>
            <sz val="9"/>
            <rFont val="宋体"/>
            <charset val="134"/>
          </rPr>
          <t xml:space="preserve">
4000300 8/9 3024pcs
华3B8</t>
        </r>
      </text>
    </comment>
    <comment ref="AI466" authorId="0">
      <text>
        <r>
          <rPr>
            <b/>
            <sz val="9"/>
            <rFont val="宋体"/>
            <charset val="134"/>
          </rPr>
          <t>Administrator:</t>
        </r>
        <r>
          <rPr>
            <sz val="9"/>
            <rFont val="宋体"/>
            <charset val="134"/>
          </rPr>
          <t xml:space="preserve">
7/3 上客供RFID贴纸3024pcs
</t>
        </r>
      </text>
    </comment>
    <comment ref="AF467" authorId="0">
      <text>
        <r>
          <rPr>
            <b/>
            <sz val="9"/>
            <rFont val="宋体"/>
            <charset val="134"/>
          </rPr>
          <t>Administrator:</t>
        </r>
        <r>
          <rPr>
            <sz val="9"/>
            <rFont val="宋体"/>
            <charset val="134"/>
          </rPr>
          <t xml:space="preserve">
4000300 8/9 3488pcs
华3B9</t>
        </r>
      </text>
    </comment>
    <comment ref="AF468" authorId="0">
      <text>
        <r>
          <rPr>
            <b/>
            <sz val="9"/>
            <rFont val="宋体"/>
            <charset val="134"/>
          </rPr>
          <t>Administrator:</t>
        </r>
        <r>
          <rPr>
            <sz val="9"/>
            <rFont val="宋体"/>
            <charset val="134"/>
          </rPr>
          <t xml:space="preserve">
4000300 8/9 2688pcs
华3B9</t>
        </r>
      </text>
    </comment>
    <comment ref="AF469" authorId="0">
      <text>
        <r>
          <rPr>
            <b/>
            <sz val="9"/>
            <rFont val="宋体"/>
            <charset val="134"/>
          </rPr>
          <t>Administrator:</t>
        </r>
        <r>
          <rPr>
            <sz val="9"/>
            <rFont val="宋体"/>
            <charset val="134"/>
          </rPr>
          <t xml:space="preserve">
4000300 8/9 2256pcs
华3B9
4000352 8/13 16pcs华3B9</t>
        </r>
      </text>
    </comment>
    <comment ref="AF470" authorId="0">
      <text>
        <r>
          <rPr>
            <b/>
            <sz val="9"/>
            <rFont val="宋体"/>
            <charset val="134"/>
          </rPr>
          <t>Administrator:</t>
        </r>
        <r>
          <rPr>
            <sz val="9"/>
            <rFont val="宋体"/>
            <charset val="134"/>
          </rPr>
          <t xml:space="preserve">
3002330 8/6 1612pcs华3A27</t>
        </r>
      </text>
    </comment>
    <comment ref="AF471" authorId="0">
      <text>
        <r>
          <rPr>
            <b/>
            <sz val="9"/>
            <rFont val="宋体"/>
            <charset val="134"/>
          </rPr>
          <t>Administrator:</t>
        </r>
        <r>
          <rPr>
            <sz val="9"/>
            <rFont val="宋体"/>
            <charset val="134"/>
          </rPr>
          <t xml:space="preserve">
3002287 8/8 12168pcs莫A一楼B7</t>
        </r>
      </text>
    </comment>
    <comment ref="AI471" authorId="0">
      <text>
        <r>
          <rPr>
            <b/>
            <sz val="9"/>
            <rFont val="宋体"/>
            <charset val="134"/>
          </rPr>
          <t>Administrator:</t>
        </r>
        <r>
          <rPr>
            <sz val="9"/>
            <rFont val="宋体"/>
            <charset val="134"/>
          </rPr>
          <t xml:space="preserve">
8/26 上客户EAN贴纸12168pcs
PDQ数量贴纸12168pcs
</t>
        </r>
      </text>
    </comment>
    <comment ref="AF472" authorId="0">
      <text>
        <r>
          <rPr>
            <b/>
            <sz val="9"/>
            <rFont val="宋体"/>
            <charset val="134"/>
          </rPr>
          <t>Administrator:</t>
        </r>
        <r>
          <rPr>
            <sz val="9"/>
            <rFont val="宋体"/>
            <charset val="134"/>
          </rPr>
          <t xml:space="preserve">
4000300 8/9 1040pcs
华3B13</t>
        </r>
      </text>
    </comment>
    <comment ref="AI472" authorId="0">
      <text>
        <r>
          <rPr>
            <b/>
            <sz val="9"/>
            <rFont val="宋体"/>
            <charset val="134"/>
          </rPr>
          <t>Administrator:</t>
        </r>
        <r>
          <rPr>
            <sz val="9"/>
            <rFont val="宋体"/>
            <charset val="134"/>
          </rPr>
          <t xml:space="preserve">
7/16 上客供警语贴纸贴球底部   1076pcs
     上客供警语贴纸贴收藏指南 1076pcs
     上客供警语贴纸贴说明书上 1076pcs
  7/24 上UPC条码贴纸1040pcs</t>
        </r>
      </text>
    </comment>
    <comment ref="AF473" authorId="0">
      <text>
        <r>
          <rPr>
            <b/>
            <sz val="9"/>
            <rFont val="宋体"/>
            <charset val="134"/>
          </rPr>
          <t>Administrator:</t>
        </r>
        <r>
          <rPr>
            <sz val="9"/>
            <rFont val="宋体"/>
            <charset val="134"/>
          </rPr>
          <t xml:space="preserve">
3002380 8/5 3300pcs
华3A23</t>
        </r>
      </text>
    </comment>
    <comment ref="AF474" authorId="0">
      <text>
        <r>
          <rPr>
            <b/>
            <sz val="9"/>
            <rFont val="宋体"/>
            <charset val="134"/>
          </rPr>
          <t>Administrator:</t>
        </r>
        <r>
          <rPr>
            <sz val="9"/>
            <rFont val="宋体"/>
            <charset val="134"/>
          </rPr>
          <t xml:space="preserve">
400330 8/12 5772pcs
新仓1-A4</t>
        </r>
      </text>
    </comment>
    <comment ref="AI474" authorId="0">
      <text>
        <r>
          <rPr>
            <b/>
            <sz val="9"/>
            <rFont val="宋体"/>
            <charset val="134"/>
          </rPr>
          <t>Administrator:</t>
        </r>
        <r>
          <rPr>
            <sz val="9"/>
            <rFont val="宋体"/>
            <charset val="134"/>
          </rPr>
          <t xml:space="preserve">
7/23 上客供亚马逊外箱贴纸481pcs</t>
        </r>
      </text>
    </comment>
    <comment ref="AF475" authorId="0">
      <text>
        <r>
          <rPr>
            <b/>
            <sz val="9"/>
            <rFont val="宋体"/>
            <charset val="134"/>
          </rPr>
          <t>Administrator:</t>
        </r>
        <r>
          <rPr>
            <sz val="9"/>
            <rFont val="宋体"/>
            <charset val="134"/>
          </rPr>
          <t xml:space="preserve">
400330 8/12 936pcs
新仓1-B4</t>
        </r>
      </text>
    </comment>
    <comment ref="AI475" authorId="0">
      <text>
        <r>
          <rPr>
            <b/>
            <sz val="9"/>
            <rFont val="宋体"/>
            <charset val="134"/>
          </rPr>
          <t>Administrator:</t>
        </r>
        <r>
          <rPr>
            <sz val="9"/>
            <rFont val="宋体"/>
            <charset val="134"/>
          </rPr>
          <t xml:space="preserve">
7/23 上客供亚马逊外箱贴纸78pcs</t>
        </r>
      </text>
    </comment>
    <comment ref="AF476" authorId="0">
      <text>
        <r>
          <rPr>
            <b/>
            <sz val="9"/>
            <rFont val="宋体"/>
            <charset val="134"/>
          </rPr>
          <t>Administrator:</t>
        </r>
        <r>
          <rPr>
            <sz val="9"/>
            <rFont val="宋体"/>
            <charset val="134"/>
          </rPr>
          <t xml:space="preserve">
4000307 8/11 24675pcs莫4B8</t>
        </r>
      </text>
    </comment>
    <comment ref="AI476" authorId="0">
      <text>
        <r>
          <rPr>
            <b/>
            <sz val="9"/>
            <rFont val="宋体"/>
            <charset val="134"/>
          </rPr>
          <t>Administrator:</t>
        </r>
        <r>
          <rPr>
            <sz val="9"/>
            <rFont val="宋体"/>
            <charset val="134"/>
          </rPr>
          <t xml:space="preserve">
7/28 上客供外箱条码贴纸997pcs
</t>
        </r>
      </text>
    </comment>
    <comment ref="AF477" authorId="0">
      <text>
        <r>
          <rPr>
            <b/>
            <sz val="9"/>
            <rFont val="宋体"/>
            <charset val="134"/>
          </rPr>
          <t>Administrator:</t>
        </r>
        <r>
          <rPr>
            <sz val="9"/>
            <rFont val="宋体"/>
            <charset val="134"/>
          </rPr>
          <t xml:space="preserve">
4000300 8/9 300pcs华3B13</t>
        </r>
      </text>
    </comment>
    <comment ref="AI477" authorId="0">
      <text>
        <r>
          <rPr>
            <b/>
            <sz val="9"/>
            <rFont val="宋体"/>
            <charset val="134"/>
          </rPr>
          <t>Administrator:</t>
        </r>
        <r>
          <rPr>
            <sz val="9"/>
            <rFont val="宋体"/>
            <charset val="134"/>
          </rPr>
          <t xml:space="preserve">
7/22 上警告语/进口商贴纸300pcs</t>
        </r>
      </text>
    </comment>
    <comment ref="AF478" authorId="0">
      <text>
        <r>
          <rPr>
            <b/>
            <sz val="9"/>
            <rFont val="宋体"/>
            <charset val="134"/>
          </rPr>
          <t>Administrator:</t>
        </r>
        <r>
          <rPr>
            <sz val="9"/>
            <rFont val="宋体"/>
            <charset val="134"/>
          </rPr>
          <t xml:space="preserve">
400330 8/12 1440pcs新仓1-B</t>
        </r>
      </text>
    </comment>
    <comment ref="AI478" authorId="0">
      <text>
        <r>
          <rPr>
            <b/>
            <sz val="9"/>
            <rFont val="宋体"/>
            <charset val="134"/>
          </rPr>
          <t>Administrator:</t>
        </r>
        <r>
          <rPr>
            <sz val="9"/>
            <rFont val="宋体"/>
            <charset val="134"/>
          </rPr>
          <t xml:space="preserve">
8/1 上客人警告语贴纸1440pcs
SKU号码贴纸1440pcs
8/1 上客人警语贴纸1440pcs
条码贴纸1440pcs
</t>
        </r>
      </text>
    </comment>
    <comment ref="AF479" authorId="0">
      <text>
        <r>
          <rPr>
            <b/>
            <sz val="9"/>
            <rFont val="宋体"/>
            <charset val="134"/>
          </rPr>
          <t>Administrator:</t>
        </r>
        <r>
          <rPr>
            <sz val="9"/>
            <rFont val="宋体"/>
            <charset val="134"/>
          </rPr>
          <t xml:space="preserve">
400330 8/12 960pcs新仓1-B3</t>
        </r>
      </text>
    </comment>
    <comment ref="AI479" authorId="0">
      <text>
        <r>
          <rPr>
            <b/>
            <sz val="9"/>
            <rFont val="宋体"/>
            <charset val="134"/>
          </rPr>
          <t>Administrator:</t>
        </r>
        <r>
          <rPr>
            <sz val="9"/>
            <rFont val="宋体"/>
            <charset val="134"/>
          </rPr>
          <t xml:space="preserve">
8/1 上客人警告语贴纸960pcs
SKU号码贴纸960pcs
</t>
        </r>
      </text>
    </comment>
    <comment ref="AF480" authorId="0">
      <text>
        <r>
          <rPr>
            <b/>
            <sz val="9"/>
            <rFont val="宋体"/>
            <charset val="134"/>
          </rPr>
          <t>Administrator:</t>
        </r>
        <r>
          <rPr>
            <sz val="9"/>
            <rFont val="宋体"/>
            <charset val="134"/>
          </rPr>
          <t xml:space="preserve">
4000266 8/8 504pcs新仓3-B8</t>
        </r>
      </text>
    </comment>
    <comment ref="AI480" authorId="0">
      <text>
        <r>
          <rPr>
            <b/>
            <sz val="9"/>
            <rFont val="宋体"/>
            <charset val="134"/>
          </rPr>
          <t>Administrator:</t>
        </r>
        <r>
          <rPr>
            <sz val="9"/>
            <rFont val="宋体"/>
            <charset val="134"/>
          </rPr>
          <t xml:space="preserve">
7/21 上EAN条码贴纸1008pcs
空白贴纸1008pcs
7/21 上多语折叠贴纸504pcs</t>
        </r>
      </text>
    </comment>
    <comment ref="AF481" authorId="0">
      <text>
        <r>
          <rPr>
            <b/>
            <sz val="9"/>
            <rFont val="宋体"/>
            <charset val="134"/>
          </rPr>
          <t>Administrator:</t>
        </r>
        <r>
          <rPr>
            <sz val="9"/>
            <rFont val="宋体"/>
            <charset val="134"/>
          </rPr>
          <t xml:space="preserve">
3002312 8/8 1950pcs
华3B14</t>
        </r>
      </text>
    </comment>
    <comment ref="AI481" authorId="0">
      <text>
        <r>
          <rPr>
            <b/>
            <sz val="9"/>
            <rFont val="宋体"/>
            <charset val="134"/>
          </rPr>
          <t>Administrator:</t>
        </r>
        <r>
          <rPr>
            <sz val="9"/>
            <rFont val="宋体"/>
            <charset val="134"/>
          </rPr>
          <t xml:space="preserve">
7/16 上白色防盗贴纸 1950pcs
7/25 上UPC贴纸1950pcs
7/31 上KM单外箱贴纸150pcs</t>
        </r>
      </text>
    </comment>
    <comment ref="AF482" authorId="0">
      <text>
        <r>
          <rPr>
            <b/>
            <sz val="9"/>
            <rFont val="宋体"/>
            <charset val="134"/>
          </rPr>
          <t>Administrator:</t>
        </r>
        <r>
          <rPr>
            <sz val="9"/>
            <rFont val="宋体"/>
            <charset val="134"/>
          </rPr>
          <t xml:space="preserve">
3002312 8/8 143pcs
华3B8</t>
        </r>
      </text>
    </comment>
    <comment ref="AI482" authorId="0">
      <text>
        <r>
          <rPr>
            <b/>
            <sz val="9"/>
            <rFont val="宋体"/>
            <charset val="134"/>
          </rPr>
          <t>Administrator:</t>
        </r>
        <r>
          <rPr>
            <sz val="9"/>
            <rFont val="宋体"/>
            <charset val="134"/>
          </rPr>
          <t xml:space="preserve">
7/16 上白色防盗贴纸 143pcs
7/25 上UPC贴纸143pcs
7/31 上KM单外箱贴纸11pcs</t>
        </r>
      </text>
    </comment>
    <comment ref="AF485" authorId="0">
      <text>
        <r>
          <rPr>
            <b/>
            <sz val="9"/>
            <rFont val="宋体"/>
            <charset val="134"/>
          </rPr>
          <t>Administrator:</t>
        </r>
        <r>
          <rPr>
            <sz val="9"/>
            <rFont val="宋体"/>
            <charset val="134"/>
          </rPr>
          <t xml:space="preserve">
4000269 8/8 720pcs张泉</t>
        </r>
      </text>
    </comment>
    <comment ref="AI485" authorId="0">
      <text>
        <r>
          <rPr>
            <b/>
            <sz val="9"/>
            <rFont val="宋体"/>
            <charset val="134"/>
          </rPr>
          <t>Administrator:</t>
        </r>
        <r>
          <rPr>
            <sz val="9"/>
            <rFont val="宋体"/>
            <charset val="134"/>
          </rPr>
          <t xml:space="preserve">
8/1 上客人警语贴纸720pcs
条码贴纸720pcs
</t>
        </r>
      </text>
    </comment>
    <comment ref="AF486" authorId="0">
      <text>
        <r>
          <rPr>
            <b/>
            <sz val="9"/>
            <rFont val="宋体"/>
            <charset val="134"/>
          </rPr>
          <t>Administrator:</t>
        </r>
        <r>
          <rPr>
            <sz val="9"/>
            <rFont val="宋体"/>
            <charset val="134"/>
          </rPr>
          <t xml:space="preserve">
3002276 8/13 15pcs 一楼</t>
        </r>
      </text>
    </comment>
    <comment ref="AF487" authorId="0">
      <text>
        <r>
          <rPr>
            <b/>
            <sz val="9"/>
            <rFont val="宋体"/>
            <charset val="134"/>
          </rPr>
          <t>Administrator:</t>
        </r>
        <r>
          <rPr>
            <sz val="9"/>
            <rFont val="宋体"/>
            <charset val="134"/>
          </rPr>
          <t xml:space="preserve">
3002276 8/13 15pcs 一楼
</t>
        </r>
      </text>
    </comment>
    <comment ref="AF488" authorId="0">
      <text>
        <r>
          <rPr>
            <b/>
            <sz val="9"/>
            <rFont val="宋体"/>
            <charset val="134"/>
          </rPr>
          <t>Administrator:</t>
        </r>
        <r>
          <rPr>
            <sz val="9"/>
            <rFont val="宋体"/>
            <charset val="134"/>
          </rPr>
          <t xml:space="preserve">
4000269 8/8 2700pcs张泉</t>
        </r>
      </text>
    </comment>
    <comment ref="AI488" authorId="0">
      <text>
        <r>
          <rPr>
            <b/>
            <sz val="9"/>
            <rFont val="宋体"/>
            <charset val="134"/>
          </rPr>
          <t>Administrator:</t>
        </r>
        <r>
          <rPr>
            <sz val="9"/>
            <rFont val="宋体"/>
            <charset val="134"/>
          </rPr>
          <t xml:space="preserve">
8/1 上客人警语贴纸2700pcs
条码贴纸2700pcs</t>
        </r>
      </text>
    </comment>
    <comment ref="AF491" authorId="0">
      <text>
        <r>
          <rPr>
            <b/>
            <sz val="9"/>
            <rFont val="宋体"/>
            <charset val="134"/>
          </rPr>
          <t>Administrator:</t>
        </r>
        <r>
          <rPr>
            <sz val="9"/>
            <rFont val="宋体"/>
            <charset val="134"/>
          </rPr>
          <t xml:space="preserve">
4000593 8/18 3975pcs
华一F3
4000607 8/19 25pcsB 34区</t>
        </r>
      </text>
    </comment>
    <comment ref="AI491" authorId="0">
      <text>
        <r>
          <rPr>
            <b/>
            <sz val="9"/>
            <rFont val="宋体"/>
            <charset val="134"/>
          </rPr>
          <t>Administrator:</t>
        </r>
        <r>
          <rPr>
            <sz val="9"/>
            <rFont val="宋体"/>
            <charset val="134"/>
          </rPr>
          <t xml:space="preserve">
7/29 上冰棒款说明书荷兰语贴纸4000pcs
蛋糕款说明书荷兰语贴纸4000pcs
布丁款说明书荷兰语贴纸4000pcs</t>
        </r>
      </text>
    </comment>
    <comment ref="AF492" authorId="0">
      <text>
        <r>
          <rPr>
            <b/>
            <sz val="9"/>
            <rFont val="宋体"/>
            <charset val="134"/>
          </rPr>
          <t>Administrator:</t>
        </r>
        <r>
          <rPr>
            <sz val="9"/>
            <rFont val="宋体"/>
            <charset val="134"/>
          </rPr>
          <t xml:space="preserve">
4000607 8/19 23175pcs莫4B3</t>
        </r>
      </text>
    </comment>
    <comment ref="AI492" authorId="0">
      <text>
        <r>
          <rPr>
            <b/>
            <sz val="9"/>
            <rFont val="宋体"/>
            <charset val="134"/>
          </rPr>
          <t>Administrator:</t>
        </r>
        <r>
          <rPr>
            <sz val="9"/>
            <rFont val="宋体"/>
            <charset val="134"/>
          </rPr>
          <t xml:space="preserve">
7/28 上客供外箱条码贴纸936pcs
</t>
        </r>
      </text>
    </comment>
    <comment ref="AI493" authorId="0">
      <text>
        <r>
          <rPr>
            <b/>
            <sz val="9"/>
            <rFont val="宋体"/>
            <charset val="134"/>
          </rPr>
          <t>Administrator:</t>
        </r>
        <r>
          <rPr>
            <sz val="9"/>
            <rFont val="宋体"/>
            <charset val="134"/>
          </rPr>
          <t xml:space="preserve">
7/31 KM单外箱贴纸550pcs两个同PO共用</t>
        </r>
      </text>
    </comment>
    <comment ref="AI495" authorId="0">
      <text>
        <r>
          <rPr>
            <b/>
            <sz val="9"/>
            <rFont val="宋体"/>
            <charset val="134"/>
          </rPr>
          <t>Administrator:</t>
        </r>
        <r>
          <rPr>
            <sz val="9"/>
            <rFont val="宋体"/>
            <charset val="134"/>
          </rPr>
          <t xml:space="preserve">
7/31 上KM单外箱贴纸50pcs</t>
        </r>
      </text>
    </comment>
    <comment ref="AF497" authorId="0">
      <text>
        <r>
          <rPr>
            <b/>
            <sz val="9"/>
            <rFont val="宋体"/>
            <charset val="134"/>
          </rPr>
          <t>Administrator:</t>
        </r>
        <r>
          <rPr>
            <sz val="9"/>
            <rFont val="宋体"/>
            <charset val="134"/>
          </rPr>
          <t xml:space="preserve">
4000248 8/21 14975pcs新仓1 -A5</t>
        </r>
      </text>
    </comment>
    <comment ref="AI497" authorId="0">
      <text>
        <r>
          <rPr>
            <b/>
            <sz val="9"/>
            <rFont val="宋体"/>
            <charset val="134"/>
          </rPr>
          <t>Administrator:</t>
        </r>
        <r>
          <rPr>
            <sz val="9"/>
            <rFont val="宋体"/>
            <charset val="134"/>
          </rPr>
          <t xml:space="preserve">
7/28 上客供外箱条码贴纸605pcs
</t>
        </r>
      </text>
    </comment>
    <comment ref="AF498" authorId="0">
      <text>
        <r>
          <rPr>
            <b/>
            <sz val="9"/>
            <rFont val="宋体"/>
            <charset val="134"/>
          </rPr>
          <t>Administrator:</t>
        </r>
        <r>
          <rPr>
            <sz val="9"/>
            <rFont val="宋体"/>
            <charset val="134"/>
          </rPr>
          <t xml:space="preserve">
4000244 8/22 1560pcs
莫4B4
4000242 8/22 3600pcs
莫4B4</t>
        </r>
      </text>
    </comment>
    <comment ref="AI498" authorId="0">
      <text>
        <r>
          <rPr>
            <b/>
            <sz val="9"/>
            <rFont val="宋体"/>
            <charset val="134"/>
          </rPr>
          <t>Administrator:</t>
        </r>
        <r>
          <rPr>
            <sz val="9"/>
            <rFont val="宋体"/>
            <charset val="134"/>
          </rPr>
          <t xml:space="preserve">
8/2 上客供亚马逊外箱贴纸430pcs</t>
        </r>
      </text>
    </comment>
    <comment ref="AF499" authorId="0">
      <text>
        <r>
          <rPr>
            <b/>
            <sz val="9"/>
            <rFont val="宋体"/>
            <charset val="134"/>
          </rPr>
          <t>Administrator:</t>
        </r>
        <r>
          <rPr>
            <sz val="9"/>
            <rFont val="宋体"/>
            <charset val="134"/>
          </rPr>
          <t xml:space="preserve">
4000242 8/22 1209pcs莫4B4</t>
        </r>
      </text>
    </comment>
    <comment ref="AI499" authorId="0">
      <text>
        <r>
          <rPr>
            <b/>
            <sz val="9"/>
            <rFont val="宋体"/>
            <charset val="134"/>
          </rPr>
          <t>Administrator:</t>
        </r>
        <r>
          <rPr>
            <sz val="9"/>
            <rFont val="宋体"/>
            <charset val="134"/>
          </rPr>
          <t xml:space="preserve">
7/21 上多语折叠贴纸1209pcs
</t>
        </r>
      </text>
    </comment>
    <comment ref="AF500" authorId="0">
      <text>
        <r>
          <rPr>
            <b/>
            <sz val="9"/>
            <rFont val="宋体"/>
            <charset val="134"/>
          </rPr>
          <t>Administrator:</t>
        </r>
        <r>
          <rPr>
            <sz val="9"/>
            <rFont val="宋体"/>
            <charset val="134"/>
          </rPr>
          <t xml:space="preserve">
4000230 8/22 24960pcs
莫4B4</t>
        </r>
      </text>
    </comment>
    <comment ref="AF501" authorId="0">
      <text>
        <r>
          <rPr>
            <b/>
            <sz val="9"/>
            <rFont val="宋体"/>
            <charset val="134"/>
          </rPr>
          <t>Administrator:</t>
        </r>
        <r>
          <rPr>
            <sz val="9"/>
            <rFont val="宋体"/>
            <charset val="134"/>
          </rPr>
          <t xml:space="preserve">
2002217 6/13 3900pcs莫5楼B9
3002330 8/6 3900pcs因为生产以为此单是东莞混装误送回半成品球车回来返工 华3B9</t>
        </r>
      </text>
    </comment>
    <comment ref="AF502" authorId="0">
      <text>
        <r>
          <rPr>
            <b/>
            <sz val="9"/>
            <rFont val="宋体"/>
            <charset val="134"/>
          </rPr>
          <t>Administrator:</t>
        </r>
        <r>
          <rPr>
            <sz val="9"/>
            <rFont val="宋体"/>
            <charset val="134"/>
          </rPr>
          <t xml:space="preserve">
4000244 8/22 130pcs莫4B4</t>
        </r>
      </text>
    </comment>
    <comment ref="AI502" authorId="0">
      <text>
        <r>
          <rPr>
            <b/>
            <sz val="9"/>
            <rFont val="宋体"/>
            <charset val="134"/>
          </rPr>
          <t>Administrator:</t>
        </r>
        <r>
          <rPr>
            <sz val="9"/>
            <rFont val="宋体"/>
            <charset val="134"/>
          </rPr>
          <t xml:space="preserve">
7/29 上UPC条码贴纸130pcs
8/7 上KM单外箱贴纸10pcs
8/21 上白色防盗贴纸130pcs</t>
        </r>
      </text>
    </comment>
    <comment ref="AF503" authorId="0">
      <text>
        <r>
          <rPr>
            <b/>
            <sz val="9"/>
            <rFont val="宋体"/>
            <charset val="134"/>
          </rPr>
          <t>Administrator:</t>
        </r>
        <r>
          <rPr>
            <sz val="9"/>
            <rFont val="宋体"/>
            <charset val="134"/>
          </rPr>
          <t xml:space="preserve">
4000244 8/22 1404pcs莫4B4
4000214 8/23 13pcs莫4 B4</t>
        </r>
      </text>
    </comment>
    <comment ref="AI503" authorId="0">
      <text>
        <r>
          <rPr>
            <b/>
            <sz val="9"/>
            <rFont val="宋体"/>
            <charset val="134"/>
          </rPr>
          <t>Administrator:</t>
        </r>
        <r>
          <rPr>
            <sz val="9"/>
            <rFont val="宋体"/>
            <charset val="134"/>
          </rPr>
          <t xml:space="preserve">
7/29 上UPC条码贴纸1404pcs
8/7 上KM单外箱贴纸108pcs
8/21 上白色防盗贴纸1404pcs
</t>
        </r>
      </text>
    </comment>
    <comment ref="AF504" authorId="0">
      <text>
        <r>
          <rPr>
            <b/>
            <sz val="9"/>
            <rFont val="宋体"/>
            <charset val="134"/>
          </rPr>
          <t>Administrator:</t>
        </r>
        <r>
          <rPr>
            <sz val="9"/>
            <rFont val="宋体"/>
            <charset val="134"/>
          </rPr>
          <t xml:space="preserve">
3000506 8/21 1350pcs新仓1-A3</t>
        </r>
      </text>
    </comment>
    <comment ref="AI504" authorId="0">
      <text>
        <r>
          <rPr>
            <b/>
            <sz val="9"/>
            <rFont val="宋体"/>
            <charset val="134"/>
          </rPr>
          <t>Administrator:</t>
        </r>
        <r>
          <rPr>
            <sz val="9"/>
            <rFont val="宋体"/>
            <charset val="134"/>
          </rPr>
          <t xml:space="preserve">
7/26 上收缩膜 +说明书纽扣电池警告语贴纸3000pcs
8/7上收缩膜 +说明书纽扣电池警告语贴纸1350pcs
8/14 上KM单外箱贴纸225pcs
</t>
        </r>
      </text>
    </comment>
    <comment ref="AF507" authorId="0">
      <text>
        <r>
          <rPr>
            <b/>
            <sz val="9"/>
            <rFont val="宋体"/>
            <charset val="134"/>
          </rPr>
          <t>Administrator:</t>
        </r>
        <r>
          <rPr>
            <sz val="9"/>
            <rFont val="宋体"/>
            <charset val="134"/>
          </rPr>
          <t xml:space="preserve">
4000230 8/22 120pcs莫4B9</t>
        </r>
      </text>
    </comment>
    <comment ref="AI507" authorId="0">
      <text>
        <r>
          <rPr>
            <b/>
            <sz val="9"/>
            <rFont val="宋体"/>
            <charset val="134"/>
          </rPr>
          <t>Administrator:</t>
        </r>
        <r>
          <rPr>
            <sz val="9"/>
            <rFont val="宋体"/>
            <charset val="134"/>
          </rPr>
          <t xml:space="preserve">
7/11 上客人白色CATLABEL贴纸120pcs</t>
        </r>
      </text>
    </comment>
    <comment ref="AF508" authorId="0">
      <text>
        <r>
          <rPr>
            <b/>
            <sz val="9"/>
            <rFont val="宋体"/>
            <charset val="134"/>
          </rPr>
          <t>Administrator:</t>
        </r>
        <r>
          <rPr>
            <sz val="9"/>
            <rFont val="宋体"/>
            <charset val="134"/>
          </rPr>
          <t xml:space="preserve">
4000154 8/27 1677PCS华3B14 
4000084 8/29 15PCS华3B14</t>
        </r>
      </text>
    </comment>
    <comment ref="AI508" authorId="0">
      <text>
        <r>
          <rPr>
            <b/>
            <sz val="9"/>
            <rFont val="宋体"/>
            <charset val="134"/>
          </rPr>
          <t>Administrator:</t>
        </r>
        <r>
          <rPr>
            <sz val="9"/>
            <rFont val="宋体"/>
            <charset val="134"/>
          </rPr>
          <t xml:space="preserve">
8/5 上UPC条码贴纸1690pcs
8/14 上KM单外箱贴纸130pcs
8/21 上白色防盗贴纸1690pcs
</t>
        </r>
      </text>
    </comment>
    <comment ref="AF509" authorId="0">
      <text>
        <r>
          <rPr>
            <b/>
            <sz val="9"/>
            <rFont val="宋体"/>
            <charset val="134"/>
          </rPr>
          <t>Administrator:</t>
        </r>
        <r>
          <rPr>
            <sz val="9"/>
            <rFont val="宋体"/>
            <charset val="134"/>
          </rPr>
          <t xml:space="preserve">
4000154 8/27 3250PCS
华3a27</t>
        </r>
      </text>
    </comment>
    <comment ref="AI509" authorId="0">
      <text>
        <r>
          <rPr>
            <b/>
            <sz val="9"/>
            <rFont val="宋体"/>
            <charset val="134"/>
          </rPr>
          <t>Administrator:</t>
        </r>
        <r>
          <rPr>
            <sz val="9"/>
            <rFont val="宋体"/>
            <charset val="134"/>
          </rPr>
          <t xml:space="preserve">
7/30 上价格贴纸3250pcs
8/18 上客供外箱条码贴纸250pcs
</t>
        </r>
      </text>
    </comment>
    <comment ref="AF510" authorId="0">
      <text>
        <r>
          <rPr>
            <b/>
            <sz val="9"/>
            <rFont val="宋体"/>
            <charset val="134"/>
          </rPr>
          <t>Administrator:</t>
        </r>
        <r>
          <rPr>
            <sz val="9"/>
            <rFont val="宋体"/>
            <charset val="134"/>
          </rPr>
          <t xml:space="preserve">
4000083 8/29 5000PCS新仓1-A7</t>
        </r>
      </text>
    </comment>
    <comment ref="AI510" authorId="0">
      <text>
        <r>
          <rPr>
            <b/>
            <sz val="9"/>
            <rFont val="宋体"/>
            <charset val="134"/>
          </rPr>
          <t>Administrator:</t>
        </r>
        <r>
          <rPr>
            <sz val="9"/>
            <rFont val="宋体"/>
            <charset val="134"/>
          </rPr>
          <t xml:space="preserve">
8/8 上冰棒 说明书荷兰语贴纸5000pcs
蛋糕款说明书荷兰语贴纸5000pcs
布丁款说明书荷兰语贴纸5000pcs</t>
        </r>
      </text>
    </comment>
    <comment ref="AF511" authorId="0">
      <text>
        <r>
          <rPr>
            <b/>
            <sz val="9"/>
            <rFont val="宋体"/>
            <charset val="134"/>
          </rPr>
          <t>Administrator:</t>
        </r>
        <r>
          <rPr>
            <sz val="9"/>
            <rFont val="宋体"/>
            <charset val="134"/>
          </rPr>
          <t xml:space="preserve">
2002495 6/14 135pcs送回半成品加东莞混装抽办10%数量全部转到64547PO </t>
        </r>
      </text>
    </comment>
    <comment ref="AF519" authorId="0">
      <text>
        <r>
          <rPr>
            <b/>
            <sz val="9"/>
            <rFont val="宋体"/>
            <charset val="134"/>
          </rPr>
          <t>Administrator:</t>
        </r>
        <r>
          <rPr>
            <sz val="9"/>
            <rFont val="宋体"/>
            <charset val="134"/>
          </rPr>
          <t xml:space="preserve">
4000155 8/27 972PCS 华3b14
</t>
        </r>
      </text>
    </comment>
    <comment ref="AI519" authorId="0">
      <text>
        <r>
          <rPr>
            <b/>
            <sz val="9"/>
            <rFont val="宋体"/>
            <charset val="134"/>
          </rPr>
          <t>Administrator:</t>
        </r>
        <r>
          <rPr>
            <sz val="9"/>
            <rFont val="宋体"/>
            <charset val="134"/>
          </rPr>
          <t xml:space="preserve">
7/26 上空白贴纸2976pcs
两个同PO共用
环保标贴纸1488pcs
两个同PO共用
7/31 上亚马逊外箱贴纸124pcs两个同PO共用</t>
        </r>
      </text>
    </comment>
    <comment ref="AF520" authorId="0">
      <text>
        <r>
          <rPr>
            <b/>
            <sz val="9"/>
            <rFont val="宋体"/>
            <charset val="134"/>
          </rPr>
          <t>Administrator:</t>
        </r>
        <r>
          <rPr>
            <sz val="9"/>
            <rFont val="宋体"/>
            <charset val="134"/>
          </rPr>
          <t xml:space="preserve">
 4000155 8/27 516PCS
X华3B14</t>
        </r>
      </text>
    </comment>
    <comment ref="AF521" authorId="0">
      <text>
        <r>
          <rPr>
            <b/>
            <sz val="9"/>
            <rFont val="宋体"/>
            <charset val="134"/>
          </rPr>
          <t>Administrator:</t>
        </r>
        <r>
          <rPr>
            <sz val="9"/>
            <rFont val="宋体"/>
            <charset val="134"/>
          </rPr>
          <t xml:space="preserve">
 4000155 8/27 804PCS
华3B15</t>
        </r>
      </text>
    </comment>
    <comment ref="AI521" authorId="0">
      <text>
        <r>
          <rPr>
            <b/>
            <sz val="9"/>
            <rFont val="宋体"/>
            <charset val="134"/>
          </rPr>
          <t>Administrator:</t>
        </r>
        <r>
          <rPr>
            <sz val="9"/>
            <rFont val="宋体"/>
            <charset val="134"/>
          </rPr>
          <t xml:space="preserve">
7/29 上空白贴纸5208pcs
环保标贴纸2604pcs
以上四个同PO共用
7/31 上亚马逊外箱贴纸217pcs四个同PO共用</t>
        </r>
      </text>
    </comment>
    <comment ref="AF522" authorId="0">
      <text>
        <r>
          <rPr>
            <b/>
            <sz val="9"/>
            <rFont val="宋体"/>
            <charset val="134"/>
          </rPr>
          <t>Administrator:</t>
        </r>
        <r>
          <rPr>
            <sz val="9"/>
            <rFont val="宋体"/>
            <charset val="134"/>
          </rPr>
          <t xml:space="preserve">
 4000155 8/27 516PCS
华3B14</t>
        </r>
      </text>
    </comment>
    <comment ref="AF523" authorId="0">
      <text>
        <r>
          <rPr>
            <b/>
            <sz val="9"/>
            <rFont val="宋体"/>
            <charset val="134"/>
          </rPr>
          <t>Administrator:</t>
        </r>
        <r>
          <rPr>
            <sz val="9"/>
            <rFont val="宋体"/>
            <charset val="134"/>
          </rPr>
          <t xml:space="preserve">
 4000155 8/27 792PCS
华3B14</t>
        </r>
      </text>
    </comment>
    <comment ref="AF524" authorId="0">
      <text>
        <r>
          <rPr>
            <b/>
            <sz val="9"/>
            <rFont val="宋体"/>
            <charset val="134"/>
          </rPr>
          <t>Administrator:</t>
        </r>
        <r>
          <rPr>
            <sz val="9"/>
            <rFont val="宋体"/>
            <charset val="134"/>
          </rPr>
          <t xml:space="preserve">
 4000155 8/27 492PCS
华3B4</t>
        </r>
      </text>
    </comment>
    <comment ref="AF525" authorId="0">
      <text>
        <r>
          <rPr>
            <b/>
            <sz val="9"/>
            <rFont val="宋体"/>
            <charset val="134"/>
          </rPr>
          <t>Administrator:</t>
        </r>
        <r>
          <rPr>
            <sz val="9"/>
            <rFont val="宋体"/>
            <charset val="134"/>
          </rPr>
          <t xml:space="preserve">
4000138 8/28 5500PCS新仓1A6
4000140 8/28 44500PCS新仓1-A6</t>
        </r>
      </text>
    </comment>
    <comment ref="AI525" authorId="0">
      <text>
        <r>
          <rPr>
            <b/>
            <sz val="9"/>
            <rFont val="宋体"/>
            <charset val="134"/>
          </rPr>
          <t>Administrator:</t>
        </r>
        <r>
          <rPr>
            <sz val="9"/>
            <rFont val="宋体"/>
            <charset val="134"/>
          </rPr>
          <t xml:space="preserve">
8/18 上客供外箱条码贴纸2020pcs
</t>
        </r>
      </text>
    </comment>
    <comment ref="AF526" authorId="0">
      <text>
        <r>
          <rPr>
            <b/>
            <sz val="9"/>
            <rFont val="宋体"/>
            <charset val="134"/>
          </rPr>
          <t>Administrator:</t>
        </r>
        <r>
          <rPr>
            <sz val="9"/>
            <rFont val="宋体"/>
            <charset val="134"/>
          </rPr>
          <t xml:space="preserve">
3000506 8/21 1350pcs新仓1-A3
</t>
        </r>
      </text>
    </comment>
    <comment ref="AI526" authorId="0">
      <text>
        <r>
          <rPr>
            <b/>
            <sz val="9"/>
            <rFont val="宋体"/>
            <charset val="134"/>
          </rPr>
          <t>Administrator:</t>
        </r>
        <r>
          <rPr>
            <sz val="9"/>
            <rFont val="宋体"/>
            <charset val="134"/>
          </rPr>
          <t xml:space="preserve">
8/1 上收缩膜 +说明书 纽扣电池警告语贴纸3000pcs
两个同PO共用
8/7上收缩膜 +说明书纽扣电池警告语贴纸150pcs
8/14 上KM单外箱贴纸25pcs
</t>
        </r>
      </text>
    </comment>
    <comment ref="AF527" authorId="0">
      <text>
        <r>
          <rPr>
            <b/>
            <sz val="9"/>
            <rFont val="宋体"/>
            <charset val="134"/>
          </rPr>
          <t>Administrator:</t>
        </r>
        <r>
          <rPr>
            <sz val="9"/>
            <rFont val="宋体"/>
            <charset val="134"/>
          </rPr>
          <t xml:space="preserve">
4000154 8/27 234PCS
华3b14</t>
        </r>
      </text>
    </comment>
    <comment ref="AI527" authorId="0">
      <text>
        <r>
          <rPr>
            <b/>
            <sz val="9"/>
            <rFont val="宋体"/>
            <charset val="134"/>
          </rPr>
          <t>Administrator:</t>
        </r>
        <r>
          <rPr>
            <sz val="9"/>
            <rFont val="宋体"/>
            <charset val="134"/>
          </rPr>
          <t xml:space="preserve">
8/5 上UPC条码贴纸234pcs
8/14 上KM单外箱贴纸13pcs
8/21 上白色防盗贴纸234pcs
</t>
        </r>
      </text>
    </comment>
    <comment ref="AF528" authorId="0">
      <text>
        <r>
          <rPr>
            <b/>
            <sz val="12"/>
            <rFont val="宋体"/>
            <charset val="134"/>
          </rPr>
          <t>4000083 8/29 8000PCS新仓1-B6</t>
        </r>
      </text>
    </comment>
    <comment ref="AI528" authorId="0">
      <text>
        <r>
          <rPr>
            <b/>
            <sz val="9"/>
            <rFont val="宋体"/>
            <charset val="134"/>
          </rPr>
          <t>Administrator:</t>
        </r>
        <r>
          <rPr>
            <sz val="9"/>
            <rFont val="宋体"/>
            <charset val="134"/>
          </rPr>
          <t xml:space="preserve">
7/30 上冰棒说明书荷兰语贴纸8000pcs
蛋糕款说明书荷兰语贴纸8000pcs
布丁款说明书荷兰语贴纸8000pcs</t>
        </r>
      </text>
    </comment>
    <comment ref="AF529" authorId="0">
      <text>
        <r>
          <rPr>
            <b/>
            <sz val="9"/>
            <rFont val="宋体"/>
            <charset val="134"/>
          </rPr>
          <t>Administrator:</t>
        </r>
        <r>
          <rPr>
            <sz val="9"/>
            <rFont val="宋体"/>
            <charset val="134"/>
          </rPr>
          <t xml:space="preserve">
4000083 8/29 8000PCS
新仓1-B6</t>
        </r>
      </text>
    </comment>
    <comment ref="AI529" authorId="0">
      <text>
        <r>
          <rPr>
            <b/>
            <sz val="9"/>
            <rFont val="宋体"/>
            <charset val="134"/>
          </rPr>
          <t>Administrator:</t>
        </r>
        <r>
          <rPr>
            <sz val="9"/>
            <rFont val="宋体"/>
            <charset val="134"/>
          </rPr>
          <t xml:space="preserve">
7/30 上冰棒说明书荷兰语贴纸8000pcs
蛋糕款说明书荷兰语贴纸8000pcs
布丁款说明书荷兰语贴纸8000pcs
</t>
        </r>
      </text>
    </comment>
    <comment ref="AF530" authorId="0">
      <text>
        <r>
          <rPr>
            <b/>
            <sz val="9"/>
            <rFont val="宋体"/>
            <charset val="134"/>
          </rPr>
          <t>Administrator:</t>
        </r>
        <r>
          <rPr>
            <sz val="9"/>
            <rFont val="宋体"/>
            <charset val="134"/>
          </rPr>
          <t xml:space="preserve">
4000154 8/27 2300PCS
华3b15</t>
        </r>
      </text>
    </comment>
    <comment ref="AI530" authorId="0">
      <text>
        <r>
          <rPr>
            <b/>
            <sz val="9"/>
            <rFont val="宋体"/>
            <charset val="134"/>
          </rPr>
          <t>Administrator:</t>
        </r>
        <r>
          <rPr>
            <sz val="9"/>
            <rFont val="宋体"/>
            <charset val="134"/>
          </rPr>
          <t xml:space="preserve">
8/3 上UPC贴纸3050pcs
两个同PO共用
8/22 上UPC贴纸2050pcs
两个同PO共用</t>
        </r>
      </text>
    </comment>
    <comment ref="AF531" authorId="0">
      <text>
        <r>
          <rPr>
            <b/>
            <sz val="9"/>
            <rFont val="宋体"/>
            <charset val="134"/>
          </rPr>
          <t>Administrator:</t>
        </r>
        <r>
          <rPr>
            <sz val="9"/>
            <rFont val="宋体"/>
            <charset val="134"/>
          </rPr>
          <t xml:space="preserve">
4000154 8/27 700PCS
华3b14
4000083 8/29 50PCS
华</t>
        </r>
      </text>
    </comment>
    <comment ref="AF536" authorId="0">
      <text>
        <r>
          <rPr>
            <b/>
            <sz val="9"/>
            <rFont val="宋体"/>
            <charset val="134"/>
          </rPr>
          <t>Administrator:</t>
        </r>
        <r>
          <rPr>
            <sz val="9"/>
            <rFont val="宋体"/>
            <charset val="134"/>
          </rPr>
          <t xml:space="preserve">
400103 9/1 50000PCS华3A19.20</t>
        </r>
      </text>
    </comment>
    <comment ref="AI536" authorId="0">
      <text>
        <r>
          <rPr>
            <b/>
            <sz val="9"/>
            <rFont val="宋体"/>
            <charset val="134"/>
          </rPr>
          <t>Administrator:</t>
        </r>
        <r>
          <rPr>
            <sz val="9"/>
            <rFont val="宋体"/>
            <charset val="134"/>
          </rPr>
          <t xml:space="preserve">
8/26 上客供外箱条码贴纸2050pcs</t>
        </r>
      </text>
    </comment>
    <comment ref="AF537" authorId="0">
      <text>
        <r>
          <rPr>
            <b/>
            <sz val="9"/>
            <rFont val="宋体"/>
            <charset val="134"/>
          </rPr>
          <t>Administrator:</t>
        </r>
        <r>
          <rPr>
            <sz val="9"/>
            <rFont val="宋体"/>
            <charset val="134"/>
          </rPr>
          <t xml:space="preserve">
4000112 9/1 2548PCS
华3B8
4000501 9/8 52pcs华3B8</t>
        </r>
      </text>
    </comment>
    <comment ref="AI537" authorId="0">
      <text>
        <r>
          <rPr>
            <b/>
            <sz val="9"/>
            <rFont val="宋体"/>
            <charset val="134"/>
          </rPr>
          <t>Administrator:</t>
        </r>
        <r>
          <rPr>
            <sz val="9"/>
            <rFont val="宋体"/>
            <charset val="134"/>
          </rPr>
          <t xml:space="preserve">
8/3 上进口商贴纸2600pcs
8/18 上UPC贴纸2600pcs
8/26 上UPC贴纸2600PCS</t>
        </r>
      </text>
    </comment>
    <comment ref="AM537" authorId="1">
      <text>
        <r>
          <rPr>
            <b/>
            <sz val="9"/>
            <rFont val="宋体"/>
            <charset val="134"/>
          </rPr>
          <t>RR:</t>
        </r>
        <r>
          <rPr>
            <sz val="9"/>
            <rFont val="宋体"/>
            <charset val="134"/>
          </rPr>
          <t xml:space="preserve">
客人接受1L收缩膜</t>
        </r>
      </text>
    </comment>
    <comment ref="AF538" authorId="0">
      <text>
        <r>
          <rPr>
            <b/>
            <sz val="9"/>
            <rFont val="宋体"/>
            <charset val="134"/>
          </rPr>
          <t>Administrator:</t>
        </r>
        <r>
          <rPr>
            <sz val="9"/>
            <rFont val="宋体"/>
            <charset val="134"/>
          </rPr>
          <t xml:space="preserve">
4000013 9/4 2600pcs华3B8</t>
        </r>
      </text>
    </comment>
    <comment ref="AF539" authorId="0">
      <text>
        <r>
          <rPr>
            <b/>
            <sz val="9"/>
            <rFont val="宋体"/>
            <charset val="134"/>
          </rPr>
          <t>Administrator:</t>
        </r>
        <r>
          <rPr>
            <sz val="9"/>
            <rFont val="宋体"/>
            <charset val="134"/>
          </rPr>
          <t xml:space="preserve">
4000013 9/4 4225pcs
s华3B8
</t>
        </r>
      </text>
    </comment>
    <comment ref="AF540" authorId="0">
      <text>
        <r>
          <rPr>
            <b/>
            <sz val="9"/>
            <rFont val="宋体"/>
            <charset val="134"/>
          </rPr>
          <t>Administrator:</t>
        </r>
        <r>
          <rPr>
            <sz val="9"/>
            <rFont val="宋体"/>
            <charset val="134"/>
          </rPr>
          <t xml:space="preserve">
4000013 9/4 8450pcs
s华3B8
</t>
        </r>
      </text>
    </comment>
    <comment ref="AF541" authorId="0">
      <text>
        <r>
          <rPr>
            <b/>
            <sz val="9"/>
            <rFont val="宋体"/>
            <charset val="134"/>
          </rPr>
          <t>Administrator:</t>
        </r>
        <r>
          <rPr>
            <sz val="9"/>
            <rFont val="宋体"/>
            <charset val="134"/>
          </rPr>
          <t xml:space="preserve">
4000074 9/2 3375pcs
华3B10</t>
        </r>
      </text>
    </comment>
    <comment ref="AF542" authorId="0">
      <text>
        <r>
          <rPr>
            <b/>
            <sz val="9"/>
            <rFont val="宋体"/>
            <charset val="134"/>
          </rPr>
          <t>Administrator:</t>
        </r>
        <r>
          <rPr>
            <sz val="9"/>
            <rFont val="宋体"/>
            <charset val="134"/>
          </rPr>
          <t xml:space="preserve">
4000063 9/1 24500PCS
华3A18</t>
        </r>
      </text>
    </comment>
    <comment ref="AI542" authorId="0">
      <text>
        <r>
          <rPr>
            <b/>
            <sz val="9"/>
            <rFont val="宋体"/>
            <charset val="134"/>
          </rPr>
          <t>Administrator:</t>
        </r>
        <r>
          <rPr>
            <sz val="9"/>
            <rFont val="宋体"/>
            <charset val="134"/>
          </rPr>
          <t xml:space="preserve">
8/22 上UPC条码贴纸24500pcs</t>
        </r>
      </text>
    </comment>
    <comment ref="AF543" authorId="0">
      <text>
        <r>
          <rPr>
            <b/>
            <sz val="9"/>
            <rFont val="宋体"/>
            <charset val="134"/>
          </rPr>
          <t>Administrator:</t>
        </r>
        <r>
          <rPr>
            <sz val="9"/>
            <rFont val="宋体"/>
            <charset val="134"/>
          </rPr>
          <t xml:space="preserve">
4000074 9/2 5200pcs华3B7</t>
        </r>
      </text>
    </comment>
    <comment ref="AI543" authorId="0">
      <text>
        <r>
          <rPr>
            <b/>
            <sz val="9"/>
            <rFont val="宋体"/>
            <charset val="134"/>
          </rPr>
          <t>Administrator:</t>
        </r>
        <r>
          <rPr>
            <sz val="9"/>
            <rFont val="宋体"/>
            <charset val="134"/>
          </rPr>
          <t xml:space="preserve">
8/11 上多语警钟长鸣语折叠贴纸5200pcs</t>
        </r>
      </text>
    </comment>
    <comment ref="AF544" authorId="0">
      <text>
        <r>
          <rPr>
            <b/>
            <sz val="9"/>
            <rFont val="宋体"/>
            <charset val="134"/>
          </rPr>
          <t>Administrator:</t>
        </r>
        <r>
          <rPr>
            <sz val="9"/>
            <rFont val="宋体"/>
            <charset val="134"/>
          </rPr>
          <t xml:space="preserve">
4000013 9/4 2600pcs
s华3B8
</t>
        </r>
      </text>
    </comment>
    <comment ref="AF545" authorId="0">
      <text>
        <r>
          <rPr>
            <b/>
            <sz val="9"/>
            <rFont val="宋体"/>
            <charset val="134"/>
          </rPr>
          <t>Administrator:</t>
        </r>
        <r>
          <rPr>
            <sz val="9"/>
            <rFont val="宋体"/>
            <charset val="134"/>
          </rPr>
          <t xml:space="preserve">
4000013 9/4 260pcs
s华3B8
</t>
        </r>
      </text>
    </comment>
    <comment ref="AI546" authorId="0">
      <text>
        <r>
          <rPr>
            <b/>
            <sz val="9"/>
            <rFont val="宋体"/>
            <charset val="134"/>
          </rPr>
          <t>Administrator:</t>
        </r>
        <r>
          <rPr>
            <sz val="9"/>
            <rFont val="宋体"/>
            <charset val="134"/>
          </rPr>
          <t xml:space="preserve">
8/1 上收缩膜 +说明书 纽扣电池警告语贴纸468pcs
</t>
        </r>
      </text>
    </comment>
    <comment ref="AI547" authorId="0">
      <text>
        <r>
          <rPr>
            <b/>
            <sz val="9"/>
            <rFont val="宋体"/>
            <charset val="134"/>
          </rPr>
          <t>Administrator:</t>
        </r>
        <r>
          <rPr>
            <sz val="9"/>
            <rFont val="宋体"/>
            <charset val="134"/>
          </rPr>
          <t xml:space="preserve">
8/1 上收缩膜 +说明书 纽扣电池警告语贴纸4332pcs
8/1 上收缩膜 +说明书 纽扣电池警告语贴纸4332pcs
</t>
        </r>
      </text>
    </comment>
    <comment ref="AF548" authorId="0">
      <text>
        <r>
          <rPr>
            <b/>
            <sz val="9"/>
            <rFont val="宋体"/>
            <charset val="134"/>
          </rPr>
          <t>Administrator:</t>
        </r>
        <r>
          <rPr>
            <sz val="9"/>
            <rFont val="宋体"/>
            <charset val="134"/>
          </rPr>
          <t xml:space="preserve">
4000022 9/3 350pcs</t>
        </r>
      </text>
    </comment>
    <comment ref="AI548" authorId="0">
      <text>
        <r>
          <rPr>
            <b/>
            <sz val="9"/>
            <rFont val="宋体"/>
            <charset val="134"/>
          </rPr>
          <t>Administrator:</t>
        </r>
        <r>
          <rPr>
            <sz val="9"/>
            <rFont val="宋体"/>
            <charset val="134"/>
          </rPr>
          <t xml:space="preserve">
8/13 上进口商贴纸350pcs
UPC条码贴纸350pcs</t>
        </r>
      </text>
    </comment>
    <comment ref="AF549" authorId="0">
      <text>
        <r>
          <rPr>
            <b/>
            <sz val="9"/>
            <rFont val="宋体"/>
            <charset val="134"/>
          </rPr>
          <t>Administrator:</t>
        </r>
        <r>
          <rPr>
            <sz val="9"/>
            <rFont val="宋体"/>
            <charset val="134"/>
          </rPr>
          <t xml:space="preserve">
4000022 9/3 117pcs
</t>
        </r>
      </text>
    </comment>
    <comment ref="AI549" authorId="0">
      <text>
        <r>
          <rPr>
            <b/>
            <sz val="9"/>
            <rFont val="宋体"/>
            <charset val="134"/>
          </rPr>
          <t>Administrator:</t>
        </r>
        <r>
          <rPr>
            <sz val="9"/>
            <rFont val="宋体"/>
            <charset val="134"/>
          </rPr>
          <t xml:space="preserve">
8/13 上UPC条码贴纸334pcs
两个同PO共用
8/21 上白色防盗贴纸117pcs
8/22 上KM单外箱贴纸9pcs
</t>
        </r>
      </text>
    </comment>
    <comment ref="AF550" authorId="0">
      <text>
        <r>
          <rPr>
            <b/>
            <sz val="9"/>
            <rFont val="宋体"/>
            <charset val="134"/>
          </rPr>
          <t>Administrator:</t>
        </r>
        <r>
          <rPr>
            <sz val="9"/>
            <rFont val="宋体"/>
            <charset val="134"/>
          </rPr>
          <t xml:space="preserve">
4000022 9/3 117pcs
</t>
        </r>
      </text>
    </comment>
    <comment ref="AI550" authorId="0">
      <text>
        <r>
          <rPr>
            <b/>
            <sz val="9"/>
            <rFont val="宋体"/>
            <charset val="134"/>
          </rPr>
          <t>Administrator:</t>
        </r>
        <r>
          <rPr>
            <sz val="9"/>
            <rFont val="宋体"/>
            <charset val="134"/>
          </rPr>
          <t xml:space="preserve">
8/21 上白色防盗贴117pcs
8/22 上KM单外箱贴纸9pcs
</t>
        </r>
      </text>
    </comment>
    <comment ref="AF551" authorId="0">
      <text>
        <r>
          <rPr>
            <b/>
            <sz val="9"/>
            <rFont val="宋体"/>
            <charset val="134"/>
          </rPr>
          <t>Administrator:</t>
        </r>
        <r>
          <rPr>
            <sz val="9"/>
            <rFont val="宋体"/>
            <charset val="134"/>
          </rPr>
          <t xml:space="preserve">
4000022 9/3 1534pcs
</t>
        </r>
      </text>
    </comment>
    <comment ref="AI551" authorId="0">
      <text>
        <r>
          <rPr>
            <b/>
            <sz val="9"/>
            <rFont val="宋体"/>
            <charset val="134"/>
          </rPr>
          <t>Administrator:</t>
        </r>
        <r>
          <rPr>
            <sz val="9"/>
            <rFont val="宋体"/>
            <charset val="134"/>
          </rPr>
          <t xml:space="preserve">
8/13 上UPC条码贴纸3146pcs
两个同PO共用
8/21 上白色防盗贴纸1534pcs
8/22 上KM单外箱贴纸118pcs</t>
        </r>
      </text>
    </comment>
    <comment ref="AF552" authorId="0">
      <text>
        <r>
          <rPr>
            <b/>
            <sz val="9"/>
            <rFont val="宋体"/>
            <charset val="134"/>
          </rPr>
          <t>Administrator:</t>
        </r>
        <r>
          <rPr>
            <sz val="9"/>
            <rFont val="宋体"/>
            <charset val="134"/>
          </rPr>
          <t xml:space="preserve">
4000022 9/3 1612pcs
</t>
        </r>
      </text>
    </comment>
    <comment ref="AI552" authorId="0">
      <text>
        <r>
          <rPr>
            <b/>
            <sz val="9"/>
            <rFont val="宋体"/>
            <charset val="134"/>
          </rPr>
          <t>Administrator:</t>
        </r>
        <r>
          <rPr>
            <sz val="9"/>
            <rFont val="宋体"/>
            <charset val="134"/>
          </rPr>
          <t xml:space="preserve">
8/21 上白色防盗贴纸1612pcs
8/22 上KM单外箱贴纸124pcs
</t>
        </r>
      </text>
    </comment>
    <comment ref="AF553" authorId="0">
      <text>
        <r>
          <rPr>
            <b/>
            <sz val="9"/>
            <rFont val="宋体"/>
            <charset val="134"/>
          </rPr>
          <t>Administrator:</t>
        </r>
        <r>
          <rPr>
            <sz val="9"/>
            <rFont val="宋体"/>
            <charset val="134"/>
          </rPr>
          <t xml:space="preserve">
4000004 9/4 1550pcs华3B14
</t>
        </r>
      </text>
    </comment>
    <comment ref="AI553" authorId="0">
      <text>
        <r>
          <rPr>
            <b/>
            <sz val="9"/>
            <rFont val="宋体"/>
            <charset val="134"/>
          </rPr>
          <t>Administrator:</t>
        </r>
        <r>
          <rPr>
            <sz val="9"/>
            <rFont val="宋体"/>
            <charset val="134"/>
          </rPr>
          <t xml:space="preserve">
8/13 上进口商贴纸1550pcs</t>
        </r>
      </text>
    </comment>
    <comment ref="AF554" authorId="0">
      <text>
        <r>
          <rPr>
            <b/>
            <sz val="9"/>
            <rFont val="宋体"/>
            <charset val="134"/>
          </rPr>
          <t>Administrator:</t>
        </r>
        <r>
          <rPr>
            <sz val="9"/>
            <rFont val="宋体"/>
            <charset val="134"/>
          </rPr>
          <t xml:space="preserve">
4000004 9/4 750pcs华3B11</t>
        </r>
      </text>
    </comment>
    <comment ref="AF555" authorId="0">
      <text>
        <r>
          <rPr>
            <b/>
            <sz val="9"/>
            <rFont val="宋体"/>
            <charset val="134"/>
          </rPr>
          <t>Administrator:</t>
        </r>
        <r>
          <rPr>
            <sz val="9"/>
            <rFont val="宋体"/>
            <charset val="134"/>
          </rPr>
          <t xml:space="preserve">
4000004 9/4 750pcs华3B11
</t>
        </r>
      </text>
    </comment>
    <comment ref="AF556" authorId="0">
      <text>
        <r>
          <rPr>
            <b/>
            <sz val="9"/>
            <rFont val="宋体"/>
            <charset val="134"/>
          </rPr>
          <t>Administrator:</t>
        </r>
        <r>
          <rPr>
            <sz val="9"/>
            <rFont val="宋体"/>
            <charset val="134"/>
          </rPr>
          <t xml:space="preserve">
4000004 9/4 1500pcs华3B11
</t>
        </r>
      </text>
    </comment>
    <comment ref="AF557" authorId="0">
      <text>
        <r>
          <rPr>
            <b/>
            <sz val="9"/>
            <rFont val="宋体"/>
            <charset val="134"/>
          </rPr>
          <t>Administrator:</t>
        </r>
        <r>
          <rPr>
            <sz val="9"/>
            <rFont val="宋体"/>
            <charset val="134"/>
          </rPr>
          <t xml:space="preserve">
4000074 9/2 3300pcs
华3B10</t>
        </r>
      </text>
    </comment>
    <comment ref="AF564" authorId="0">
      <text>
        <r>
          <rPr>
            <b/>
            <sz val="9"/>
            <rFont val="宋体"/>
            <charset val="134"/>
          </rPr>
          <t>Administrator:</t>
        </r>
        <r>
          <rPr>
            <sz val="9"/>
            <rFont val="宋体"/>
            <charset val="134"/>
          </rPr>
          <t xml:space="preserve">
3001354 9/6 3588pcs莫4A6
3001945 9/6 13pcs莫</t>
        </r>
      </text>
    </comment>
    <comment ref="AI564" authorId="0">
      <text>
        <r>
          <rPr>
            <b/>
            <sz val="9"/>
            <rFont val="宋体"/>
            <charset val="134"/>
          </rPr>
          <t>Administrator:</t>
        </r>
        <r>
          <rPr>
            <sz val="9"/>
            <rFont val="宋体"/>
            <charset val="134"/>
          </rPr>
          <t xml:space="preserve">
8/11 上多语警钟长鸣语折叠贴纸3601pcs
</t>
        </r>
      </text>
    </comment>
    <comment ref="AF565" authorId="0">
      <text>
        <r>
          <rPr>
            <b/>
            <sz val="9"/>
            <rFont val="宋体"/>
            <charset val="134"/>
          </rPr>
          <t>Administrator:</t>
        </r>
        <r>
          <rPr>
            <sz val="9"/>
            <rFont val="宋体"/>
            <charset val="134"/>
          </rPr>
          <t xml:space="preserve">
30001354 9/6 5000pcs莫4B3</t>
        </r>
      </text>
    </comment>
    <comment ref="AI565" authorId="0">
      <text>
        <r>
          <rPr>
            <b/>
            <sz val="9"/>
            <rFont val="宋体"/>
            <charset val="134"/>
          </rPr>
          <t>Administrator:</t>
        </r>
        <r>
          <rPr>
            <sz val="9"/>
            <rFont val="宋体"/>
            <charset val="134"/>
          </rPr>
          <t xml:space="preserve">
8/18 上冰棒款说明书荷兰语贴纸10000pcs
蛋糕款说明书荷兰语贴纸10000pcs
布丁款说明书荷兰语贴纸10000pcs
</t>
        </r>
      </text>
    </comment>
    <comment ref="AF566" authorId="0">
      <text>
        <r>
          <rPr>
            <b/>
            <sz val="9"/>
            <rFont val="宋体"/>
            <charset val="134"/>
          </rPr>
          <t>Administrator:</t>
        </r>
        <r>
          <rPr>
            <sz val="9"/>
            <rFont val="宋体"/>
            <charset val="134"/>
          </rPr>
          <t xml:space="preserve">
3001354 9/6 5000pcs 莫</t>
        </r>
      </text>
    </comment>
    <comment ref="AF567" authorId="0">
      <text>
        <r>
          <rPr>
            <b/>
            <sz val="9"/>
            <rFont val="宋体"/>
            <charset val="134"/>
          </rPr>
          <t>Administrator:</t>
        </r>
        <r>
          <rPr>
            <sz val="9"/>
            <rFont val="宋体"/>
            <charset val="134"/>
          </rPr>
          <t xml:space="preserve">
4000501 9/8 1200pcs华1F5</t>
        </r>
      </text>
    </comment>
    <comment ref="AF568" authorId="0">
      <text>
        <r>
          <rPr>
            <b/>
            <sz val="9"/>
            <rFont val="宋体"/>
            <charset val="134"/>
          </rPr>
          <t>Administrator:</t>
        </r>
        <r>
          <rPr>
            <sz val="9"/>
            <rFont val="宋体"/>
            <charset val="134"/>
          </rPr>
          <t xml:space="preserve">
4000501 9/8 1300pcs
华1F5</t>
        </r>
      </text>
    </comment>
    <comment ref="AF569" authorId="0">
      <text>
        <r>
          <rPr>
            <b/>
            <sz val="9"/>
            <rFont val="宋体"/>
            <charset val="134"/>
          </rPr>
          <t>Administrator:</t>
        </r>
        <r>
          <rPr>
            <sz val="9"/>
            <rFont val="宋体"/>
            <charset val="134"/>
          </rPr>
          <t xml:space="preserve">
3001946 9/6 180pcs华3B14
</t>
        </r>
      </text>
    </comment>
    <comment ref="AI569" authorId="0">
      <text>
        <r>
          <rPr>
            <b/>
            <sz val="9"/>
            <rFont val="宋体"/>
            <charset val="134"/>
          </rPr>
          <t>Administrator:</t>
        </r>
        <r>
          <rPr>
            <sz val="9"/>
            <rFont val="宋体"/>
            <charset val="134"/>
          </rPr>
          <t xml:space="preserve">
8/18 上进口商贴纸180pcs
空白贴纸360pcs</t>
        </r>
      </text>
    </comment>
    <comment ref="AF570" authorId="0">
      <text>
        <r>
          <rPr>
            <b/>
            <sz val="9"/>
            <rFont val="宋体"/>
            <charset val="134"/>
          </rPr>
          <t>Administrator:</t>
        </r>
        <r>
          <rPr>
            <sz val="9"/>
            <rFont val="宋体"/>
            <charset val="134"/>
          </rPr>
          <t xml:space="preserve">
4000484 9/9 8775pcs华一F5</t>
        </r>
      </text>
    </comment>
    <comment ref="AF571" authorId="0">
      <text>
        <r>
          <rPr>
            <b/>
            <sz val="9"/>
            <rFont val="宋体"/>
            <charset val="134"/>
          </rPr>
          <t>Administrator:</t>
        </r>
        <r>
          <rPr>
            <sz val="9"/>
            <rFont val="宋体"/>
            <charset val="134"/>
          </rPr>
          <t xml:space="preserve">
4000484 9/9 3900pcs
华一F5</t>
        </r>
      </text>
    </comment>
    <comment ref="AF572" authorId="0">
      <text>
        <r>
          <rPr>
            <b/>
            <sz val="9"/>
            <rFont val="宋体"/>
            <charset val="134"/>
          </rPr>
          <t>Administrator:</t>
        </r>
        <r>
          <rPr>
            <sz val="9"/>
            <rFont val="宋体"/>
            <charset val="134"/>
          </rPr>
          <t xml:space="preserve">
</t>
        </r>
        <r>
          <rPr>
            <sz val="11"/>
            <rFont val="宋体"/>
            <charset val="134"/>
          </rPr>
          <t>4000503 9/9 117pcs华3B15</t>
        </r>
      </text>
    </comment>
    <comment ref="AI572" authorId="0">
      <text>
        <r>
          <rPr>
            <b/>
            <sz val="9"/>
            <rFont val="宋体"/>
            <charset val="134"/>
          </rPr>
          <t>Administrator:</t>
        </r>
        <r>
          <rPr>
            <sz val="9"/>
            <rFont val="宋体"/>
            <charset val="134"/>
          </rPr>
          <t xml:space="preserve">
8/18 上UPC条码贴纸117pcs
8/21 上白色防盗贴纸117pcs
8/29 KMART外箱贴纸 9pcs
8/29 KMART外箱贴纸 10pcs
</t>
        </r>
      </text>
    </comment>
    <comment ref="AF573" authorId="0">
      <text>
        <r>
          <rPr>
            <b/>
            <sz val="9"/>
            <rFont val="宋体"/>
            <charset val="134"/>
          </rPr>
          <t>Administrator:</t>
        </r>
        <r>
          <rPr>
            <sz val="9"/>
            <rFont val="宋体"/>
            <charset val="134"/>
          </rPr>
          <t xml:space="preserve">
4000503 9/9 143pcs
华3B15</t>
        </r>
      </text>
    </comment>
    <comment ref="AI573" authorId="0">
      <text>
        <r>
          <rPr>
            <b/>
            <sz val="9"/>
            <rFont val="宋体"/>
            <charset val="134"/>
          </rPr>
          <t>Administrator:</t>
        </r>
        <r>
          <rPr>
            <sz val="9"/>
            <rFont val="宋体"/>
            <charset val="134"/>
          </rPr>
          <t xml:space="preserve">
8/18 上UPC条码贴纸143pcs
8/21 上白色防盗贴纸143pcs
8/29 KMART外箱贴纸 11pcs
</t>
        </r>
      </text>
    </comment>
    <comment ref="AF574" authorId="0">
      <text>
        <r>
          <rPr>
            <b/>
            <sz val="9"/>
            <rFont val="宋体"/>
            <charset val="134"/>
          </rPr>
          <t>Administrator:</t>
        </r>
        <r>
          <rPr>
            <sz val="9"/>
            <rFont val="宋体"/>
            <charset val="134"/>
          </rPr>
          <t xml:space="preserve">
4000503 9/9 2275pcs
华3B14</t>
        </r>
      </text>
    </comment>
    <comment ref="AI574" authorId="0">
      <text>
        <r>
          <rPr>
            <b/>
            <sz val="9"/>
            <rFont val="宋体"/>
            <charset val="134"/>
          </rPr>
          <t>Administrator:</t>
        </r>
        <r>
          <rPr>
            <sz val="9"/>
            <rFont val="宋体"/>
            <charset val="134"/>
          </rPr>
          <t xml:space="preserve">
8/18 上UPC条码贴纸2275pcs
8/21 上白色防盗贴纸2275pcs
8/29 KMART外箱贴纸 175pcs
8/29 KMART外箱贴纸 116pcs
</t>
        </r>
      </text>
    </comment>
    <comment ref="AF575" authorId="0">
      <text>
        <r>
          <rPr>
            <b/>
            <sz val="9"/>
            <rFont val="宋体"/>
            <charset val="134"/>
          </rPr>
          <t>Administrator:</t>
        </r>
        <r>
          <rPr>
            <sz val="9"/>
            <rFont val="宋体"/>
            <charset val="134"/>
          </rPr>
          <t xml:space="preserve">
4000503 9/9 1989pcs
华3B8</t>
        </r>
      </text>
    </comment>
    <comment ref="AI575" authorId="0">
      <text>
        <r>
          <rPr>
            <b/>
            <sz val="9"/>
            <rFont val="宋体"/>
            <charset val="134"/>
          </rPr>
          <t>Administrator:</t>
        </r>
        <r>
          <rPr>
            <sz val="9"/>
            <rFont val="宋体"/>
            <charset val="134"/>
          </rPr>
          <t xml:space="preserve">
8/18 上UPC条码贴纸1989pcs
8/21 上白色防盗贴纸1989pcs
8/29 KMART外箱贴纸 153pcs
8/29 KMART外箱贴纸 238pcs
</t>
        </r>
      </text>
    </comment>
    <comment ref="AF576" authorId="0">
      <text>
        <r>
          <rPr>
            <b/>
            <sz val="9"/>
            <rFont val="宋体"/>
            <charset val="134"/>
          </rPr>
          <t>Administrator:</t>
        </r>
        <r>
          <rPr>
            <sz val="9"/>
            <rFont val="宋体"/>
            <charset val="134"/>
          </rPr>
          <t xml:space="preserve">
4000483 9/9 15000pcs华3A25</t>
        </r>
      </text>
    </comment>
    <comment ref="AI576" authorId="0">
      <text>
        <r>
          <rPr>
            <b/>
            <sz val="9"/>
            <rFont val="宋体"/>
            <charset val="134"/>
          </rPr>
          <t>Administrator:</t>
        </r>
        <r>
          <rPr>
            <sz val="9"/>
            <rFont val="宋体"/>
            <charset val="134"/>
          </rPr>
          <t xml:space="preserve">
8/26 上客供外箱条码贴纸606pcs（消耗取消单73996PO）
</t>
        </r>
      </text>
    </comment>
    <comment ref="AF577" authorId="0">
      <text>
        <r>
          <rPr>
            <b/>
            <sz val="9"/>
            <rFont val="宋体"/>
            <charset val="134"/>
          </rPr>
          <t>Administrator:</t>
        </r>
        <r>
          <rPr>
            <sz val="9"/>
            <rFont val="宋体"/>
            <charset val="134"/>
          </rPr>
          <t xml:space="preserve">
2000373 9/11 2970pcs</t>
        </r>
      </text>
    </comment>
    <comment ref="AF583" authorId="0">
      <text>
        <r>
          <rPr>
            <b/>
            <sz val="9"/>
            <rFont val="宋体"/>
            <charset val="134"/>
          </rPr>
          <t>Administrator:</t>
        </r>
        <r>
          <rPr>
            <sz val="9"/>
            <rFont val="宋体"/>
            <charset val="134"/>
          </rPr>
          <t xml:space="preserve">
3001946 9/6 2100pcs华3B14</t>
        </r>
      </text>
    </comment>
    <comment ref="AI583" authorId="0">
      <text>
        <r>
          <rPr>
            <b/>
            <sz val="9"/>
            <rFont val="宋体"/>
            <charset val="134"/>
          </rPr>
          <t>Administrator:</t>
        </r>
        <r>
          <rPr>
            <sz val="9"/>
            <rFont val="宋体"/>
            <charset val="134"/>
          </rPr>
          <t xml:space="preserve">
8/13 上价格贴纸3000空白UPC贴纸6000pcs
以上两个同PO共用
8/21 上NJ客供外箱贴纸175pcs
NV 通用客供外箱贴纸175pcs
8/28 空白贴纸 30000pcs</t>
        </r>
      </text>
    </comment>
    <comment ref="AF584" authorId="0">
      <text>
        <r>
          <rPr>
            <b/>
            <sz val="9"/>
            <rFont val="宋体"/>
            <charset val="134"/>
          </rPr>
          <t>Administrator:</t>
        </r>
        <r>
          <rPr>
            <sz val="9"/>
            <rFont val="宋体"/>
            <charset val="134"/>
          </rPr>
          <t xml:space="preserve">
3001946 9/6 900pcs华3B14
</t>
        </r>
      </text>
    </comment>
    <comment ref="AI584" authorId="0">
      <text>
        <r>
          <rPr>
            <b/>
            <sz val="9"/>
            <rFont val="宋体"/>
            <charset val="134"/>
          </rPr>
          <t>Administrator:</t>
        </r>
        <r>
          <rPr>
            <sz val="9"/>
            <rFont val="宋体"/>
            <charset val="134"/>
          </rPr>
          <t xml:space="preserve">
8/21 上NJ客供外箱贴纸75pcs
NV 通用客供外箱贴纸75pcs
</t>
        </r>
      </text>
    </comment>
    <comment ref="AF587" authorId="0">
      <text>
        <r>
          <rPr>
            <b/>
            <sz val="9"/>
            <rFont val="宋体"/>
            <charset val="134"/>
          </rPr>
          <t>Administrator:</t>
        </r>
        <r>
          <rPr>
            <sz val="9"/>
            <rFont val="宋体"/>
            <charset val="134"/>
          </rPr>
          <t xml:space="preserve">
400038 9/15 1008pcsA栋</t>
        </r>
      </text>
    </comment>
    <comment ref="AF588" authorId="0">
      <text>
        <r>
          <rPr>
            <b/>
            <sz val="9"/>
            <rFont val="宋体"/>
            <charset val="134"/>
          </rPr>
          <t>Administrator:</t>
        </r>
        <r>
          <rPr>
            <sz val="9"/>
            <rFont val="宋体"/>
            <charset val="134"/>
          </rPr>
          <t xml:space="preserve">
400038 9/15 984pcs
A栋
5000101 9/16 24pcs兴信</t>
        </r>
      </text>
    </comment>
    <comment ref="AF589" authorId="0">
      <text>
        <r>
          <rPr>
            <b/>
            <sz val="11"/>
            <rFont val="宋体"/>
            <charset val="134"/>
          </rPr>
          <t>Administrator:</t>
        </r>
        <r>
          <rPr>
            <sz val="11"/>
            <rFont val="宋体"/>
            <charset val="134"/>
          </rPr>
          <t xml:space="preserve">
4000423 9/11 11952pcs莫4A5
4000424 9/12 7968pcs莫4A5
4000406 9/13 48pcs莫4A6</t>
        </r>
      </text>
    </comment>
    <comment ref="AF590" authorId="0">
      <text>
        <r>
          <rPr>
            <b/>
            <sz val="9"/>
            <rFont val="宋体"/>
            <charset val="134"/>
          </rPr>
          <t>Administrator:</t>
        </r>
        <r>
          <rPr>
            <sz val="9"/>
            <rFont val="宋体"/>
            <charset val="134"/>
          </rPr>
          <t xml:space="preserve">
4000424 9/12 2236pcs
华3A27</t>
        </r>
      </text>
    </comment>
    <comment ref="AI590" authorId="0">
      <text>
        <r>
          <rPr>
            <b/>
            <sz val="9"/>
            <rFont val="宋体"/>
            <charset val="134"/>
          </rPr>
          <t>Administrator:</t>
        </r>
        <r>
          <rPr>
            <sz val="9"/>
            <rFont val="宋体"/>
            <charset val="134"/>
          </rPr>
          <t xml:space="preserve">
8/27 客版可移动价格贴纸 2236pcs</t>
        </r>
      </text>
    </comment>
    <comment ref="AF591" authorId="0">
      <text>
        <r>
          <rPr>
            <b/>
            <sz val="9"/>
            <rFont val="宋体"/>
            <charset val="134"/>
          </rPr>
          <t>Administrator:</t>
        </r>
        <r>
          <rPr>
            <sz val="9"/>
            <rFont val="宋体"/>
            <charset val="134"/>
          </rPr>
          <t xml:space="preserve">
4000441 9/15 4800pcs
华3B5</t>
        </r>
      </text>
    </comment>
    <comment ref="AF592" authorId="0">
      <text>
        <r>
          <rPr>
            <b/>
            <sz val="9"/>
            <rFont val="宋体"/>
            <charset val="134"/>
          </rPr>
          <t>Administrator:</t>
        </r>
        <r>
          <rPr>
            <sz val="9"/>
            <rFont val="宋体"/>
            <charset val="134"/>
          </rPr>
          <t xml:space="preserve">
4000441 9/15 2500pcs华3B4</t>
        </r>
      </text>
    </comment>
    <comment ref="AI592" authorId="0">
      <text>
        <r>
          <rPr>
            <b/>
            <sz val="9"/>
            <rFont val="宋体"/>
            <charset val="134"/>
          </rPr>
          <t>Administrator:</t>
        </r>
        <r>
          <rPr>
            <sz val="9"/>
            <rFont val="宋体"/>
            <charset val="134"/>
          </rPr>
          <t xml:space="preserve">
8/27 冰棒款-说明书荷兰语贴纸 12000pcs
8/27 蛋糕款-说明书荷兰语贴纸 12000pcs
8/27 布丁款-说明书荷兰语贴纸 12000pcs</t>
        </r>
      </text>
    </comment>
    <comment ref="AF593" authorId="0">
      <text>
        <r>
          <rPr>
            <b/>
            <sz val="9"/>
            <rFont val="宋体"/>
            <charset val="134"/>
          </rPr>
          <t>Administrator:</t>
        </r>
        <r>
          <rPr>
            <sz val="9"/>
            <rFont val="宋体"/>
            <charset val="134"/>
          </rPr>
          <t xml:space="preserve">
4000441 9/15 1209pcs
华3B14</t>
        </r>
      </text>
    </comment>
    <comment ref="AF594" authorId="0">
      <text>
        <r>
          <rPr>
            <b/>
            <sz val="9"/>
            <rFont val="宋体"/>
            <charset val="134"/>
          </rPr>
          <t>Administrator:</t>
        </r>
        <r>
          <rPr>
            <sz val="9"/>
            <rFont val="宋体"/>
            <charset val="134"/>
          </rPr>
          <t xml:space="preserve">
5000100 9/16 4199pcs华3B10</t>
        </r>
      </text>
    </comment>
    <comment ref="AI594" authorId="0">
      <text>
        <r>
          <rPr>
            <b/>
            <sz val="9"/>
            <rFont val="宋体"/>
            <charset val="134"/>
          </rPr>
          <t>Administrator:</t>
        </r>
        <r>
          <rPr>
            <sz val="9"/>
            <rFont val="宋体"/>
            <charset val="134"/>
          </rPr>
          <t xml:space="preserve">
8/28 PDQ贴纸 323pcs</t>
        </r>
      </text>
    </comment>
    <comment ref="AI595" authorId="0">
      <text>
        <r>
          <rPr>
            <b/>
            <sz val="9"/>
            <rFont val="宋体"/>
            <charset val="134"/>
          </rPr>
          <t>Administrator:</t>
        </r>
        <r>
          <rPr>
            <sz val="9"/>
            <rFont val="宋体"/>
            <charset val="134"/>
          </rPr>
          <t xml:space="preserve">
8/28 EAN条码贴纸 420pcs
客户进口商贴纸 420pcs
空白贴纸84pcs</t>
        </r>
      </text>
    </comment>
    <comment ref="AF596" authorId="0">
      <text>
        <r>
          <rPr>
            <b/>
            <sz val="9"/>
            <rFont val="宋体"/>
            <charset val="134"/>
          </rPr>
          <t>Administrator:</t>
        </r>
        <r>
          <rPr>
            <sz val="9"/>
            <rFont val="宋体"/>
            <charset val="134"/>
          </rPr>
          <t xml:space="preserve">
400038 9/15 2500pcs
莫4A1</t>
        </r>
      </text>
    </comment>
    <comment ref="AF597" authorId="0">
      <text>
        <r>
          <rPr>
            <b/>
            <sz val="9"/>
            <rFont val="宋体"/>
            <charset val="134"/>
          </rPr>
          <t>Administrator:</t>
        </r>
        <r>
          <rPr>
            <sz val="9"/>
            <rFont val="宋体"/>
            <charset val="134"/>
          </rPr>
          <t xml:space="preserve">
5000100 9/16 4680pcs
华3B14</t>
        </r>
      </text>
    </comment>
    <comment ref="AI597" authorId="0">
      <text>
        <r>
          <rPr>
            <b/>
            <sz val="9"/>
            <rFont val="宋体"/>
            <charset val="134"/>
          </rPr>
          <t>Administrator:</t>
        </r>
        <r>
          <rPr>
            <sz val="9"/>
            <rFont val="宋体"/>
            <charset val="134"/>
          </rPr>
          <t xml:space="preserve">
8/26 上客户EAN贴纸4680pcs
PDQ数量贴纸4680pcs</t>
        </r>
      </text>
    </comment>
    <comment ref="AF598" authorId="0">
      <text>
        <r>
          <rPr>
            <b/>
            <sz val="9"/>
            <rFont val="宋体"/>
            <charset val="134"/>
          </rPr>
          <t>Administrator:</t>
        </r>
        <r>
          <rPr>
            <sz val="9"/>
            <rFont val="宋体"/>
            <charset val="134"/>
          </rPr>
          <t xml:space="preserve">
4000441 9/15 1500pcs
华3A12-B12</t>
        </r>
      </text>
    </comment>
    <comment ref="AI598" authorId="0">
      <text>
        <r>
          <rPr>
            <b/>
            <sz val="9"/>
            <rFont val="宋体"/>
            <charset val="134"/>
          </rPr>
          <t>Administrator:</t>
        </r>
        <r>
          <rPr>
            <sz val="9"/>
            <rFont val="宋体"/>
            <charset val="134"/>
          </rPr>
          <t xml:space="preserve">
9/5 UPC贴纸 1500pcs</t>
        </r>
      </text>
    </comment>
    <comment ref="AF599" authorId="0">
      <text>
        <r>
          <rPr>
            <b/>
            <sz val="9"/>
            <rFont val="宋体"/>
            <charset val="134"/>
          </rPr>
          <t>Administrator:</t>
        </r>
        <r>
          <rPr>
            <sz val="9"/>
            <rFont val="宋体"/>
            <charset val="134"/>
          </rPr>
          <t xml:space="preserve">
4000441 9/15 750pcs
华3A12-B12
</t>
        </r>
      </text>
    </comment>
    <comment ref="AI599" authorId="0">
      <text>
        <r>
          <rPr>
            <b/>
            <sz val="9"/>
            <rFont val="宋体"/>
            <charset val="134"/>
          </rPr>
          <t>Administrator:</t>
        </r>
        <r>
          <rPr>
            <sz val="9"/>
            <rFont val="宋体"/>
            <charset val="134"/>
          </rPr>
          <t xml:space="preserve">
9/5 UPC贴纸 750pcs
</t>
        </r>
      </text>
    </comment>
    <comment ref="AF600" authorId="0">
      <text>
        <r>
          <rPr>
            <b/>
            <sz val="9"/>
            <rFont val="宋体"/>
            <charset val="134"/>
          </rPr>
          <t>Administrator:</t>
        </r>
        <r>
          <rPr>
            <sz val="9"/>
            <rFont val="宋体"/>
            <charset val="134"/>
          </rPr>
          <t xml:space="preserve">
4000441 9/15 750pcs华3A12-B12
</t>
        </r>
      </text>
    </comment>
    <comment ref="AI600" authorId="0">
      <text>
        <r>
          <rPr>
            <b/>
            <sz val="9"/>
            <rFont val="宋体"/>
            <charset val="134"/>
          </rPr>
          <t>Administrator:</t>
        </r>
        <r>
          <rPr>
            <sz val="9"/>
            <rFont val="宋体"/>
            <charset val="134"/>
          </rPr>
          <t xml:space="preserve">
9/5 UPC贴纸 750pcs
</t>
        </r>
      </text>
    </comment>
    <comment ref="AF601" authorId="0">
      <text>
        <r>
          <rPr>
            <b/>
            <sz val="9"/>
            <rFont val="宋体"/>
            <charset val="134"/>
          </rPr>
          <t>Administrator:</t>
        </r>
        <r>
          <rPr>
            <sz val="9"/>
            <rFont val="宋体"/>
            <charset val="134"/>
          </rPr>
          <t xml:space="preserve">
5000533 9/17 16pcS
莫海军
5000109 9/17 10512pcs
华3B3</t>
        </r>
      </text>
    </comment>
    <comment ref="AI601" authorId="0">
      <text>
        <r>
          <rPr>
            <b/>
            <sz val="9"/>
            <rFont val="宋体"/>
            <charset val="134"/>
          </rPr>
          <t>Administrator:</t>
        </r>
        <r>
          <rPr>
            <sz val="9"/>
            <rFont val="宋体"/>
            <charset val="134"/>
          </rPr>
          <t xml:space="preserve">
9/9 上客供RFID贴纸10528pcs
</t>
        </r>
      </text>
    </comment>
    <comment ref="AF602" authorId="0">
      <text>
        <r>
          <rPr>
            <b/>
            <sz val="9"/>
            <rFont val="宋体"/>
            <charset val="134"/>
          </rPr>
          <t>Administrator:</t>
        </r>
        <r>
          <rPr>
            <sz val="9"/>
            <rFont val="宋体"/>
            <charset val="134"/>
          </rPr>
          <t xml:space="preserve">
5000100 9/16 3640pcs
华3B15</t>
        </r>
      </text>
    </comment>
    <comment ref="AF603" authorId="0">
      <text>
        <r>
          <rPr>
            <b/>
            <sz val="9"/>
            <rFont val="宋体"/>
            <charset val="134"/>
          </rPr>
          <t>Administrator:</t>
        </r>
        <r>
          <rPr>
            <sz val="9"/>
            <rFont val="宋体"/>
            <charset val="134"/>
          </rPr>
          <t xml:space="preserve">
5000100 9/16 975pcs
华3B13
5000288 9/20 25pcs华兴</t>
        </r>
      </text>
    </comment>
    <comment ref="AF604" authorId="0">
      <text>
        <r>
          <rPr>
            <b/>
            <sz val="9"/>
            <rFont val="宋体"/>
            <charset val="134"/>
          </rPr>
          <t>Administrator:</t>
        </r>
        <r>
          <rPr>
            <sz val="9"/>
            <rFont val="宋体"/>
            <charset val="134"/>
          </rPr>
          <t xml:space="preserve">
5000101 9/16 82500pcs
华3A18-19-20
5000128 9/16 17500pcs华3A20</t>
        </r>
      </text>
    </comment>
    <comment ref="AI604" authorId="0">
      <text>
        <r>
          <rPr>
            <b/>
            <sz val="9"/>
            <rFont val="宋体"/>
            <charset val="134"/>
          </rPr>
          <t>Administrator:</t>
        </r>
        <r>
          <rPr>
            <sz val="9"/>
            <rFont val="宋体"/>
            <charset val="134"/>
          </rPr>
          <t xml:space="preserve">
9/5 客供外箱条码贴纸 4040pcs
</t>
        </r>
      </text>
    </comment>
    <comment ref="AF605" authorId="0">
      <text>
        <r>
          <rPr>
            <b/>
            <sz val="9"/>
            <rFont val="宋体"/>
            <charset val="134"/>
          </rPr>
          <t>Administrator:</t>
        </r>
        <r>
          <rPr>
            <sz val="9"/>
            <rFont val="宋体"/>
            <charset val="134"/>
          </rPr>
          <t xml:space="preserve">
5000109 9/17 2900pcs华一F4</t>
        </r>
      </text>
    </comment>
    <comment ref="AI605" authorId="0">
      <text>
        <r>
          <rPr>
            <b/>
            <sz val="9"/>
            <rFont val="宋体"/>
            <charset val="134"/>
          </rPr>
          <t>Administrator:</t>
        </r>
        <r>
          <rPr>
            <sz val="9"/>
            <rFont val="宋体"/>
            <charset val="134"/>
          </rPr>
          <t xml:space="preserve">
9/5 UPC贴纸2900pcs
9/8 进口商贴纸 2900票 pcs</t>
        </r>
      </text>
    </comment>
    <comment ref="AF606" authorId="0">
      <text>
        <r>
          <rPr>
            <b/>
            <sz val="9"/>
            <rFont val="宋体"/>
            <charset val="134"/>
          </rPr>
          <t>Administrator:</t>
        </r>
        <r>
          <rPr>
            <sz val="9"/>
            <rFont val="宋体"/>
            <charset val="134"/>
          </rPr>
          <t xml:space="preserve">
5000128 9/16 3250pcs华3A32</t>
        </r>
      </text>
    </comment>
    <comment ref="AF607" authorId="0">
      <text>
        <r>
          <rPr>
            <b/>
            <sz val="9"/>
            <rFont val="宋体"/>
            <charset val="134"/>
          </rPr>
          <t>Administrator:</t>
        </r>
        <r>
          <rPr>
            <sz val="9"/>
            <rFont val="宋体"/>
            <charset val="134"/>
          </rPr>
          <t xml:space="preserve">
5000128 9/16 1755pcs
华3A32</t>
        </r>
      </text>
    </comment>
    <comment ref="AF608" authorId="0">
      <text>
        <r>
          <rPr>
            <b/>
            <sz val="9"/>
            <rFont val="宋体"/>
            <charset val="134"/>
          </rPr>
          <t>Administrator:</t>
        </r>
        <r>
          <rPr>
            <sz val="9"/>
            <rFont val="宋体"/>
            <charset val="134"/>
          </rPr>
          <t xml:space="preserve">
5000288 9/20 1000pcs莫4A1</t>
        </r>
      </text>
    </comment>
    <comment ref="AI608" authorId="0">
      <text>
        <r>
          <rPr>
            <b/>
            <sz val="9"/>
            <rFont val="宋体"/>
            <charset val="134"/>
          </rPr>
          <t>Administrator:</t>
        </r>
        <r>
          <rPr>
            <sz val="9"/>
            <rFont val="宋体"/>
            <charset val="134"/>
          </rPr>
          <t xml:space="preserve">
9/11 进口商贴纸1000pcs
UPC贴纸1000pcs
</t>
        </r>
      </text>
    </comment>
    <comment ref="AI609" authorId="0">
      <text>
        <r>
          <rPr>
            <b/>
            <sz val="9"/>
            <rFont val="宋体"/>
            <charset val="134"/>
          </rPr>
          <t>Administrator:</t>
        </r>
        <r>
          <rPr>
            <sz val="9"/>
            <rFont val="宋体"/>
            <charset val="134"/>
          </rPr>
          <t xml:space="preserve">
8/8 上客供警语贴纸收藏指南624pcs
客供警语贴纸贴球底部624pcs
客供中文警告语说明书624pcs
9/8 上空白贴纸600pcs
8/8 上客供警语贴纸收藏指南504pcs
客供警语贴纸贴球底部50pcs
客供中文警告语说明书50pcs
</t>
        </r>
      </text>
    </comment>
    <comment ref="AF610" authorId="0">
      <text>
        <r>
          <rPr>
            <b/>
            <sz val="9"/>
            <rFont val="宋体"/>
            <charset val="134"/>
          </rPr>
          <t>Administrator:</t>
        </r>
        <r>
          <rPr>
            <sz val="9"/>
            <rFont val="宋体"/>
            <charset val="134"/>
          </rPr>
          <t xml:space="preserve">
5000279 9/22 1750pcs
莫4A1</t>
        </r>
      </text>
    </comment>
    <comment ref="AF611" authorId="0">
      <text>
        <r>
          <rPr>
            <b/>
            <sz val="9"/>
            <rFont val="宋体"/>
            <charset val="134"/>
          </rPr>
          <t>Administrator:</t>
        </r>
        <r>
          <rPr>
            <sz val="9"/>
            <rFont val="宋体"/>
            <charset val="134"/>
          </rPr>
          <t xml:space="preserve">
5000329 9/22 13050pcs
莫4A2</t>
        </r>
      </text>
    </comment>
    <comment ref="AI611" authorId="0">
      <text>
        <r>
          <rPr>
            <b/>
            <sz val="9"/>
            <rFont val="宋体"/>
            <charset val="134"/>
          </rPr>
          <t>Administrator:</t>
        </r>
        <r>
          <rPr>
            <sz val="9"/>
            <rFont val="宋体"/>
            <charset val="134"/>
          </rPr>
          <t xml:space="preserve">
9/5 客供外箱条码贴纸 527pcs
</t>
        </r>
      </text>
    </comment>
    <comment ref="AF612" authorId="0">
      <text>
        <r>
          <rPr>
            <b/>
            <sz val="9"/>
            <rFont val="宋体"/>
            <charset val="134"/>
          </rPr>
          <t>Administrator:</t>
        </r>
        <r>
          <rPr>
            <sz val="9"/>
            <rFont val="宋体"/>
            <charset val="134"/>
          </rPr>
          <t xml:space="preserve">
5000332 9/22 6750pcs莫4B3
5000336 9/23 13900pcs莫4B2</t>
        </r>
      </text>
    </comment>
    <comment ref="AI612" authorId="0">
      <text>
        <r>
          <rPr>
            <b/>
            <sz val="9"/>
            <rFont val="宋体"/>
            <charset val="134"/>
          </rPr>
          <t>Administrator:</t>
        </r>
        <r>
          <rPr>
            <sz val="9"/>
            <rFont val="宋体"/>
            <charset val="134"/>
          </rPr>
          <t xml:space="preserve">
9/5 客供外箱条码贴纸834pcs
</t>
        </r>
      </text>
    </comment>
    <comment ref="AF613" authorId="0">
      <text>
        <r>
          <rPr>
            <b/>
            <sz val="9"/>
            <rFont val="宋体"/>
            <charset val="134"/>
          </rPr>
          <t>Administrator:</t>
        </r>
        <r>
          <rPr>
            <sz val="9"/>
            <rFont val="宋体"/>
            <charset val="134"/>
          </rPr>
          <t xml:space="preserve">
5000336 9/23 2300pcs莫4B4</t>
        </r>
      </text>
    </comment>
    <comment ref="AI613" authorId="0">
      <text>
        <r>
          <rPr>
            <b/>
            <sz val="9"/>
            <rFont val="宋体"/>
            <charset val="134"/>
          </rPr>
          <t>Administrator:</t>
        </r>
        <r>
          <rPr>
            <sz val="9"/>
            <rFont val="宋体"/>
            <charset val="134"/>
          </rPr>
          <t xml:space="preserve">
9/2 UPC贴纸 2300pcs
</t>
        </r>
      </text>
    </comment>
    <comment ref="AF614" authorId="0">
      <text>
        <r>
          <rPr>
            <b/>
            <sz val="9"/>
            <rFont val="宋体"/>
            <charset val="134"/>
          </rPr>
          <t>Administrator:</t>
        </r>
        <r>
          <rPr>
            <sz val="9"/>
            <rFont val="宋体"/>
            <charset val="134"/>
          </rPr>
          <t xml:space="preserve">
5000329 9/22 750pcs莫4B1</t>
        </r>
      </text>
    </comment>
    <comment ref="AI614" authorId="0">
      <text>
        <r>
          <rPr>
            <b/>
            <sz val="9"/>
            <rFont val="宋体"/>
            <charset val="134"/>
          </rPr>
          <t>Administrator:</t>
        </r>
        <r>
          <rPr>
            <sz val="9"/>
            <rFont val="宋体"/>
            <charset val="134"/>
          </rPr>
          <t xml:space="preserve">
9/2 UPC贴纸 750pcs</t>
        </r>
      </text>
    </comment>
    <comment ref="AF615" authorId="0">
      <text>
        <r>
          <rPr>
            <b/>
            <sz val="9"/>
            <rFont val="宋体"/>
            <charset val="134"/>
          </rPr>
          <t>Administrator:</t>
        </r>
        <r>
          <rPr>
            <sz val="9"/>
            <rFont val="宋体"/>
            <charset val="134"/>
          </rPr>
          <t xml:space="preserve">
5000340 9/24 7000pcs莫4B4</t>
        </r>
      </text>
    </comment>
    <comment ref="AI615" authorId="0">
      <text>
        <r>
          <rPr>
            <b/>
            <sz val="9"/>
            <rFont val="宋体"/>
            <charset val="134"/>
          </rPr>
          <t>Administrator:</t>
        </r>
        <r>
          <rPr>
            <sz val="9"/>
            <rFont val="宋体"/>
            <charset val="134"/>
          </rPr>
          <t xml:space="preserve">
9/8 冰棒款-说明书荷兰语贴纸 7000pcs
9/8 蛋糕款-说明书荷兰语贴纸 7000pcs
9/8 丁款-说明书荷兰语贴纸 7000pcs</t>
        </r>
      </text>
    </comment>
    <comment ref="AF616" authorId="0">
      <text>
        <r>
          <rPr>
            <b/>
            <sz val="9"/>
            <rFont val="宋体"/>
            <charset val="134"/>
          </rPr>
          <t>Administrator:</t>
        </r>
        <r>
          <rPr>
            <sz val="9"/>
            <rFont val="宋体"/>
            <charset val="134"/>
          </rPr>
          <t xml:space="preserve">
5000340 9/24 10000pcs莫4B4</t>
        </r>
      </text>
    </comment>
    <comment ref="AI616" authorId="0">
      <text>
        <r>
          <rPr>
            <b/>
            <sz val="9"/>
            <rFont val="宋体"/>
            <charset val="134"/>
          </rPr>
          <t>Administrator:</t>
        </r>
        <r>
          <rPr>
            <sz val="9"/>
            <rFont val="宋体"/>
            <charset val="134"/>
          </rPr>
          <t xml:space="preserve">
Administrator:
9/8 冰棒款-说明书荷兰语贴纸 10000pcs
9/8 蛋糕款-说明书荷兰语贴纸 10000pcs
9/8 丁款-说明书荷兰语贴纸 10000pcs
</t>
        </r>
      </text>
    </comment>
    <comment ref="AF617" authorId="0">
      <text>
        <r>
          <rPr>
            <b/>
            <sz val="9"/>
            <rFont val="宋体"/>
            <charset val="134"/>
          </rPr>
          <t>Administrator:</t>
        </r>
        <r>
          <rPr>
            <sz val="9"/>
            <rFont val="宋体"/>
            <charset val="134"/>
          </rPr>
          <t xml:space="preserve">
5000329 9/22 14000pcs
莫4A1</t>
        </r>
      </text>
    </comment>
    <comment ref="AI617" authorId="0">
      <text>
        <r>
          <rPr>
            <b/>
            <sz val="9"/>
            <rFont val="宋体"/>
            <charset val="134"/>
          </rPr>
          <t>Administrator:</t>
        </r>
        <r>
          <rPr>
            <sz val="9"/>
            <rFont val="宋体"/>
            <charset val="134"/>
          </rPr>
          <t xml:space="preserve">
9/8 进口商贴纸 14000pcs
9/8 UPC贴纸 14000pcs
9/13 外箱贴纸280pcs</t>
        </r>
      </text>
    </comment>
    <comment ref="AI618" authorId="0">
      <text>
        <r>
          <rPr>
            <b/>
            <sz val="9"/>
            <rFont val="宋体"/>
            <charset val="134"/>
          </rPr>
          <t>Administrator:</t>
        </r>
        <r>
          <rPr>
            <sz val="9"/>
            <rFont val="宋体"/>
            <charset val="134"/>
          </rPr>
          <t xml:space="preserve">
8/1 上收缩膜 +说明书 纽扣电池警告语贴纸300pcs
8/1 上收缩膜 +说明书 纽扣电池警告语贴纸300pcs
9/18 上KM单外箱贴纸25pcs
</t>
        </r>
      </text>
    </comment>
    <comment ref="AI619" authorId="0">
      <text>
        <r>
          <rPr>
            <b/>
            <sz val="9"/>
            <rFont val="宋体"/>
            <charset val="134"/>
          </rPr>
          <t>Administrator:</t>
        </r>
        <r>
          <rPr>
            <sz val="9"/>
            <rFont val="宋体"/>
            <charset val="134"/>
          </rPr>
          <t xml:space="preserve">
8/1 上收缩膜 +说明书 纽扣电池警告语贴纸2700pcs
8/1 上收缩膜 +说明书 纽扣电池警告语贴纸2700pcs
9/18 上KM单外箱贴纸225pcs
</t>
        </r>
      </text>
    </comment>
    <comment ref="AF620" authorId="0">
      <text>
        <r>
          <rPr>
            <b/>
            <sz val="9"/>
            <rFont val="宋体"/>
            <charset val="134"/>
          </rPr>
          <t>Administrator:</t>
        </r>
        <r>
          <rPr>
            <sz val="9"/>
            <rFont val="宋体"/>
            <charset val="134"/>
          </rPr>
          <t xml:space="preserve">
5000340 9/24 2236pcs莫4C4</t>
        </r>
      </text>
    </comment>
    <comment ref="AI620" authorId="0">
      <text>
        <r>
          <rPr>
            <b/>
            <sz val="9"/>
            <rFont val="宋体"/>
            <charset val="134"/>
          </rPr>
          <t>Administrator:</t>
        </r>
        <r>
          <rPr>
            <sz val="9"/>
            <rFont val="宋体"/>
            <charset val="134"/>
          </rPr>
          <t xml:space="preserve">
9/2 UPC条码贴 2353pcs
9/8 上白色防盗贴纸2236pcs
9/18 上KM单外箱贴纸172pcs</t>
        </r>
      </text>
    </comment>
    <comment ref="AF621" authorId="0">
      <text>
        <r>
          <rPr>
            <b/>
            <sz val="9"/>
            <rFont val="宋体"/>
            <charset val="134"/>
          </rPr>
          <t>Administrator:</t>
        </r>
        <r>
          <rPr>
            <sz val="9"/>
            <rFont val="宋体"/>
            <charset val="134"/>
          </rPr>
          <t xml:space="preserve">
5000340 9/24 117pcs莫4C4</t>
        </r>
      </text>
    </comment>
    <comment ref="AI621" authorId="0">
      <text>
        <r>
          <rPr>
            <b/>
            <sz val="9"/>
            <rFont val="宋体"/>
            <charset val="134"/>
          </rPr>
          <t>Administrator:</t>
        </r>
        <r>
          <rPr>
            <sz val="9"/>
            <rFont val="宋体"/>
            <charset val="134"/>
          </rPr>
          <t xml:space="preserve">
9/8 上白色防盗贴纸117pcs
9/18 上KM单外箱贴纸9pcs
</t>
        </r>
      </text>
    </comment>
    <comment ref="AF622" authorId="0">
      <text>
        <r>
          <rPr>
            <b/>
            <sz val="9"/>
            <rFont val="宋体"/>
            <charset val="134"/>
          </rPr>
          <t>Administrator:</t>
        </r>
        <r>
          <rPr>
            <sz val="9"/>
            <rFont val="宋体"/>
            <charset val="134"/>
          </rPr>
          <t xml:space="preserve">
5000329 9/22 5460pcs
莫4B3
5000332 9/22 4680pcs莫4B3</t>
        </r>
      </text>
    </comment>
    <comment ref="AI622" authorId="0">
      <text>
        <r>
          <rPr>
            <b/>
            <sz val="9"/>
            <rFont val="宋体"/>
            <charset val="134"/>
          </rPr>
          <t>Administrator:</t>
        </r>
        <r>
          <rPr>
            <sz val="9"/>
            <rFont val="宋体"/>
            <charset val="134"/>
          </rPr>
          <t xml:space="preserve">
9/5 客人EAN条码贴纸 10140pcs
9/20 上PDQ数量贴纸2535pcs</t>
        </r>
      </text>
    </comment>
    <comment ref="AF623" authorId="0">
      <text>
        <r>
          <rPr>
            <b/>
            <sz val="9"/>
            <rFont val="宋体"/>
            <charset val="134"/>
          </rPr>
          <t>Administrator:</t>
        </r>
        <r>
          <rPr>
            <sz val="9"/>
            <rFont val="宋体"/>
            <charset val="134"/>
          </rPr>
          <t xml:space="preserve">
5000279 9/22 2250pcs莫4B1</t>
        </r>
      </text>
    </comment>
    <comment ref="AI623" authorId="0">
      <text>
        <r>
          <rPr>
            <b/>
            <sz val="9"/>
            <rFont val="宋体"/>
            <charset val="134"/>
          </rPr>
          <t>Administrator:</t>
        </r>
        <r>
          <rPr>
            <sz val="9"/>
            <rFont val="宋体"/>
            <charset val="134"/>
          </rPr>
          <t xml:space="preserve">
9/5 客户警语贴纸2250pcs</t>
        </r>
      </text>
    </comment>
    <comment ref="AF624" authorId="0">
      <text>
        <r>
          <rPr>
            <b/>
            <sz val="9"/>
            <rFont val="宋体"/>
            <charset val="134"/>
          </rPr>
          <t>Administrator:</t>
        </r>
        <r>
          <rPr>
            <sz val="9"/>
            <rFont val="宋体"/>
            <charset val="134"/>
          </rPr>
          <t xml:space="preserve">
5000319 9/23 25648pcs
华3A11
5000317 9/23 8960pcs华3A11</t>
        </r>
      </text>
    </comment>
    <comment ref="AI624" authorId="0">
      <text>
        <r>
          <rPr>
            <b/>
            <sz val="9"/>
            <rFont val="宋体"/>
            <charset val="134"/>
          </rPr>
          <t>Administrator:</t>
        </r>
        <r>
          <rPr>
            <sz val="9"/>
            <rFont val="宋体"/>
            <charset val="134"/>
          </rPr>
          <t xml:space="preserve">
9/9 上客供RFID贴纸34608pcs
</t>
        </r>
      </text>
    </comment>
    <comment ref="AF625" authorId="0">
      <text>
        <r>
          <rPr>
            <b/>
            <sz val="9"/>
            <rFont val="宋体"/>
            <charset val="134"/>
          </rPr>
          <t>Administrator:</t>
        </r>
        <r>
          <rPr>
            <sz val="9"/>
            <rFont val="宋体"/>
            <charset val="134"/>
          </rPr>
          <t xml:space="preserve">
5000317 9/23 14992pcs华3B11</t>
        </r>
      </text>
    </comment>
    <comment ref="AI625" authorId="0">
      <text>
        <r>
          <rPr>
            <b/>
            <sz val="9"/>
            <rFont val="宋体"/>
            <charset val="134"/>
          </rPr>
          <t>Administrator:</t>
        </r>
        <r>
          <rPr>
            <sz val="9"/>
            <rFont val="宋体"/>
            <charset val="134"/>
          </rPr>
          <t xml:space="preserve">
9/9 上客供RFID贴纸14992pcs
</t>
        </r>
      </text>
    </comment>
    <comment ref="AF626" authorId="0">
      <text>
        <r>
          <rPr>
            <b/>
            <sz val="9"/>
            <rFont val="宋体"/>
            <charset val="134"/>
          </rPr>
          <t>Administrator:</t>
        </r>
        <r>
          <rPr>
            <sz val="9"/>
            <rFont val="宋体"/>
            <charset val="134"/>
          </rPr>
          <t xml:space="preserve">
5000317 9/23 15824pcs
华3A20</t>
        </r>
      </text>
    </comment>
    <comment ref="AI626" authorId="0">
      <text>
        <r>
          <rPr>
            <b/>
            <sz val="9"/>
            <rFont val="宋体"/>
            <charset val="134"/>
          </rPr>
          <t>Administrator:</t>
        </r>
        <r>
          <rPr>
            <sz val="9"/>
            <rFont val="宋体"/>
            <charset val="134"/>
          </rPr>
          <t xml:space="preserve">
9/9 上客供RFID贴纸15824pcs
</t>
        </r>
      </text>
    </comment>
    <comment ref="AF627" authorId="0">
      <text>
        <r>
          <rPr>
            <b/>
            <sz val="9"/>
            <rFont val="宋体"/>
            <charset val="134"/>
          </rPr>
          <t>Administrator:</t>
        </r>
        <r>
          <rPr>
            <sz val="9"/>
            <rFont val="宋体"/>
            <charset val="134"/>
          </rPr>
          <t xml:space="preserve">
5000319 9/23 22144pcs华3A9-B4</t>
        </r>
      </text>
    </comment>
    <comment ref="AI627" authorId="0">
      <text>
        <r>
          <rPr>
            <b/>
            <sz val="9"/>
            <rFont val="宋体"/>
            <charset val="134"/>
          </rPr>
          <t>Administrator:</t>
        </r>
        <r>
          <rPr>
            <sz val="9"/>
            <rFont val="宋体"/>
            <charset val="134"/>
          </rPr>
          <t xml:space="preserve">
9/9 上客供RFID贴纸22144pcs
</t>
        </r>
      </text>
    </comment>
    <comment ref="AF628" authorId="0">
      <text>
        <r>
          <rPr>
            <b/>
            <sz val="9"/>
            <rFont val="宋体"/>
            <charset val="134"/>
          </rPr>
          <t>Administrator:</t>
        </r>
        <r>
          <rPr>
            <sz val="9"/>
            <rFont val="宋体"/>
            <charset val="134"/>
          </rPr>
          <t xml:space="preserve">
5000317 9/23 31744pcs华3B</t>
        </r>
      </text>
    </comment>
    <comment ref="AI628" authorId="0">
      <text>
        <r>
          <rPr>
            <b/>
            <sz val="9"/>
            <rFont val="宋体"/>
            <charset val="134"/>
          </rPr>
          <t>Administrator:</t>
        </r>
        <r>
          <rPr>
            <sz val="9"/>
            <rFont val="宋体"/>
            <charset val="134"/>
          </rPr>
          <t xml:space="preserve">
9/9 上客供RFID贴纸31744pcs
</t>
        </r>
      </text>
    </comment>
    <comment ref="AF634" authorId="0">
      <text>
        <r>
          <rPr>
            <b/>
            <sz val="9"/>
            <rFont val="宋体"/>
            <charset val="134"/>
          </rPr>
          <t>Administrator:</t>
        </r>
        <r>
          <rPr>
            <sz val="9"/>
            <rFont val="宋体"/>
            <charset val="134"/>
          </rPr>
          <t xml:space="preserve">
1200354 11/10 5000pcs
直走</t>
        </r>
      </text>
    </comment>
    <comment ref="AI634" authorId="0">
      <text>
        <r>
          <rPr>
            <b/>
            <sz val="9"/>
            <rFont val="宋体"/>
            <charset val="134"/>
          </rPr>
          <t>Administrator:</t>
        </r>
        <r>
          <rPr>
            <sz val="9"/>
            <rFont val="宋体"/>
            <charset val="134"/>
          </rPr>
          <t xml:space="preserve">
9/20 上冰棒说明书荷兰语贴纸5000pcs
蛋糕说明书荷兰语贴纸5000pcs
布丁说明书荷兰语贴纸5000pcs</t>
        </r>
      </text>
    </comment>
    <comment ref="AF637" authorId="0">
      <text>
        <r>
          <rPr>
            <b/>
            <sz val="9"/>
            <rFont val="宋体"/>
            <charset val="134"/>
          </rPr>
          <t>Administrator:</t>
        </r>
        <r>
          <rPr>
            <sz val="9"/>
            <rFont val="宋体"/>
            <charset val="134"/>
          </rPr>
          <t xml:space="preserve">
5000458 9/30 1248pcs</t>
        </r>
      </text>
    </comment>
    <comment ref="AI637" authorId="0">
      <text>
        <r>
          <rPr>
            <b/>
            <sz val="9"/>
            <rFont val="宋体"/>
            <charset val="134"/>
          </rPr>
          <t>Administrator:</t>
        </r>
        <r>
          <rPr>
            <sz val="9"/>
            <rFont val="宋体"/>
            <charset val="134"/>
          </rPr>
          <t xml:space="preserve">
9/13 上UVGLUE LABLE贴纸2496pcs</t>
        </r>
      </text>
    </comment>
    <comment ref="AI638" authorId="0">
      <text>
        <r>
          <rPr>
            <b/>
            <sz val="9"/>
            <rFont val="宋体"/>
            <charset val="134"/>
          </rPr>
          <t>Administrator:</t>
        </r>
        <r>
          <rPr>
            <sz val="9"/>
            <rFont val="宋体"/>
            <charset val="134"/>
          </rPr>
          <t xml:space="preserve">
9/11 上进口商贴纸1800pcs
UPC贴纸1800pcs
下面收藏指南贴纸1800pcs
背面收藏指南贴纸1800pcs</t>
        </r>
      </text>
    </comment>
    <comment ref="AF639" authorId="0">
      <text>
        <r>
          <rPr>
            <b/>
            <sz val="9"/>
            <rFont val="宋体"/>
            <charset val="134"/>
          </rPr>
          <t>Administrator:</t>
        </r>
        <r>
          <rPr>
            <sz val="9"/>
            <rFont val="宋体"/>
            <charset val="134"/>
          </rPr>
          <t xml:space="preserve">
5000360 9/25 39375pcs
华3A31
5000370 9/26 15625pcs华3A29</t>
        </r>
      </text>
    </comment>
    <comment ref="AF640" authorId="0">
      <text>
        <r>
          <rPr>
            <b/>
            <sz val="9"/>
            <rFont val="宋体"/>
            <charset val="134"/>
          </rPr>
          <t>Administrator:</t>
        </r>
        <r>
          <rPr>
            <sz val="9"/>
            <rFont val="宋体"/>
            <charset val="134"/>
          </rPr>
          <t xml:space="preserve">
5000354 9/25 16500pcs
华3A28
5000360 9/25 1475pcs华3A28</t>
        </r>
      </text>
    </comment>
    <comment ref="AI640" authorId="0">
      <text>
        <r>
          <rPr>
            <b/>
            <sz val="9"/>
            <rFont val="宋体"/>
            <charset val="134"/>
          </rPr>
          <t>Administrator:</t>
        </r>
        <r>
          <rPr>
            <sz val="9"/>
            <rFont val="宋体"/>
            <charset val="134"/>
          </rPr>
          <t xml:space="preserve">
9/12 上客供外箱条码贴纸726pcs</t>
        </r>
      </text>
    </comment>
    <comment ref="AF641" authorId="0">
      <text>
        <r>
          <rPr>
            <b/>
            <sz val="9"/>
            <rFont val="宋体"/>
            <charset val="134"/>
          </rPr>
          <t>Administrator:</t>
        </r>
        <r>
          <rPr>
            <sz val="9"/>
            <rFont val="宋体"/>
            <charset val="134"/>
          </rPr>
          <t xml:space="preserve">
5000340 9/24 10608pcs
华
5000322 9/24 12096pcs
华3A10
5000319 9/23 10304pcs华3A10</t>
        </r>
      </text>
    </comment>
    <comment ref="AI641" authorId="0">
      <text>
        <r>
          <rPr>
            <b/>
            <sz val="9"/>
            <rFont val="宋体"/>
            <charset val="134"/>
          </rPr>
          <t>Administrator:</t>
        </r>
        <r>
          <rPr>
            <sz val="9"/>
            <rFont val="宋体"/>
            <charset val="134"/>
          </rPr>
          <t xml:space="preserve">
9/9 上客供RFID贴纸33008pcs
</t>
        </r>
      </text>
    </comment>
    <comment ref="AF642" authorId="0">
      <text>
        <r>
          <rPr>
            <b/>
            <sz val="9"/>
            <rFont val="宋体"/>
            <charset val="134"/>
          </rPr>
          <t>Administrator:</t>
        </r>
        <r>
          <rPr>
            <sz val="9"/>
            <rFont val="宋体"/>
            <charset val="134"/>
          </rPr>
          <t xml:space="preserve">
5000458 9/30 2000pcs</t>
        </r>
      </text>
    </comment>
    <comment ref="AI642" authorId="0">
      <text>
        <r>
          <rPr>
            <b/>
            <sz val="9"/>
            <rFont val="宋体"/>
            <charset val="134"/>
          </rPr>
          <t>Administrator:</t>
        </r>
        <r>
          <rPr>
            <sz val="9"/>
            <rFont val="宋体"/>
            <charset val="134"/>
          </rPr>
          <t xml:space="preserve">
9/13 上警告语/进口商贴纸2000pcs
1语警告语贴纸6000ｐｃｓ
2语警告语贴纸2000ｐｃｓ
9/23 上警告语贴纸15000pcs与78665PO一起共用</t>
        </r>
      </text>
    </comment>
    <comment ref="AF643" authorId="0">
      <text>
        <r>
          <rPr>
            <b/>
            <sz val="9"/>
            <rFont val="宋体"/>
            <charset val="134"/>
          </rPr>
          <t>Administrator:</t>
        </r>
        <r>
          <rPr>
            <sz val="9"/>
            <rFont val="宋体"/>
            <charset val="134"/>
          </rPr>
          <t xml:space="preserve">
5000458 9/30 5975pcs
5000452 10/8 25pcs
</t>
        </r>
      </text>
    </comment>
    <comment ref="AF644" authorId="0">
      <text>
        <r>
          <rPr>
            <b/>
            <sz val="9"/>
            <rFont val="宋体"/>
            <charset val="134"/>
          </rPr>
          <t>Administrator:</t>
        </r>
        <r>
          <rPr>
            <sz val="9"/>
            <rFont val="宋体"/>
            <charset val="134"/>
          </rPr>
          <t xml:space="preserve">
5000458 9/30 156pcs</t>
        </r>
      </text>
    </comment>
    <comment ref="AI644" authorId="0">
      <text>
        <r>
          <rPr>
            <b/>
            <sz val="9"/>
            <rFont val="宋体"/>
            <charset val="134"/>
          </rPr>
          <t>Administrator:</t>
        </r>
        <r>
          <rPr>
            <sz val="9"/>
            <rFont val="宋体"/>
            <charset val="134"/>
          </rPr>
          <t xml:space="preserve">
9/8 上白色防盗贴纸156pcs
9/16 上UPC条码贴纸156ｐｃｓ
9/26 上KM单外箱贴纸12pcs
</t>
        </r>
      </text>
    </comment>
    <comment ref="AF645" authorId="0">
      <text>
        <r>
          <rPr>
            <b/>
            <sz val="9"/>
            <rFont val="宋体"/>
            <charset val="134"/>
          </rPr>
          <t>Administrator:</t>
        </r>
        <r>
          <rPr>
            <sz val="9"/>
            <rFont val="宋体"/>
            <charset val="134"/>
          </rPr>
          <t xml:space="preserve">
5000448 9/30 6916pcs
莫4B7</t>
        </r>
      </text>
    </comment>
    <comment ref="AI645" authorId="0">
      <text>
        <r>
          <rPr>
            <b/>
            <sz val="9"/>
            <rFont val="宋体"/>
            <charset val="134"/>
          </rPr>
          <t>Administrator:</t>
        </r>
        <r>
          <rPr>
            <sz val="9"/>
            <rFont val="宋体"/>
            <charset val="134"/>
          </rPr>
          <t xml:space="preserve">
9/8 上白色防盗贴纸6916pcs
9/16 上UPC条码贴纸6916ｐｃｓ
9/26 上KM单外箱贴纸532pcs</t>
        </r>
      </text>
    </comment>
    <comment ref="AF646" authorId="0">
      <text>
        <r>
          <rPr>
            <b/>
            <sz val="9"/>
            <rFont val="宋体"/>
            <charset val="134"/>
          </rPr>
          <t>Administrator:</t>
        </r>
        <r>
          <rPr>
            <sz val="9"/>
            <rFont val="宋体"/>
            <charset val="134"/>
          </rPr>
          <t xml:space="preserve">
5000448 9/30 8788pcs莫4B4
5000452 10/8 13pcs
</t>
        </r>
      </text>
    </comment>
    <comment ref="AF647" authorId="0">
      <text>
        <r>
          <rPr>
            <b/>
            <sz val="9"/>
            <rFont val="宋体"/>
            <charset val="134"/>
          </rPr>
          <t>Administrator:</t>
        </r>
        <r>
          <rPr>
            <sz val="9"/>
            <rFont val="宋体"/>
            <charset val="134"/>
          </rPr>
          <t xml:space="preserve">
5000435 9/30 500pcs</t>
        </r>
      </text>
    </comment>
    <comment ref="AI647" authorId="0">
      <text>
        <r>
          <rPr>
            <b/>
            <sz val="9"/>
            <rFont val="宋体"/>
            <charset val="134"/>
          </rPr>
          <t>Administrator:</t>
        </r>
        <r>
          <rPr>
            <sz val="9"/>
            <rFont val="宋体"/>
            <charset val="134"/>
          </rPr>
          <t xml:space="preserve">
9/11 进口商贴纸500pcs
</t>
        </r>
      </text>
    </comment>
    <comment ref="AF648" authorId="0">
      <text>
        <r>
          <rPr>
            <b/>
            <sz val="9"/>
            <rFont val="宋体"/>
            <charset val="134"/>
          </rPr>
          <t>Administrator:</t>
        </r>
        <r>
          <rPr>
            <sz val="9"/>
            <rFont val="宋体"/>
            <charset val="134"/>
          </rPr>
          <t xml:space="preserve">
5000458 9/30 1800pcs
5000448 10/7 1175pcs华兴3A15
5000452 10/8 25pcs</t>
        </r>
      </text>
    </comment>
    <comment ref="AI648" authorId="0">
      <text>
        <r>
          <rPr>
            <b/>
            <sz val="9"/>
            <rFont val="宋体"/>
            <charset val="134"/>
          </rPr>
          <t>Administrator:</t>
        </r>
        <r>
          <rPr>
            <sz val="9"/>
            <rFont val="宋体"/>
            <charset val="134"/>
          </rPr>
          <t xml:space="preserve">
9/16 上客人通用进口商贴纸3000ｐｃｓ
通用UPC条码贴纸3000ｐｃｓ</t>
        </r>
      </text>
    </comment>
    <comment ref="AF649" authorId="0">
      <text>
        <r>
          <rPr>
            <b/>
            <sz val="9"/>
            <rFont val="宋体"/>
            <charset val="134"/>
          </rPr>
          <t>Administrator:</t>
        </r>
        <r>
          <rPr>
            <sz val="9"/>
            <rFont val="宋体"/>
            <charset val="134"/>
          </rPr>
          <t xml:space="preserve">
5000487 10/10 160pcs华3B16
</t>
        </r>
      </text>
    </comment>
    <comment ref="AI649" authorId="0">
      <text>
        <r>
          <rPr>
            <b/>
            <sz val="9"/>
            <rFont val="宋体"/>
            <charset val="134"/>
          </rPr>
          <t>Administrator:</t>
        </r>
        <r>
          <rPr>
            <sz val="9"/>
            <rFont val="宋体"/>
            <charset val="134"/>
          </rPr>
          <t xml:space="preserve">
9/16 上UPC贴纸3000ｐｃｓ
三个同PO共用</t>
        </r>
      </text>
    </comment>
    <comment ref="AF650" authorId="0">
      <text>
        <r>
          <rPr>
            <b/>
            <sz val="9"/>
            <rFont val="宋体"/>
            <charset val="134"/>
          </rPr>
          <t>Administrator:</t>
        </r>
        <r>
          <rPr>
            <sz val="9"/>
            <rFont val="宋体"/>
            <charset val="134"/>
          </rPr>
          <t xml:space="preserve">
5000487 10/10 1200pcs华3B16</t>
        </r>
      </text>
    </comment>
    <comment ref="AF651" authorId="0">
      <text>
        <r>
          <rPr>
            <b/>
            <sz val="9"/>
            <rFont val="宋体"/>
            <charset val="134"/>
          </rPr>
          <t>Administrator:</t>
        </r>
        <r>
          <rPr>
            <sz val="9"/>
            <rFont val="宋体"/>
            <charset val="134"/>
          </rPr>
          <t xml:space="preserve">
5000487 10/10 1200pcs华3B16</t>
        </r>
      </text>
    </comment>
    <comment ref="AF652" authorId="0">
      <text>
        <r>
          <rPr>
            <b/>
            <sz val="9"/>
            <rFont val="宋体"/>
            <charset val="134"/>
          </rPr>
          <t>Administrator:</t>
        </r>
        <r>
          <rPr>
            <sz val="9"/>
            <rFont val="宋体"/>
            <charset val="134"/>
          </rPr>
          <t xml:space="preserve">
5000487 10/10 1000pcs华3B145</t>
        </r>
      </text>
    </comment>
    <comment ref="AI652" authorId="0">
      <text>
        <r>
          <rPr>
            <b/>
            <sz val="9"/>
            <rFont val="宋体"/>
            <charset val="134"/>
          </rPr>
          <t>Administrator:</t>
        </r>
        <r>
          <rPr>
            <sz val="9"/>
            <rFont val="宋体"/>
            <charset val="134"/>
          </rPr>
          <t xml:space="preserve">
9/13 上警告语/进口商贴纸1000pcs
1语警告语贴纸2000ｐｃｓ
2语警告语贴纸1000ｐｃｓ
9/23 上警告语贴纸15000pcs与78665PO一起共用
</t>
        </r>
      </text>
    </comment>
    <comment ref="AF653" authorId="0">
      <text>
        <r>
          <rPr>
            <b/>
            <sz val="9"/>
            <rFont val="宋体"/>
            <charset val="134"/>
          </rPr>
          <t>Administrator:</t>
        </r>
        <r>
          <rPr>
            <sz val="9"/>
            <rFont val="宋体"/>
            <charset val="134"/>
          </rPr>
          <t xml:space="preserve">
5000487 10/10 4030pcs华3B15</t>
        </r>
      </text>
    </comment>
    <comment ref="AF654" authorId="0">
      <text>
        <r>
          <rPr>
            <b/>
            <sz val="9"/>
            <rFont val="宋体"/>
            <charset val="134"/>
          </rPr>
          <t>Administrator:</t>
        </r>
        <r>
          <rPr>
            <sz val="9"/>
            <rFont val="宋体"/>
            <charset val="134"/>
          </rPr>
          <t xml:space="preserve">
40009612 10/10 4760pcs
4000973 10/11 40pcs</t>
        </r>
      </text>
    </comment>
    <comment ref="AF656" authorId="0">
      <text>
        <r>
          <rPr>
            <b/>
            <sz val="9"/>
            <rFont val="宋体"/>
            <charset val="134"/>
          </rPr>
          <t>Administrator:</t>
        </r>
        <r>
          <rPr>
            <sz val="9"/>
            <rFont val="宋体"/>
            <charset val="134"/>
          </rPr>
          <t xml:space="preserve">
5000520 10/13 10450pcs华 一F5</t>
        </r>
      </text>
    </comment>
    <comment ref="AI656" authorId="0">
      <text>
        <r>
          <rPr>
            <b/>
            <sz val="9"/>
            <rFont val="宋体"/>
            <charset val="134"/>
          </rPr>
          <t>Administrator:</t>
        </r>
        <r>
          <rPr>
            <sz val="9"/>
            <rFont val="宋体"/>
            <charset val="134"/>
          </rPr>
          <t xml:space="preserve">
9/16 上PDQUPC条码贴纸418pcs</t>
        </r>
      </text>
    </comment>
    <comment ref="AF657" authorId="0">
      <text>
        <r>
          <rPr>
            <b/>
            <sz val="9"/>
            <rFont val="宋体"/>
            <charset val="134"/>
          </rPr>
          <t>Administrator:</t>
        </r>
        <r>
          <rPr>
            <sz val="9"/>
            <rFont val="宋体"/>
            <charset val="134"/>
          </rPr>
          <t xml:space="preserve">
5000008 10/13 12800pcs华一F4</t>
        </r>
      </text>
    </comment>
    <comment ref="AI657" authorId="0">
      <text>
        <r>
          <rPr>
            <b/>
            <sz val="9"/>
            <rFont val="宋体"/>
            <charset val="134"/>
          </rPr>
          <t>Administrator:</t>
        </r>
        <r>
          <rPr>
            <sz val="9"/>
            <rFont val="宋体"/>
            <charset val="134"/>
          </rPr>
          <t xml:space="preserve">
9/16 上PDQUPC条码贴纸512pcs
</t>
        </r>
      </text>
    </comment>
    <comment ref="AF658" authorId="0">
      <text>
        <r>
          <rPr>
            <b/>
            <sz val="9"/>
            <rFont val="宋体"/>
            <charset val="134"/>
          </rPr>
          <t>Administrator:</t>
        </r>
        <r>
          <rPr>
            <sz val="9"/>
            <rFont val="宋体"/>
            <charset val="134"/>
          </rPr>
          <t xml:space="preserve">
5000582 10/16 4810pcs华3B15</t>
        </r>
      </text>
    </comment>
    <comment ref="AI658" authorId="0">
      <text>
        <r>
          <rPr>
            <b/>
            <sz val="9"/>
            <rFont val="宋体"/>
            <charset val="134"/>
          </rPr>
          <t>Administrator:</t>
        </r>
        <r>
          <rPr>
            <sz val="9"/>
            <rFont val="宋体"/>
            <charset val="134"/>
          </rPr>
          <t xml:space="preserve">
9/29 上PDQ贴纸370pcs
进口商西班牙环保标贴纸4810pcs
</t>
        </r>
      </text>
    </comment>
    <comment ref="AF659" authorId="0">
      <text>
        <r>
          <rPr>
            <b/>
            <sz val="9"/>
            <rFont val="宋体"/>
            <charset val="134"/>
          </rPr>
          <t>Administrator:</t>
        </r>
        <r>
          <rPr>
            <sz val="9"/>
            <rFont val="宋体"/>
            <charset val="134"/>
          </rPr>
          <t xml:space="preserve">
用77616拆单数量15000pcs -600件</t>
        </r>
      </text>
    </comment>
    <comment ref="AF660" authorId="0">
      <text>
        <r>
          <rPr>
            <b/>
            <sz val="9"/>
            <rFont val="宋体"/>
            <charset val="134"/>
          </rPr>
          <t>Administrator:</t>
        </r>
        <r>
          <rPr>
            <sz val="9"/>
            <rFont val="宋体"/>
            <charset val="134"/>
          </rPr>
          <t xml:space="preserve">
5000604 10/17 25000pcs华3A25</t>
        </r>
      </text>
    </comment>
    <comment ref="AF661" authorId="0">
      <text>
        <r>
          <rPr>
            <b/>
            <sz val="9"/>
            <rFont val="宋体"/>
            <charset val="134"/>
          </rPr>
          <t>Administrator:</t>
        </r>
        <r>
          <rPr>
            <sz val="9"/>
            <rFont val="宋体"/>
            <charset val="134"/>
          </rPr>
          <t xml:space="preserve">
5000642 10/21 5000pcs
华3B8</t>
        </r>
      </text>
    </comment>
    <comment ref="AI661" authorId="0">
      <text>
        <r>
          <rPr>
            <b/>
            <sz val="9"/>
            <rFont val="宋体"/>
            <charset val="134"/>
          </rPr>
          <t>Administrator:</t>
        </r>
        <r>
          <rPr>
            <sz val="9"/>
            <rFont val="宋体"/>
            <charset val="134"/>
          </rPr>
          <t xml:space="preserve">
9/30 上冰棒-说明书贴纸5000ｐｃｓ
布丁-说明书贴纸5000ｐｃｓ
蛋糕-说明书贴纸5000ｐｃｓ</t>
        </r>
      </text>
    </comment>
    <comment ref="AF662" authorId="0">
      <text>
        <r>
          <rPr>
            <b/>
            <sz val="9"/>
            <rFont val="宋体"/>
            <charset val="134"/>
          </rPr>
          <t>Administrator:</t>
        </r>
        <r>
          <rPr>
            <sz val="9"/>
            <rFont val="宋体"/>
            <charset val="134"/>
          </rPr>
          <t xml:space="preserve">
5000616 10/18 504pcs
华3A32</t>
        </r>
      </text>
    </comment>
    <comment ref="AI662" authorId="0">
      <text>
        <r>
          <rPr>
            <b/>
            <sz val="9"/>
            <rFont val="宋体"/>
            <charset val="134"/>
          </rPr>
          <t>Administrator:</t>
        </r>
        <r>
          <rPr>
            <sz val="9"/>
            <rFont val="宋体"/>
            <charset val="134"/>
          </rPr>
          <t xml:space="preserve">
9/23 上客人白色贴纸504pcs</t>
        </r>
      </text>
    </comment>
    <comment ref="AF663" authorId="0">
      <text>
        <r>
          <rPr>
            <b/>
            <sz val="9"/>
            <rFont val="宋体"/>
            <charset val="134"/>
          </rPr>
          <t>Administrator:</t>
        </r>
        <r>
          <rPr>
            <sz val="9"/>
            <rFont val="宋体"/>
            <charset val="134"/>
          </rPr>
          <t xml:space="preserve">
5000616 10/18 832pcs
华3A27</t>
        </r>
      </text>
    </comment>
    <comment ref="AF664" authorId="0">
      <text>
        <r>
          <rPr>
            <b/>
            <sz val="9"/>
            <rFont val="宋体"/>
            <charset val="134"/>
          </rPr>
          <t>Administrator:</t>
        </r>
        <r>
          <rPr>
            <sz val="9"/>
            <rFont val="宋体"/>
            <charset val="134"/>
          </rPr>
          <t xml:space="preserve">
4000074 9/2 50pcs
A栋一楼</t>
        </r>
      </text>
    </comment>
    <comment ref="AF665" authorId="0">
      <text>
        <r>
          <rPr>
            <b/>
            <sz val="9"/>
            <rFont val="宋体"/>
            <charset val="134"/>
          </rPr>
          <t>Administrator:</t>
        </r>
        <r>
          <rPr>
            <sz val="9"/>
            <rFont val="宋体"/>
            <charset val="134"/>
          </rPr>
          <t xml:space="preserve">
4000074 9/2 50pcsA栋一楼</t>
        </r>
      </text>
    </comment>
    <comment ref="AF666" authorId="0">
      <text>
        <r>
          <rPr>
            <b/>
            <sz val="9"/>
            <rFont val="宋体"/>
            <charset val="134"/>
          </rPr>
          <t>Administrator:</t>
        </r>
        <r>
          <rPr>
            <sz val="9"/>
            <rFont val="宋体"/>
            <charset val="134"/>
          </rPr>
          <t xml:space="preserve">
4000475 9/10 50pcs</t>
        </r>
      </text>
    </comment>
    <comment ref="AF668" authorId="0">
      <text>
        <r>
          <rPr>
            <b/>
            <sz val="9"/>
            <rFont val="宋体"/>
            <charset val="134"/>
          </rPr>
          <t>Administrator:</t>
        </r>
        <r>
          <rPr>
            <sz val="9"/>
            <rFont val="宋体"/>
            <charset val="134"/>
          </rPr>
          <t xml:space="preserve">
5000493 10/10 50pcs兴信</t>
        </r>
      </text>
    </comment>
    <comment ref="AF669" authorId="0">
      <text>
        <r>
          <rPr>
            <b/>
            <sz val="9"/>
            <rFont val="宋体"/>
            <charset val="134"/>
          </rPr>
          <t>Administrator:</t>
        </r>
        <r>
          <rPr>
            <sz val="9"/>
            <rFont val="宋体"/>
            <charset val="134"/>
          </rPr>
          <t xml:space="preserve">
5000131 10/22 4758pcs华一F7</t>
        </r>
      </text>
    </comment>
    <comment ref="AI669" authorId="0">
      <text>
        <r>
          <rPr>
            <b/>
            <sz val="9"/>
            <rFont val="宋体"/>
            <charset val="134"/>
          </rPr>
          <t>Administrator:</t>
        </r>
        <r>
          <rPr>
            <sz val="9"/>
            <rFont val="宋体"/>
            <charset val="134"/>
          </rPr>
          <t xml:space="preserve">
8/26 上客户EAN贴纸7488pcs
PDQ数量贴纸7488pcs
两个同PO共用</t>
        </r>
      </text>
    </comment>
    <comment ref="AF670" authorId="0">
      <text>
        <r>
          <rPr>
            <b/>
            <sz val="9"/>
            <rFont val="宋体"/>
            <charset val="134"/>
          </rPr>
          <t>Administrator:</t>
        </r>
        <r>
          <rPr>
            <sz val="9"/>
            <rFont val="宋体"/>
            <charset val="134"/>
          </rPr>
          <t xml:space="preserve">
5000131 10/22 2730pcs
华一F7</t>
        </r>
      </text>
    </comment>
    <comment ref="AF671" authorId="0">
      <text>
        <r>
          <rPr>
            <b/>
            <sz val="9"/>
            <rFont val="宋体"/>
            <charset val="134"/>
          </rPr>
          <t>Administrator:</t>
        </r>
        <r>
          <rPr>
            <sz val="9"/>
            <rFont val="宋体"/>
            <charset val="134"/>
          </rPr>
          <t xml:space="preserve">
5000135 10/22 65pcs华3B13</t>
        </r>
      </text>
    </comment>
    <comment ref="AI671" authorId="0">
      <text>
        <r>
          <rPr>
            <b/>
            <sz val="9"/>
            <rFont val="宋体"/>
            <charset val="134"/>
          </rPr>
          <t>Administrator:</t>
        </r>
        <r>
          <rPr>
            <sz val="9"/>
            <rFont val="宋体"/>
            <charset val="134"/>
          </rPr>
          <t xml:space="preserve">
9/30 上UPC条码贴纸65pcs
10/8 上白色防盗贴纸65pcs
10/13 上KM单外箱贴纸5pcs
</t>
        </r>
      </text>
    </comment>
    <comment ref="AF672" authorId="0">
      <text>
        <r>
          <rPr>
            <b/>
            <sz val="9"/>
            <rFont val="宋体"/>
            <charset val="134"/>
          </rPr>
          <t>Administrator:</t>
        </r>
        <r>
          <rPr>
            <sz val="9"/>
            <rFont val="宋体"/>
            <charset val="134"/>
          </rPr>
          <t xml:space="preserve">
5000135 10/22 403pcs
华3B13</t>
        </r>
      </text>
    </comment>
    <comment ref="AI672" authorId="0">
      <text>
        <r>
          <rPr>
            <b/>
            <sz val="9"/>
            <rFont val="宋体"/>
            <charset val="134"/>
          </rPr>
          <t>Administrator:</t>
        </r>
        <r>
          <rPr>
            <sz val="9"/>
            <rFont val="宋体"/>
            <charset val="134"/>
          </rPr>
          <t xml:space="preserve">
9/30 上UPC条码贴纸403pcs
10/8 上白色防盗贴纸403pcs
10/13 上KM单外箱贴纸31pcs
</t>
        </r>
      </text>
    </comment>
    <comment ref="AF673" authorId="0">
      <text>
        <r>
          <rPr>
            <b/>
            <sz val="9"/>
            <rFont val="宋体"/>
            <charset val="134"/>
          </rPr>
          <t>Administrator:</t>
        </r>
        <r>
          <rPr>
            <sz val="9"/>
            <rFont val="宋体"/>
            <charset val="134"/>
          </rPr>
          <t xml:space="preserve">
5000135 10/22 1443pcs
华3B13</t>
        </r>
      </text>
    </comment>
    <comment ref="AI673" authorId="0">
      <text>
        <r>
          <rPr>
            <b/>
            <sz val="9"/>
            <rFont val="宋体"/>
            <charset val="134"/>
          </rPr>
          <t>Administrator:</t>
        </r>
        <r>
          <rPr>
            <sz val="9"/>
            <rFont val="宋体"/>
            <charset val="134"/>
          </rPr>
          <t xml:space="preserve">
9/30 上UPC条码贴纸1443pcs
10/8 上白色防盗贴纸1443pcs
10/13 上KM单外箱贴纸111pcs</t>
        </r>
      </text>
    </comment>
    <comment ref="AF674" authorId="0">
      <text>
        <r>
          <rPr>
            <b/>
            <sz val="9"/>
            <rFont val="宋体"/>
            <charset val="134"/>
          </rPr>
          <t>Administrator:</t>
        </r>
        <r>
          <rPr>
            <sz val="9"/>
            <rFont val="宋体"/>
            <charset val="134"/>
          </rPr>
          <t xml:space="preserve">
5000135 10/22 5408pcs
华3B13</t>
        </r>
      </text>
    </comment>
    <comment ref="AI674" authorId="0">
      <text>
        <r>
          <rPr>
            <b/>
            <sz val="9"/>
            <rFont val="宋体"/>
            <charset val="134"/>
          </rPr>
          <t>Administrator:</t>
        </r>
        <r>
          <rPr>
            <sz val="9"/>
            <rFont val="宋体"/>
            <charset val="134"/>
          </rPr>
          <t xml:space="preserve">
9/30 上UPC条码贴纸5408pcs
10/8 上白色防盗贴纸5408pcs
10/13 上KM单外箱贴纸416pcs
</t>
        </r>
      </text>
    </comment>
    <comment ref="AF675" authorId="0">
      <text>
        <r>
          <rPr>
            <b/>
            <sz val="9"/>
            <rFont val="宋体"/>
            <charset val="134"/>
          </rPr>
          <t>Administrator:</t>
        </r>
        <r>
          <rPr>
            <sz val="9"/>
            <rFont val="宋体"/>
            <charset val="134"/>
          </rPr>
          <t xml:space="preserve">
5000132 10/22 13572pcs华3B6</t>
        </r>
      </text>
    </comment>
    <comment ref="AF676" authorId="0">
      <text>
        <r>
          <rPr>
            <b/>
            <sz val="9"/>
            <rFont val="宋体"/>
            <charset val="134"/>
          </rPr>
          <t>Administrator:</t>
        </r>
        <r>
          <rPr>
            <sz val="9"/>
            <rFont val="宋体"/>
            <charset val="134"/>
          </rPr>
          <t xml:space="preserve">
5000487 10/10 160pcs莫4A5
5000497 10/9 10560pcs莫4A5
</t>
        </r>
      </text>
    </comment>
    <comment ref="AI676" authorId="0">
      <text>
        <r>
          <rPr>
            <b/>
            <sz val="9"/>
            <rFont val="宋体"/>
            <charset val="134"/>
          </rPr>
          <t>Administrator:</t>
        </r>
        <r>
          <rPr>
            <sz val="9"/>
            <rFont val="宋体"/>
            <charset val="134"/>
          </rPr>
          <t xml:space="preserve">
9/29 上客供RFID贴纸115360ｐｃｓ
</t>
        </r>
      </text>
    </comment>
    <comment ref="AF677" authorId="0">
      <text>
        <r>
          <rPr>
            <b/>
            <sz val="9"/>
            <rFont val="宋体"/>
            <charset val="134"/>
          </rPr>
          <t>Administrator:</t>
        </r>
        <r>
          <rPr>
            <sz val="9"/>
            <rFont val="宋体"/>
            <charset val="134"/>
          </rPr>
          <t xml:space="preserve">
5000496 10/9 13440pcs华3B11
</t>
        </r>
      </text>
    </comment>
    <comment ref="AI677" authorId="0">
      <text>
        <r>
          <rPr>
            <b/>
            <sz val="9"/>
            <rFont val="宋体"/>
            <charset val="134"/>
          </rPr>
          <t>Administrator:</t>
        </r>
        <r>
          <rPr>
            <sz val="9"/>
            <rFont val="宋体"/>
            <charset val="134"/>
          </rPr>
          <t xml:space="preserve">
9/29 上客供RFID贴纸13440ｐｃｓ
</t>
        </r>
      </text>
    </comment>
    <comment ref="AF678" authorId="0">
      <text>
        <r>
          <rPr>
            <b/>
            <sz val="9"/>
            <rFont val="宋体"/>
            <charset val="134"/>
          </rPr>
          <t>Administrator:</t>
        </r>
        <r>
          <rPr>
            <sz val="9"/>
            <rFont val="宋体"/>
            <charset val="134"/>
          </rPr>
          <t xml:space="preserve">
5000496 10/9 24000pcs华3A17
</t>
        </r>
      </text>
    </comment>
    <comment ref="AI678" authorId="0">
      <text>
        <r>
          <rPr>
            <b/>
            <sz val="9"/>
            <rFont val="宋体"/>
            <charset val="134"/>
          </rPr>
          <t>Administrator:</t>
        </r>
        <r>
          <rPr>
            <sz val="9"/>
            <rFont val="宋体"/>
            <charset val="134"/>
          </rPr>
          <t xml:space="preserve">
9/29 上客供RFID贴纸24000ｐｃｓ
</t>
        </r>
      </text>
    </comment>
    <comment ref="AF679" authorId="0">
      <text>
        <r>
          <rPr>
            <b/>
            <sz val="9"/>
            <rFont val="宋体"/>
            <charset val="134"/>
          </rPr>
          <t>Administrator:</t>
        </r>
        <r>
          <rPr>
            <sz val="9"/>
            <rFont val="宋体"/>
            <charset val="134"/>
          </rPr>
          <t xml:space="preserve">
5000497 10/9 10560pcs莫4B3</t>
        </r>
      </text>
    </comment>
    <comment ref="AI679" authorId="0">
      <text>
        <r>
          <rPr>
            <b/>
            <sz val="9"/>
            <rFont val="宋体"/>
            <charset val="134"/>
          </rPr>
          <t>Administrator:</t>
        </r>
        <r>
          <rPr>
            <sz val="9"/>
            <rFont val="宋体"/>
            <charset val="134"/>
          </rPr>
          <t xml:space="preserve">
9/29 上客供RFID贴纸10560ｐｃｓ
</t>
        </r>
      </text>
    </comment>
    <comment ref="AF680" authorId="0">
      <text>
        <r>
          <rPr>
            <b/>
            <sz val="9"/>
            <rFont val="宋体"/>
            <charset val="134"/>
          </rPr>
          <t>Administrator:</t>
        </r>
        <r>
          <rPr>
            <sz val="9"/>
            <rFont val="宋体"/>
            <charset val="134"/>
          </rPr>
          <t xml:space="preserve">
10/20 1182</t>
        </r>
      </text>
    </comment>
    <comment ref="AI680" authorId="0">
      <text>
        <r>
          <rPr>
            <b/>
            <sz val="9"/>
            <rFont val="宋体"/>
            <charset val="134"/>
          </rPr>
          <t>Administrator:</t>
        </r>
        <r>
          <rPr>
            <sz val="9"/>
            <rFont val="宋体"/>
            <charset val="134"/>
          </rPr>
          <t xml:space="preserve">
9/18 上亚马逊外箱贴纸197pcs
</t>
        </r>
      </text>
    </comment>
    <comment ref="AF681" authorId="0">
      <text>
        <r>
          <rPr>
            <b/>
            <sz val="9"/>
            <rFont val="宋体"/>
            <charset val="134"/>
          </rPr>
          <t>Administrator:</t>
        </r>
        <r>
          <rPr>
            <sz val="9"/>
            <rFont val="宋体"/>
            <charset val="134"/>
          </rPr>
          <t xml:space="preserve">
4001005 10/20 10/20 780华3A20
</t>
        </r>
      </text>
    </comment>
    <comment ref="AI681" authorId="0">
      <text>
        <r>
          <rPr>
            <b/>
            <sz val="9"/>
            <rFont val="宋体"/>
            <charset val="134"/>
          </rPr>
          <t>Administrator:</t>
        </r>
        <r>
          <rPr>
            <sz val="9"/>
            <rFont val="宋体"/>
            <charset val="134"/>
          </rPr>
          <t xml:space="preserve">
9/18 上亚马逊外箱贴纸130pcs</t>
        </r>
      </text>
    </comment>
    <comment ref="AF682" authorId="0">
      <text>
        <r>
          <rPr>
            <b/>
            <sz val="9"/>
            <rFont val="宋体"/>
            <charset val="134"/>
          </rPr>
          <t>Administrator:</t>
        </r>
        <r>
          <rPr>
            <sz val="9"/>
            <rFont val="宋体"/>
            <charset val="134"/>
          </rPr>
          <t xml:space="preserve">
10/20 720
</t>
        </r>
      </text>
    </comment>
    <comment ref="AI682" authorId="0">
      <text>
        <r>
          <rPr>
            <b/>
            <sz val="9"/>
            <rFont val="宋体"/>
            <charset val="134"/>
          </rPr>
          <t>Administrator:</t>
        </r>
        <r>
          <rPr>
            <sz val="9"/>
            <rFont val="宋体"/>
            <charset val="134"/>
          </rPr>
          <t xml:space="preserve">
9/18 上KM单外箱贴纸120pcs
</t>
        </r>
      </text>
    </comment>
    <comment ref="AF683" authorId="0">
      <text>
        <r>
          <rPr>
            <b/>
            <sz val="9"/>
            <rFont val="宋体"/>
            <charset val="134"/>
          </rPr>
          <t>Administrator:</t>
        </r>
        <r>
          <rPr>
            <sz val="9"/>
            <rFont val="宋体"/>
            <charset val="134"/>
          </rPr>
          <t xml:space="preserve">
5000487 10/10 2704pcs华3B13
5000472 10/11 104pcs华3B12</t>
        </r>
      </text>
    </comment>
    <comment ref="AI683" authorId="0">
      <text>
        <r>
          <rPr>
            <b/>
            <sz val="9"/>
            <rFont val="宋体"/>
            <charset val="134"/>
          </rPr>
          <t>Administrator:</t>
        </r>
        <r>
          <rPr>
            <sz val="9"/>
            <rFont val="宋体"/>
            <charset val="134"/>
          </rPr>
          <t xml:space="preserve">
9/23 上UPC条码贴纸2808pcs</t>
        </r>
      </text>
    </comment>
    <comment ref="AF684" authorId="0">
      <text>
        <r>
          <rPr>
            <b/>
            <sz val="9"/>
            <rFont val="宋体"/>
            <charset val="134"/>
          </rPr>
          <t>Administrator:</t>
        </r>
        <r>
          <rPr>
            <sz val="9"/>
            <rFont val="宋体"/>
            <charset val="134"/>
          </rPr>
          <t xml:space="preserve">
5000008 10/13 22700pcs
华一F9
5000543 10/14 12075pcs华一F9
5000568 10/15 50pcs华一F9</t>
        </r>
      </text>
    </comment>
    <comment ref="AI684" authorId="0">
      <text>
        <r>
          <rPr>
            <b/>
            <sz val="9"/>
            <rFont val="宋体"/>
            <charset val="134"/>
          </rPr>
          <t>Administrator:</t>
        </r>
        <r>
          <rPr>
            <sz val="9"/>
            <rFont val="宋体"/>
            <charset val="134"/>
          </rPr>
          <t xml:space="preserve">
9/23 上客供外箱条码贴纸1407pcs</t>
        </r>
      </text>
    </comment>
    <comment ref="AF685" authorId="0">
      <text>
        <r>
          <rPr>
            <b/>
            <sz val="9"/>
            <rFont val="宋体"/>
            <charset val="134"/>
          </rPr>
          <t>Administrator:</t>
        </r>
        <r>
          <rPr>
            <sz val="9"/>
            <rFont val="宋体"/>
            <charset val="134"/>
          </rPr>
          <t xml:space="preserve">
5000578 10/15 500pcs莫4-B8</t>
        </r>
      </text>
    </comment>
    <comment ref="AF686" authorId="0">
      <text>
        <r>
          <rPr>
            <b/>
            <sz val="9"/>
            <rFont val="宋体"/>
            <charset val="134"/>
          </rPr>
          <t>Administrator:</t>
        </r>
        <r>
          <rPr>
            <sz val="9"/>
            <rFont val="宋体"/>
            <charset val="134"/>
          </rPr>
          <t xml:space="preserve">
5000578 10/15 2900pcs
莫4-B1
5000611 10/18 100pcs王付键
</t>
        </r>
      </text>
    </comment>
    <comment ref="AI686" authorId="0">
      <text>
        <r>
          <rPr>
            <b/>
            <sz val="9"/>
            <rFont val="宋体"/>
            <charset val="134"/>
          </rPr>
          <t>Administrator:</t>
        </r>
        <r>
          <rPr>
            <sz val="9"/>
            <rFont val="宋体"/>
            <charset val="134"/>
          </rPr>
          <t xml:space="preserve">
9/20 上进口商贴纸3000pcs
9/29 上？UPC条码贴纸3000PCS
10/9 上条码贴纸3000pcs
</t>
        </r>
      </text>
    </comment>
    <comment ref="AF687" authorId="0">
      <text>
        <r>
          <rPr>
            <b/>
            <sz val="9"/>
            <rFont val="宋体"/>
            <charset val="134"/>
          </rPr>
          <t>Administrator:</t>
        </r>
        <r>
          <rPr>
            <sz val="9"/>
            <rFont val="宋体"/>
            <charset val="134"/>
          </rPr>
          <t xml:space="preserve">
5000556 10/15 450pcs华3B14
5000568 10/15 50pcs华3B14</t>
        </r>
      </text>
    </comment>
    <comment ref="AI687" authorId="0">
      <text>
        <r>
          <rPr>
            <b/>
            <sz val="9"/>
            <rFont val="宋体"/>
            <charset val="134"/>
          </rPr>
          <t>Administrator:</t>
        </r>
        <r>
          <rPr>
            <sz val="9"/>
            <rFont val="宋体"/>
            <charset val="134"/>
          </rPr>
          <t xml:space="preserve">
9/23 上UPC贴纸500pcs</t>
        </r>
      </text>
    </comment>
    <comment ref="AF688" authorId="0">
      <text>
        <r>
          <rPr>
            <b/>
            <sz val="9"/>
            <rFont val="宋体"/>
            <charset val="134"/>
          </rPr>
          <t>Administrator:</t>
        </r>
        <r>
          <rPr>
            <sz val="9"/>
            <rFont val="宋体"/>
            <charset val="134"/>
          </rPr>
          <t xml:space="preserve">
5000543 10/14 4000pcs莫4B4</t>
        </r>
      </text>
    </comment>
    <comment ref="AF689" authorId="0">
      <text>
        <r>
          <rPr>
            <b/>
            <sz val="9"/>
            <rFont val="宋体"/>
            <charset val="134"/>
          </rPr>
          <t>Administrator:</t>
        </r>
        <r>
          <rPr>
            <sz val="9"/>
            <rFont val="宋体"/>
            <charset val="134"/>
          </rPr>
          <t xml:space="preserve">
5000543 10/14 117pcs莫4B4</t>
        </r>
      </text>
    </comment>
    <comment ref="AI689" authorId="0">
      <text>
        <r>
          <rPr>
            <b/>
            <sz val="9"/>
            <rFont val="宋体"/>
            <charset val="134"/>
          </rPr>
          <t>Administrator:</t>
        </r>
        <r>
          <rPr>
            <sz val="9"/>
            <rFont val="宋体"/>
            <charset val="134"/>
          </rPr>
          <t xml:space="preserve">
9/8 上白色防盗贴纸117pcs
9/16 上UPC条码贴纸117ｐｃｓ
10/9 上KM单外箱贴纸9pcs
</t>
        </r>
      </text>
    </comment>
    <comment ref="AF690" authorId="0">
      <text>
        <r>
          <rPr>
            <b/>
            <sz val="9"/>
            <rFont val="宋体"/>
            <charset val="134"/>
          </rPr>
          <t>Administrator:</t>
        </r>
        <r>
          <rPr>
            <sz val="9"/>
            <rFont val="宋体"/>
            <charset val="134"/>
          </rPr>
          <t xml:space="preserve">
5000543 10/14 2080pcs莫4B4
</t>
        </r>
      </text>
    </comment>
    <comment ref="AI690" authorId="0">
      <text>
        <r>
          <rPr>
            <b/>
            <sz val="9"/>
            <rFont val="宋体"/>
            <charset val="134"/>
          </rPr>
          <t>Administrator:</t>
        </r>
        <r>
          <rPr>
            <sz val="9"/>
            <rFont val="宋体"/>
            <charset val="134"/>
          </rPr>
          <t xml:space="preserve">
9/8 上白色防盗贴纸2080pcs
9/16 上UPC条码贴纸2080ｐｃｓ
10/9 上KM单外箱贴纸160pcs</t>
        </r>
      </text>
    </comment>
    <comment ref="AF691" authorId="0">
      <text>
        <r>
          <rPr>
            <b/>
            <sz val="9"/>
            <rFont val="宋体"/>
            <charset val="134"/>
          </rPr>
          <t>Administrator:</t>
        </r>
        <r>
          <rPr>
            <sz val="9"/>
            <rFont val="宋体"/>
            <charset val="134"/>
          </rPr>
          <t xml:space="preserve">
5000616 10/18 1000pcs华3A27
</t>
        </r>
      </text>
    </comment>
    <comment ref="AF692" authorId="0">
      <text>
        <r>
          <rPr>
            <b/>
            <sz val="9"/>
            <rFont val="宋体"/>
            <charset val="134"/>
          </rPr>
          <t>Administrator:</t>
        </r>
        <r>
          <rPr>
            <sz val="9"/>
            <rFont val="宋体"/>
            <charset val="134"/>
          </rPr>
          <t xml:space="preserve">
5000496 10/9 19200pcs华3A17</t>
        </r>
      </text>
    </comment>
    <comment ref="AI692" authorId="0">
      <text>
        <r>
          <rPr>
            <b/>
            <sz val="9"/>
            <rFont val="宋体"/>
            <charset val="134"/>
          </rPr>
          <t>Administrator:</t>
        </r>
        <r>
          <rPr>
            <sz val="9"/>
            <rFont val="宋体"/>
            <charset val="134"/>
          </rPr>
          <t xml:space="preserve">
9/29 上客供RFID贴纸19200ｐｃｓ</t>
        </r>
      </text>
    </comment>
    <comment ref="AF693" authorId="0">
      <text>
        <r>
          <rPr>
            <b/>
            <sz val="9"/>
            <rFont val="宋体"/>
            <charset val="134"/>
          </rPr>
          <t>Administrator:</t>
        </r>
        <r>
          <rPr>
            <sz val="9"/>
            <rFont val="宋体"/>
            <charset val="134"/>
          </rPr>
          <t xml:space="preserve">
5000496 10/9 2112pcsa莫4A5
5000497 10/9 11328pcs莫4A6
</t>
        </r>
      </text>
    </comment>
    <comment ref="AI693" authorId="0">
      <text>
        <r>
          <rPr>
            <b/>
            <sz val="9"/>
            <rFont val="宋体"/>
            <charset val="134"/>
          </rPr>
          <t>Administrator:</t>
        </r>
        <r>
          <rPr>
            <sz val="9"/>
            <rFont val="宋体"/>
            <charset val="134"/>
          </rPr>
          <t xml:space="preserve">
9/29 上客供RFID贴纸1３４４０ｐｃｓ
</t>
        </r>
      </text>
    </comment>
    <comment ref="AF694" authorId="0">
      <text>
        <r>
          <rPr>
            <b/>
            <sz val="9"/>
            <rFont val="宋体"/>
            <charset val="134"/>
          </rPr>
          <t>Administrator:</t>
        </r>
        <r>
          <rPr>
            <sz val="9"/>
            <rFont val="宋体"/>
            <charset val="134"/>
          </rPr>
          <t xml:space="preserve">
5000496 10/9 10560pcs华3B10
</t>
        </r>
      </text>
    </comment>
    <comment ref="AI694" authorId="0">
      <text>
        <r>
          <rPr>
            <b/>
            <sz val="9"/>
            <rFont val="宋体"/>
            <charset val="134"/>
          </rPr>
          <t>Administrator:</t>
        </r>
        <r>
          <rPr>
            <sz val="9"/>
            <rFont val="宋体"/>
            <charset val="134"/>
          </rPr>
          <t xml:space="preserve">
9/29 上客供RFID贴纸10560ｐｃｓ
</t>
        </r>
      </text>
    </comment>
    <comment ref="AF695" authorId="0">
      <text>
        <r>
          <rPr>
            <b/>
            <sz val="9"/>
            <rFont val="宋体"/>
            <charset val="134"/>
          </rPr>
          <t>Administrator:</t>
        </r>
        <r>
          <rPr>
            <sz val="9"/>
            <rFont val="宋体"/>
            <charset val="134"/>
          </rPr>
          <t xml:space="preserve">
5000637 10/20 10208pcs
华3A12
5000628 10/20 32pcs华一楼7区
5000642 10/21 10880pcs直走</t>
        </r>
      </text>
    </comment>
    <comment ref="AI695" authorId="0">
      <text>
        <r>
          <rPr>
            <b/>
            <sz val="9"/>
            <rFont val="宋体"/>
            <charset val="134"/>
          </rPr>
          <t>Administrator:</t>
        </r>
        <r>
          <rPr>
            <sz val="9"/>
            <rFont val="宋体"/>
            <charset val="134"/>
          </rPr>
          <t xml:space="preserve">
10/8 上客供RFID贴纸34560pcs</t>
        </r>
      </text>
    </comment>
    <comment ref="AF696" authorId="0">
      <text>
        <r>
          <rPr>
            <b/>
            <sz val="9"/>
            <rFont val="宋体"/>
            <charset val="134"/>
          </rPr>
          <t>Administrator:</t>
        </r>
        <r>
          <rPr>
            <sz val="9"/>
            <rFont val="宋体"/>
            <charset val="134"/>
          </rPr>
          <t xml:space="preserve">
5000628 10/20 32pcs
华一楼7区
5000642 10/21 5728pcs
直走</t>
        </r>
      </text>
    </comment>
    <comment ref="AI696" authorId="0">
      <text>
        <r>
          <rPr>
            <b/>
            <sz val="9"/>
            <rFont val="宋体"/>
            <charset val="134"/>
          </rPr>
          <t>Administrator:</t>
        </r>
        <r>
          <rPr>
            <sz val="9"/>
            <rFont val="宋体"/>
            <charset val="134"/>
          </rPr>
          <t xml:space="preserve">
10/8 上客供RFID贴纸16320pcs
</t>
        </r>
      </text>
    </comment>
    <comment ref="AF697" authorId="0">
      <text>
        <r>
          <rPr>
            <b/>
            <sz val="9"/>
            <rFont val="宋体"/>
            <charset val="134"/>
          </rPr>
          <t>Administrator:</t>
        </r>
        <r>
          <rPr>
            <sz val="9"/>
            <rFont val="宋体"/>
            <charset val="134"/>
          </rPr>
          <t xml:space="preserve">
5000178 10/24 3000pcs
华3B14</t>
        </r>
      </text>
    </comment>
    <comment ref="AI697" authorId="0">
      <text>
        <r>
          <rPr>
            <b/>
            <sz val="9"/>
            <rFont val="宋体"/>
            <charset val="134"/>
          </rPr>
          <t>Administrator:</t>
        </r>
        <r>
          <rPr>
            <sz val="9"/>
            <rFont val="宋体"/>
            <charset val="134"/>
          </rPr>
          <t xml:space="preserve">
9/26 多语折叠警语贴纸13540pcs
三个同PO共用</t>
        </r>
      </text>
    </comment>
    <comment ref="AF698" authorId="0">
      <text>
        <r>
          <rPr>
            <b/>
            <sz val="9"/>
            <rFont val="宋体"/>
            <charset val="134"/>
          </rPr>
          <t>Administrator:</t>
        </r>
        <r>
          <rPr>
            <sz val="9"/>
            <rFont val="宋体"/>
            <charset val="134"/>
          </rPr>
          <t xml:space="preserve">
5000178 10/24 7540pcs
华3B8</t>
        </r>
      </text>
    </comment>
    <comment ref="AF699" authorId="0">
      <text>
        <r>
          <rPr>
            <b/>
            <sz val="9"/>
            <rFont val="宋体"/>
            <charset val="134"/>
          </rPr>
          <t>Administrator:</t>
        </r>
        <r>
          <rPr>
            <sz val="9"/>
            <rFont val="宋体"/>
            <charset val="134"/>
          </rPr>
          <t xml:space="preserve">
4001013 10/24 1500pcs华3A30</t>
        </r>
      </text>
    </comment>
    <comment ref="AI699" authorId="0">
      <text>
        <r>
          <rPr>
            <b/>
            <sz val="9"/>
            <rFont val="宋体"/>
            <charset val="134"/>
          </rPr>
          <t>Administrator:</t>
        </r>
        <r>
          <rPr>
            <sz val="9"/>
            <rFont val="宋体"/>
            <charset val="134"/>
          </rPr>
          <t xml:space="preserve">
9/29 上EAN条码贴纸1500PCS</t>
        </r>
      </text>
    </comment>
    <comment ref="AF700" authorId="0">
      <text>
        <r>
          <rPr>
            <b/>
            <sz val="9"/>
            <rFont val="宋体"/>
            <charset val="134"/>
          </rPr>
          <t>Administrator:</t>
        </r>
        <r>
          <rPr>
            <sz val="9"/>
            <rFont val="宋体"/>
            <charset val="134"/>
          </rPr>
          <t xml:space="preserve">
5000229 10/27 5000pcs
华一F4</t>
        </r>
      </text>
    </comment>
    <comment ref="AI700" authorId="0">
      <text>
        <r>
          <rPr>
            <b/>
            <sz val="9"/>
            <rFont val="宋体"/>
            <charset val="134"/>
          </rPr>
          <t>Administrator:</t>
        </r>
        <r>
          <rPr>
            <sz val="9"/>
            <rFont val="宋体"/>
            <charset val="134"/>
          </rPr>
          <t xml:space="preserve">
9/29 上进口商贴纸5000ｐｃｓ
10/20 上EAN条码贴纸5000pcs</t>
        </r>
      </text>
    </comment>
    <comment ref="AF701" authorId="0">
      <text>
        <r>
          <rPr>
            <b/>
            <sz val="9"/>
            <rFont val="宋体"/>
            <charset val="134"/>
          </rPr>
          <t>Administrator:</t>
        </r>
        <r>
          <rPr>
            <sz val="9"/>
            <rFont val="宋体"/>
            <charset val="134"/>
          </rPr>
          <t xml:space="preserve">
5000158 10/23 32624pcs华1B3
5000164 10/24 16pcs华1A3</t>
        </r>
      </text>
    </comment>
    <comment ref="AI701" authorId="0">
      <text>
        <r>
          <rPr>
            <b/>
            <sz val="9"/>
            <rFont val="宋体"/>
            <charset val="134"/>
          </rPr>
          <t>Administrator:</t>
        </r>
        <r>
          <rPr>
            <sz val="9"/>
            <rFont val="宋体"/>
            <charset val="134"/>
          </rPr>
          <t xml:space="preserve">
10/8 上客供RFID贴纸46080pcs
</t>
        </r>
      </text>
    </comment>
    <comment ref="AF702" authorId="0">
      <text>
        <r>
          <rPr>
            <b/>
            <sz val="9"/>
            <rFont val="宋体"/>
            <charset val="134"/>
          </rPr>
          <t>Administrator:</t>
        </r>
        <r>
          <rPr>
            <sz val="9"/>
            <rFont val="宋体"/>
            <charset val="134"/>
          </rPr>
          <t xml:space="preserve">
5000164 10/24 24752pcs
华3A5
5000163 10/24 30912pcs华3A5
5000229 10/27 16pcs
华3A4</t>
        </r>
      </text>
    </comment>
    <comment ref="AI702" authorId="0">
      <text>
        <r>
          <rPr>
            <b/>
            <sz val="9"/>
            <rFont val="宋体"/>
            <charset val="134"/>
          </rPr>
          <t>Administrator:</t>
        </r>
        <r>
          <rPr>
            <sz val="9"/>
            <rFont val="宋体"/>
            <charset val="134"/>
          </rPr>
          <t xml:space="preserve">
10/8 上客供RFID贴绝纸79680pcs
</t>
        </r>
      </text>
    </comment>
    <comment ref="AF703" authorId="0">
      <text>
        <r>
          <rPr>
            <b/>
            <sz val="9"/>
            <rFont val="宋体"/>
            <charset val="134"/>
          </rPr>
          <t>Administrator:</t>
        </r>
        <r>
          <rPr>
            <sz val="9"/>
            <rFont val="宋体"/>
            <charset val="134"/>
          </rPr>
          <t xml:space="preserve">
5000225 10/27 19648pcs
华3A12
5000229 10/27 6272pcs
华3A12</t>
        </r>
      </text>
    </comment>
    <comment ref="AI703" authorId="0">
      <text>
        <r>
          <rPr>
            <b/>
            <sz val="9"/>
            <rFont val="宋体"/>
            <charset val="134"/>
          </rPr>
          <t>Administrator:</t>
        </r>
        <r>
          <rPr>
            <sz val="9"/>
            <rFont val="宋体"/>
            <charset val="134"/>
          </rPr>
          <t xml:space="preserve">
10/8 上客供RFID贴纸36480pcs
</t>
        </r>
      </text>
    </comment>
    <comment ref="AF704" authorId="0">
      <text>
        <r>
          <rPr>
            <b/>
            <sz val="9"/>
            <rFont val="宋体"/>
            <charset val="134"/>
          </rPr>
          <t>Administrator:</t>
        </r>
        <r>
          <rPr>
            <sz val="9"/>
            <rFont val="宋体"/>
            <charset val="134"/>
          </rPr>
          <t xml:space="preserve">
5000172 10/24 9600pcs华一B3</t>
        </r>
      </text>
    </comment>
    <comment ref="AI704" authorId="0">
      <text>
        <r>
          <rPr>
            <b/>
            <sz val="9"/>
            <rFont val="宋体"/>
            <charset val="134"/>
          </rPr>
          <t>Administrator:</t>
        </r>
        <r>
          <rPr>
            <sz val="9"/>
            <rFont val="宋体"/>
            <charset val="134"/>
          </rPr>
          <t xml:space="preserve">
10/8 上客供RFID贴纸28800pcs
</t>
        </r>
      </text>
    </comment>
    <comment ref="AF705" authorId="0">
      <text>
        <r>
          <rPr>
            <b/>
            <sz val="9"/>
            <rFont val="宋体"/>
            <charset val="134"/>
          </rPr>
          <t>Administrator:</t>
        </r>
        <r>
          <rPr>
            <sz val="9"/>
            <rFont val="宋体"/>
            <charset val="134"/>
          </rPr>
          <t xml:space="preserve">
5000225 10/27 160pcs
华3A3
5000229 10/27 22720pcs
华3A3
5000230 10/24 20320pcs华3A3</t>
        </r>
      </text>
    </comment>
    <comment ref="AI705" authorId="0">
      <text>
        <r>
          <rPr>
            <b/>
            <sz val="9"/>
            <rFont val="宋体"/>
            <charset val="134"/>
          </rPr>
          <t>Administrator:</t>
        </r>
        <r>
          <rPr>
            <sz val="9"/>
            <rFont val="宋体"/>
            <charset val="134"/>
          </rPr>
          <t xml:space="preserve">
10/8 上客供RFID贴纸58560pcs
</t>
        </r>
      </text>
    </comment>
    <comment ref="AF706" authorId="0">
      <text>
        <r>
          <rPr>
            <b/>
            <sz val="9"/>
            <rFont val="宋体"/>
            <charset val="134"/>
          </rPr>
          <t>Administrator:</t>
        </r>
        <r>
          <rPr>
            <sz val="9"/>
            <rFont val="宋体"/>
            <charset val="134"/>
          </rPr>
          <t xml:space="preserve">
5000198 10/27 8000pcs华3A31</t>
        </r>
      </text>
    </comment>
    <comment ref="AI706" authorId="0">
      <text>
        <r>
          <rPr>
            <b/>
            <sz val="9"/>
            <rFont val="宋体"/>
            <charset val="134"/>
          </rPr>
          <t>Administrator:</t>
        </r>
        <r>
          <rPr>
            <sz val="9"/>
            <rFont val="宋体"/>
            <charset val="134"/>
          </rPr>
          <t xml:space="preserve">
10/13 上冰棒款说明书荷兰语贴纸8000pcs
蛋糕款说明书荷兰语贴纸8000pcs
布丁款说明书荷兰语贴纸8000pcs</t>
        </r>
      </text>
    </comment>
    <comment ref="AF707" authorId="0">
      <text>
        <r>
          <rPr>
            <b/>
            <sz val="9"/>
            <rFont val="宋体"/>
            <charset val="134"/>
          </rPr>
          <t>Administrator:</t>
        </r>
        <r>
          <rPr>
            <sz val="9"/>
            <rFont val="宋体"/>
            <charset val="134"/>
          </rPr>
          <t xml:space="preserve">
5000244 10/29 5000pcsB四楼4-B7</t>
        </r>
      </text>
    </comment>
    <comment ref="AF708" authorId="0">
      <text>
        <r>
          <rPr>
            <b/>
            <sz val="9"/>
            <rFont val="宋体"/>
            <charset val="134"/>
          </rPr>
          <t>Administrator:</t>
        </r>
        <r>
          <rPr>
            <sz val="9"/>
            <rFont val="宋体"/>
            <charset val="134"/>
          </rPr>
          <t xml:space="preserve">
5000244 10/29 31500pcs
B四楼4-B4
5000245 10/30 16500pcs</t>
        </r>
      </text>
    </comment>
    <comment ref="AI708" authorId="0">
      <text>
        <r>
          <rPr>
            <b/>
            <sz val="9"/>
            <rFont val="宋体"/>
            <charset val="134"/>
          </rPr>
          <t>Administrator:</t>
        </r>
        <r>
          <rPr>
            <sz val="9"/>
            <rFont val="宋体"/>
            <charset val="134"/>
          </rPr>
          <t xml:space="preserve">
客供外箱贴纸1939pcs</t>
        </r>
      </text>
    </comment>
    <comment ref="AF709" authorId="0">
      <text>
        <r>
          <rPr>
            <b/>
            <sz val="9"/>
            <rFont val="宋体"/>
            <charset val="134"/>
          </rPr>
          <t>Administrator:</t>
        </r>
        <r>
          <rPr>
            <sz val="9"/>
            <rFont val="宋体"/>
            <charset val="134"/>
          </rPr>
          <t xml:space="preserve">
5000245 10/30 10000pcs
</t>
        </r>
      </text>
    </comment>
    <comment ref="AI709" authorId="0">
      <text>
        <r>
          <rPr>
            <b/>
            <sz val="9"/>
            <rFont val="宋体"/>
            <charset val="134"/>
          </rPr>
          <t>Administrator:</t>
        </r>
        <r>
          <rPr>
            <sz val="9"/>
            <rFont val="宋体"/>
            <charset val="134"/>
          </rPr>
          <t xml:space="preserve">
9/30 上冰棒-说明书贴纸10000ｐｃｓ
布丁-说明书贴纸10000ｐｃｓ
蛋糕-说明书贴纸10000ｐｃｓ
</t>
        </r>
      </text>
    </comment>
    <comment ref="AF710" authorId="0">
      <text>
        <r>
          <rPr>
            <b/>
            <sz val="9"/>
            <rFont val="宋体"/>
            <charset val="134"/>
          </rPr>
          <t>Administrator:</t>
        </r>
        <r>
          <rPr>
            <sz val="9"/>
            <rFont val="宋体"/>
            <charset val="134"/>
          </rPr>
          <t xml:space="preserve">
1200294 11/3 1040pcs
华 3B32</t>
        </r>
      </text>
    </comment>
    <comment ref="AI710" authorId="0">
      <text>
        <r>
          <rPr>
            <b/>
            <sz val="9"/>
            <rFont val="宋体"/>
            <charset val="134"/>
          </rPr>
          <t>Administrator:</t>
        </r>
        <r>
          <rPr>
            <sz val="9"/>
            <rFont val="宋体"/>
            <charset val="134"/>
          </rPr>
          <t xml:space="preserve">
9/26 上客供警语贴纸球底部1080pcs
客供警语贴纸收藏指南1080pcs
客供警语贴纸贴说明书上1080pcs
10/6 上UPC条码贴纸1040pcs</t>
        </r>
      </text>
    </comment>
    <comment ref="AF711" authorId="0">
      <text>
        <r>
          <rPr>
            <b/>
            <sz val="9"/>
            <rFont val="宋体"/>
            <charset val="134"/>
          </rPr>
          <t>Administrator:</t>
        </r>
        <r>
          <rPr>
            <sz val="9"/>
            <rFont val="宋体"/>
            <charset val="134"/>
          </rPr>
          <t xml:space="preserve">
1200267 11/1 260pcs</t>
        </r>
      </text>
    </comment>
    <comment ref="AI711" authorId="0">
      <text>
        <r>
          <rPr>
            <b/>
            <sz val="9"/>
            <rFont val="宋体"/>
            <charset val="134"/>
          </rPr>
          <t>Administrator:</t>
        </r>
        <r>
          <rPr>
            <sz val="9"/>
            <rFont val="宋体"/>
            <charset val="134"/>
          </rPr>
          <t xml:space="preserve">
10/8 上白色防盗贴纸260pcs
10/13 上UPC条码贴纸260pcs
10/15 上KM单外箱贴纸20pcs</t>
        </r>
      </text>
    </comment>
    <comment ref="AF712" authorId="0">
      <text>
        <r>
          <rPr>
            <b/>
            <sz val="9"/>
            <rFont val="宋体"/>
            <charset val="134"/>
          </rPr>
          <t>Administrator:</t>
        </r>
        <r>
          <rPr>
            <sz val="9"/>
            <rFont val="宋体"/>
            <charset val="134"/>
          </rPr>
          <t xml:space="preserve">
1200267 11/1 1248pcs
</t>
        </r>
      </text>
    </comment>
    <comment ref="AI712" authorId="0">
      <text>
        <r>
          <rPr>
            <b/>
            <sz val="9"/>
            <rFont val="宋体"/>
            <charset val="134"/>
          </rPr>
          <t>Administrator:</t>
        </r>
        <r>
          <rPr>
            <sz val="9"/>
            <rFont val="宋体"/>
            <charset val="134"/>
          </rPr>
          <t xml:space="preserve">
10/8 上白色防盗贴纸1248pcs
10/13 上UPC条码贴纸1248pcs
10/15 上KM单外箱贴纸96pcs
</t>
        </r>
      </text>
    </comment>
    <comment ref="AF713" authorId="0">
      <text>
        <r>
          <rPr>
            <b/>
            <sz val="9"/>
            <rFont val="宋体"/>
            <charset val="134"/>
          </rPr>
          <t>Administrator:</t>
        </r>
        <r>
          <rPr>
            <sz val="9"/>
            <rFont val="宋体"/>
            <charset val="134"/>
          </rPr>
          <t xml:space="preserve">
5000211 10/28 6720pcs华3A15</t>
        </r>
      </text>
    </comment>
    <comment ref="AI713" authorId="0">
      <text>
        <r>
          <rPr>
            <b/>
            <sz val="9"/>
            <rFont val="宋体"/>
            <charset val="134"/>
          </rPr>
          <t>Administrator:</t>
        </r>
        <r>
          <rPr>
            <sz val="9"/>
            <rFont val="宋体"/>
            <charset val="134"/>
          </rPr>
          <t xml:space="preserve">
10/13 上客供RFID贴纸6720pcs</t>
        </r>
      </text>
    </comment>
    <comment ref="AF714" authorId="0">
      <text>
        <r>
          <rPr>
            <b/>
            <sz val="9"/>
            <rFont val="宋体"/>
            <charset val="134"/>
          </rPr>
          <t>Administrator:</t>
        </r>
        <r>
          <rPr>
            <sz val="9"/>
            <rFont val="宋体"/>
            <charset val="134"/>
          </rPr>
          <t xml:space="preserve">
5000211 10/28 1920pcs
华3B8</t>
        </r>
      </text>
    </comment>
    <comment ref="AI714" authorId="0">
      <text>
        <r>
          <rPr>
            <b/>
            <sz val="9"/>
            <rFont val="宋体"/>
            <charset val="134"/>
          </rPr>
          <t>Administrator:</t>
        </r>
        <r>
          <rPr>
            <sz val="9"/>
            <rFont val="宋体"/>
            <charset val="134"/>
          </rPr>
          <t xml:space="preserve">
10/8 上客供RFID贴纸3920pcs
</t>
        </r>
      </text>
    </comment>
    <comment ref="AF715" authorId="0">
      <text>
        <r>
          <rPr>
            <b/>
            <sz val="9"/>
            <rFont val="宋体"/>
            <charset val="134"/>
          </rPr>
          <t>Administrator:</t>
        </r>
        <r>
          <rPr>
            <sz val="9"/>
            <rFont val="宋体"/>
            <charset val="134"/>
          </rPr>
          <t xml:space="preserve">
5000211 10/28 3840pcs
华3A17</t>
        </r>
      </text>
    </comment>
    <comment ref="AI715" authorId="0">
      <text>
        <r>
          <rPr>
            <b/>
            <sz val="9"/>
            <rFont val="宋体"/>
            <charset val="134"/>
          </rPr>
          <t>Administrator:</t>
        </r>
        <r>
          <rPr>
            <sz val="9"/>
            <rFont val="宋体"/>
            <charset val="134"/>
          </rPr>
          <t xml:space="preserve">
10/8 上客供RFID贴纸3840pcs
</t>
        </r>
      </text>
    </comment>
    <comment ref="AF716" authorId="0">
      <text>
        <r>
          <rPr>
            <b/>
            <sz val="9"/>
            <rFont val="宋体"/>
            <charset val="134"/>
          </rPr>
          <t>Administrator:</t>
        </r>
        <r>
          <rPr>
            <sz val="9"/>
            <rFont val="宋体"/>
            <charset val="134"/>
          </rPr>
          <t xml:space="preserve">
5000211 10/28 2880pcs
华3A16</t>
        </r>
      </text>
    </comment>
    <comment ref="AI716" authorId="0">
      <text>
        <r>
          <rPr>
            <b/>
            <sz val="9"/>
            <rFont val="宋体"/>
            <charset val="134"/>
          </rPr>
          <t>Administrator:</t>
        </r>
        <r>
          <rPr>
            <sz val="9"/>
            <rFont val="宋体"/>
            <charset val="134"/>
          </rPr>
          <t xml:space="preserve">
10/13 上客供RFID贴纸2880pcs
</t>
        </r>
      </text>
    </comment>
    <comment ref="AF717" authorId="0">
      <text>
        <r>
          <rPr>
            <b/>
            <sz val="9"/>
            <rFont val="宋体"/>
            <charset val="134"/>
          </rPr>
          <t>Administrator:</t>
        </r>
        <r>
          <rPr>
            <sz val="9"/>
            <rFont val="宋体"/>
            <charset val="134"/>
          </rPr>
          <t xml:space="preserve">
5000211 10/28 8640pcs
华3A21</t>
        </r>
      </text>
    </comment>
    <comment ref="AI717" authorId="0">
      <text>
        <r>
          <rPr>
            <b/>
            <sz val="9"/>
            <rFont val="宋体"/>
            <charset val="134"/>
          </rPr>
          <t>Administrator:</t>
        </r>
        <r>
          <rPr>
            <sz val="9"/>
            <rFont val="宋体"/>
            <charset val="134"/>
          </rPr>
          <t xml:space="preserve">
10/13 上客供RFID贴纸8640pcs
</t>
        </r>
      </text>
    </comment>
    <comment ref="AF718" authorId="0">
      <text>
        <r>
          <rPr>
            <b/>
            <sz val="9"/>
            <rFont val="宋体"/>
            <charset val="134"/>
          </rPr>
          <t>Administrator:</t>
        </r>
        <r>
          <rPr>
            <sz val="9"/>
            <rFont val="宋体"/>
            <charset val="134"/>
          </rPr>
          <t xml:space="preserve">
5000211 10/28 2880pcs
华3A16</t>
        </r>
      </text>
    </comment>
    <comment ref="AI718" authorId="0">
      <text>
        <r>
          <rPr>
            <b/>
            <sz val="9"/>
            <rFont val="宋体"/>
            <charset val="134"/>
          </rPr>
          <t>Administrator:</t>
        </r>
        <r>
          <rPr>
            <sz val="9"/>
            <rFont val="宋体"/>
            <charset val="134"/>
          </rPr>
          <t xml:space="preserve">
10/13 上客供RFID贴纸2880pcs
</t>
        </r>
      </text>
    </comment>
    <comment ref="AF719" authorId="0">
      <text>
        <r>
          <rPr>
            <b/>
            <sz val="9"/>
            <rFont val="宋体"/>
            <charset val="134"/>
          </rPr>
          <t>Administrator:</t>
        </r>
        <r>
          <rPr>
            <sz val="9"/>
            <rFont val="宋体"/>
            <charset val="134"/>
          </rPr>
          <t xml:space="preserve">
1200294 11/3 312pcs
华3B17</t>
        </r>
      </text>
    </comment>
    <comment ref="AI719" authorId="0">
      <text>
        <r>
          <rPr>
            <b/>
            <sz val="9"/>
            <rFont val="宋体"/>
            <charset val="134"/>
          </rPr>
          <t>Administrator:</t>
        </r>
        <r>
          <rPr>
            <sz val="9"/>
            <rFont val="宋体"/>
            <charset val="134"/>
          </rPr>
          <t xml:space="preserve">
9/25 上警告语贴纸312
1袋子警告语贴纸312
2 袋子警告语贴纸312pcs
10/14 上1 袋子警告语贴纸1560pcs</t>
        </r>
      </text>
    </comment>
    <comment ref="AF720" authorId="0">
      <text>
        <r>
          <rPr>
            <b/>
            <sz val="9"/>
            <rFont val="宋体"/>
            <charset val="134"/>
          </rPr>
          <t>Administrator:</t>
        </r>
        <r>
          <rPr>
            <sz val="9"/>
            <rFont val="宋体"/>
            <charset val="134"/>
          </rPr>
          <t xml:space="preserve">
1200294 11/3 5000pcs华3B14</t>
        </r>
      </text>
    </comment>
    <comment ref="AI720" authorId="0">
      <text>
        <r>
          <rPr>
            <b/>
            <sz val="9"/>
            <rFont val="宋体"/>
            <charset val="134"/>
          </rPr>
          <t>Administrator:</t>
        </r>
        <r>
          <rPr>
            <sz val="9"/>
            <rFont val="宋体"/>
            <charset val="134"/>
          </rPr>
          <t xml:space="preserve">
10/13 款号条码贴纸5000pcs
10/16 上多语警语折叠贴纸5000pcS</t>
        </r>
      </text>
    </comment>
    <comment ref="AF721" authorId="0">
      <text>
        <r>
          <rPr>
            <b/>
            <sz val="9"/>
            <rFont val="宋体"/>
            <charset val="134"/>
          </rPr>
          <t>Administrator:</t>
        </r>
        <r>
          <rPr>
            <sz val="9"/>
            <rFont val="宋体"/>
            <charset val="134"/>
          </rPr>
          <t xml:space="preserve">
1200294 11/3 1500pcs
华3B14</t>
        </r>
      </text>
    </comment>
    <comment ref="AI721" authorId="0">
      <text>
        <r>
          <rPr>
            <b/>
            <sz val="9"/>
            <rFont val="宋体"/>
            <charset val="134"/>
          </rPr>
          <t>Administrator:</t>
        </r>
        <r>
          <rPr>
            <sz val="9"/>
            <rFont val="宋体"/>
            <charset val="134"/>
          </rPr>
          <t xml:space="preserve">
10/14 上UPC贴纸1500pcs</t>
        </r>
      </text>
    </comment>
    <comment ref="AF722" authorId="0">
      <text>
        <r>
          <rPr>
            <b/>
            <sz val="9"/>
            <rFont val="宋体"/>
            <charset val="134"/>
          </rPr>
          <t>Administrator:</t>
        </r>
        <r>
          <rPr>
            <sz val="9"/>
            <rFont val="宋体"/>
            <charset val="134"/>
          </rPr>
          <t xml:space="preserve">
1200294 11/3 8000pcs
</t>
        </r>
      </text>
    </comment>
    <comment ref="AI722" authorId="0">
      <text>
        <r>
          <rPr>
            <b/>
            <sz val="9"/>
            <rFont val="宋体"/>
            <charset val="134"/>
          </rPr>
          <t>Administrator:</t>
        </r>
        <r>
          <rPr>
            <sz val="9"/>
            <rFont val="宋体"/>
            <charset val="134"/>
          </rPr>
          <t xml:space="preserve">
10/22 上西班牙环保标贴纸/客户进口商贴纸8000pcs</t>
        </r>
      </text>
    </comment>
    <comment ref="AF723" authorId="0">
      <text>
        <r>
          <rPr>
            <b/>
            <sz val="9"/>
            <rFont val="宋体"/>
            <charset val="134"/>
          </rPr>
          <t>Administrator:</t>
        </r>
        <r>
          <rPr>
            <sz val="9"/>
            <rFont val="宋体"/>
            <charset val="134"/>
          </rPr>
          <t xml:space="preserve">
1200314 11/5 2912pcs华3B10
1200316 11/6 52pcs华3B10</t>
        </r>
      </text>
    </comment>
    <comment ref="AF724" authorId="0">
      <text>
        <r>
          <rPr>
            <b/>
            <sz val="9"/>
            <rFont val="宋体"/>
            <charset val="134"/>
          </rPr>
          <t>Administrator:</t>
        </r>
        <r>
          <rPr>
            <sz val="9"/>
            <rFont val="宋体"/>
            <charset val="134"/>
          </rPr>
          <t xml:space="preserve">
1200279 11/7 1560pcs华3B8
</t>
        </r>
      </text>
    </comment>
    <comment ref="AI724" authorId="0">
      <text>
        <r>
          <rPr>
            <b/>
            <sz val="9"/>
            <rFont val="宋体"/>
            <charset val="134"/>
          </rPr>
          <t>Administrator:</t>
        </r>
        <r>
          <rPr>
            <sz val="9"/>
            <rFont val="宋体"/>
            <charset val="134"/>
          </rPr>
          <t xml:space="preserve">
10/17 上客供防窜码贴纸7969pcs 只限77673货号
</t>
        </r>
      </text>
    </comment>
    <comment ref="AF725" authorId="0">
      <text>
        <r>
          <rPr>
            <b/>
            <sz val="9"/>
            <rFont val="宋体"/>
            <charset val="134"/>
          </rPr>
          <t>Administrator:</t>
        </r>
        <r>
          <rPr>
            <sz val="9"/>
            <rFont val="宋体"/>
            <charset val="134"/>
          </rPr>
          <t xml:space="preserve">
1200279 11/7 2483pcs华3B8
1200303 11/5 26pcs华3B8</t>
        </r>
      </text>
    </comment>
    <comment ref="AF726" authorId="0">
      <text>
        <r>
          <rPr>
            <b/>
            <sz val="9"/>
            <rFont val="宋体"/>
            <charset val="134"/>
          </rPr>
          <t>Administrator:</t>
        </r>
        <r>
          <rPr>
            <sz val="9"/>
            <rFont val="宋体"/>
            <charset val="134"/>
          </rPr>
          <t xml:space="preserve">
1200279 11/7 7200pcs华3B16</t>
        </r>
      </text>
    </comment>
    <comment ref="AI726" authorId="0">
      <text>
        <r>
          <rPr>
            <b/>
            <sz val="9"/>
            <rFont val="宋体"/>
            <charset val="134"/>
          </rPr>
          <t>Administrator:</t>
        </r>
        <r>
          <rPr>
            <sz val="9"/>
            <rFont val="宋体"/>
            <charset val="134"/>
          </rPr>
          <t xml:space="preserve">
10/14 上UPC贴纸7200pcs
客人通用贴纸7200pcs</t>
        </r>
      </text>
    </comment>
    <comment ref="AF727" authorId="0">
      <text>
        <r>
          <rPr>
            <b/>
            <sz val="9"/>
            <rFont val="宋体"/>
            <charset val="134"/>
          </rPr>
          <t>Administrator:</t>
        </r>
        <r>
          <rPr>
            <sz val="9"/>
            <rFont val="宋体"/>
            <charset val="134"/>
          </rPr>
          <t xml:space="preserve">
1200316 11/6 1800pcs
华3A29</t>
        </r>
      </text>
    </comment>
    <comment ref="AI727" authorId="0">
      <text>
        <r>
          <rPr>
            <b/>
            <sz val="9"/>
            <rFont val="宋体"/>
            <charset val="134"/>
          </rPr>
          <t>Administrator:</t>
        </r>
        <r>
          <rPr>
            <sz val="9"/>
            <rFont val="宋体"/>
            <charset val="134"/>
          </rPr>
          <t xml:space="preserve">
10/14 上空白贴纸3600pcs
环保标贴纸1800pcs
10/28 上亚马逊外箱贴纸150ｐｃｓ
</t>
        </r>
      </text>
    </comment>
    <comment ref="AF728" authorId="0">
      <text>
        <r>
          <rPr>
            <b/>
            <sz val="9"/>
            <rFont val="宋体"/>
            <charset val="134"/>
          </rPr>
          <t>Administrator:</t>
        </r>
        <r>
          <rPr>
            <sz val="9"/>
            <rFont val="宋体"/>
            <charset val="134"/>
          </rPr>
          <t xml:space="preserve">
1200316 11/6 3408pcs
3B17</t>
        </r>
      </text>
    </comment>
    <comment ref="AI728" authorId="0">
      <text>
        <r>
          <rPr>
            <b/>
            <sz val="9"/>
            <rFont val="宋体"/>
            <charset val="134"/>
          </rPr>
          <t>Administrator:</t>
        </r>
        <r>
          <rPr>
            <sz val="9"/>
            <rFont val="宋体"/>
            <charset val="134"/>
          </rPr>
          <t xml:space="preserve">
10/14 上空白贴纸3408pcs
环保标贴纸3408pcs
10/28 上亚马逊外箱贴纸284ｐｃｓ
</t>
        </r>
      </text>
    </comment>
    <comment ref="AF729" authorId="0">
      <text>
        <r>
          <rPr>
            <b/>
            <sz val="9"/>
            <rFont val="宋体"/>
            <charset val="134"/>
          </rPr>
          <t>Administrator:</t>
        </r>
        <r>
          <rPr>
            <sz val="9"/>
            <rFont val="宋体"/>
            <charset val="134"/>
          </rPr>
          <t xml:space="preserve">
1200314 11/5 492pcs华3B10</t>
        </r>
      </text>
    </comment>
    <comment ref="AI729" authorId="0">
      <text>
        <r>
          <rPr>
            <b/>
            <sz val="9"/>
            <rFont val="宋体"/>
            <charset val="134"/>
          </rPr>
          <t>Administrator:</t>
        </r>
        <r>
          <rPr>
            <sz val="9"/>
            <rFont val="宋体"/>
            <charset val="134"/>
          </rPr>
          <t xml:space="preserve">
10/14 上空白贴纸492pcs
环保标贴纸492pcs
10/28 上亚马逊外箱贴纸41ｐｃｓ
</t>
        </r>
      </text>
    </comment>
    <comment ref="AF730" authorId="0">
      <text>
        <r>
          <rPr>
            <b/>
            <sz val="9"/>
            <rFont val="宋体"/>
            <charset val="134"/>
          </rPr>
          <t>Administrator:</t>
        </r>
        <r>
          <rPr>
            <sz val="9"/>
            <rFont val="宋体"/>
            <charset val="134"/>
          </rPr>
          <t xml:space="preserve">
1200314 11/5 3240pcs华3B11
</t>
        </r>
      </text>
    </comment>
    <comment ref="AI730" authorId="0">
      <text>
        <r>
          <rPr>
            <b/>
            <sz val="9"/>
            <rFont val="宋体"/>
            <charset val="134"/>
          </rPr>
          <t>Administrator:</t>
        </r>
        <r>
          <rPr>
            <sz val="9"/>
            <rFont val="宋体"/>
            <charset val="134"/>
          </rPr>
          <t xml:space="preserve">
10/14 上空白贴纸3240pcs
环保标贴纸3240pcs
10/17 上亚马逊外箱贴纸270pcs</t>
        </r>
      </text>
    </comment>
    <comment ref="AF731" authorId="0">
      <text>
        <r>
          <rPr>
            <b/>
            <sz val="9"/>
            <rFont val="宋体"/>
            <charset val="134"/>
          </rPr>
          <t>Administrator:</t>
        </r>
        <r>
          <rPr>
            <sz val="9"/>
            <rFont val="宋体"/>
            <charset val="134"/>
          </rPr>
          <t xml:space="preserve">
1200316 11/6 1212pcs
华3B14</t>
        </r>
      </text>
    </comment>
    <comment ref="AI731" authorId="0">
      <text>
        <r>
          <rPr>
            <b/>
            <sz val="9"/>
            <rFont val="宋体"/>
            <charset val="134"/>
          </rPr>
          <t>Administrator:</t>
        </r>
        <r>
          <rPr>
            <sz val="9"/>
            <rFont val="宋体"/>
            <charset val="134"/>
          </rPr>
          <t xml:space="preserve">
10/16 上空白贴纸2424pcs
环保标贴纸1212pcs
10/28 上亚马逊外箱贴纸101ｐｃｓ
</t>
        </r>
      </text>
    </comment>
    <comment ref="AF732" authorId="0">
      <text>
        <r>
          <rPr>
            <b/>
            <sz val="9"/>
            <rFont val="宋体"/>
            <charset val="134"/>
          </rPr>
          <t>Administrator:</t>
        </r>
        <r>
          <rPr>
            <sz val="9"/>
            <rFont val="宋体"/>
            <charset val="134"/>
          </rPr>
          <t xml:space="preserve">
1200294 11/3 6240pcs
华3B16</t>
        </r>
      </text>
    </comment>
    <comment ref="AI732" authorId="0">
      <text>
        <r>
          <rPr>
            <b/>
            <sz val="9"/>
            <rFont val="宋体"/>
            <charset val="134"/>
          </rPr>
          <t>Administrator:</t>
        </r>
        <r>
          <rPr>
            <sz val="9"/>
            <rFont val="宋体"/>
            <charset val="134"/>
          </rPr>
          <t xml:space="preserve">
10/17 上客供价格贴纸6240pcs
10/21 上德语贴纸6240pcs</t>
        </r>
      </text>
    </comment>
    <comment ref="AF733" authorId="0">
      <text>
        <r>
          <rPr>
            <b/>
            <sz val="9"/>
            <rFont val="宋体"/>
            <charset val="134"/>
          </rPr>
          <t>Administrator:</t>
        </r>
        <r>
          <rPr>
            <sz val="9"/>
            <rFont val="宋体"/>
            <charset val="134"/>
          </rPr>
          <t xml:space="preserve">
1200317 11/6 1000pcs华3A27</t>
        </r>
      </text>
    </comment>
    <comment ref="AI733" authorId="0">
      <text>
        <r>
          <rPr>
            <b/>
            <sz val="9"/>
            <rFont val="宋体"/>
            <charset val="134"/>
          </rPr>
          <t>Administrator:</t>
        </r>
        <r>
          <rPr>
            <sz val="9"/>
            <rFont val="宋体"/>
            <charset val="134"/>
          </rPr>
          <t xml:space="preserve">
10/21 上日语警语贴纸1000pcs</t>
        </r>
      </text>
    </comment>
    <comment ref="AF734" authorId="0">
      <text>
        <r>
          <rPr>
            <b/>
            <sz val="9"/>
            <rFont val="宋体"/>
            <charset val="134"/>
          </rPr>
          <t>Administrator:</t>
        </r>
        <r>
          <rPr>
            <sz val="9"/>
            <rFont val="宋体"/>
            <charset val="134"/>
          </rPr>
          <t xml:space="preserve">
1200317 11/6 3950pcs
华3B14
1200333 11/8 50ｐｃｓ华3B14</t>
        </r>
      </text>
    </comment>
    <comment ref="AI734" authorId="0">
      <text>
        <r>
          <rPr>
            <b/>
            <sz val="9"/>
            <rFont val="宋体"/>
            <charset val="134"/>
          </rPr>
          <t>Administrator:</t>
        </r>
        <r>
          <rPr>
            <sz val="9"/>
            <rFont val="宋体"/>
            <charset val="134"/>
          </rPr>
          <t xml:space="preserve">
10/21 上日语警语贴纸4000pcs
</t>
        </r>
      </text>
    </comment>
    <comment ref="AF735" authorId="0">
      <text>
        <r>
          <rPr>
            <b/>
            <sz val="9"/>
            <rFont val="宋体"/>
            <charset val="134"/>
          </rPr>
          <t>Administrator:</t>
        </r>
        <r>
          <rPr>
            <sz val="9"/>
            <rFont val="宋体"/>
            <charset val="134"/>
          </rPr>
          <t xml:space="preserve">
1200317 11/6 12636pcs
华3A28</t>
        </r>
      </text>
    </comment>
    <comment ref="AI735" authorId="0">
      <text>
        <r>
          <rPr>
            <b/>
            <sz val="9"/>
            <rFont val="宋体"/>
            <charset val="134"/>
          </rPr>
          <t>Administrator:</t>
        </r>
        <r>
          <rPr>
            <sz val="9"/>
            <rFont val="宋体"/>
            <charset val="134"/>
          </rPr>
          <t xml:space="preserve">
10/8 上白色防盗贴纸12636pcs
10/22 上KM单外箱贴纸972pcs
10/21 上UPC条码贴纸12636pcs</t>
        </r>
      </text>
    </comment>
    <comment ref="AF736" authorId="0">
      <text>
        <r>
          <rPr>
            <b/>
            <sz val="9"/>
            <rFont val="宋体"/>
            <charset val="134"/>
          </rPr>
          <t>Administrator:</t>
        </r>
        <r>
          <rPr>
            <sz val="9"/>
            <rFont val="宋体"/>
            <charset val="134"/>
          </rPr>
          <t xml:space="preserve">
1200317 11/6 1404pcs
华3A27</t>
        </r>
      </text>
    </comment>
    <comment ref="AI736" authorId="0">
      <text>
        <r>
          <rPr>
            <b/>
            <sz val="9"/>
            <rFont val="宋体"/>
            <charset val="134"/>
          </rPr>
          <t>Administrator:</t>
        </r>
        <r>
          <rPr>
            <sz val="9"/>
            <rFont val="宋体"/>
            <charset val="134"/>
          </rPr>
          <t xml:space="preserve">
10/8 上白色防盗贴纸1404pcs
10/22 上KM单外箱贴纸108pcs
10/21 上UPC条码贴纸1404pcs
</t>
        </r>
      </text>
    </comment>
    <comment ref="AF737" authorId="0">
      <text>
        <r>
          <rPr>
            <b/>
            <sz val="9"/>
            <rFont val="宋体"/>
            <charset val="134"/>
          </rPr>
          <t>Administrator:</t>
        </r>
        <r>
          <rPr>
            <sz val="9"/>
            <rFont val="宋体"/>
            <charset val="134"/>
          </rPr>
          <t xml:space="preserve">
1200345 11/8 9750pcs华3B15</t>
        </r>
      </text>
    </comment>
    <comment ref="AF738" authorId="0">
      <text>
        <r>
          <rPr>
            <b/>
            <sz val="9"/>
            <rFont val="宋体"/>
            <charset val="134"/>
          </rPr>
          <t>Administrator:</t>
        </r>
        <r>
          <rPr>
            <sz val="9"/>
            <rFont val="宋体"/>
            <charset val="134"/>
          </rPr>
          <t xml:space="preserve">
1200345 11/8 2975pcs华3A37
1200368 11/11 25pcs华3A27
</t>
        </r>
      </text>
    </comment>
    <comment ref="AI738" authorId="0">
      <text>
        <r>
          <rPr>
            <b/>
            <sz val="9"/>
            <rFont val="宋体"/>
            <charset val="134"/>
          </rPr>
          <t>Administrator:</t>
        </r>
        <r>
          <rPr>
            <sz val="9"/>
            <rFont val="宋体"/>
            <charset val="134"/>
          </rPr>
          <t xml:space="preserve">
10/21 上UPC条码贴纸3000pcs
</t>
        </r>
      </text>
    </comment>
    <comment ref="AF739" authorId="0">
      <text>
        <r>
          <rPr>
            <b/>
            <sz val="9"/>
            <rFont val="宋体"/>
            <charset val="134"/>
          </rPr>
          <t>Administrator:</t>
        </r>
        <r>
          <rPr>
            <sz val="9"/>
            <rFont val="宋体"/>
            <charset val="134"/>
          </rPr>
          <t xml:space="preserve">
1200345 11/8 5252pcs
华3B14</t>
        </r>
      </text>
    </comment>
    <comment ref="AF740" authorId="0">
      <text>
        <r>
          <rPr>
            <b/>
            <sz val="9"/>
            <rFont val="宋体"/>
            <charset val="134"/>
          </rPr>
          <t>Administrator:</t>
        </r>
        <r>
          <rPr>
            <sz val="9"/>
            <rFont val="宋体"/>
            <charset val="134"/>
          </rPr>
          <t xml:space="preserve">
1200345 11/8 9893pcs
转上兴信</t>
        </r>
      </text>
    </comment>
    <comment ref="AF741" authorId="0">
      <text>
        <r>
          <rPr>
            <b/>
            <sz val="9"/>
            <rFont val="宋体"/>
            <charset val="134"/>
          </rPr>
          <t>Administrator:</t>
        </r>
        <r>
          <rPr>
            <sz val="9"/>
            <rFont val="宋体"/>
            <charset val="134"/>
          </rPr>
          <t xml:space="preserve">
1200334 11/8 5760pcs华3A14</t>
        </r>
      </text>
    </comment>
    <comment ref="AI741" authorId="0">
      <text>
        <r>
          <rPr>
            <b/>
            <sz val="9"/>
            <rFont val="宋体"/>
            <charset val="134"/>
          </rPr>
          <t>Administrator:</t>
        </r>
        <r>
          <rPr>
            <sz val="9"/>
            <rFont val="宋体"/>
            <charset val="134"/>
          </rPr>
          <t xml:space="preserve">
10/29 客供RFID贴纸5760pcs</t>
        </r>
      </text>
    </comment>
    <comment ref="AF742" authorId="0">
      <text>
        <r>
          <rPr>
            <b/>
            <sz val="9"/>
            <rFont val="宋体"/>
            <charset val="134"/>
          </rPr>
          <t>Administrator:</t>
        </r>
        <r>
          <rPr>
            <sz val="9"/>
            <rFont val="宋体"/>
            <charset val="134"/>
          </rPr>
          <t xml:space="preserve">
1200334 11/8 3840pcs华3B6</t>
        </r>
      </text>
    </comment>
    <comment ref="AI742" authorId="0">
      <text>
        <r>
          <rPr>
            <b/>
            <sz val="9"/>
            <rFont val="宋体"/>
            <charset val="134"/>
          </rPr>
          <t>Administrator:</t>
        </r>
        <r>
          <rPr>
            <sz val="9"/>
            <rFont val="宋体"/>
            <charset val="134"/>
          </rPr>
          <t xml:space="preserve">
10/29 客供RFID贴纸3840pcs
</t>
        </r>
      </text>
    </comment>
    <comment ref="AF743" authorId="0">
      <text>
        <r>
          <rPr>
            <b/>
            <sz val="9"/>
            <rFont val="宋体"/>
            <charset val="134"/>
          </rPr>
          <t>Administrator:</t>
        </r>
        <r>
          <rPr>
            <sz val="9"/>
            <rFont val="宋体"/>
            <charset val="134"/>
          </rPr>
          <t xml:space="preserve">
1200333 11/8 3861PCS直走
1200334 11/8 39pcs
直走</t>
        </r>
      </text>
    </comment>
    <comment ref="AF744" authorId="0">
      <text>
        <r>
          <rPr>
            <b/>
            <sz val="9"/>
            <rFont val="宋体"/>
            <charset val="134"/>
          </rPr>
          <t>Administrator:</t>
        </r>
        <r>
          <rPr>
            <sz val="9"/>
            <rFont val="宋体"/>
            <charset val="134"/>
          </rPr>
          <t xml:space="preserve">
1200345 11/8 4030pcs
华3B14
</t>
        </r>
      </text>
    </comment>
    <comment ref="AF745" authorId="0">
      <text>
        <r>
          <rPr>
            <b/>
            <sz val="9"/>
            <rFont val="宋体"/>
            <charset val="134"/>
          </rPr>
          <t>Administrator:</t>
        </r>
        <r>
          <rPr>
            <sz val="9"/>
            <rFont val="宋体"/>
            <charset val="134"/>
          </rPr>
          <t xml:space="preserve">
1200345 11/8 2574pcs华3B17
</t>
        </r>
      </text>
    </comment>
    <comment ref="AF746" authorId="0">
      <text>
        <r>
          <rPr>
            <b/>
            <sz val="9"/>
            <rFont val="宋体"/>
            <charset val="134"/>
          </rPr>
          <t>Administrator:</t>
        </r>
        <r>
          <rPr>
            <sz val="9"/>
            <rFont val="宋体"/>
            <charset val="134"/>
          </rPr>
          <t xml:space="preserve">
1200354 11/10 1066pcs
华3A32
1200345 11/8 2340pcs
华3A32
</t>
        </r>
      </text>
    </comment>
    <comment ref="AF747" authorId="0">
      <text>
        <r>
          <rPr>
            <b/>
            <sz val="9"/>
            <rFont val="宋体"/>
            <charset val="134"/>
          </rPr>
          <t>Administrator:</t>
        </r>
        <r>
          <rPr>
            <sz val="9"/>
            <rFont val="宋体"/>
            <charset val="134"/>
          </rPr>
          <t xml:space="preserve">
1200294 11/3 1000pcs
华3B14</t>
        </r>
      </text>
    </comment>
    <comment ref="AI747" authorId="0">
      <text>
        <r>
          <rPr>
            <b/>
            <sz val="9"/>
            <rFont val="宋体"/>
            <charset val="134"/>
          </rPr>
          <t>Administrator:</t>
        </r>
        <r>
          <rPr>
            <sz val="9"/>
            <rFont val="宋体"/>
            <charset val="134"/>
          </rPr>
          <t xml:space="preserve">
10/14 上UPC贴纸1000pcs</t>
        </r>
      </text>
    </comment>
    <comment ref="AF748" authorId="0">
      <text>
        <r>
          <rPr>
            <b/>
            <sz val="9"/>
            <rFont val="宋体"/>
            <charset val="134"/>
          </rPr>
          <t>Administrator:</t>
        </r>
        <r>
          <rPr>
            <sz val="9"/>
            <rFont val="宋体"/>
            <charset val="134"/>
          </rPr>
          <t xml:space="preserve">
货已回</t>
        </r>
      </text>
    </comment>
    <comment ref="AF749" authorId="0">
      <text>
        <r>
          <rPr>
            <b/>
            <sz val="9"/>
            <rFont val="宋体"/>
            <charset val="134"/>
          </rPr>
          <t>Administrator:</t>
        </r>
        <r>
          <rPr>
            <sz val="9"/>
            <rFont val="宋体"/>
            <charset val="134"/>
          </rPr>
          <t xml:space="preserve">
1200285 11/4 20pcs前面一楼</t>
        </r>
      </text>
    </comment>
    <comment ref="AF750" authorId="0">
      <text>
        <r>
          <rPr>
            <b/>
            <sz val="9"/>
            <rFont val="宋体"/>
            <charset val="134"/>
          </rPr>
          <t>Administrator:</t>
        </r>
        <r>
          <rPr>
            <sz val="9"/>
            <rFont val="宋体"/>
            <charset val="134"/>
          </rPr>
          <t xml:space="preserve">
1200345 11/8 1050pcs
华3B15</t>
        </r>
      </text>
    </comment>
    <comment ref="AI750" authorId="0">
      <text>
        <r>
          <rPr>
            <b/>
            <sz val="9"/>
            <rFont val="宋体"/>
            <charset val="134"/>
          </rPr>
          <t>Administrator:</t>
        </r>
        <r>
          <rPr>
            <sz val="9"/>
            <rFont val="宋体"/>
            <charset val="134"/>
          </rPr>
          <t xml:space="preserve">
11/4 上条码贴纸2100ｐｃｓ</t>
        </r>
      </text>
    </comment>
    <comment ref="AF751" authorId="0">
      <text>
        <r>
          <rPr>
            <b/>
            <sz val="9"/>
            <rFont val="宋体"/>
            <charset val="134"/>
          </rPr>
          <t>Administrator:</t>
        </r>
        <r>
          <rPr>
            <sz val="9"/>
            <rFont val="宋体"/>
            <charset val="134"/>
          </rPr>
          <t xml:space="preserve">
5000213 10/28 23040pcs华3A25</t>
        </r>
      </text>
    </comment>
    <comment ref="AI751" authorId="0">
      <text>
        <r>
          <rPr>
            <b/>
            <sz val="9"/>
            <rFont val="宋体"/>
            <charset val="134"/>
          </rPr>
          <t>Administrator:</t>
        </r>
        <r>
          <rPr>
            <sz val="9"/>
            <rFont val="宋体"/>
            <charset val="134"/>
          </rPr>
          <t xml:space="preserve">
10/17 上客供RFID贴纸23040pcs
</t>
        </r>
      </text>
    </comment>
    <comment ref="AF752" authorId="0">
      <text>
        <r>
          <rPr>
            <b/>
            <sz val="9"/>
            <rFont val="宋体"/>
            <charset val="134"/>
          </rPr>
          <t>Administrator:</t>
        </r>
        <r>
          <rPr>
            <sz val="9"/>
            <rFont val="宋体"/>
            <charset val="134"/>
          </rPr>
          <t xml:space="preserve">
5000213 10/28 2688pcs
华3A20
5000211 10/28 19392pcs
华3A20</t>
        </r>
      </text>
    </comment>
    <comment ref="AI752" authorId="0">
      <text>
        <r>
          <rPr>
            <b/>
            <sz val="9"/>
            <rFont val="宋体"/>
            <charset val="134"/>
          </rPr>
          <t>Administrator:</t>
        </r>
        <r>
          <rPr>
            <sz val="9"/>
            <rFont val="宋体"/>
            <charset val="134"/>
          </rPr>
          <t xml:space="preserve">
10/17 上客供RFID贴纸22080pcs
</t>
        </r>
      </text>
    </comment>
    <comment ref="AF753" authorId="0">
      <text>
        <r>
          <rPr>
            <b/>
            <sz val="9"/>
            <rFont val="宋体"/>
            <charset val="134"/>
          </rPr>
          <t>Administrator:</t>
        </r>
        <r>
          <rPr>
            <sz val="9"/>
            <rFont val="宋体"/>
            <charset val="134"/>
          </rPr>
          <t xml:space="preserve">
</t>
        </r>
        <r>
          <rPr>
            <sz val="14"/>
            <rFont val="宋体"/>
            <charset val="134"/>
          </rPr>
          <t>11/12回货</t>
        </r>
      </text>
    </comment>
    <comment ref="AI753" authorId="0">
      <text>
        <r>
          <rPr>
            <b/>
            <sz val="9"/>
            <rFont val="宋体"/>
            <charset val="134"/>
          </rPr>
          <t>Administrator:</t>
        </r>
        <r>
          <rPr>
            <sz val="9"/>
            <rFont val="宋体"/>
            <charset val="134"/>
          </rPr>
          <t xml:space="preserve">
9/26 上客供警语贴纸球底部1488pcs
客供警语贴纸收藏指南1488pcs
客供警语贴纸贴说明书上1490pcs
10/21 上空白贴纸1440pcs</t>
        </r>
      </text>
    </comment>
    <comment ref="AF754" authorId="0">
      <text>
        <r>
          <rPr>
            <b/>
            <sz val="9"/>
            <rFont val="宋体"/>
            <charset val="134"/>
          </rPr>
          <t>Administrator:</t>
        </r>
        <r>
          <rPr>
            <sz val="9"/>
            <rFont val="宋体"/>
            <charset val="134"/>
          </rPr>
          <t xml:space="preserve">
1200361  11/12 7000pcs华3A23</t>
        </r>
      </text>
    </comment>
    <comment ref="AF755" authorId="0">
      <text>
        <r>
          <rPr>
            <b/>
            <sz val="9"/>
            <rFont val="宋体"/>
            <charset val="134"/>
          </rPr>
          <t>Administrator:</t>
        </r>
        <r>
          <rPr>
            <sz val="9"/>
            <rFont val="宋体"/>
            <charset val="134"/>
          </rPr>
          <t xml:space="preserve">
1200361  11/12 4251pcs华3B15
</t>
        </r>
      </text>
    </comment>
    <comment ref="AI755" authorId="0">
      <text>
        <r>
          <rPr>
            <b/>
            <sz val="9"/>
            <rFont val="宋体"/>
            <charset val="134"/>
          </rPr>
          <t>Administrator:</t>
        </r>
        <r>
          <rPr>
            <sz val="9"/>
            <rFont val="宋体"/>
            <charset val="134"/>
          </rPr>
          <t xml:space="preserve">
10/24 上价格贴纸4251pcs
外箱贴纸1308pcs</t>
        </r>
      </text>
    </comment>
    <comment ref="AF756" authorId="0">
      <text>
        <r>
          <rPr>
            <b/>
            <sz val="9"/>
            <rFont val="宋体"/>
            <charset val="134"/>
          </rPr>
          <t>Administrator:</t>
        </r>
        <r>
          <rPr>
            <sz val="9"/>
            <rFont val="宋体"/>
            <charset val="134"/>
          </rPr>
          <t xml:space="preserve">
1200430 11/18 5005pcs
直走</t>
        </r>
      </text>
    </comment>
    <comment ref="AF757" authorId="0">
      <text>
        <r>
          <rPr>
            <b/>
            <sz val="9"/>
            <rFont val="宋体"/>
            <charset val="134"/>
          </rPr>
          <t>Administrator:</t>
        </r>
        <r>
          <rPr>
            <sz val="9"/>
            <rFont val="宋体"/>
            <charset val="134"/>
          </rPr>
          <t xml:space="preserve">
1200412 11/15 4563pcs华3B15</t>
        </r>
      </text>
    </comment>
    <comment ref="AI757" authorId="0">
      <text>
        <r>
          <rPr>
            <b/>
            <sz val="9"/>
            <rFont val="宋体"/>
            <charset val="134"/>
          </rPr>
          <t>Administrator:</t>
        </r>
        <r>
          <rPr>
            <sz val="9"/>
            <rFont val="宋体"/>
            <charset val="134"/>
          </rPr>
          <t xml:space="preserve">
10/30 上多语警语折叠贴纸4563pcs</t>
        </r>
      </text>
    </comment>
    <comment ref="AF758" authorId="0">
      <text>
        <r>
          <rPr>
            <b/>
            <sz val="9"/>
            <rFont val="宋体"/>
            <charset val="134"/>
          </rPr>
          <t>Administrator:</t>
        </r>
        <r>
          <rPr>
            <sz val="9"/>
            <rFont val="宋体"/>
            <charset val="134"/>
          </rPr>
          <t xml:space="preserve">
1200403 11/14 37440pcs</t>
        </r>
      </text>
    </comment>
    <comment ref="AI758" authorId="0">
      <text>
        <r>
          <rPr>
            <b/>
            <sz val="9"/>
            <rFont val="宋体"/>
            <charset val="134"/>
          </rPr>
          <t>Administrator:</t>
        </r>
        <r>
          <rPr>
            <sz val="9"/>
            <rFont val="宋体"/>
            <charset val="134"/>
          </rPr>
          <t xml:space="preserve">
11/5 上客供RFID贴纸37440pcs</t>
        </r>
      </text>
    </comment>
    <comment ref="AF759" authorId="0">
      <text>
        <r>
          <rPr>
            <b/>
            <sz val="9"/>
            <rFont val="宋体"/>
            <charset val="134"/>
          </rPr>
          <t>Administrator:</t>
        </r>
        <r>
          <rPr>
            <sz val="9"/>
            <rFont val="宋体"/>
            <charset val="134"/>
          </rPr>
          <t xml:space="preserve">
1200443 11/19 29760pcs华3A19</t>
        </r>
      </text>
    </comment>
    <comment ref="AI759" authorId="0">
      <text>
        <r>
          <rPr>
            <b/>
            <sz val="9"/>
            <rFont val="宋体"/>
            <charset val="134"/>
          </rPr>
          <t>Administrator:</t>
        </r>
        <r>
          <rPr>
            <sz val="9"/>
            <rFont val="宋体"/>
            <charset val="134"/>
          </rPr>
          <t xml:space="preserve">
11/5 上客供RFID贴纸29760pcs
</t>
        </r>
      </text>
    </comment>
    <comment ref="AF760" authorId="0">
      <text>
        <r>
          <rPr>
            <b/>
            <sz val="9"/>
            <rFont val="宋体"/>
            <charset val="134"/>
          </rPr>
          <t>Administrator:</t>
        </r>
        <r>
          <rPr>
            <sz val="9"/>
            <rFont val="宋体"/>
            <charset val="134"/>
          </rPr>
          <t xml:space="preserve">
1200436 11/18 728PCS华3B12
1200467 11/20 52pcs华3B12</t>
        </r>
      </text>
    </comment>
    <comment ref="AI760" authorId="0">
      <text>
        <r>
          <rPr>
            <b/>
            <sz val="9"/>
            <rFont val="宋体"/>
            <charset val="134"/>
          </rPr>
          <t>Administrator:</t>
        </r>
        <r>
          <rPr>
            <sz val="9"/>
            <rFont val="宋体"/>
            <charset val="134"/>
          </rPr>
          <t xml:space="preserve">
10/13 上PDQ条码贴纸40pcs
德语警语贴纸520pcs
11/14 上德语警告语贴纸260pcs加单260</t>
        </r>
      </text>
    </comment>
    <comment ref="AF761" authorId="0">
      <text>
        <r>
          <rPr>
            <b/>
            <sz val="9"/>
            <rFont val="宋体"/>
            <charset val="134"/>
          </rPr>
          <t>Administrator:</t>
        </r>
        <r>
          <rPr>
            <sz val="9"/>
            <rFont val="宋体"/>
            <charset val="134"/>
          </rPr>
          <t xml:space="preserve">
1200430 11/18 4810pcs
华3B14</t>
        </r>
      </text>
    </comment>
    <comment ref="AI761" authorId="0">
      <text>
        <r>
          <rPr>
            <b/>
            <sz val="9"/>
            <rFont val="宋体"/>
            <charset val="134"/>
          </rPr>
          <t>Administrator:</t>
        </r>
        <r>
          <rPr>
            <sz val="9"/>
            <rFont val="宋体"/>
            <charset val="134"/>
          </rPr>
          <t xml:space="preserve">
11/7 上多语可折叠贴纸4810pcs
</t>
        </r>
      </text>
    </comment>
    <comment ref="AF762" authorId="0">
      <text>
        <r>
          <rPr>
            <b/>
            <sz val="9"/>
            <rFont val="宋体"/>
            <charset val="134"/>
          </rPr>
          <t>Administrator:</t>
        </r>
        <r>
          <rPr>
            <sz val="9"/>
            <rFont val="宋体"/>
            <charset val="134"/>
          </rPr>
          <t xml:space="preserve">
4001139 11/26 5472pcs
华3A17-18
4001139 11/26 4536pcs华3A17-18</t>
        </r>
      </text>
    </comment>
    <comment ref="AI762" authorId="0">
      <text>
        <r>
          <rPr>
            <b/>
            <sz val="9"/>
            <rFont val="宋体"/>
            <charset val="134"/>
          </rPr>
          <t>Administrator:</t>
        </r>
        <r>
          <rPr>
            <sz val="9"/>
            <rFont val="宋体"/>
            <charset val="134"/>
          </rPr>
          <t xml:space="preserve">
9/23 上客供芯片贴纸10008pcs
9/25 上3C贴纸50664pcs
11/10 上空白贴纸110256ｐｃｓ</t>
        </r>
      </text>
    </comment>
    <comment ref="AF763" authorId="0">
      <text>
        <r>
          <rPr>
            <b/>
            <sz val="9"/>
            <rFont val="宋体"/>
            <charset val="134"/>
          </rPr>
          <t>Administrator:</t>
        </r>
        <r>
          <rPr>
            <sz val="9"/>
            <rFont val="宋体"/>
            <charset val="134"/>
          </rPr>
          <t xml:space="preserve">
4001139 11/26 660pcs
华一F3
</t>
        </r>
      </text>
    </comment>
    <comment ref="AI763" authorId="0">
      <text>
        <r>
          <rPr>
            <b/>
            <sz val="9"/>
            <rFont val="宋体"/>
            <charset val="134"/>
          </rPr>
          <t>Administrator:</t>
        </r>
        <r>
          <rPr>
            <sz val="9"/>
            <rFont val="宋体"/>
            <charset val="134"/>
          </rPr>
          <t xml:space="preserve">
9/23 上客供芯片贴纸660pcs
</t>
        </r>
      </text>
    </comment>
    <comment ref="AF764" authorId="0">
      <text>
        <r>
          <rPr>
            <b/>
            <sz val="9"/>
            <rFont val="宋体"/>
            <charset val="134"/>
          </rPr>
          <t>Administrator:</t>
        </r>
        <r>
          <rPr>
            <sz val="9"/>
            <rFont val="宋体"/>
            <charset val="134"/>
          </rPr>
          <t xml:space="preserve">
12/8 1200213 3280PCS华3b10 
12/8 1200209 6720PCS 华3b10</t>
        </r>
      </text>
    </comment>
    <comment ref="AI764" authorId="0">
      <text>
        <r>
          <rPr>
            <b/>
            <sz val="9"/>
            <rFont val="宋体"/>
            <charset val="134"/>
          </rPr>
          <t>Administrator:</t>
        </r>
        <r>
          <rPr>
            <sz val="9"/>
            <rFont val="宋体"/>
            <charset val="134"/>
          </rPr>
          <t xml:space="preserve">
10/23 上进口商贴纸10000pcs
UPC贴纸10000pcs
</t>
        </r>
      </text>
    </comment>
    <comment ref="AF765" authorId="0">
      <text>
        <r>
          <rPr>
            <b/>
            <sz val="9"/>
            <rFont val="宋体"/>
            <charset val="134"/>
          </rPr>
          <t>Administrator:</t>
        </r>
        <r>
          <rPr>
            <sz val="9"/>
            <rFont val="宋体"/>
            <charset val="134"/>
          </rPr>
          <t xml:space="preserve">
1200426 11/17 1488PCS华B13
1200430 11/18 24pcs华3B13</t>
        </r>
      </text>
    </comment>
    <comment ref="AI765" authorId="0">
      <text>
        <r>
          <rPr>
            <b/>
            <sz val="9"/>
            <rFont val="宋体"/>
            <charset val="134"/>
          </rPr>
          <t>Administrator:</t>
        </r>
        <r>
          <rPr>
            <sz val="9"/>
            <rFont val="宋体"/>
            <charset val="134"/>
          </rPr>
          <t xml:space="preserve">
11/1 上客人白色CATLABEL贴纸1512pcs</t>
        </r>
      </text>
    </comment>
    <comment ref="AF766" authorId="0">
      <text>
        <r>
          <rPr>
            <b/>
            <sz val="9"/>
            <rFont val="宋体"/>
            <charset val="134"/>
          </rPr>
          <t>Administrator:</t>
        </r>
        <r>
          <rPr>
            <sz val="9"/>
            <rFont val="宋体"/>
            <charset val="134"/>
          </rPr>
          <t xml:space="preserve">
1200481 11/22 1248pcs华3B14</t>
        </r>
      </text>
    </comment>
    <comment ref="AF767" authorId="0">
      <text>
        <r>
          <rPr>
            <b/>
            <sz val="9"/>
            <rFont val="宋体"/>
            <charset val="134"/>
          </rPr>
          <t>Administrator:</t>
        </r>
        <r>
          <rPr>
            <sz val="9"/>
            <rFont val="宋体"/>
            <charset val="134"/>
          </rPr>
          <t xml:space="preserve">
1200505 11/25 10010pcs华3B16</t>
        </r>
      </text>
    </comment>
    <comment ref="AI767" authorId="0">
      <text>
        <r>
          <rPr>
            <b/>
            <sz val="9"/>
            <rFont val="宋体"/>
            <charset val="134"/>
          </rPr>
          <t>Administrator:</t>
        </r>
        <r>
          <rPr>
            <sz val="9"/>
            <rFont val="宋体"/>
            <charset val="134"/>
          </rPr>
          <t xml:space="preserve">
10/23 上多语折叠贴纸13610pcs
同PO共用</t>
        </r>
      </text>
    </comment>
    <comment ref="AF768" authorId="0">
      <text>
        <r>
          <rPr>
            <b/>
            <sz val="9"/>
            <rFont val="宋体"/>
            <charset val="134"/>
          </rPr>
          <t>Administrator:</t>
        </r>
        <r>
          <rPr>
            <sz val="9"/>
            <rFont val="宋体"/>
            <charset val="134"/>
          </rPr>
          <t xml:space="preserve">
1200463 11/20 3600pcsB栋4-A8</t>
        </r>
      </text>
    </comment>
    <comment ref="AF769" authorId="0">
      <text>
        <r>
          <rPr>
            <b/>
            <sz val="9"/>
            <rFont val="宋体"/>
            <charset val="134"/>
          </rPr>
          <t>Administrator:</t>
        </r>
        <r>
          <rPr>
            <sz val="9"/>
            <rFont val="宋体"/>
            <charset val="134"/>
          </rPr>
          <t xml:space="preserve">
1200426 11/17 8281PCS华3A24
</t>
        </r>
      </text>
    </comment>
    <comment ref="AF770" authorId="0">
      <text>
        <r>
          <rPr>
            <b/>
            <sz val="9"/>
            <rFont val="宋体"/>
            <charset val="134"/>
          </rPr>
          <t>Administrator:</t>
        </r>
        <r>
          <rPr>
            <sz val="9"/>
            <rFont val="宋体"/>
            <charset val="134"/>
          </rPr>
          <t xml:space="preserve">
1200426 11/17 4446PCS华3B9
</t>
        </r>
      </text>
    </comment>
    <comment ref="AF771" authorId="0">
      <text>
        <r>
          <rPr>
            <b/>
            <sz val="9"/>
            <rFont val="宋体"/>
            <charset val="134"/>
          </rPr>
          <t>Administrator:</t>
        </r>
        <r>
          <rPr>
            <sz val="9"/>
            <rFont val="宋体"/>
            <charset val="134"/>
          </rPr>
          <t xml:space="preserve">
4001130 11/24 50880pcs华1B3</t>
        </r>
      </text>
    </comment>
    <comment ref="AI771" authorId="0">
      <text>
        <r>
          <rPr>
            <b/>
            <sz val="9"/>
            <rFont val="宋体"/>
            <charset val="134"/>
          </rPr>
          <t>Administrator:</t>
        </r>
        <r>
          <rPr>
            <sz val="9"/>
            <rFont val="宋体"/>
            <charset val="134"/>
          </rPr>
          <t xml:space="preserve">
11/5 上客供RFID贴纸50880pcs
</t>
        </r>
      </text>
    </comment>
    <comment ref="AF772" authorId="0">
      <text>
        <r>
          <rPr>
            <b/>
            <sz val="9"/>
            <rFont val="宋体"/>
            <charset val="134"/>
          </rPr>
          <t>Administrator:</t>
        </r>
        <r>
          <rPr>
            <sz val="9"/>
            <rFont val="宋体"/>
            <charset val="134"/>
          </rPr>
          <t xml:space="preserve">
1200426 11/17 2600PCS华3A27
</t>
        </r>
      </text>
    </comment>
    <comment ref="AI772" authorId="0">
      <text>
        <r>
          <rPr>
            <b/>
            <sz val="9"/>
            <rFont val="宋体"/>
            <charset val="134"/>
          </rPr>
          <t>Administrator:</t>
        </r>
        <r>
          <rPr>
            <sz val="9"/>
            <rFont val="宋体"/>
            <charset val="134"/>
          </rPr>
          <t xml:space="preserve">
10/27 上多语警语折叠贴纸2600pcs</t>
        </r>
      </text>
    </comment>
    <comment ref="AF773" authorId="0">
      <text>
        <r>
          <rPr>
            <b/>
            <sz val="9"/>
            <rFont val="宋体"/>
            <charset val="134"/>
          </rPr>
          <t>Administrator:</t>
        </r>
        <r>
          <rPr>
            <sz val="9"/>
            <rFont val="宋体"/>
            <charset val="134"/>
          </rPr>
          <t xml:space="preserve">
5000213 10/28 2688pcs
华3A20
5000211 10/28 19392pcs
华3A20</t>
        </r>
      </text>
    </comment>
    <comment ref="AI773" authorId="0">
      <text>
        <r>
          <rPr>
            <b/>
            <sz val="9"/>
            <rFont val="宋体"/>
            <charset val="134"/>
          </rPr>
          <t>Administrator:</t>
        </r>
        <r>
          <rPr>
            <sz val="9"/>
            <rFont val="宋体"/>
            <charset val="134"/>
          </rPr>
          <t xml:space="preserve">
10/17 上客供RFID贴纸22080pcs
</t>
        </r>
      </text>
    </comment>
    <comment ref="AF774" authorId="0">
      <text>
        <r>
          <rPr>
            <b/>
            <sz val="9"/>
            <rFont val="宋体"/>
            <charset val="134"/>
          </rPr>
          <t>Administrator:</t>
        </r>
        <r>
          <rPr>
            <sz val="9"/>
            <rFont val="宋体"/>
            <charset val="134"/>
          </rPr>
          <t xml:space="preserve">
1200426 11/17 1400PCS华3B14
1200430 11/18 50pcs华3B14</t>
        </r>
      </text>
    </comment>
    <comment ref="AI774" authorId="0">
      <text>
        <r>
          <rPr>
            <b/>
            <sz val="9"/>
            <rFont val="宋体"/>
            <charset val="134"/>
          </rPr>
          <t>Administrator:</t>
        </r>
        <r>
          <rPr>
            <sz val="9"/>
            <rFont val="宋体"/>
            <charset val="134"/>
          </rPr>
          <t xml:space="preserve">
10/21 上进口商贴纸1450pcs
UPC贴纸1450pcs
10/29 收縮膜条码贴纸 1450pcs
</t>
        </r>
      </text>
    </comment>
    <comment ref="AF775" authorId="0">
      <text>
        <r>
          <rPr>
            <b/>
            <sz val="9"/>
            <rFont val="宋体"/>
            <charset val="134"/>
          </rPr>
          <t>Administrator:</t>
        </r>
        <r>
          <rPr>
            <sz val="9"/>
            <rFont val="宋体"/>
            <charset val="134"/>
          </rPr>
          <t xml:space="preserve">
1200421 11/17 1050ｐｃｓ华3B13</t>
        </r>
      </text>
    </comment>
    <comment ref="AI775" authorId="0">
      <text>
        <r>
          <rPr>
            <b/>
            <sz val="9"/>
            <rFont val="宋体"/>
            <charset val="134"/>
          </rPr>
          <t>Administrator:</t>
        </r>
        <r>
          <rPr>
            <sz val="9"/>
            <rFont val="宋体"/>
            <charset val="134"/>
          </rPr>
          <t xml:space="preserve">
10/21 上进口商贴纸1050pcs
UPC贴纸1050pcs
10/29 收縮膜条码贴纸 1050pcs
</t>
        </r>
      </text>
    </comment>
    <comment ref="AF776" authorId="0">
      <text>
        <r>
          <rPr>
            <b/>
            <sz val="9"/>
            <rFont val="宋体"/>
            <charset val="134"/>
          </rPr>
          <t>Administrator:</t>
        </r>
        <r>
          <rPr>
            <sz val="9"/>
            <rFont val="宋体"/>
            <charset val="134"/>
          </rPr>
          <t xml:space="preserve">
5000245 10/30 7875pcs
5000216 10/30 8125pcs</t>
        </r>
      </text>
    </comment>
    <comment ref="AF777" authorId="0">
      <text>
        <r>
          <rPr>
            <b/>
            <sz val="9"/>
            <rFont val="宋体"/>
            <charset val="134"/>
          </rPr>
          <t>Administrator:</t>
        </r>
        <r>
          <rPr>
            <sz val="9"/>
            <rFont val="宋体"/>
            <charset val="134"/>
          </rPr>
          <t xml:space="preserve">
1200333 11/8 37536ｐｃｓ
直走
1200334 11/8 12468pcs直走</t>
        </r>
      </text>
    </comment>
    <comment ref="AI777" authorId="0">
      <text>
        <r>
          <rPr>
            <b/>
            <sz val="9"/>
            <rFont val="宋体"/>
            <charset val="134"/>
          </rPr>
          <t>Administrator:</t>
        </r>
        <r>
          <rPr>
            <sz val="9"/>
            <rFont val="宋体"/>
            <charset val="134"/>
          </rPr>
          <t xml:space="preserve">
11/1 UPC条码贴纸50004pcs
进口商贴纸50004pcs</t>
        </r>
      </text>
    </comment>
    <comment ref="AF778" authorId="0">
      <text>
        <r>
          <rPr>
            <b/>
            <sz val="9"/>
            <rFont val="宋体"/>
            <charset val="134"/>
          </rPr>
          <t>Administrator:</t>
        </r>
        <r>
          <rPr>
            <sz val="9"/>
            <rFont val="宋体"/>
            <charset val="134"/>
          </rPr>
          <t xml:space="preserve">
1200263 10/31 1200pcs华3B14</t>
        </r>
      </text>
    </comment>
    <comment ref="AI778" authorId="0">
      <text>
        <r>
          <rPr>
            <b/>
            <sz val="9"/>
            <rFont val="宋体"/>
            <charset val="134"/>
          </rPr>
          <t>Administrator:</t>
        </r>
        <r>
          <rPr>
            <sz val="9"/>
            <rFont val="宋体"/>
            <charset val="134"/>
          </rPr>
          <t xml:space="preserve">
10/13 上正面收藏指南贴纸2500pcs
背面收藏指南贴纸2500pcs
两个同PO共用
10/13 上进口商贴纸2500pcs
上UPC条码贴纸2500pcs
两个同PO共用</t>
        </r>
      </text>
    </comment>
    <comment ref="AF779" authorId="0">
      <text>
        <r>
          <rPr>
            <b/>
            <sz val="9"/>
            <rFont val="宋体"/>
            <charset val="134"/>
          </rPr>
          <t>Administrator:</t>
        </r>
        <r>
          <rPr>
            <sz val="9"/>
            <rFont val="宋体"/>
            <charset val="134"/>
          </rPr>
          <t xml:space="preserve">
1200263 10/31 1300pcs华3B14</t>
        </r>
      </text>
    </comment>
    <comment ref="AF780" authorId="0">
      <text>
        <r>
          <rPr>
            <b/>
            <sz val="9"/>
            <rFont val="宋体"/>
            <charset val="134"/>
          </rPr>
          <t>Administrator:</t>
        </r>
        <r>
          <rPr>
            <sz val="9"/>
            <rFont val="宋体"/>
            <charset val="134"/>
          </rPr>
          <t xml:space="preserve">
1200520 11/26 624pcs
华3B8</t>
        </r>
      </text>
    </comment>
    <comment ref="AI780" authorId="0">
      <text>
        <r>
          <rPr>
            <b/>
            <sz val="9"/>
            <rFont val="宋体"/>
            <charset val="134"/>
          </rPr>
          <t>Administrator:</t>
        </r>
        <r>
          <rPr>
            <sz val="9"/>
            <rFont val="宋体"/>
            <charset val="134"/>
          </rPr>
          <t xml:space="preserve">
11/3 上UPC条码贴纸624pcs
11/22 上客供警语贴纸贴说明书650pcs
客供警语贴纸贴收藏指南648pcs
客供警语贴纸贴球底部648pcs</t>
        </r>
      </text>
    </comment>
    <comment ref="AI781" authorId="0">
      <text>
        <r>
          <rPr>
            <b/>
            <sz val="9"/>
            <rFont val="宋体"/>
            <charset val="134"/>
          </rPr>
          <t>Administrator:</t>
        </r>
        <r>
          <rPr>
            <sz val="9"/>
            <rFont val="宋体"/>
            <charset val="134"/>
          </rPr>
          <t xml:space="preserve">
10/21 上进口商贴纸4800pcs
UPC贴纸4800pcs
10/29 收縮膜条码贴纸 4800pcs</t>
        </r>
      </text>
    </comment>
    <comment ref="AF782" authorId="0">
      <text>
        <r>
          <rPr>
            <b/>
            <sz val="9"/>
            <rFont val="宋体"/>
            <charset val="134"/>
          </rPr>
          <t>Administrator:</t>
        </r>
        <r>
          <rPr>
            <sz val="9"/>
            <rFont val="宋体"/>
            <charset val="134"/>
          </rPr>
          <t xml:space="preserve">
1200421 11/17 1770ｐｃｓ华3B13
1200426 11/17 30PCS华3B13</t>
        </r>
      </text>
    </comment>
    <comment ref="AI782" authorId="0">
      <text>
        <r>
          <rPr>
            <b/>
            <sz val="9"/>
            <rFont val="宋体"/>
            <charset val="134"/>
          </rPr>
          <t>Administrator:</t>
        </r>
        <r>
          <rPr>
            <sz val="9"/>
            <rFont val="宋体"/>
            <charset val="134"/>
          </rPr>
          <t xml:space="preserve">
10/21 上进口商贴纸1800pcs
UPC贴纸1800pcs
10/29 收縮膜条码贴纸 1800pcs
</t>
        </r>
      </text>
    </comment>
    <comment ref="AF783" authorId="0">
      <text>
        <r>
          <rPr>
            <b/>
            <sz val="9"/>
            <rFont val="宋体"/>
            <charset val="134"/>
          </rPr>
          <t>Administrator:</t>
        </r>
        <r>
          <rPr>
            <sz val="9"/>
            <rFont val="宋体"/>
            <charset val="134"/>
          </rPr>
          <t xml:space="preserve">
4001143 11/27 32640pcs华3A7.18
4001143 11/28 15360pcs华1f9</t>
        </r>
      </text>
    </comment>
    <comment ref="AI783" authorId="0">
      <text>
        <r>
          <rPr>
            <b/>
            <sz val="9"/>
            <rFont val="宋体"/>
            <charset val="134"/>
          </rPr>
          <t>Administrator:</t>
        </r>
        <r>
          <rPr>
            <sz val="9"/>
            <rFont val="宋体"/>
            <charset val="134"/>
          </rPr>
          <t xml:space="preserve">
11/5 上客供RFID贴纸48000pcs
</t>
        </r>
      </text>
    </comment>
    <comment ref="AF784" authorId="0">
      <text>
        <r>
          <rPr>
            <b/>
            <sz val="9"/>
            <rFont val="宋体"/>
            <charset val="134"/>
          </rPr>
          <t>Administrator:</t>
        </r>
        <r>
          <rPr>
            <sz val="9"/>
            <rFont val="宋体"/>
            <charset val="134"/>
          </rPr>
          <t xml:space="preserve">
1200534 11/27 221pcs华3B13</t>
        </r>
      </text>
    </comment>
    <comment ref="AF785" authorId="0">
      <text>
        <r>
          <rPr>
            <b/>
            <sz val="9"/>
            <rFont val="宋体"/>
            <charset val="134"/>
          </rPr>
          <t>Administrator:</t>
        </r>
        <r>
          <rPr>
            <sz val="9"/>
            <rFont val="宋体"/>
            <charset val="134"/>
          </rPr>
          <t xml:space="preserve">
1200179 11/29 1508pcs 华3b17</t>
        </r>
      </text>
    </comment>
    <comment ref="AI785" authorId="0">
      <text>
        <r>
          <rPr>
            <b/>
            <sz val="9"/>
            <rFont val="宋体"/>
            <charset val="134"/>
          </rPr>
          <t>Administrator:</t>
        </r>
        <r>
          <rPr>
            <sz val="9"/>
            <rFont val="宋体"/>
            <charset val="134"/>
          </rPr>
          <t xml:space="preserve">
11/14 上KM单外箱贴纸116pcs
11/22 上白色防盗贴纸1508pcs
</t>
        </r>
      </text>
    </comment>
    <comment ref="AF786" authorId="0">
      <text>
        <r>
          <rPr>
            <b/>
            <sz val="9"/>
            <rFont val="宋体"/>
            <charset val="134"/>
          </rPr>
          <t>Administrator:</t>
        </r>
        <r>
          <rPr>
            <sz val="9"/>
            <rFont val="宋体"/>
            <charset val="134"/>
          </rPr>
          <t xml:space="preserve">
1200530 11/26 7501pcs
华3A16</t>
        </r>
      </text>
    </comment>
    <comment ref="AI786" authorId="0">
      <text>
        <r>
          <rPr>
            <b/>
            <sz val="9"/>
            <rFont val="宋体"/>
            <charset val="134"/>
          </rPr>
          <t>Administrator:</t>
        </r>
        <r>
          <rPr>
            <sz val="9"/>
            <rFont val="宋体"/>
            <charset val="134"/>
          </rPr>
          <t xml:space="preserve">
11/7 上多语可折叠贴纸7501pcs</t>
        </r>
      </text>
    </comment>
    <comment ref="AF787" authorId="0">
      <text>
        <r>
          <rPr>
            <b/>
            <sz val="9"/>
            <rFont val="宋体"/>
            <charset val="134"/>
          </rPr>
          <t>Administrator:</t>
        </r>
        <r>
          <rPr>
            <sz val="9"/>
            <rFont val="宋体"/>
            <charset val="134"/>
          </rPr>
          <t xml:space="preserve">
1200530 11/26 23350pcs
华3A23
1200524 11/26 3150pcs华3A23</t>
        </r>
      </text>
    </comment>
    <comment ref="AI787" authorId="0">
      <text>
        <r>
          <rPr>
            <b/>
            <sz val="9"/>
            <rFont val="宋体"/>
            <charset val="134"/>
          </rPr>
          <t>Administrator:</t>
        </r>
        <r>
          <rPr>
            <sz val="9"/>
            <rFont val="宋体"/>
            <charset val="134"/>
          </rPr>
          <t xml:space="preserve">
11/6 上客供外箱条码贴纸1071pcs
</t>
        </r>
      </text>
    </comment>
    <comment ref="AF788" authorId="0">
      <text>
        <r>
          <rPr>
            <b/>
            <sz val="9"/>
            <rFont val="宋体"/>
            <charset val="134"/>
          </rPr>
          <t>Administrator:</t>
        </r>
        <r>
          <rPr>
            <sz val="9"/>
            <rFont val="宋体"/>
            <charset val="134"/>
          </rPr>
          <t xml:space="preserve">
1200549 11/27 14400pcs
华3A11
1200551 11/27 11592pcs
华3A11</t>
        </r>
      </text>
    </comment>
    <comment ref="AF789" authorId="0">
      <text>
        <r>
          <rPr>
            <b/>
            <sz val="9"/>
            <rFont val="宋体"/>
            <charset val="134"/>
          </rPr>
          <t>Administrator:</t>
        </r>
        <r>
          <rPr>
            <sz val="9"/>
            <rFont val="宋体"/>
            <charset val="134"/>
          </rPr>
          <t xml:space="preserve">
1200179 11/29 611pcs华3a17</t>
        </r>
      </text>
    </comment>
    <comment ref="AI789" authorId="0">
      <text>
        <r>
          <rPr>
            <b/>
            <sz val="9"/>
            <rFont val="宋体"/>
            <charset val="134"/>
          </rPr>
          <t>Administrator:</t>
        </r>
        <r>
          <rPr>
            <sz val="9"/>
            <rFont val="宋体"/>
            <charset val="134"/>
          </rPr>
          <t xml:space="preserve">
10/25 上瑞典警告语贴纸611pcs
内袋贴纸1 1833pcs
内袋贴纸2 3666pcs</t>
        </r>
      </text>
    </comment>
    <comment ref="AF790" authorId="0">
      <text>
        <r>
          <rPr>
            <b/>
            <sz val="9"/>
            <rFont val="宋体"/>
            <charset val="134"/>
          </rPr>
          <t>Administrator:</t>
        </r>
        <r>
          <rPr>
            <sz val="9"/>
            <rFont val="宋体"/>
            <charset val="134"/>
          </rPr>
          <t xml:space="preserve">
1200549 11/27 3900pcs华3B8</t>
        </r>
      </text>
    </comment>
    <comment ref="AI790" authorId="0">
      <text>
        <r>
          <rPr>
            <b/>
            <sz val="9"/>
            <rFont val="宋体"/>
            <charset val="134"/>
          </rPr>
          <t>Administrator:</t>
        </r>
        <r>
          <rPr>
            <sz val="9"/>
            <rFont val="宋体"/>
            <charset val="134"/>
          </rPr>
          <t xml:space="preserve">
11/18 上客供防窜码贴纸3900pcs1拖1</t>
        </r>
      </text>
    </comment>
    <comment ref="AF791" authorId="0">
      <text>
        <r>
          <rPr>
            <b/>
            <sz val="9"/>
            <rFont val="宋体"/>
            <charset val="134"/>
          </rPr>
          <t>Administrator:</t>
        </r>
        <r>
          <rPr>
            <sz val="9"/>
            <rFont val="宋体"/>
            <charset val="134"/>
          </rPr>
          <t xml:space="preserve">
1200520 11/26 13650pcs华3A22
1200551 11/27 3211pcs
华3A22
1200534 11/27 39pcs
华3A22</t>
        </r>
      </text>
    </comment>
    <comment ref="AI791" authorId="0">
      <text>
        <r>
          <rPr>
            <b/>
            <sz val="9"/>
            <rFont val="宋体"/>
            <charset val="134"/>
          </rPr>
          <t>Administrator:</t>
        </r>
        <r>
          <rPr>
            <sz val="9"/>
            <rFont val="宋体"/>
            <charset val="134"/>
          </rPr>
          <t xml:space="preserve">
11/18 上客供防窜码贴纸16900pcs1拖13
</t>
        </r>
      </text>
    </comment>
    <comment ref="AF792" authorId="0">
      <text>
        <r>
          <rPr>
            <b/>
            <sz val="9"/>
            <rFont val="宋体"/>
            <charset val="134"/>
          </rPr>
          <t>Administrator:</t>
        </r>
        <r>
          <rPr>
            <sz val="9"/>
            <rFont val="宋体"/>
            <charset val="134"/>
          </rPr>
          <t xml:space="preserve">
4001137 11/25 40320pcs华3A12
4001139 11/26 20160pcs华3A12</t>
        </r>
      </text>
    </comment>
    <comment ref="AI792" authorId="0">
      <text>
        <r>
          <rPr>
            <b/>
            <sz val="9"/>
            <rFont val="宋体"/>
            <charset val="134"/>
          </rPr>
          <t>Administrator:</t>
        </r>
        <r>
          <rPr>
            <sz val="9"/>
            <rFont val="宋体"/>
            <charset val="134"/>
          </rPr>
          <t xml:space="preserve">
12/24 上客供RFID贴纸60480pcs</t>
        </r>
      </text>
    </comment>
    <comment ref="AF793" authorId="0">
      <text>
        <r>
          <rPr>
            <b/>
            <sz val="9"/>
            <rFont val="宋体"/>
            <charset val="134"/>
          </rPr>
          <t>Administrator:</t>
        </r>
        <r>
          <rPr>
            <sz val="9"/>
            <rFont val="宋体"/>
            <charset val="134"/>
          </rPr>
          <t xml:space="preserve">
4001158 11/28 32640pcs 华3a12</t>
        </r>
      </text>
    </comment>
    <comment ref="AI793" authorId="0">
      <text>
        <r>
          <rPr>
            <b/>
            <sz val="9"/>
            <rFont val="宋体"/>
            <charset val="134"/>
          </rPr>
          <t>Administrator:</t>
        </r>
        <r>
          <rPr>
            <sz val="9"/>
            <rFont val="宋体"/>
            <charset val="134"/>
          </rPr>
          <t xml:space="preserve">
12/24 上客供RFID贴纸32640pcs
</t>
        </r>
      </text>
    </comment>
    <comment ref="AF794" authorId="0">
      <text>
        <r>
          <rPr>
            <b/>
            <sz val="9"/>
            <rFont val="宋体"/>
            <charset val="134"/>
          </rPr>
          <t>Administrator:</t>
        </r>
        <r>
          <rPr>
            <sz val="9"/>
            <rFont val="宋体"/>
            <charset val="134"/>
          </rPr>
          <t xml:space="preserve">
4001166 12/2 6448pcs华直走
4001165 12/2 28112pcs华1f9直走</t>
        </r>
      </text>
    </comment>
    <comment ref="AI794" authorId="0">
      <text>
        <r>
          <rPr>
            <b/>
            <sz val="9"/>
            <rFont val="宋体"/>
            <charset val="134"/>
          </rPr>
          <t>Administrator:</t>
        </r>
        <r>
          <rPr>
            <sz val="9"/>
            <rFont val="宋体"/>
            <charset val="134"/>
          </rPr>
          <t xml:space="preserve">
12/24 上客供RFID贴纸34560pcs
</t>
        </r>
      </text>
    </comment>
    <comment ref="AF795" authorId="0">
      <text>
        <r>
          <rPr>
            <b/>
            <sz val="9"/>
            <rFont val="宋体"/>
            <charset val="134"/>
          </rPr>
          <t>Administrator:</t>
        </r>
        <r>
          <rPr>
            <sz val="9"/>
            <rFont val="宋体"/>
            <charset val="134"/>
          </rPr>
          <t xml:space="preserve">
1200202 12/6 1056pcs王4b1</t>
        </r>
      </text>
    </comment>
    <comment ref="AI795" authorId="0">
      <text>
        <r>
          <rPr>
            <b/>
            <sz val="9"/>
            <rFont val="宋体"/>
            <charset val="134"/>
          </rPr>
          <t>Administrator:</t>
        </r>
        <r>
          <rPr>
            <sz val="9"/>
            <rFont val="宋体"/>
            <charset val="134"/>
          </rPr>
          <t xml:space="preserve">
11/10 上空白贴纸3024PCS
价格贴纸1512PCS
两个同PO共用
11/22 客供NJ外箱贴纸88pcs
通用客供外箱贴纸88pcs
</t>
        </r>
      </text>
    </comment>
    <comment ref="AF796" authorId="0">
      <text>
        <r>
          <rPr>
            <b/>
            <sz val="9"/>
            <rFont val="宋体"/>
            <charset val="134"/>
          </rPr>
          <t>Administrator:</t>
        </r>
        <r>
          <rPr>
            <sz val="9"/>
            <rFont val="宋体"/>
            <charset val="134"/>
          </rPr>
          <t xml:space="preserve">
1200202 12/6 456pcs王4b1
</t>
        </r>
      </text>
    </comment>
    <comment ref="AI796" authorId="0">
      <text>
        <r>
          <rPr>
            <b/>
            <sz val="9"/>
            <rFont val="宋体"/>
            <charset val="134"/>
          </rPr>
          <t>Administrator:</t>
        </r>
        <r>
          <rPr>
            <sz val="9"/>
            <rFont val="宋体"/>
            <charset val="134"/>
          </rPr>
          <t xml:space="preserve">
11/22 客供NV外箱贴纸38pcs
通用客供外箱贴纸38pcs
</t>
        </r>
      </text>
    </comment>
    <comment ref="AF797" authorId="0">
      <text>
        <r>
          <rPr>
            <b/>
            <sz val="9"/>
            <rFont val="宋体"/>
            <charset val="134"/>
          </rPr>
          <t>Administrator:</t>
        </r>
        <r>
          <rPr>
            <sz val="9"/>
            <rFont val="宋体"/>
            <charset val="134"/>
          </rPr>
          <t xml:space="preserve">
1200179 11/29 5200pcs华1f4</t>
        </r>
      </text>
    </comment>
    <comment ref="AI797" authorId="0">
      <text>
        <r>
          <rPr>
            <b/>
            <sz val="9"/>
            <rFont val="宋体"/>
            <charset val="134"/>
          </rPr>
          <t>Administrator:</t>
        </r>
        <r>
          <rPr>
            <sz val="9"/>
            <rFont val="宋体"/>
            <charset val="134"/>
          </rPr>
          <t xml:space="preserve">
11/13 上进口商贴纸5200pcs
UPC条码贴纸5200pcs</t>
        </r>
      </text>
    </comment>
    <comment ref="AF798" authorId="0">
      <text>
        <r>
          <rPr>
            <b/>
            <sz val="9"/>
            <rFont val="宋体"/>
            <charset val="134"/>
          </rPr>
          <t>Administrator:</t>
        </r>
        <r>
          <rPr>
            <sz val="9"/>
            <rFont val="宋体"/>
            <charset val="134"/>
          </rPr>
          <t xml:space="preserve">
1200591 12/2 17992pcs 华1f5
1200593 12/2 25pcs 华1f5</t>
        </r>
      </text>
    </comment>
    <comment ref="AI798" authorId="0">
      <text>
        <r>
          <rPr>
            <b/>
            <sz val="9"/>
            <rFont val="宋体"/>
            <charset val="134"/>
          </rPr>
          <t>Administrator:</t>
        </r>
        <r>
          <rPr>
            <sz val="9"/>
            <rFont val="宋体"/>
            <charset val="134"/>
          </rPr>
          <t xml:space="preserve">
11/10 上客户EAN条码贴纸18044PCS
PDQ数量贴纸4511PCS</t>
        </r>
      </text>
    </comment>
    <comment ref="AF799" authorId="0">
      <text>
        <r>
          <rPr>
            <b/>
            <sz val="9"/>
            <rFont val="宋体"/>
            <charset val="134"/>
          </rPr>
          <t>Administrator:</t>
        </r>
        <r>
          <rPr>
            <sz val="9"/>
            <rFont val="宋体"/>
            <charset val="134"/>
          </rPr>
          <t xml:space="preserve">
4001146 11/28 534pcs
4001144 11/28 9450pcs
4001158 11/28 18pcs </t>
        </r>
      </text>
    </comment>
    <comment ref="AI799" authorId="0">
      <text>
        <r>
          <rPr>
            <b/>
            <sz val="9"/>
            <rFont val="宋体"/>
            <charset val="134"/>
          </rPr>
          <t>Administrator:</t>
        </r>
        <r>
          <rPr>
            <sz val="9"/>
            <rFont val="宋体"/>
            <charset val="134"/>
          </rPr>
          <t xml:space="preserve">
9/23 上客供芯片贴纸10002pcs
11/4 上空白贴纸106656ｐｃｓ
条码贴纸20800ｐｃｓ</t>
        </r>
      </text>
    </comment>
    <comment ref="AF800" authorId="0">
      <text>
        <r>
          <rPr>
            <b/>
            <sz val="9"/>
            <rFont val="宋体"/>
            <charset val="134"/>
          </rPr>
          <t>Administrator:</t>
        </r>
        <r>
          <rPr>
            <sz val="9"/>
            <rFont val="宋体"/>
            <charset val="134"/>
          </rPr>
          <t xml:space="preserve">
1200192 12/5 250pcs华3b14
</t>
        </r>
      </text>
    </comment>
    <comment ref="AI800" authorId="0">
      <text>
        <r>
          <rPr>
            <b/>
            <sz val="9"/>
            <rFont val="宋体"/>
            <charset val="134"/>
          </rPr>
          <t>Administrator:</t>
        </r>
        <r>
          <rPr>
            <sz val="9"/>
            <rFont val="宋体"/>
            <charset val="134"/>
          </rPr>
          <t xml:space="preserve">
10/29 进口商贴纸50*42mm 250pcs
11/1 上UPC贴纸500pcs</t>
        </r>
      </text>
    </comment>
    <comment ref="AF801" authorId="0">
      <text>
        <r>
          <rPr>
            <b/>
            <sz val="9"/>
            <rFont val="宋体"/>
            <charset val="134"/>
          </rPr>
          <t>Administrator:</t>
        </r>
        <r>
          <rPr>
            <sz val="9"/>
            <rFont val="宋体"/>
            <charset val="134"/>
          </rPr>
          <t xml:space="preserve">
1200192 12/5 500pcs
华3b14</t>
        </r>
      </text>
    </comment>
    <comment ref="AI801" authorId="0">
      <text>
        <r>
          <rPr>
            <b/>
            <sz val="9"/>
            <rFont val="宋体"/>
            <charset val="134"/>
          </rPr>
          <t>Administrator:</t>
        </r>
        <r>
          <rPr>
            <sz val="9"/>
            <rFont val="宋体"/>
            <charset val="134"/>
          </rPr>
          <t xml:space="preserve">
11/18 上进口商贴纸500pcs
UPC 贴纸500pcs</t>
        </r>
      </text>
    </comment>
    <comment ref="AI802" authorId="0">
      <text>
        <r>
          <rPr>
            <b/>
            <sz val="9"/>
            <rFont val="宋体"/>
            <charset val="134"/>
          </rPr>
          <t>Administrator:</t>
        </r>
        <r>
          <rPr>
            <sz val="9"/>
            <rFont val="宋体"/>
            <charset val="134"/>
          </rPr>
          <t xml:space="preserve">
11/3 上空白贴纸600pcs
11/22 上客供警语贴纸624pcs 77785
客供警语贴纸贴说明书上624pcs 77711
客供警语贴纸收藏指南624pcs 77711
客供警语贴纸贴球底部624pcs 77711</t>
        </r>
      </text>
    </comment>
    <comment ref="AF803" authorId="0">
      <text>
        <r>
          <rPr>
            <b/>
            <sz val="9"/>
            <rFont val="宋体"/>
            <charset val="134"/>
          </rPr>
          <t>Administrator:</t>
        </r>
        <r>
          <rPr>
            <sz val="9"/>
            <rFont val="宋体"/>
            <charset val="134"/>
          </rPr>
          <t xml:space="preserve">
</t>
        </r>
        <r>
          <rPr>
            <sz val="12"/>
            <rFont val="宋体"/>
            <charset val="134"/>
          </rPr>
          <t xml:space="preserve">1200592 12/2 32664pcs
华3a25
</t>
        </r>
        <r>
          <rPr>
            <sz val="14"/>
            <rFont val="宋体"/>
            <charset val="134"/>
          </rPr>
          <t>1200591 12/2 41496pcs 华3a26
1200600 12/3 1368pcs华3a27</t>
        </r>
      </text>
    </comment>
    <comment ref="AI803" authorId="0">
      <text>
        <r>
          <rPr>
            <b/>
            <sz val="9"/>
            <rFont val="宋体"/>
            <charset val="134"/>
          </rPr>
          <t>Administrator:</t>
        </r>
        <r>
          <rPr>
            <sz val="9"/>
            <rFont val="宋体"/>
            <charset val="134"/>
          </rPr>
          <t xml:space="preserve">
11/6 上客供白色防盗贴纸75528pcs
11/10 产品彩色贴纸25176PCS</t>
        </r>
      </text>
    </comment>
    <comment ref="AF804" authorId="0">
      <text>
        <r>
          <rPr>
            <b/>
            <sz val="9"/>
            <rFont val="宋体"/>
            <charset val="134"/>
          </rPr>
          <t>Administrator:</t>
        </r>
        <r>
          <rPr>
            <sz val="9"/>
            <rFont val="宋体"/>
            <charset val="134"/>
          </rPr>
          <t xml:space="preserve">
1200585 12/2 1125pcs 华3b8</t>
        </r>
      </text>
    </comment>
    <comment ref="AI804" authorId="0">
      <text>
        <r>
          <rPr>
            <b/>
            <sz val="9"/>
            <rFont val="宋体"/>
            <charset val="134"/>
          </rPr>
          <t>Administrator:</t>
        </r>
        <r>
          <rPr>
            <sz val="9"/>
            <rFont val="宋体"/>
            <charset val="134"/>
          </rPr>
          <t xml:space="preserve">
11/18 上警告语贴纸1125pcs</t>
        </r>
      </text>
    </comment>
    <comment ref="AF805" authorId="0">
      <text>
        <r>
          <rPr>
            <b/>
            <sz val="9"/>
            <rFont val="宋体"/>
            <charset val="134"/>
          </rPr>
          <t>Administrator:</t>
        </r>
        <r>
          <rPr>
            <sz val="9"/>
            <rFont val="宋体"/>
            <charset val="134"/>
          </rPr>
          <t xml:space="preserve">
1200202 12/6 996pcs王4b12</t>
        </r>
      </text>
    </comment>
    <comment ref="AI805" authorId="0">
      <text>
        <r>
          <rPr>
            <b/>
            <sz val="9"/>
            <rFont val="宋体"/>
            <charset val="134"/>
          </rPr>
          <t>Administrator:</t>
        </r>
        <r>
          <rPr>
            <sz val="9"/>
            <rFont val="宋体"/>
            <charset val="134"/>
          </rPr>
          <t xml:space="preserve">
11/18 上空白贴纸1992pcs
12/24 上客供价格贴纸1096pcs
</t>
        </r>
      </text>
    </comment>
    <comment ref="AF806" authorId="0">
      <text>
        <r>
          <rPr>
            <b/>
            <sz val="9"/>
            <rFont val="宋体"/>
            <charset val="134"/>
          </rPr>
          <t>Administrator:</t>
        </r>
        <r>
          <rPr>
            <sz val="9"/>
            <rFont val="宋体"/>
            <charset val="134"/>
          </rPr>
          <t xml:space="preserve">
1200202 12/6 1200pcs王4b2
</t>
        </r>
      </text>
    </comment>
    <comment ref="AI806" authorId="0">
      <text>
        <r>
          <rPr>
            <b/>
            <sz val="9"/>
            <rFont val="宋体"/>
            <charset val="134"/>
          </rPr>
          <t>Administrator:</t>
        </r>
        <r>
          <rPr>
            <sz val="9"/>
            <rFont val="宋体"/>
            <charset val="134"/>
          </rPr>
          <t xml:space="preserve">
11/18 上空白贴纸2400pcs
12/24 上客供价格贴纸1320pcs
</t>
        </r>
      </text>
    </comment>
    <comment ref="AF807" authorId="0">
      <text>
        <r>
          <rPr>
            <b/>
            <sz val="9"/>
            <rFont val="宋体"/>
            <charset val="134"/>
          </rPr>
          <t>Administrator:</t>
        </r>
        <r>
          <rPr>
            <sz val="9"/>
            <rFont val="宋体"/>
            <charset val="134"/>
          </rPr>
          <t xml:space="preserve">
1200229 12/9 2004pcs华3a16</t>
        </r>
      </text>
    </comment>
    <comment ref="AI807" authorId="0">
      <text>
        <r>
          <rPr>
            <b/>
            <sz val="9"/>
            <rFont val="宋体"/>
            <charset val="134"/>
          </rPr>
          <t>Administrator:</t>
        </r>
        <r>
          <rPr>
            <sz val="9"/>
            <rFont val="宋体"/>
            <charset val="134"/>
          </rPr>
          <t xml:space="preserve">
11/22 上客供价格贴纸2100pcs
</t>
        </r>
      </text>
    </comment>
    <comment ref="AF808" authorId="0">
      <text>
        <r>
          <rPr>
            <b/>
            <sz val="9"/>
            <rFont val="宋体"/>
            <charset val="134"/>
          </rPr>
          <t>Administrator:</t>
        </r>
        <r>
          <rPr>
            <sz val="9"/>
            <rFont val="宋体"/>
            <charset val="134"/>
          </rPr>
          <t xml:space="preserve">
11/29 1200565 5850pcs 华3b12</t>
        </r>
      </text>
    </comment>
    <comment ref="AF809" authorId="0">
      <text>
        <r>
          <rPr>
            <b/>
            <sz val="9"/>
            <rFont val="宋体"/>
            <charset val="134"/>
          </rPr>
          <t>Administrator:</t>
        </r>
        <r>
          <rPr>
            <sz val="9"/>
            <rFont val="宋体"/>
            <charset val="134"/>
          </rPr>
          <t xml:space="preserve">
11/29 1200565 132pcs 华3b7</t>
        </r>
      </text>
    </comment>
    <comment ref="AI809" authorId="0">
      <text>
        <r>
          <rPr>
            <b/>
            <sz val="9"/>
            <rFont val="宋体"/>
            <charset val="134"/>
          </rPr>
          <t>Administrator:</t>
        </r>
        <r>
          <rPr>
            <sz val="9"/>
            <rFont val="宋体"/>
            <charset val="134"/>
          </rPr>
          <t xml:space="preserve">
11/22 上客供价格贴纸146pcs</t>
        </r>
      </text>
    </comment>
    <comment ref="AF810" authorId="0">
      <text>
        <r>
          <rPr>
            <b/>
            <sz val="9"/>
            <rFont val="宋体"/>
            <charset val="134"/>
          </rPr>
          <t>Administrator:</t>
        </r>
        <r>
          <rPr>
            <sz val="9"/>
            <rFont val="宋体"/>
            <charset val="134"/>
          </rPr>
          <t xml:space="preserve">
11/29 1200565 708pcs华3a27
1200582 12/1 12pcs华3a27</t>
        </r>
      </text>
    </comment>
    <comment ref="AI810" authorId="0">
      <text>
        <r>
          <rPr>
            <b/>
            <sz val="9"/>
            <rFont val="宋体"/>
            <charset val="134"/>
          </rPr>
          <t>Administrator:</t>
        </r>
        <r>
          <rPr>
            <sz val="9"/>
            <rFont val="宋体"/>
            <charset val="134"/>
          </rPr>
          <t xml:space="preserve">
11/22 上客供价格贴纸792pcs</t>
        </r>
      </text>
    </comment>
    <comment ref="AF811" authorId="0">
      <text>
        <r>
          <rPr>
            <b/>
            <sz val="9"/>
            <rFont val="宋体"/>
            <charset val="134"/>
          </rPr>
          <t>Administrator:</t>
        </r>
        <r>
          <rPr>
            <sz val="9"/>
            <rFont val="宋体"/>
            <charset val="134"/>
          </rPr>
          <t xml:space="preserve">
11/29 1200565 180pcs 华3b7</t>
        </r>
      </text>
    </comment>
    <comment ref="AI811" authorId="0">
      <text>
        <r>
          <rPr>
            <b/>
            <sz val="9"/>
            <rFont val="宋体"/>
            <charset val="134"/>
          </rPr>
          <t>Administrator:</t>
        </r>
        <r>
          <rPr>
            <sz val="9"/>
            <rFont val="宋体"/>
            <charset val="134"/>
          </rPr>
          <t xml:space="preserve">
11/22 上客供价格贴纸198pcs
</t>
        </r>
      </text>
    </comment>
    <comment ref="AF812" authorId="0">
      <text>
        <r>
          <rPr>
            <b/>
            <sz val="9"/>
            <rFont val="宋体"/>
            <charset val="134"/>
          </rPr>
          <t>Administrator:</t>
        </r>
        <r>
          <rPr>
            <sz val="9"/>
            <rFont val="宋体"/>
            <charset val="134"/>
          </rPr>
          <t xml:space="preserve">
12002352 12/10 403pcs王4b9
</t>
        </r>
      </text>
    </comment>
    <comment ref="AF813" authorId="0">
      <text>
        <r>
          <rPr>
            <b/>
            <sz val="9"/>
            <rFont val="宋体"/>
            <charset val="134"/>
          </rPr>
          <t>Administrator:</t>
        </r>
        <r>
          <rPr>
            <sz val="9"/>
            <rFont val="宋体"/>
            <charset val="134"/>
          </rPr>
          <t xml:space="preserve">
12002352 12/10 598pcs
王4a8</t>
        </r>
      </text>
    </comment>
    <comment ref="AI813" authorId="0">
      <text>
        <r>
          <rPr>
            <b/>
            <sz val="9"/>
            <rFont val="宋体"/>
            <charset val="134"/>
          </rPr>
          <t>Administrator:</t>
        </r>
        <r>
          <rPr>
            <sz val="9"/>
            <rFont val="宋体"/>
            <charset val="134"/>
          </rPr>
          <t xml:space="preserve">
11/22 上客供UCC贴纸46pcs
</t>
        </r>
      </text>
    </comment>
    <comment ref="AF814" authorId="0">
      <text>
        <r>
          <rPr>
            <b/>
            <sz val="9"/>
            <rFont val="宋体"/>
            <charset val="134"/>
          </rPr>
          <t>Administrator:</t>
        </r>
        <r>
          <rPr>
            <sz val="9"/>
            <rFont val="宋体"/>
            <charset val="134"/>
          </rPr>
          <t xml:space="preserve">
12002352 12/10 468pcs
王4b9
</t>
        </r>
      </text>
    </comment>
    <comment ref="AI814" authorId="0">
      <text>
        <r>
          <rPr>
            <b/>
            <sz val="9"/>
            <rFont val="宋体"/>
            <charset val="134"/>
          </rPr>
          <t>Administrator:</t>
        </r>
        <r>
          <rPr>
            <sz val="9"/>
            <rFont val="宋体"/>
            <charset val="134"/>
          </rPr>
          <t xml:space="preserve">
11/22 上客供UCC贴纸36pcs
</t>
        </r>
      </text>
    </comment>
    <comment ref="AF815" authorId="0">
      <text>
        <r>
          <rPr>
            <b/>
            <sz val="9"/>
            <rFont val="宋体"/>
            <charset val="134"/>
          </rPr>
          <t>Administrator:</t>
        </r>
        <r>
          <rPr>
            <sz val="9"/>
            <rFont val="宋体"/>
            <charset val="134"/>
          </rPr>
          <t xml:space="preserve">
12002352 12/10 338pcs
王4a9</t>
        </r>
      </text>
    </comment>
    <comment ref="AI815" authorId="0">
      <text>
        <r>
          <rPr>
            <b/>
            <sz val="9"/>
            <rFont val="宋体"/>
            <charset val="134"/>
          </rPr>
          <t>Administrator:</t>
        </r>
        <r>
          <rPr>
            <sz val="9"/>
            <rFont val="宋体"/>
            <charset val="134"/>
          </rPr>
          <t xml:space="preserve">
11/22 上客供UCC贴纸26pcs
</t>
        </r>
      </text>
    </comment>
    <comment ref="AF816" authorId="0">
      <text>
        <r>
          <rPr>
            <b/>
            <sz val="9"/>
            <rFont val="宋体"/>
            <charset val="134"/>
          </rPr>
          <t>Administrator:</t>
        </r>
        <r>
          <rPr>
            <sz val="9"/>
            <rFont val="宋体"/>
            <charset val="134"/>
          </rPr>
          <t xml:space="preserve">
12002352 12/10 403
pcs
王4b9</t>
        </r>
      </text>
    </comment>
    <comment ref="AF817" authorId="0">
      <text>
        <r>
          <rPr>
            <b/>
            <sz val="9"/>
            <rFont val="宋体"/>
            <charset val="134"/>
          </rPr>
          <t>Administrator:</t>
        </r>
        <r>
          <rPr>
            <sz val="9"/>
            <rFont val="宋体"/>
            <charset val="134"/>
          </rPr>
          <t xml:space="preserve">
1200209 12/8 1248PCS 华3b13</t>
        </r>
      </text>
    </comment>
    <comment ref="AI817" authorId="0">
      <text>
        <r>
          <rPr>
            <b/>
            <sz val="9"/>
            <rFont val="宋体"/>
            <charset val="134"/>
          </rPr>
          <t>Administrator:</t>
        </r>
        <r>
          <rPr>
            <sz val="9"/>
            <rFont val="宋体"/>
            <charset val="134"/>
          </rPr>
          <t xml:space="preserve">
11/22 上客供警告语贴纸贴收藏指南1288pcs
客供警语贴纸贴说明书1290pcs
客供警告语贴纸贴球底部1288pcs
12/1 UPC 条码贴纸 1248pcs</t>
        </r>
      </text>
    </comment>
    <comment ref="AF818" authorId="0">
      <text>
        <r>
          <rPr>
            <b/>
            <sz val="9"/>
            <rFont val="宋体"/>
            <charset val="134"/>
          </rPr>
          <t>Administrator:</t>
        </r>
        <r>
          <rPr>
            <sz val="9"/>
            <rFont val="宋体"/>
            <charset val="134"/>
          </rPr>
          <t xml:space="preserve">
3000522 12/4 5040pcs华3a8</t>
        </r>
      </text>
    </comment>
    <comment ref="AF819" authorId="0">
      <text>
        <r>
          <rPr>
            <b/>
            <sz val="9"/>
            <rFont val="宋体"/>
            <charset val="134"/>
          </rPr>
          <t>Administrator:</t>
        </r>
        <r>
          <rPr>
            <sz val="9"/>
            <rFont val="宋体"/>
            <charset val="134"/>
          </rPr>
          <t xml:space="preserve">
3000522 12/4 1440pcs
华3a8
</t>
        </r>
      </text>
    </comment>
    <comment ref="AF820" authorId="0">
      <text>
        <r>
          <rPr>
            <b/>
            <sz val="9"/>
            <rFont val="宋体"/>
            <charset val="134"/>
          </rPr>
          <t>Administrator:</t>
        </r>
        <r>
          <rPr>
            <sz val="9"/>
            <rFont val="宋体"/>
            <charset val="134"/>
          </rPr>
          <t xml:space="preserve">
3000522 12/4 9360pcs
华3a8
</t>
        </r>
      </text>
    </comment>
    <comment ref="AF821" authorId="0">
      <text>
        <r>
          <rPr>
            <b/>
            <sz val="9"/>
            <rFont val="宋体"/>
            <charset val="134"/>
          </rPr>
          <t>Administrator:</t>
        </r>
        <r>
          <rPr>
            <sz val="9"/>
            <rFont val="宋体"/>
            <charset val="134"/>
          </rPr>
          <t xml:space="preserve">
3000522 12/4 7200pcs
华3a8
</t>
        </r>
      </text>
    </comment>
    <comment ref="AF822" authorId="0">
      <text>
        <r>
          <rPr>
            <b/>
            <sz val="9"/>
            <rFont val="宋体"/>
            <charset val="134"/>
          </rPr>
          <t>Administrator:</t>
        </r>
        <r>
          <rPr>
            <sz val="9"/>
            <rFont val="宋体"/>
            <charset val="134"/>
          </rPr>
          <t xml:space="preserve">
3000522 12/4 4320pcs
华3a8
</t>
        </r>
      </text>
    </comment>
    <comment ref="AF823" authorId="0">
      <text>
        <r>
          <rPr>
            <b/>
            <sz val="9"/>
            <rFont val="宋体"/>
            <charset val="134"/>
          </rPr>
          <t>Administrator:</t>
        </r>
        <r>
          <rPr>
            <sz val="9"/>
            <rFont val="宋体"/>
            <charset val="134"/>
          </rPr>
          <t xml:space="preserve">
3000522 12/4 2376pcs华3a8
1200629 12/5 3024pcs】</t>
        </r>
      </text>
    </comment>
    <comment ref="AF824" authorId="0">
      <text>
        <r>
          <rPr>
            <b/>
            <sz val="9"/>
            <rFont val="宋体"/>
            <charset val="134"/>
          </rPr>
          <t>Administrator:</t>
        </r>
        <r>
          <rPr>
            <sz val="9"/>
            <rFont val="宋体"/>
            <charset val="134"/>
          </rPr>
          <t xml:space="preserve">
1200649 12/4 4320pcs华3a8</t>
        </r>
      </text>
    </comment>
    <comment ref="AF825" authorId="0">
      <text>
        <r>
          <rPr>
            <b/>
            <sz val="9"/>
            <rFont val="宋体"/>
            <charset val="134"/>
          </rPr>
          <t>Administrator:</t>
        </r>
        <r>
          <rPr>
            <sz val="9"/>
            <rFont val="宋体"/>
            <charset val="134"/>
          </rPr>
          <t xml:space="preserve">
1200629 12/5 2160pcs华3b1.2.3.</t>
        </r>
      </text>
    </comment>
    <comment ref="AF826" authorId="0">
      <text>
        <r>
          <rPr>
            <b/>
            <sz val="9"/>
            <rFont val="宋体"/>
            <charset val="134"/>
          </rPr>
          <t>Administrator:</t>
        </r>
        <r>
          <rPr>
            <sz val="9"/>
            <rFont val="宋体"/>
            <charset val="134"/>
          </rPr>
          <t xml:space="preserve">
1200629 12/5 5760pcs
华3a3</t>
        </r>
      </text>
    </comment>
    <comment ref="AF827" authorId="0">
      <text>
        <r>
          <rPr>
            <b/>
            <sz val="9"/>
            <rFont val="宋体"/>
            <charset val="134"/>
          </rPr>
          <t>Administrator:</t>
        </r>
        <r>
          <rPr>
            <sz val="9"/>
            <rFont val="宋体"/>
            <charset val="134"/>
          </rPr>
          <t xml:space="preserve">
1200629 12/5 2880pcs
华3b1.2.3.</t>
        </r>
      </text>
    </comment>
    <comment ref="AF828" authorId="0">
      <text>
        <r>
          <rPr>
            <b/>
            <sz val="9"/>
            <rFont val="宋体"/>
            <charset val="134"/>
          </rPr>
          <t>Administrator:</t>
        </r>
        <r>
          <rPr>
            <sz val="9"/>
            <rFont val="宋体"/>
            <charset val="134"/>
          </rPr>
          <t xml:space="preserve">
1200629 12/5 5040pcs
华3b1.2.3.</t>
        </r>
      </text>
    </comment>
    <comment ref="AF829" authorId="0">
      <text>
        <r>
          <rPr>
            <b/>
            <sz val="9"/>
            <rFont val="宋体"/>
            <charset val="134"/>
          </rPr>
          <t>Administrator:</t>
        </r>
        <r>
          <rPr>
            <sz val="9"/>
            <rFont val="宋体"/>
            <charset val="134"/>
          </rPr>
          <t xml:space="preserve">
1200629 12/5 2160pcs
华3b1.2.3.</t>
        </r>
      </text>
    </comment>
    <comment ref="AF830" authorId="0">
      <text>
        <r>
          <rPr>
            <b/>
            <sz val="9"/>
            <rFont val="宋体"/>
            <charset val="134"/>
          </rPr>
          <t>Administrator:</t>
        </r>
        <r>
          <rPr>
            <sz val="9"/>
            <rFont val="宋体"/>
            <charset val="134"/>
          </rPr>
          <t xml:space="preserve">
1200629 12/5 576pcs
华3b1.2.3.</t>
        </r>
      </text>
    </comment>
    <comment ref="AF831" authorId="0">
      <text>
        <r>
          <rPr>
            <b/>
            <sz val="9"/>
            <rFont val="宋体"/>
            <charset val="134"/>
          </rPr>
          <t>Administrator:</t>
        </r>
        <r>
          <rPr>
            <sz val="9"/>
            <rFont val="宋体"/>
            <charset val="134"/>
          </rPr>
          <t xml:space="preserve">
1200629 12/5 576pcs
华3b1.2.3.</t>
        </r>
      </text>
    </comment>
    <comment ref="AF832" authorId="0">
      <text>
        <r>
          <rPr>
            <b/>
            <sz val="9"/>
            <rFont val="宋体"/>
            <charset val="134"/>
          </rPr>
          <t>Administrator:</t>
        </r>
        <r>
          <rPr>
            <sz val="9"/>
            <rFont val="宋体"/>
            <charset val="134"/>
          </rPr>
          <t xml:space="preserve">
1200630 12/5 576pcs
华3b1.2.3.</t>
        </r>
      </text>
    </comment>
    <comment ref="AF833" authorId="0">
      <text>
        <r>
          <rPr>
            <b/>
            <sz val="9"/>
            <rFont val="宋体"/>
            <charset val="134"/>
          </rPr>
          <t>Administrator:</t>
        </r>
        <r>
          <rPr>
            <sz val="9"/>
            <rFont val="宋体"/>
            <charset val="134"/>
          </rPr>
          <t xml:space="preserve">
1200630 12/5 3600cs华3a3
</t>
        </r>
      </text>
    </comment>
    <comment ref="AF834" authorId="0">
      <text>
        <r>
          <rPr>
            <b/>
            <sz val="9"/>
            <rFont val="宋体"/>
            <charset val="134"/>
          </rPr>
          <t>Administrator:</t>
        </r>
        <r>
          <rPr>
            <sz val="9"/>
            <rFont val="宋体"/>
            <charset val="134"/>
          </rPr>
          <t xml:space="preserve">
1200630 12/5 5040pcs华3a3
</t>
        </r>
      </text>
    </comment>
    <comment ref="AF835" authorId="0">
      <text>
        <r>
          <rPr>
            <b/>
            <sz val="9"/>
            <rFont val="宋体"/>
            <charset val="134"/>
          </rPr>
          <t>Administrator:</t>
        </r>
        <r>
          <rPr>
            <sz val="9"/>
            <rFont val="宋体"/>
            <charset val="134"/>
          </rPr>
          <t xml:space="preserve">
1200630 12/5 4320pcs华3a3
</t>
        </r>
      </text>
    </comment>
    <comment ref="AF836" authorId="0">
      <text>
        <r>
          <rPr>
            <b/>
            <sz val="9"/>
            <rFont val="宋体"/>
            <charset val="134"/>
          </rPr>
          <t>Administrator:</t>
        </r>
        <r>
          <rPr>
            <sz val="9"/>
            <rFont val="宋体"/>
            <charset val="134"/>
          </rPr>
          <t xml:space="preserve">
1200630 12/5 3600pcs华3a3
</t>
        </r>
      </text>
    </comment>
    <comment ref="AF837" authorId="0">
      <text>
        <r>
          <rPr>
            <b/>
            <sz val="9"/>
            <rFont val="宋体"/>
            <charset val="134"/>
          </rPr>
          <t>Administrator:</t>
        </r>
        <r>
          <rPr>
            <sz val="9"/>
            <rFont val="宋体"/>
            <charset val="134"/>
          </rPr>
          <t xml:space="preserve">
1200630 12/5 5760pcs华3a3
</t>
        </r>
      </text>
    </comment>
    <comment ref="AF838" authorId="0">
      <text>
        <r>
          <rPr>
            <b/>
            <sz val="9"/>
            <rFont val="宋体"/>
            <charset val="134"/>
          </rPr>
          <t>Administrator:</t>
        </r>
        <r>
          <rPr>
            <sz val="9"/>
            <rFont val="宋体"/>
            <charset val="134"/>
          </rPr>
          <t xml:space="preserve">
1200630 12/5 1968pcs华3a3
1200192 12/5 192pcs华3a8</t>
        </r>
      </text>
    </comment>
    <comment ref="AF839" authorId="0">
      <text>
        <r>
          <rPr>
            <b/>
            <sz val="9"/>
            <rFont val="宋体"/>
            <charset val="134"/>
          </rPr>
          <t>Administrator:</t>
        </r>
        <r>
          <rPr>
            <sz val="9"/>
            <rFont val="宋体"/>
            <charset val="134"/>
          </rPr>
          <t xml:space="preserve">
1200231 12/10 975pcs华3b13</t>
        </r>
      </text>
    </comment>
    <comment ref="AI839" authorId="0">
      <text>
        <r>
          <rPr>
            <b/>
            <sz val="9"/>
            <rFont val="宋体"/>
            <charset val="134"/>
          </rPr>
          <t>Administrator:</t>
        </r>
        <r>
          <rPr>
            <sz val="9"/>
            <rFont val="宋体"/>
            <charset val="134"/>
          </rPr>
          <t xml:space="preserve">
11/6 上可移动材质价格贴纸975pcs
11/4 上UPC贴纸975PCS
12/4 UPC贴纸 975pcs
12/12 可移动材质的价格贴纸 975pcs</t>
        </r>
      </text>
    </comment>
    <comment ref="AF840" authorId="0">
      <text>
        <r>
          <rPr>
            <b/>
            <sz val="9"/>
            <rFont val="宋体"/>
            <charset val="134"/>
          </rPr>
          <t>Administrator:</t>
        </r>
        <r>
          <rPr>
            <sz val="9"/>
            <rFont val="宋体"/>
            <charset val="134"/>
          </rPr>
          <t xml:space="preserve">
3000538 12/9 7300pcs王4a5</t>
        </r>
      </text>
    </comment>
    <comment ref="AI840" authorId="0">
      <text>
        <r>
          <rPr>
            <b/>
            <sz val="9"/>
            <rFont val="宋体"/>
            <charset val="134"/>
          </rPr>
          <t>Administrator:</t>
        </r>
        <r>
          <rPr>
            <sz val="9"/>
            <rFont val="宋体"/>
            <charset val="134"/>
          </rPr>
          <t xml:space="preserve">
11/21 上进口商贴纸7300pcs
EAN条码贴纸7300pcs</t>
        </r>
      </text>
    </comment>
    <comment ref="AF841" authorId="0">
      <text>
        <r>
          <rPr>
            <b/>
            <sz val="9"/>
            <rFont val="宋体"/>
            <charset val="134"/>
          </rPr>
          <t>Administrator:</t>
        </r>
        <r>
          <rPr>
            <sz val="9"/>
            <rFont val="宋体"/>
            <charset val="134"/>
          </rPr>
          <t xml:space="preserve">
3000541 12/10 24000pcs华3b7</t>
        </r>
      </text>
    </comment>
    <comment ref="AI841" authorId="0">
      <text>
        <r>
          <rPr>
            <b/>
            <sz val="9"/>
            <rFont val="宋体"/>
            <charset val="134"/>
          </rPr>
          <t>Administrator:</t>
        </r>
        <r>
          <rPr>
            <sz val="9"/>
            <rFont val="宋体"/>
            <charset val="134"/>
          </rPr>
          <t xml:space="preserve">
12/24 上客供RFID贴纸24000pcs
</t>
        </r>
      </text>
    </comment>
    <comment ref="AF842" authorId="0">
      <text>
        <r>
          <rPr>
            <b/>
            <sz val="9"/>
            <rFont val="宋体"/>
            <charset val="134"/>
          </rPr>
          <t>Administrator:</t>
        </r>
        <r>
          <rPr>
            <sz val="9"/>
            <rFont val="宋体"/>
            <charset val="134"/>
          </rPr>
          <t xml:space="preserve">
3000538 12/9 39360pcs王4a7</t>
        </r>
      </text>
    </comment>
    <comment ref="AI842" authorId="0">
      <text>
        <r>
          <rPr>
            <b/>
            <sz val="9"/>
            <rFont val="宋体"/>
            <charset val="134"/>
          </rPr>
          <t>Administrator:</t>
        </r>
        <r>
          <rPr>
            <sz val="9"/>
            <rFont val="宋体"/>
            <charset val="134"/>
          </rPr>
          <t xml:space="preserve">
12/24 上客供RFID贴纸39360pcs
</t>
        </r>
      </text>
    </comment>
    <comment ref="AF843" authorId="0">
      <text>
        <r>
          <rPr>
            <b/>
            <sz val="9"/>
            <rFont val="宋体"/>
            <charset val="134"/>
          </rPr>
          <t>Administrator:</t>
        </r>
        <r>
          <rPr>
            <sz val="9"/>
            <rFont val="宋体"/>
            <charset val="134"/>
          </rPr>
          <t xml:space="preserve">
1200213 12/8 27840PCS 华3a22</t>
        </r>
      </text>
    </comment>
    <comment ref="AI843" authorId="0">
      <text>
        <r>
          <rPr>
            <b/>
            <sz val="9"/>
            <rFont val="宋体"/>
            <charset val="134"/>
          </rPr>
          <t>Administrator:</t>
        </r>
        <r>
          <rPr>
            <sz val="9"/>
            <rFont val="宋体"/>
            <charset val="134"/>
          </rPr>
          <t xml:space="preserve">
12/24 上客供RFID贴纸27840pcs
</t>
        </r>
      </text>
    </comment>
    <comment ref="AF844" authorId="0">
      <text>
        <r>
          <rPr>
            <b/>
            <sz val="9"/>
            <rFont val="宋体"/>
            <charset val="134"/>
          </rPr>
          <t>Administrator:</t>
        </r>
        <r>
          <rPr>
            <sz val="9"/>
            <rFont val="宋体"/>
            <charset val="134"/>
          </rPr>
          <t xml:space="preserve">
1200193 12/5 2340pcs华3a31</t>
        </r>
      </text>
    </comment>
    <comment ref="AI844" authorId="0">
      <text>
        <r>
          <rPr>
            <b/>
            <sz val="9"/>
            <rFont val="宋体"/>
            <charset val="134"/>
          </rPr>
          <t>Administrator:</t>
        </r>
        <r>
          <rPr>
            <sz val="9"/>
            <rFont val="宋体"/>
            <charset val="134"/>
          </rPr>
          <t xml:space="preserve">
11/10 上WIC贴纸10026PCS
7个同PO共用
PDQ折页1671PCS</t>
        </r>
      </text>
    </comment>
    <comment ref="AF845" authorId="0">
      <text>
        <r>
          <rPr>
            <b/>
            <sz val="9"/>
            <rFont val="宋体"/>
            <charset val="134"/>
          </rPr>
          <t>Administrator:</t>
        </r>
        <r>
          <rPr>
            <sz val="9"/>
            <rFont val="宋体"/>
            <charset val="134"/>
          </rPr>
          <t xml:space="preserve">
1200193 12/5 1632pcs
华3a31
</t>
        </r>
      </text>
    </comment>
    <comment ref="AF846" authorId="0">
      <text>
        <r>
          <rPr>
            <b/>
            <sz val="9"/>
            <rFont val="宋体"/>
            <charset val="134"/>
          </rPr>
          <t>Administrator:</t>
        </r>
        <r>
          <rPr>
            <sz val="9"/>
            <rFont val="宋体"/>
            <charset val="134"/>
          </rPr>
          <t xml:space="preserve">
1200193 12/5 1308pcs
华3a31
</t>
        </r>
      </text>
    </comment>
    <comment ref="AF847" authorId="0">
      <text>
        <r>
          <rPr>
            <b/>
            <sz val="9"/>
            <rFont val="宋体"/>
            <charset val="134"/>
          </rPr>
          <t>Administrator:</t>
        </r>
        <r>
          <rPr>
            <sz val="9"/>
            <rFont val="宋体"/>
            <charset val="134"/>
          </rPr>
          <t xml:space="preserve">
1200193 12/5 1416pcs
华3a31
</t>
        </r>
      </text>
    </comment>
    <comment ref="AF848" authorId="0">
      <text>
        <r>
          <rPr>
            <b/>
            <sz val="9"/>
            <rFont val="宋体"/>
            <charset val="134"/>
          </rPr>
          <t>Administrator:</t>
        </r>
        <r>
          <rPr>
            <sz val="9"/>
            <rFont val="宋体"/>
            <charset val="134"/>
          </rPr>
          <t xml:space="preserve">
1200193 12/5 1038pcs
华3a31
</t>
        </r>
      </text>
    </comment>
    <comment ref="AF849" authorId="0">
      <text>
        <r>
          <rPr>
            <b/>
            <sz val="9"/>
            <rFont val="宋体"/>
            <charset val="134"/>
          </rPr>
          <t>Administrator:</t>
        </r>
        <r>
          <rPr>
            <sz val="9"/>
            <rFont val="宋体"/>
            <charset val="134"/>
          </rPr>
          <t xml:space="preserve">
1200193 12/5 1146pcs
华3a31
</t>
        </r>
      </text>
    </comment>
    <comment ref="AF850" authorId="0">
      <text>
        <r>
          <rPr>
            <b/>
            <sz val="9"/>
            <rFont val="宋体"/>
            <charset val="134"/>
          </rPr>
          <t>Administrator:</t>
        </r>
        <r>
          <rPr>
            <sz val="9"/>
            <rFont val="宋体"/>
            <charset val="134"/>
          </rPr>
          <t xml:space="preserve">
1200193 12/5 1140pcs华3a31
1200202 12/6 6pcs
王3a31
</t>
        </r>
      </text>
    </comment>
    <comment ref="AF851" authorId="0">
      <text>
        <r>
          <rPr>
            <b/>
            <sz val="9"/>
            <rFont val="宋体"/>
            <charset val="134"/>
          </rPr>
          <t>Administrator:</t>
        </r>
        <r>
          <rPr>
            <sz val="9"/>
            <rFont val="宋体"/>
            <charset val="134"/>
          </rPr>
          <t xml:space="preserve">
1200231 12/10 32448pcs
华3a81200229 12/9 29952pcs华3a8</t>
        </r>
      </text>
    </comment>
    <comment ref="AF852" authorId="0">
      <text>
        <r>
          <rPr>
            <b/>
            <sz val="9"/>
            <rFont val="宋体"/>
            <charset val="134"/>
          </rPr>
          <t>Administrator:</t>
        </r>
        <r>
          <rPr>
            <sz val="9"/>
            <rFont val="宋体"/>
            <charset val="134"/>
          </rPr>
          <t xml:space="preserve">
3000545 12/11 10002pcs</t>
        </r>
      </text>
    </comment>
    <comment ref="AI852" authorId="0">
      <text>
        <r>
          <rPr>
            <b/>
            <sz val="9"/>
            <rFont val="宋体"/>
            <charset val="134"/>
          </rPr>
          <t>Administrator:</t>
        </r>
        <r>
          <rPr>
            <sz val="9"/>
            <rFont val="宋体"/>
            <charset val="134"/>
          </rPr>
          <t xml:space="preserve">
</t>
        </r>
        <r>
          <rPr>
            <sz val="12"/>
            <rFont val="宋体"/>
            <charset val="134"/>
          </rPr>
          <t>9/23 上客供芯片贴纸10002pcs
12/10 颜色贴纸 10002pcs</t>
        </r>
      </text>
    </comment>
    <comment ref="AF853" authorId="0">
      <text>
        <r>
          <rPr>
            <b/>
            <sz val="9"/>
            <rFont val="宋体"/>
            <charset val="134"/>
          </rPr>
          <t>Administrator:</t>
        </r>
        <r>
          <rPr>
            <sz val="9"/>
            <rFont val="宋体"/>
            <charset val="134"/>
          </rPr>
          <t xml:space="preserve">
1200253 12/11 5250pcs
王4c3
1200256 12/11 31250pcs王4c3</t>
        </r>
      </text>
    </comment>
    <comment ref="AI853" authorId="0">
      <text>
        <r>
          <rPr>
            <b/>
            <sz val="9"/>
            <rFont val="宋体"/>
            <charset val="134"/>
          </rPr>
          <t>Administrator:</t>
        </r>
        <r>
          <rPr>
            <sz val="9"/>
            <rFont val="宋体"/>
            <charset val="134"/>
          </rPr>
          <t xml:space="preserve">
11/6 上客供外箱条码贴纸1475pcs</t>
        </r>
      </text>
    </comment>
    <comment ref="AF854" authorId="0">
      <text>
        <r>
          <rPr>
            <b/>
            <sz val="9"/>
            <rFont val="宋体"/>
            <charset val="134"/>
          </rPr>
          <t>Administrator:</t>
        </r>
        <r>
          <rPr>
            <sz val="9"/>
            <rFont val="宋体"/>
            <charset val="134"/>
          </rPr>
          <t xml:space="preserve">
1200785 12/13 1200pcs
华3b14</t>
        </r>
      </text>
    </comment>
    <comment ref="AI854" authorId="0">
      <text>
        <r>
          <rPr>
            <b/>
            <sz val="9"/>
            <rFont val="宋体"/>
            <charset val="134"/>
          </rPr>
          <t>Administrator:</t>
        </r>
        <r>
          <rPr>
            <sz val="9"/>
            <rFont val="宋体"/>
            <charset val="134"/>
          </rPr>
          <t xml:space="preserve">
11/22 上大语警告贴纸2400pcs
小警告语贴纸16800pcs
两个同PO共用</t>
        </r>
      </text>
    </comment>
    <comment ref="AF855" authorId="0">
      <text>
        <r>
          <rPr>
            <b/>
            <sz val="9"/>
            <rFont val="宋体"/>
            <charset val="134"/>
          </rPr>
          <t>Administrator:</t>
        </r>
        <r>
          <rPr>
            <sz val="9"/>
            <rFont val="宋体"/>
            <charset val="134"/>
          </rPr>
          <t xml:space="preserve">
1200785 12/13 1200pcs
华3b14
</t>
        </r>
      </text>
    </comment>
    <comment ref="AF856" authorId="0">
      <text>
        <r>
          <rPr>
            <b/>
            <sz val="9"/>
            <rFont val="宋体"/>
            <charset val="134"/>
          </rPr>
          <t>Administrator:</t>
        </r>
        <r>
          <rPr>
            <sz val="9"/>
            <rFont val="宋体"/>
            <charset val="134"/>
          </rPr>
          <t xml:space="preserve">
3000549 12/12 516pcs
王4a4</t>
        </r>
      </text>
    </comment>
    <comment ref="AI856" authorId="0">
      <text>
        <r>
          <rPr>
            <b/>
            <sz val="9"/>
            <rFont val="宋体"/>
            <charset val="134"/>
          </rPr>
          <t>Administrator:</t>
        </r>
        <r>
          <rPr>
            <sz val="9"/>
            <rFont val="宋体"/>
            <charset val="134"/>
          </rPr>
          <t xml:space="preserve">
11/18 上空白贴纸3048pcs
环保贴纸1524pcs
三个同PO共用
11/21 上亚马逊外箱贴纸43pcs
</t>
        </r>
      </text>
    </comment>
    <comment ref="AF857" authorId="0">
      <text>
        <r>
          <rPr>
            <b/>
            <sz val="9"/>
            <rFont val="宋体"/>
            <charset val="134"/>
          </rPr>
          <t>Administrator:</t>
        </r>
        <r>
          <rPr>
            <sz val="9"/>
            <rFont val="宋体"/>
            <charset val="134"/>
          </rPr>
          <t xml:space="preserve">
3000549 12/12 516pcs
王4a4
</t>
        </r>
      </text>
    </comment>
    <comment ref="AI857" authorId="0">
      <text>
        <r>
          <rPr>
            <b/>
            <sz val="9"/>
            <rFont val="宋体"/>
            <charset val="134"/>
          </rPr>
          <t>Administrator:</t>
        </r>
        <r>
          <rPr>
            <sz val="9"/>
            <rFont val="宋体"/>
            <charset val="134"/>
          </rPr>
          <t xml:space="preserve">
11/21 上亚马逊外箱贴纸43pcs</t>
        </r>
      </text>
    </comment>
    <comment ref="AF858" authorId="0">
      <text>
        <r>
          <rPr>
            <b/>
            <sz val="9"/>
            <rFont val="宋体"/>
            <charset val="134"/>
          </rPr>
          <t>Administrator:</t>
        </r>
        <r>
          <rPr>
            <sz val="9"/>
            <rFont val="宋体"/>
            <charset val="134"/>
          </rPr>
          <t xml:space="preserve">
3000549 12/12 492pcs
王4a4
</t>
        </r>
      </text>
    </comment>
    <comment ref="AI858" authorId="0">
      <text>
        <r>
          <rPr>
            <b/>
            <sz val="9"/>
            <rFont val="宋体"/>
            <charset val="134"/>
          </rPr>
          <t>Administrator:</t>
        </r>
        <r>
          <rPr>
            <sz val="9"/>
            <rFont val="宋体"/>
            <charset val="134"/>
          </rPr>
          <t xml:space="preserve">
11/21 上亚马逊外箱贴纸41pcs</t>
        </r>
      </text>
    </comment>
    <comment ref="AF859" authorId="0">
      <text>
        <r>
          <rPr>
            <b/>
            <sz val="9"/>
            <rFont val="宋体"/>
            <charset val="134"/>
          </rPr>
          <t>Administrator:</t>
        </r>
        <r>
          <rPr>
            <sz val="9"/>
            <rFont val="宋体"/>
            <charset val="134"/>
          </rPr>
          <t xml:space="preserve">
3000549 12/12 6096pcs王4b4</t>
        </r>
      </text>
    </comment>
    <comment ref="AI859" authorId="0">
      <text>
        <r>
          <rPr>
            <b/>
            <sz val="9"/>
            <rFont val="宋体"/>
            <charset val="134"/>
          </rPr>
          <t>Administrator:</t>
        </r>
        <r>
          <rPr>
            <sz val="9"/>
            <rFont val="宋体"/>
            <charset val="134"/>
          </rPr>
          <t xml:space="preserve">
11/22 上客供亚马逊外箱贴纸508pcs
</t>
        </r>
      </text>
    </comment>
    <comment ref="AF860" authorId="0">
      <text>
        <r>
          <rPr>
            <b/>
            <sz val="9"/>
            <rFont val="宋体"/>
            <charset val="134"/>
          </rPr>
          <t>Administrator:</t>
        </r>
        <r>
          <rPr>
            <sz val="9"/>
            <rFont val="宋体"/>
            <charset val="134"/>
          </rPr>
          <t xml:space="preserve">
3000549 12/12 7752pcs
王4a4</t>
        </r>
      </text>
    </comment>
    <comment ref="AI860" authorId="0">
      <text>
        <r>
          <rPr>
            <b/>
            <sz val="9"/>
            <rFont val="宋体"/>
            <charset val="134"/>
          </rPr>
          <t>Administrator:</t>
        </r>
        <r>
          <rPr>
            <sz val="9"/>
            <rFont val="宋体"/>
            <charset val="134"/>
          </rPr>
          <t xml:space="preserve">
11/22 上客供亚马逊外箱贴纸646pcs</t>
        </r>
      </text>
    </comment>
    <comment ref="AF861" authorId="0">
      <text>
        <r>
          <rPr>
            <b/>
            <sz val="9"/>
            <rFont val="宋体"/>
            <charset val="134"/>
          </rPr>
          <t>Administrator:</t>
        </r>
        <r>
          <rPr>
            <sz val="9"/>
            <rFont val="宋体"/>
            <charset val="134"/>
          </rPr>
          <t xml:space="preserve">
1200785 12/13 2704pcs 华3a27</t>
        </r>
      </text>
    </comment>
    <comment ref="AI861" authorId="0">
      <text>
        <r>
          <rPr>
            <b/>
            <sz val="9"/>
            <rFont val="宋体"/>
            <charset val="134"/>
          </rPr>
          <t>Administrator:</t>
        </r>
        <r>
          <rPr>
            <sz val="9"/>
            <rFont val="宋体"/>
            <charset val="134"/>
          </rPr>
          <t xml:space="preserve">
12/5 UPC条码贴纸 2704pcs</t>
        </r>
      </text>
    </comment>
    <comment ref="AF862" authorId="0">
      <text>
        <r>
          <rPr>
            <b/>
            <sz val="9"/>
            <rFont val="宋体"/>
            <charset val="134"/>
          </rPr>
          <t>Administrator:</t>
        </r>
        <r>
          <rPr>
            <sz val="9"/>
            <rFont val="宋体"/>
            <charset val="134"/>
          </rPr>
          <t xml:space="preserve">
1200757 12/11 1248pcs 华3a27</t>
        </r>
      </text>
    </comment>
    <comment ref="AI862" authorId="0">
      <text>
        <r>
          <rPr>
            <b/>
            <sz val="9"/>
            <rFont val="宋体"/>
            <charset val="134"/>
          </rPr>
          <t>Administrator:</t>
        </r>
        <r>
          <rPr>
            <sz val="9"/>
            <rFont val="宋体"/>
            <charset val="134"/>
          </rPr>
          <t xml:space="preserve">
12/5 进口商贴纸56*52mm 1248pcs
UPC条码贴纸 1248pcs</t>
        </r>
      </text>
    </comment>
    <comment ref="AF863" authorId="0">
      <text>
        <r>
          <rPr>
            <b/>
            <sz val="9"/>
            <rFont val="宋体"/>
            <charset val="134"/>
          </rPr>
          <t>Administrator:</t>
        </r>
        <r>
          <rPr>
            <sz val="9"/>
            <rFont val="宋体"/>
            <charset val="134"/>
          </rPr>
          <t xml:space="preserve">
1200958 12/16 948pcs华3b14</t>
        </r>
      </text>
    </comment>
    <comment ref="AI863" authorId="0">
      <text>
        <r>
          <rPr>
            <b/>
            <sz val="9"/>
            <rFont val="宋体"/>
            <charset val="134"/>
          </rPr>
          <t>Administrator:</t>
        </r>
        <r>
          <rPr>
            <sz val="9"/>
            <rFont val="宋体"/>
            <charset val="134"/>
          </rPr>
          <t xml:space="preserve">
11/21 上亚马逊外箱贴纸82pcs
11/22 上空白贴纸1968pcs
上环保标贴纸984pcs
12/9 亚马逊外箱贴纸 82pcs</t>
        </r>
      </text>
    </comment>
    <comment ref="AF864" authorId="0">
      <text>
        <r>
          <rPr>
            <b/>
            <sz val="9"/>
            <rFont val="宋体"/>
            <charset val="134"/>
          </rPr>
          <t>Administrator:</t>
        </r>
        <r>
          <rPr>
            <sz val="9"/>
            <rFont val="宋体"/>
            <charset val="134"/>
          </rPr>
          <t xml:space="preserve">
1200954 12/16 1200pcs 王4a9</t>
        </r>
      </text>
    </comment>
    <comment ref="AI864" authorId="0">
      <text>
        <r>
          <rPr>
            <b/>
            <sz val="9"/>
            <rFont val="宋体"/>
            <charset val="134"/>
          </rPr>
          <t>Administrator:</t>
        </r>
        <r>
          <rPr>
            <sz val="9"/>
            <rFont val="宋体"/>
            <charset val="134"/>
          </rPr>
          <t xml:space="preserve">
12/1 客供价格贴纸 1235pcs
12/8 进口商贴纸 1200pcs</t>
        </r>
      </text>
    </comment>
    <comment ref="AF865" authorId="0">
      <text>
        <r>
          <rPr>
            <b/>
            <sz val="9"/>
            <rFont val="宋体"/>
            <charset val="134"/>
          </rPr>
          <t>Administrator:</t>
        </r>
        <r>
          <rPr>
            <sz val="9"/>
            <rFont val="宋体"/>
            <charset val="134"/>
          </rPr>
          <t xml:space="preserve">
1200672 12/12 10000pcs王4b8</t>
        </r>
      </text>
    </comment>
    <comment ref="AI865" authorId="0">
      <text>
        <r>
          <rPr>
            <b/>
            <sz val="9"/>
            <rFont val="宋体"/>
            <charset val="134"/>
          </rPr>
          <t>Administrator:</t>
        </r>
        <r>
          <rPr>
            <sz val="9"/>
            <rFont val="宋体"/>
            <charset val="134"/>
          </rPr>
          <t xml:space="preserve">
11/6 上UPC条码贴纸10000pcs
进口商贴纸10000pcs</t>
        </r>
      </text>
    </comment>
    <comment ref="AF866" authorId="0">
      <text>
        <r>
          <rPr>
            <b/>
            <sz val="9"/>
            <rFont val="宋体"/>
            <charset val="134"/>
          </rPr>
          <t>Administrator:</t>
        </r>
        <r>
          <rPr>
            <sz val="9"/>
            <rFont val="宋体"/>
            <charset val="134"/>
          </rPr>
          <t xml:space="preserve">
4001139 11/26 150pcs
</t>
        </r>
      </text>
    </comment>
    <comment ref="AF867" authorId="0">
      <text>
        <r>
          <rPr>
            <b/>
            <sz val="9"/>
            <rFont val="宋体"/>
            <charset val="134"/>
          </rPr>
          <t>Administrator:</t>
        </r>
        <r>
          <rPr>
            <sz val="9"/>
            <rFont val="宋体"/>
            <charset val="134"/>
          </rPr>
          <t xml:space="preserve">
1200379 11/11 回货15PCS</t>
        </r>
      </text>
    </comment>
    <comment ref="AF868" authorId="0">
      <text>
        <r>
          <rPr>
            <b/>
            <sz val="9"/>
            <rFont val="宋体"/>
            <charset val="134"/>
          </rPr>
          <t>Administrator:</t>
        </r>
        <r>
          <rPr>
            <sz val="9"/>
            <rFont val="宋体"/>
            <charset val="134"/>
          </rPr>
          <t xml:space="preserve">
1200202 12/6 1008pcs王a1</t>
        </r>
      </text>
    </comment>
    <comment ref="AF869" authorId="0">
      <text>
        <r>
          <rPr>
            <b/>
            <sz val="9"/>
            <rFont val="宋体"/>
            <charset val="134"/>
          </rPr>
          <t>Administrator:</t>
        </r>
        <r>
          <rPr>
            <sz val="9"/>
            <rFont val="宋体"/>
            <charset val="134"/>
          </rPr>
          <t xml:space="preserve">
1200202 12/6 1008pcs
王a栋1
</t>
        </r>
      </text>
    </comment>
    <comment ref="AF870" authorId="0">
      <text>
        <r>
          <rPr>
            <b/>
            <sz val="9"/>
            <rFont val="宋体"/>
            <charset val="134"/>
          </rPr>
          <t>Administrator:</t>
        </r>
        <r>
          <rPr>
            <sz val="9"/>
            <rFont val="宋体"/>
            <charset val="134"/>
          </rPr>
          <t xml:space="preserve">
3000549 12/12 7000pcs
王4c4</t>
        </r>
      </text>
    </comment>
    <comment ref="AI870" authorId="0">
      <text>
        <r>
          <rPr>
            <b/>
            <sz val="9"/>
            <rFont val="宋体"/>
            <charset val="134"/>
          </rPr>
          <t>Administrator:</t>
        </r>
        <r>
          <rPr>
            <sz val="9"/>
            <rFont val="宋体"/>
            <charset val="134"/>
          </rPr>
          <t xml:space="preserve">
11/4 上法国回收标贴纸7000pcs</t>
        </r>
      </text>
    </comment>
    <comment ref="AF871" authorId="0">
      <text>
        <r>
          <rPr>
            <b/>
            <sz val="9"/>
            <rFont val="宋体"/>
            <charset val="134"/>
          </rPr>
          <t>Administrator:</t>
        </r>
        <r>
          <rPr>
            <sz val="9"/>
            <rFont val="宋体"/>
            <charset val="134"/>
          </rPr>
          <t xml:space="preserve">
3000564 12/15  19760pcs华3a32</t>
        </r>
      </text>
    </comment>
    <comment ref="AI871" authorId="0">
      <text>
        <r>
          <rPr>
            <b/>
            <sz val="9"/>
            <rFont val="宋体"/>
            <charset val="134"/>
          </rPr>
          <t>Administrator:</t>
        </r>
        <r>
          <rPr>
            <sz val="9"/>
            <rFont val="宋体"/>
            <charset val="134"/>
          </rPr>
          <t xml:space="preserve">
11/18 上客户EAN条码贴纸33280pcs
PDQ数量贴纸8320pcs
两个同PO共用</t>
        </r>
      </text>
    </comment>
    <comment ref="AF872" authorId="0">
      <text>
        <r>
          <rPr>
            <b/>
            <sz val="9"/>
            <rFont val="宋体"/>
            <charset val="134"/>
          </rPr>
          <t>Administrator:</t>
        </r>
        <r>
          <rPr>
            <sz val="9"/>
            <rFont val="宋体"/>
            <charset val="134"/>
          </rPr>
          <t xml:space="preserve">
3000564 12/15  13520pcs
华3b16</t>
        </r>
      </text>
    </comment>
    <comment ref="AF873" authorId="0">
      <text>
        <r>
          <rPr>
            <b/>
            <sz val="9"/>
            <rFont val="宋体"/>
            <charset val="134"/>
          </rPr>
          <t>Administrator:</t>
        </r>
        <r>
          <rPr>
            <sz val="9"/>
            <rFont val="宋体"/>
            <charset val="134"/>
          </rPr>
          <t xml:space="preserve">
1200954 12/16 1968pcs
王4c7
</t>
        </r>
      </text>
    </comment>
    <comment ref="AI873" authorId="0">
      <text>
        <r>
          <rPr>
            <b/>
            <sz val="9"/>
            <rFont val="宋体"/>
            <charset val="134"/>
          </rPr>
          <t>Administrator:</t>
        </r>
        <r>
          <rPr>
            <sz val="9"/>
            <rFont val="宋体"/>
            <charset val="134"/>
          </rPr>
          <t xml:space="preserve">
12/9 UPC贴纸 1968pcs</t>
        </r>
      </text>
    </comment>
    <comment ref="AF874" authorId="0">
      <text>
        <r>
          <rPr>
            <b/>
            <sz val="9"/>
            <rFont val="宋体"/>
            <charset val="134"/>
          </rPr>
          <t>Administrator:</t>
        </r>
        <r>
          <rPr>
            <sz val="9"/>
            <rFont val="宋体"/>
            <charset val="134"/>
          </rPr>
          <t xml:space="preserve">
1200954 12/16 1722pcs王4c7
1600039 12/23 6pcs</t>
        </r>
      </text>
    </comment>
    <comment ref="AI874" authorId="0">
      <text>
        <r>
          <rPr>
            <b/>
            <sz val="9"/>
            <rFont val="宋体"/>
            <charset val="134"/>
          </rPr>
          <t>Administrator:</t>
        </r>
        <r>
          <rPr>
            <sz val="9"/>
            <rFont val="宋体"/>
            <charset val="134"/>
          </rPr>
          <t xml:space="preserve">
12/9 UPC贴纸 1728pcs
</t>
        </r>
      </text>
    </comment>
    <comment ref="AF875" authorId="0">
      <text>
        <r>
          <rPr>
            <b/>
            <sz val="9"/>
            <rFont val="宋体"/>
            <charset val="134"/>
          </rPr>
          <t>Administrator:</t>
        </r>
        <r>
          <rPr>
            <sz val="9"/>
            <rFont val="宋体"/>
            <charset val="134"/>
          </rPr>
          <t xml:space="preserve">
1200954 12/16 1968pcs王4c7
</t>
        </r>
      </text>
    </comment>
    <comment ref="AI875" authorId="0">
      <text>
        <r>
          <rPr>
            <b/>
            <sz val="9"/>
            <rFont val="宋体"/>
            <charset val="134"/>
          </rPr>
          <t>Administrator:</t>
        </r>
        <r>
          <rPr>
            <sz val="9"/>
            <rFont val="宋体"/>
            <charset val="134"/>
          </rPr>
          <t xml:space="preserve">
12/9 UPC贴纸 1968pcs
</t>
        </r>
      </text>
    </comment>
    <comment ref="AF876" authorId="0">
      <text>
        <r>
          <rPr>
            <b/>
            <sz val="9"/>
            <rFont val="宋体"/>
            <charset val="134"/>
          </rPr>
          <t>Administrator:</t>
        </r>
        <r>
          <rPr>
            <sz val="9"/>
            <rFont val="宋体"/>
            <charset val="134"/>
          </rPr>
          <t xml:space="preserve">
1200945 12/16 1000pcs 王4a8</t>
        </r>
      </text>
    </comment>
    <comment ref="AI876" authorId="0">
      <text>
        <r>
          <rPr>
            <b/>
            <sz val="9"/>
            <rFont val="宋体"/>
            <charset val="134"/>
          </rPr>
          <t>Administrator:</t>
        </r>
        <r>
          <rPr>
            <sz val="9"/>
            <rFont val="宋体"/>
            <charset val="134"/>
          </rPr>
          <t xml:space="preserve">
12/1 UPC贴纸32*17mm 1000pcs
进口商贴纸 1500pcs</t>
        </r>
      </text>
    </comment>
    <comment ref="AF877" authorId="0">
      <text>
        <r>
          <rPr>
            <b/>
            <sz val="9"/>
            <rFont val="宋体"/>
            <charset val="134"/>
          </rPr>
          <t>Administrator:</t>
        </r>
        <r>
          <rPr>
            <sz val="9"/>
            <rFont val="宋体"/>
            <charset val="134"/>
          </rPr>
          <t xml:space="preserve">
1200937 12/16 23040pcs 华3a19</t>
        </r>
      </text>
    </comment>
    <comment ref="AF878" authorId="0">
      <text>
        <r>
          <rPr>
            <b/>
            <sz val="9"/>
            <rFont val="宋体"/>
            <charset val="134"/>
          </rPr>
          <t>Administrator:</t>
        </r>
        <r>
          <rPr>
            <sz val="9"/>
            <rFont val="宋体"/>
            <charset val="134"/>
          </rPr>
          <t xml:space="preserve">
1200961 12/16 15360pcs华3a12</t>
        </r>
      </text>
    </comment>
    <comment ref="AF879" authorId="0">
      <text>
        <r>
          <rPr>
            <b/>
            <sz val="9"/>
            <rFont val="宋体"/>
            <charset val="134"/>
          </rPr>
          <t>Administrator:</t>
        </r>
        <r>
          <rPr>
            <sz val="9"/>
            <rFont val="宋体"/>
            <charset val="134"/>
          </rPr>
          <t xml:space="preserve">
1200958 12/16 22960pcs
华3a241200961 12/16 25040pcs
华3a24</t>
        </r>
      </text>
    </comment>
    <comment ref="AF880" authorId="0">
      <text>
        <r>
          <rPr>
            <b/>
            <sz val="9"/>
            <rFont val="宋体"/>
            <charset val="134"/>
          </rPr>
          <t>Administrator:</t>
        </r>
        <r>
          <rPr>
            <sz val="9"/>
            <rFont val="宋体"/>
            <charset val="134"/>
          </rPr>
          <t xml:space="preserve">
1200961 12/16 8064pcs
华3a21
1200937 12/16 10176pcs
华3a21</t>
        </r>
      </text>
    </comment>
    <comment ref="AF881" authorId="0">
      <text>
        <r>
          <rPr>
            <b/>
            <sz val="9"/>
            <rFont val="宋体"/>
            <charset val="134"/>
          </rPr>
          <t>Administrator:</t>
        </r>
        <r>
          <rPr>
            <sz val="9"/>
            <rFont val="宋体"/>
            <charset val="134"/>
          </rPr>
          <t xml:space="preserve">
1200961 12/16 25920
pcs
华3a14</t>
        </r>
      </text>
    </comment>
    <comment ref="AF882" authorId="0">
      <text>
        <r>
          <rPr>
            <b/>
            <sz val="9"/>
            <rFont val="宋体"/>
            <charset val="134"/>
          </rPr>
          <t>Administrator:</t>
        </r>
        <r>
          <rPr>
            <sz val="9"/>
            <rFont val="宋体"/>
            <charset val="134"/>
          </rPr>
          <t xml:space="preserve">
1200937 12/16 2250pcs
华3b14</t>
        </r>
      </text>
    </comment>
    <comment ref="AI882" authorId="0">
      <text>
        <r>
          <rPr>
            <b/>
            <sz val="9"/>
            <rFont val="宋体"/>
            <charset val="134"/>
          </rPr>
          <t>Administrator:</t>
        </r>
        <r>
          <rPr>
            <sz val="9"/>
            <rFont val="宋体"/>
            <charset val="134"/>
          </rPr>
          <t xml:space="preserve">
12/1 客供价格贴纸 2306pcs
12/8 UPC贴纸34*18mm1200pcs 
进口商贴纸 3450pcs</t>
        </r>
      </text>
    </comment>
    <comment ref="AF883" authorId="0">
      <text>
        <r>
          <rPr>
            <b/>
            <sz val="9"/>
            <rFont val="宋体"/>
            <charset val="134"/>
          </rPr>
          <t>Administrator:</t>
        </r>
        <r>
          <rPr>
            <sz val="9"/>
            <rFont val="宋体"/>
            <charset val="134"/>
          </rPr>
          <t xml:space="preserve">
1200769 12/12 3750pcs王4b1</t>
        </r>
      </text>
    </comment>
    <comment ref="AF884" authorId="0">
      <text>
        <r>
          <rPr>
            <b/>
            <sz val="9"/>
            <rFont val="宋体"/>
            <charset val="134"/>
          </rPr>
          <t>Administrator:</t>
        </r>
        <r>
          <rPr>
            <sz val="9"/>
            <rFont val="宋体"/>
            <charset val="134"/>
          </rPr>
          <t xml:space="preserve">
1200945 12/16 728pcs 王4a9
1200930 12/16 832pcs 直走</t>
        </r>
      </text>
    </comment>
    <comment ref="AI884" authorId="0">
      <text>
        <r>
          <rPr>
            <b/>
            <sz val="9"/>
            <rFont val="宋体"/>
            <charset val="134"/>
          </rPr>
          <t>Administrator:</t>
        </r>
        <r>
          <rPr>
            <sz val="9"/>
            <rFont val="宋体"/>
            <charset val="134"/>
          </rPr>
          <t xml:space="preserve">
11/22 上客供警告语贴纸贴收藏指南1610pcs
客供警语贴纸贴说明书1610pcs
客供警告语贴纸贴球底部1610pcs
12/1 UPC 条码贴纸 1560pcs</t>
        </r>
      </text>
    </comment>
    <comment ref="AF885" authorId="0">
      <text>
        <r>
          <rPr>
            <b/>
            <sz val="9"/>
            <rFont val="宋体"/>
            <charset val="134"/>
          </rPr>
          <t>Administrator:</t>
        </r>
        <r>
          <rPr>
            <sz val="9"/>
            <rFont val="宋体"/>
            <charset val="134"/>
          </rPr>
          <t xml:space="preserve">
12/16 3000567 576pcs</t>
        </r>
      </text>
    </comment>
    <comment ref="AI885" authorId="0">
      <text>
        <r>
          <rPr>
            <b/>
            <sz val="9"/>
            <rFont val="宋体"/>
            <charset val="134"/>
          </rPr>
          <t>Administrator:</t>
        </r>
        <r>
          <rPr>
            <sz val="9"/>
            <rFont val="宋体"/>
            <charset val="134"/>
          </rPr>
          <t xml:space="preserve">
11/22 上客供警告语贴纸贴收藏指南1192pcs
客供警贴纸1192pcs
客供警语贴纸贴说明书1192pcs
客供电池警告语贴纸1191pcs
客供警告语贴纸贴球底部1192pcs
客供中文警告说明书600pcs
12/1 空白贴纸34*18mm 1152pcs</t>
        </r>
      </text>
    </comment>
    <comment ref="AF886" authorId="0">
      <text>
        <r>
          <rPr>
            <b/>
            <sz val="9"/>
            <rFont val="宋体"/>
            <charset val="134"/>
          </rPr>
          <t>Administrator:</t>
        </r>
        <r>
          <rPr>
            <sz val="9"/>
            <rFont val="宋体"/>
            <charset val="134"/>
          </rPr>
          <t xml:space="preserve">
1201000 12/18 1050pcs
华3b15</t>
        </r>
      </text>
    </comment>
    <comment ref="AI886" authorId="0">
      <text>
        <r>
          <rPr>
            <b/>
            <sz val="9"/>
            <rFont val="宋体"/>
            <charset val="134"/>
          </rPr>
          <t>Administrator:</t>
        </r>
        <r>
          <rPr>
            <sz val="9"/>
            <rFont val="宋体"/>
            <charset val="134"/>
          </rPr>
          <t xml:space="preserve">
11/29 上UPC贴纸1050pcs
进口商贴纸1050pcs
</t>
        </r>
      </text>
    </comment>
    <comment ref="AF887" authorId="0">
      <text>
        <r>
          <rPr>
            <b/>
            <sz val="9"/>
            <rFont val="宋体"/>
            <charset val="134"/>
          </rPr>
          <t>Administrator:</t>
        </r>
        <r>
          <rPr>
            <sz val="9"/>
            <rFont val="宋体"/>
            <charset val="134"/>
          </rPr>
          <t xml:space="preserve">
1201000 12/18 504pcs华1f11</t>
        </r>
      </text>
    </comment>
    <comment ref="AI887" authorId="0">
      <text>
        <r>
          <rPr>
            <b/>
            <sz val="9"/>
            <rFont val="宋体"/>
            <charset val="134"/>
          </rPr>
          <t>Administrator:</t>
        </r>
        <r>
          <rPr>
            <sz val="9"/>
            <rFont val="宋体"/>
            <charset val="134"/>
          </rPr>
          <t xml:space="preserve">
11/3 上客户款号EAN条码贴纸1008pcs
空白贴纸1008pcs
德语警告语贴纸1008pcs</t>
        </r>
      </text>
    </comment>
    <comment ref="AF888" authorId="0">
      <text>
        <r>
          <rPr>
            <b/>
            <sz val="9"/>
            <rFont val="宋体"/>
            <charset val="134"/>
          </rPr>
          <t>Administrator:</t>
        </r>
        <r>
          <rPr>
            <sz val="9"/>
            <rFont val="宋体"/>
            <charset val="134"/>
          </rPr>
          <t xml:space="preserve">
1200945 12/16 
1008pcs 直走</t>
        </r>
      </text>
    </comment>
    <comment ref="AI888" authorId="0">
      <text>
        <r>
          <rPr>
            <b/>
            <sz val="9"/>
            <rFont val="宋体"/>
            <charset val="134"/>
          </rPr>
          <t>Administrator:</t>
        </r>
        <r>
          <rPr>
            <sz val="9"/>
            <rFont val="宋体"/>
            <charset val="134"/>
          </rPr>
          <t xml:space="preserve">
12/3 冰棒款-说明书荷兰语 1008pcs
蛋糕款-说明书荷兰语 1008pcs
布丁款-说明书荷兰语 1008pcs</t>
        </r>
      </text>
    </comment>
    <comment ref="AF889" authorId="0">
      <text>
        <r>
          <rPr>
            <b/>
            <sz val="9"/>
            <rFont val="宋体"/>
            <charset val="134"/>
          </rPr>
          <t>Administrator:</t>
        </r>
        <r>
          <rPr>
            <sz val="9"/>
            <rFont val="宋体"/>
            <charset val="134"/>
          </rPr>
          <t xml:space="preserve">
1200994 12/18 1200pcs 华3a32</t>
        </r>
      </text>
    </comment>
    <comment ref="AI889" authorId="0">
      <text>
        <r>
          <rPr>
            <b/>
            <sz val="9"/>
            <rFont val="宋体"/>
            <charset val="134"/>
          </rPr>
          <t>Administrator:</t>
        </r>
        <r>
          <rPr>
            <sz val="9"/>
            <rFont val="宋体"/>
            <charset val="134"/>
          </rPr>
          <t xml:space="preserve">
11/18 上空白贴纸2400pcs
12/24 上客供价格贴纸1320pcs
</t>
        </r>
      </text>
    </comment>
    <comment ref="AF890" authorId="0">
      <text>
        <r>
          <rPr>
            <b/>
            <sz val="9"/>
            <rFont val="宋体"/>
            <charset val="134"/>
          </rPr>
          <t>Administrator:</t>
        </r>
        <r>
          <rPr>
            <sz val="9"/>
            <rFont val="宋体"/>
            <charset val="134"/>
          </rPr>
          <t xml:space="preserve">
1200994 12/18 996pcs
华3b17</t>
        </r>
      </text>
    </comment>
    <comment ref="AI890" authorId="0">
      <text>
        <r>
          <rPr>
            <b/>
            <sz val="9"/>
            <rFont val="宋体"/>
            <charset val="134"/>
          </rPr>
          <t>Administrator:</t>
        </r>
        <r>
          <rPr>
            <sz val="9"/>
            <rFont val="宋体"/>
            <charset val="134"/>
          </rPr>
          <t xml:space="preserve">
11/18 上空白贴纸1992pcs
12/24 上客供价格贴纸1096pcs
</t>
        </r>
      </text>
    </comment>
    <comment ref="AF891" authorId="0">
      <text>
        <r>
          <rPr>
            <b/>
            <sz val="9"/>
            <rFont val="宋体"/>
            <charset val="134"/>
          </rPr>
          <t>Administrator:</t>
        </r>
        <r>
          <rPr>
            <sz val="9"/>
            <rFont val="宋体"/>
            <charset val="134"/>
          </rPr>
          <t xml:space="preserve">
1201000 12/18 1500pcs
华3b15</t>
        </r>
      </text>
    </comment>
    <comment ref="AI891" authorId="0">
      <text>
        <r>
          <rPr>
            <b/>
            <sz val="9"/>
            <rFont val="宋体"/>
            <charset val="134"/>
          </rPr>
          <t>Administrator:</t>
        </r>
        <r>
          <rPr>
            <sz val="9"/>
            <rFont val="宋体"/>
            <charset val="134"/>
          </rPr>
          <t xml:space="preserve">
11/18 上进口商贴纸1500pcs</t>
        </r>
      </text>
    </comment>
    <comment ref="AF892" authorId="0">
      <text>
        <r>
          <rPr>
            <b/>
            <sz val="9"/>
            <rFont val="宋体"/>
            <charset val="134"/>
          </rPr>
          <t>Administrator:</t>
        </r>
        <r>
          <rPr>
            <sz val="9"/>
            <rFont val="宋体"/>
            <charset val="134"/>
          </rPr>
          <t xml:space="preserve">
1201000 12/18 1250pcs
华3b15</t>
        </r>
      </text>
    </comment>
    <comment ref="AI892" authorId="0">
      <text>
        <r>
          <rPr>
            <b/>
            <sz val="9"/>
            <rFont val="宋体"/>
            <charset val="134"/>
          </rPr>
          <t>Administrator:</t>
        </r>
        <r>
          <rPr>
            <sz val="9"/>
            <rFont val="宋体"/>
            <charset val="134"/>
          </rPr>
          <t xml:space="preserve">
11/29 上UPC贴纸1250pcs
进口商贴纸1250pcs
</t>
        </r>
      </text>
    </comment>
    <comment ref="AI893" authorId="0">
      <text>
        <r>
          <rPr>
            <b/>
            <sz val="9"/>
            <rFont val="宋体"/>
            <charset val="134"/>
          </rPr>
          <t>Administrator:</t>
        </r>
        <r>
          <rPr>
            <sz val="9"/>
            <rFont val="宋体"/>
            <charset val="134"/>
          </rPr>
          <t xml:space="preserve">
9/23 上客供芯片贴纸9996pcs
12/10 颜色贴纸 9996pcs
</t>
        </r>
      </text>
    </comment>
    <comment ref="AF894" authorId="0">
      <text>
        <r>
          <rPr>
            <b/>
            <sz val="9"/>
            <rFont val="宋体"/>
            <charset val="134"/>
          </rPr>
          <t>Administrator:</t>
        </r>
        <r>
          <rPr>
            <sz val="9"/>
            <rFont val="宋体"/>
            <charset val="134"/>
          </rPr>
          <t xml:space="preserve">
1200994 12/18 2004pcs
华3b15</t>
        </r>
      </text>
    </comment>
    <comment ref="AI894" authorId="0">
      <text>
        <r>
          <rPr>
            <b/>
            <sz val="9"/>
            <rFont val="宋体"/>
            <charset val="134"/>
          </rPr>
          <t>Administrator:</t>
        </r>
        <r>
          <rPr>
            <sz val="9"/>
            <rFont val="宋体"/>
            <charset val="134"/>
          </rPr>
          <t xml:space="preserve">
12/1 客供价格贴纸 2100pcs</t>
        </r>
      </text>
    </comment>
    <comment ref="AF895" authorId="0">
      <text>
        <r>
          <rPr>
            <b/>
            <sz val="9"/>
            <rFont val="宋体"/>
            <charset val="134"/>
          </rPr>
          <t>Administrator:</t>
        </r>
        <r>
          <rPr>
            <sz val="9"/>
            <rFont val="宋体"/>
            <charset val="134"/>
          </rPr>
          <t xml:space="preserve">
3000552 12/13 12100pcs
华3b14</t>
        </r>
      </text>
    </comment>
    <comment ref="AI895" authorId="0">
      <text>
        <r>
          <rPr>
            <b/>
            <sz val="9"/>
            <rFont val="宋体"/>
            <charset val="134"/>
          </rPr>
          <t>Administrator:</t>
        </r>
        <r>
          <rPr>
            <sz val="9"/>
            <rFont val="宋体"/>
            <charset val="134"/>
          </rPr>
          <t xml:space="preserve">
12/8 UPC条码贴纸 1200pcs
进口商贴纸41*35mm 1200pcs</t>
        </r>
      </text>
    </comment>
    <comment ref="AF896" authorId="0">
      <text>
        <r>
          <rPr>
            <b/>
            <sz val="9"/>
            <rFont val="宋体"/>
            <charset val="134"/>
          </rPr>
          <t>Administrator:</t>
        </r>
        <r>
          <rPr>
            <sz val="9"/>
            <rFont val="宋体"/>
            <charset val="134"/>
          </rPr>
          <t xml:space="preserve">
1200937 12/16 1768pcs
 华1f3
1201000 12/18 104pcs 华1f3</t>
        </r>
      </text>
    </comment>
    <comment ref="AI896" authorId="0">
      <text>
        <r>
          <rPr>
            <b/>
            <sz val="9"/>
            <rFont val="宋体"/>
            <charset val="134"/>
          </rPr>
          <t>Administrator:</t>
        </r>
        <r>
          <rPr>
            <sz val="9"/>
            <rFont val="宋体"/>
            <charset val="134"/>
          </rPr>
          <t xml:space="preserve">
12/5 UPC条码贴纸 1872pcs</t>
        </r>
      </text>
    </comment>
    <comment ref="AF897" authorId="0">
      <text>
        <r>
          <rPr>
            <b/>
            <sz val="9"/>
            <rFont val="宋体"/>
            <charset val="134"/>
          </rPr>
          <t>Administrator:</t>
        </r>
        <r>
          <rPr>
            <sz val="9"/>
            <rFont val="宋体"/>
            <charset val="134"/>
          </rPr>
          <t xml:space="preserve">
1200921 12/15 7008pcs王4a8</t>
        </r>
      </text>
    </comment>
    <comment ref="AI897" authorId="0">
      <text>
        <r>
          <rPr>
            <b/>
            <sz val="9"/>
            <rFont val="宋体"/>
            <charset val="134"/>
          </rPr>
          <t>Administrator:</t>
        </r>
        <r>
          <rPr>
            <sz val="9"/>
            <rFont val="宋体"/>
            <charset val="134"/>
          </rPr>
          <t xml:space="preserve">
12/3 WIC贴贴纸41*19mm 7008pcs
12/17 WIC贴纸 补订495pcs</t>
        </r>
      </text>
    </comment>
    <comment ref="AF898" authorId="0">
      <text>
        <r>
          <rPr>
            <b/>
            <sz val="9"/>
            <rFont val="宋体"/>
            <charset val="134"/>
          </rPr>
          <t>Administrator:</t>
        </r>
        <r>
          <rPr>
            <sz val="9"/>
            <rFont val="宋体"/>
            <charset val="134"/>
          </rPr>
          <t xml:space="preserve">
1201037 12/22 750pcs王4c5</t>
        </r>
      </text>
    </comment>
    <comment ref="AI898" authorId="0">
      <text>
        <r>
          <rPr>
            <b/>
            <sz val="9"/>
            <rFont val="宋体"/>
            <charset val="134"/>
          </rPr>
          <t>Administrator:</t>
        </r>
        <r>
          <rPr>
            <sz val="9"/>
            <rFont val="宋体"/>
            <charset val="134"/>
          </rPr>
          <t xml:space="preserve">
11/4 上警语贴纸750pcs</t>
        </r>
      </text>
    </comment>
    <comment ref="AF899" authorId="0">
      <text>
        <r>
          <rPr>
            <b/>
            <sz val="9"/>
            <rFont val="宋体"/>
            <charset val="134"/>
          </rPr>
          <t>Administrator:</t>
        </r>
        <r>
          <rPr>
            <sz val="9"/>
            <rFont val="宋体"/>
            <charset val="134"/>
          </rPr>
          <t xml:space="preserve">
1600019 12/22 3025pcs 王4c5</t>
        </r>
      </text>
    </comment>
    <comment ref="AI899" authorId="0">
      <text>
        <r>
          <rPr>
            <b/>
            <sz val="9"/>
            <rFont val="宋体"/>
            <charset val="134"/>
          </rPr>
          <t>Administrator:</t>
        </r>
        <r>
          <rPr>
            <sz val="9"/>
            <rFont val="宋体"/>
            <charset val="134"/>
          </rPr>
          <t xml:space="preserve">
12/3 法国回收标贴纸 3025pcs</t>
        </r>
      </text>
    </comment>
    <comment ref="AF900" authorId="0">
      <text>
        <r>
          <rPr>
            <b/>
            <sz val="9"/>
            <rFont val="宋体"/>
            <charset val="134"/>
          </rPr>
          <t>Administrator:</t>
        </r>
        <r>
          <rPr>
            <sz val="9"/>
            <rFont val="宋体"/>
            <charset val="134"/>
          </rPr>
          <t xml:space="preserve">
3000576 12/18 234pcs
华3b17</t>
        </r>
      </text>
    </comment>
    <comment ref="AI900" authorId="0">
      <text>
        <r>
          <rPr>
            <b/>
            <sz val="9"/>
            <rFont val="宋体"/>
            <charset val="134"/>
          </rPr>
          <t>Administrator:</t>
        </r>
        <r>
          <rPr>
            <sz val="9"/>
            <rFont val="宋体"/>
            <charset val="134"/>
          </rPr>
          <t xml:space="preserve">
12/4 客供外箱贴纸 18pcs
</t>
        </r>
      </text>
    </comment>
    <comment ref="AF901" authorId="0">
      <text>
        <r>
          <rPr>
            <b/>
            <sz val="9"/>
            <rFont val="宋体"/>
            <charset val="134"/>
          </rPr>
          <t>Administrator:</t>
        </r>
        <r>
          <rPr>
            <sz val="9"/>
            <rFont val="宋体"/>
            <charset val="134"/>
          </rPr>
          <t xml:space="preserve">
3000576 12/18 1456pcs
华3a26</t>
        </r>
      </text>
    </comment>
    <comment ref="AI901" authorId="0">
      <text>
        <r>
          <rPr>
            <b/>
            <sz val="9"/>
            <rFont val="宋体"/>
            <charset val="134"/>
          </rPr>
          <t>Administrator:</t>
        </r>
        <r>
          <rPr>
            <sz val="9"/>
            <rFont val="宋体"/>
            <charset val="134"/>
          </rPr>
          <t xml:space="preserve">
12/4 客供外箱贴纸 112pcs
12/5 价格贴纸41*30mm 1456pcs</t>
        </r>
      </text>
    </comment>
    <comment ref="AF902" authorId="0">
      <text>
        <r>
          <rPr>
            <b/>
            <sz val="9"/>
            <rFont val="宋体"/>
            <charset val="134"/>
          </rPr>
          <t>Administrator:</t>
        </r>
        <r>
          <rPr>
            <sz val="9"/>
            <rFont val="宋体"/>
            <charset val="134"/>
          </rPr>
          <t xml:space="preserve">
</t>
        </r>
        <r>
          <rPr>
            <sz val="10"/>
            <rFont val="宋体"/>
            <charset val="134"/>
          </rPr>
          <t>1201000 12/18 18432pcs
华3a22
1200981 12/18 13216pcs 华3a22
1200917 12/19 32PCS 华3a22</t>
        </r>
      </text>
    </comment>
    <comment ref="AF903" authorId="0">
      <text>
        <r>
          <rPr>
            <b/>
            <sz val="9"/>
            <rFont val="宋体"/>
            <charset val="134"/>
          </rPr>
          <t>Administrator:</t>
        </r>
        <r>
          <rPr>
            <sz val="9"/>
            <rFont val="宋体"/>
            <charset val="134"/>
          </rPr>
          <t xml:space="preserve">
1201007 12/19 35000PCS 华3a21</t>
        </r>
      </text>
    </comment>
    <comment ref="AI903" authorId="0">
      <text>
        <r>
          <rPr>
            <b/>
            <sz val="9"/>
            <rFont val="宋体"/>
            <charset val="134"/>
          </rPr>
          <t>Administrator:</t>
        </r>
        <r>
          <rPr>
            <sz val="9"/>
            <rFont val="宋体"/>
            <charset val="134"/>
          </rPr>
          <t xml:space="preserve">
12/27 上客供外箱条码贴纸1414pcs</t>
        </r>
      </text>
    </comment>
    <comment ref="AF904" authorId="0">
      <text>
        <r>
          <rPr>
            <b/>
            <sz val="9"/>
            <rFont val="宋体"/>
            <charset val="134"/>
          </rPr>
          <t>Administrator:</t>
        </r>
        <r>
          <rPr>
            <sz val="9"/>
            <rFont val="宋体"/>
            <charset val="134"/>
          </rPr>
          <t xml:space="preserve">
1200162 12/19 12116PCS 王4b3</t>
        </r>
      </text>
    </comment>
    <comment ref="AI904" authorId="0">
      <text>
        <r>
          <rPr>
            <b/>
            <sz val="9"/>
            <rFont val="宋体"/>
            <charset val="134"/>
          </rPr>
          <t>Administrator:</t>
        </r>
        <r>
          <rPr>
            <sz val="9"/>
            <rFont val="宋体"/>
            <charset val="134"/>
          </rPr>
          <t xml:space="preserve">
12/9 进口商贴纸 12116pcs
12/10 UPC 条码贴纸 12116pcs </t>
        </r>
      </text>
    </comment>
    <comment ref="AM904" authorId="1">
      <text>
        <r>
          <rPr>
            <b/>
            <sz val="9"/>
            <rFont val="宋体"/>
            <charset val="134"/>
          </rPr>
          <t>RR:</t>
        </r>
        <r>
          <rPr>
            <sz val="9"/>
            <rFont val="宋体"/>
            <charset val="134"/>
          </rPr>
          <t xml:space="preserve">
客人接受1L收缩膜</t>
        </r>
      </text>
    </comment>
    <comment ref="AF905" authorId="0">
      <text>
        <r>
          <rPr>
            <b/>
            <sz val="9"/>
            <rFont val="宋体"/>
            <charset val="134"/>
          </rPr>
          <t>Administrator:</t>
        </r>
        <r>
          <rPr>
            <sz val="9"/>
            <rFont val="宋体"/>
            <charset val="134"/>
          </rPr>
          <t xml:space="preserve">
1201037 12/22 492pcs王4c5</t>
        </r>
      </text>
    </comment>
    <comment ref="AI905" authorId="0">
      <text>
        <r>
          <rPr>
            <b/>
            <sz val="9"/>
            <rFont val="宋体"/>
            <charset val="134"/>
          </rPr>
          <t>Administrator:</t>
        </r>
        <r>
          <rPr>
            <sz val="9"/>
            <rFont val="宋体"/>
            <charset val="134"/>
          </rPr>
          <t xml:space="preserve">
12/5 空白贴纸34*18mm 984pcs
EAN贴纸25*20mm 492pcs
警告语贴纸28*25mm 492pcs
12/9 EAN贴纸 492pcs
警告语贴纸 492pcs
空白贴纸 492pcs</t>
        </r>
      </text>
    </comment>
    <comment ref="AF906" authorId="0">
      <text>
        <r>
          <rPr>
            <b/>
            <sz val="9"/>
            <rFont val="宋体"/>
            <charset val="134"/>
          </rPr>
          <t>Administrator:</t>
        </r>
        <r>
          <rPr>
            <sz val="9"/>
            <rFont val="宋体"/>
            <charset val="134"/>
          </rPr>
          <t xml:space="preserve">
1600063 12/25 770pcs 文本云</t>
        </r>
      </text>
    </comment>
    <comment ref="AM906" authorId="1">
      <text>
        <r>
          <rPr>
            <b/>
            <sz val="9"/>
            <rFont val="宋体"/>
            <charset val="134"/>
          </rPr>
          <t>RR:</t>
        </r>
        <r>
          <rPr>
            <sz val="9"/>
            <rFont val="宋体"/>
            <charset val="134"/>
          </rPr>
          <t xml:space="preserve">
客人接受1L收缩膜</t>
        </r>
      </text>
    </comment>
    <comment ref="AF907" authorId="0">
      <text>
        <r>
          <rPr>
            <b/>
            <sz val="9"/>
            <rFont val="宋体"/>
            <charset val="134"/>
          </rPr>
          <t>Administrator:</t>
        </r>
        <r>
          <rPr>
            <sz val="9"/>
            <rFont val="宋体"/>
            <charset val="134"/>
          </rPr>
          <t xml:space="preserve">
1600019 12/22 11500pcs王4a6</t>
        </r>
      </text>
    </comment>
    <comment ref="AI907" authorId="0">
      <text>
        <r>
          <rPr>
            <b/>
            <sz val="9"/>
            <rFont val="宋体"/>
            <charset val="134"/>
          </rPr>
          <t>Administrator:</t>
        </r>
        <r>
          <rPr>
            <sz val="9"/>
            <rFont val="宋体"/>
            <charset val="134"/>
          </rPr>
          <t xml:space="preserve">
12/9 进口商贴纸 11500pcs
UPC贴纸 11500pcs
12/9 外箱贴纸 460pcs</t>
        </r>
      </text>
    </comment>
    <comment ref="AF908" authorId="0">
      <text>
        <r>
          <rPr>
            <b/>
            <sz val="9"/>
            <rFont val="宋体"/>
            <charset val="134"/>
          </rPr>
          <t>Administrator:</t>
        </r>
        <r>
          <rPr>
            <sz val="9"/>
            <rFont val="宋体"/>
            <charset val="134"/>
          </rPr>
          <t xml:space="preserve">
1900062 12/25 600pcs
华3b13</t>
        </r>
      </text>
    </comment>
    <comment ref="AF909" authorId="0">
      <text>
        <r>
          <rPr>
            <b/>
            <sz val="9"/>
            <rFont val="宋体"/>
            <charset val="134"/>
          </rPr>
          <t>Administrator:</t>
        </r>
        <r>
          <rPr>
            <sz val="9"/>
            <rFont val="宋体"/>
            <charset val="134"/>
          </rPr>
          <t xml:space="preserve">
1600023 12/22 4950pcs 王1f3
1600040 12/23 50pcs 王1f3   </t>
        </r>
      </text>
    </comment>
    <comment ref="AI909" authorId="0">
      <text>
        <r>
          <rPr>
            <b/>
            <sz val="9"/>
            <rFont val="宋体"/>
            <charset val="134"/>
          </rPr>
          <t>Administrator:</t>
        </r>
        <r>
          <rPr>
            <sz val="9"/>
            <rFont val="宋体"/>
            <charset val="134"/>
          </rPr>
          <t xml:space="preserve">
11/18 上UPC贴纸5000pcs
进口商贴纸5000pcs
</t>
        </r>
      </text>
    </comment>
    <comment ref="AF910" authorId="0">
      <text>
        <r>
          <rPr>
            <b/>
            <sz val="9"/>
            <rFont val="宋体"/>
            <charset val="134"/>
          </rPr>
          <t>Administrator:</t>
        </r>
        <r>
          <rPr>
            <sz val="9"/>
            <rFont val="宋体"/>
            <charset val="134"/>
          </rPr>
          <t xml:space="preserve">
1600019 12/22 7650pcs
王4b41201031 12/20 9900pcs 王4b1</t>
        </r>
      </text>
    </comment>
    <comment ref="AI910" authorId="0">
      <text>
        <r>
          <rPr>
            <b/>
            <sz val="9"/>
            <rFont val="宋体"/>
            <charset val="134"/>
          </rPr>
          <t>Administrator:</t>
        </r>
        <r>
          <rPr>
            <sz val="9"/>
            <rFont val="宋体"/>
            <charset val="134"/>
          </rPr>
          <t xml:space="preserve">
12/9 UPC 条码贴纸 17550pcs</t>
        </r>
      </text>
    </comment>
    <comment ref="AF911" authorId="0">
      <text>
        <r>
          <rPr>
            <b/>
            <sz val="9"/>
            <rFont val="宋体"/>
            <charset val="134"/>
          </rPr>
          <t>Administrator:</t>
        </r>
        <r>
          <rPr>
            <sz val="9"/>
            <rFont val="宋体"/>
            <charset val="134"/>
          </rPr>
          <t xml:space="preserve">
1600019 12/22 17550pcs
王4b6</t>
        </r>
      </text>
    </comment>
    <comment ref="AI911" authorId="0">
      <text>
        <r>
          <rPr>
            <b/>
            <sz val="9"/>
            <rFont val="宋体"/>
            <charset val="134"/>
          </rPr>
          <t>Administrator:</t>
        </r>
        <r>
          <rPr>
            <sz val="9"/>
            <rFont val="宋体"/>
            <charset val="134"/>
          </rPr>
          <t xml:space="preserve">
12/9 UPC 条码贴纸 17550pcs
</t>
        </r>
      </text>
    </comment>
    <comment ref="AF912" authorId="0">
      <text>
        <r>
          <rPr>
            <b/>
            <sz val="9"/>
            <rFont val="宋体"/>
            <charset val="134"/>
          </rPr>
          <t>Administrator:</t>
        </r>
        <r>
          <rPr>
            <sz val="9"/>
            <rFont val="宋体"/>
            <charset val="134"/>
          </rPr>
          <t xml:space="preserve">
1600068 12/23 1976pcs 华3b14</t>
        </r>
      </text>
    </comment>
    <comment ref="AI912" authorId="0">
      <text>
        <r>
          <rPr>
            <b/>
            <sz val="9"/>
            <rFont val="宋体"/>
            <charset val="134"/>
          </rPr>
          <t>Administrator:</t>
        </r>
        <r>
          <rPr>
            <sz val="9"/>
            <rFont val="宋体"/>
            <charset val="134"/>
          </rPr>
          <t xml:space="preserve">
12/5 德语警吿语贴紙 1976pcs</t>
        </r>
      </text>
    </comment>
    <comment ref="AI913" authorId="0">
      <text>
        <r>
          <rPr>
            <b/>
            <sz val="9"/>
            <rFont val="宋体"/>
            <charset val="134"/>
          </rPr>
          <t>Administrator:</t>
        </r>
        <r>
          <rPr>
            <sz val="9"/>
            <rFont val="宋体"/>
            <charset val="134"/>
          </rPr>
          <t xml:space="preserve">
9/23 上客供芯片贴纸9996pcs
12/10 颜色贴纸 9996pcs</t>
        </r>
      </text>
    </comment>
    <comment ref="AF914" authorId="0">
      <text>
        <r>
          <rPr>
            <b/>
            <sz val="9"/>
            <rFont val="宋体"/>
            <charset val="134"/>
          </rPr>
          <t>Administrator:</t>
        </r>
        <r>
          <rPr>
            <sz val="9"/>
            <rFont val="宋体"/>
            <charset val="134"/>
          </rPr>
          <t xml:space="preserve">
1200168 12/2 3975pcs王4b1
1600039 12/23 25pcs 王4b1</t>
        </r>
      </text>
    </comment>
    <comment ref="AI914" authorId="0">
      <text>
        <r>
          <rPr>
            <b/>
            <sz val="9"/>
            <rFont val="宋体"/>
            <charset val="134"/>
          </rPr>
          <t>Administrator:</t>
        </r>
        <r>
          <rPr>
            <sz val="9"/>
            <rFont val="宋体"/>
            <charset val="134"/>
          </rPr>
          <t xml:space="preserve">
12/10 法国sorting label贴纸 4000pcs</t>
        </r>
      </text>
    </comment>
    <comment ref="AI915" authorId="0">
      <text>
        <r>
          <rPr>
            <b/>
            <sz val="9"/>
            <rFont val="宋体"/>
            <charset val="134"/>
          </rPr>
          <t>Administrator:</t>
        </r>
        <r>
          <rPr>
            <sz val="9"/>
            <rFont val="宋体"/>
            <charset val="134"/>
          </rPr>
          <t xml:space="preserve">
10/23 上芯片贴纸2004pcs1
2/10 颜色贴纸 2004pcs
空白贴纸 2400pcs</t>
        </r>
      </text>
    </comment>
    <comment ref="AF916" authorId="0">
      <text>
        <r>
          <rPr>
            <b/>
            <sz val="9"/>
            <rFont val="宋体"/>
            <charset val="134"/>
          </rPr>
          <t>Administrator:</t>
        </r>
        <r>
          <rPr>
            <sz val="9"/>
            <rFont val="宋体"/>
            <charset val="134"/>
          </rPr>
          <t xml:space="preserve">
1600039 12/23 9971pcs 王4c9
1600068 12/23 39pcs 兴信</t>
        </r>
      </text>
    </comment>
    <comment ref="AI916" authorId="0">
      <text>
        <r>
          <rPr>
            <b/>
            <sz val="9"/>
            <rFont val="宋体"/>
            <charset val="134"/>
          </rPr>
          <t>Administrator:</t>
        </r>
        <r>
          <rPr>
            <sz val="9"/>
            <rFont val="宋体"/>
            <charset val="134"/>
          </rPr>
          <t xml:space="preserve">
12/8 客供防窜码贴纸1拖13 10010pcs
12/9 条码贴纸 10010pcs</t>
        </r>
      </text>
    </comment>
    <comment ref="AF917" authorId="0">
      <text>
        <r>
          <rPr>
            <b/>
            <sz val="9"/>
            <rFont val="宋体"/>
            <charset val="134"/>
          </rPr>
          <t>Administrator:</t>
        </r>
        <r>
          <rPr>
            <sz val="9"/>
            <rFont val="宋体"/>
            <charset val="134"/>
          </rPr>
          <t xml:space="preserve">
1600068 12/23 3600pcs 华3b12
</t>
        </r>
      </text>
    </comment>
    <comment ref="AI917" authorId="0">
      <text>
        <r>
          <rPr>
            <b/>
            <sz val="9"/>
            <rFont val="宋体"/>
            <charset val="134"/>
          </rPr>
          <t xml:space="preserve">Administrator:
</t>
        </r>
        <r>
          <rPr>
            <sz val="9"/>
            <rFont val="宋体"/>
            <charset val="134"/>
          </rPr>
          <t>12/4 客供外箱贴纸3780pcs
12/9 UCC外箱贴纸 600pcs</t>
        </r>
      </text>
    </comment>
    <comment ref="AF918" authorId="0">
      <text>
        <r>
          <rPr>
            <b/>
            <sz val="9"/>
            <rFont val="宋体"/>
            <charset val="134"/>
          </rPr>
          <t>Administrator:</t>
        </r>
        <r>
          <rPr>
            <sz val="9"/>
            <rFont val="宋体"/>
            <charset val="134"/>
          </rPr>
          <t xml:space="preserve">
1600068 12/23 1800pcs
华3b12</t>
        </r>
      </text>
    </comment>
    <comment ref="AI918" authorId="0">
      <text>
        <r>
          <rPr>
            <b/>
            <sz val="9"/>
            <rFont val="宋体"/>
            <charset val="134"/>
          </rPr>
          <t>Administrator:</t>
        </r>
        <r>
          <rPr>
            <sz val="9"/>
            <rFont val="宋体"/>
            <charset val="134"/>
          </rPr>
          <t xml:space="preserve">
12/4 客供外箱贴纸 1890pcs
12/9 UCC外箱贴纸 300pcs
</t>
        </r>
      </text>
    </comment>
    <comment ref="AF919" authorId="0">
      <text>
        <r>
          <rPr>
            <b/>
            <sz val="9"/>
            <rFont val="宋体"/>
            <charset val="134"/>
          </rPr>
          <t>Administrator:</t>
        </r>
        <r>
          <rPr>
            <sz val="9"/>
            <rFont val="宋体"/>
            <charset val="134"/>
          </rPr>
          <t xml:space="preserve">
1600099 12/26 5776pcs 王4b7</t>
        </r>
      </text>
    </comment>
    <comment ref="AF920" authorId="0">
      <text>
        <r>
          <rPr>
            <b/>
            <sz val="9"/>
            <rFont val="宋体"/>
            <charset val="134"/>
          </rPr>
          <t>Administrator:</t>
        </r>
        <r>
          <rPr>
            <sz val="9"/>
            <rFont val="宋体"/>
            <charset val="134"/>
          </rPr>
          <t xml:space="preserve">
1200963 12/16 36192pcs 华1f12</t>
        </r>
      </text>
    </comment>
    <comment ref="AF921" authorId="0">
      <text>
        <r>
          <rPr>
            <b/>
            <sz val="9"/>
            <rFont val="宋体"/>
            <charset val="134"/>
          </rPr>
          <t>Administrator:</t>
        </r>
        <r>
          <rPr>
            <sz val="9"/>
            <rFont val="宋体"/>
            <charset val="134"/>
          </rPr>
          <t xml:space="preserve">
1600080 12/26 4000pcs 王直走</t>
        </r>
      </text>
    </comment>
    <comment ref="AF922" authorId="0">
      <text>
        <r>
          <rPr>
            <b/>
            <sz val="9"/>
            <rFont val="宋体"/>
            <charset val="134"/>
          </rPr>
          <t>Administrator:</t>
        </r>
        <r>
          <rPr>
            <sz val="9"/>
            <rFont val="宋体"/>
            <charset val="134"/>
          </rPr>
          <t xml:space="preserve">
1600039 12/23 25032pcs 王4b2</t>
        </r>
      </text>
    </comment>
    <comment ref="AI922" authorId="0">
      <text>
        <r>
          <rPr>
            <b/>
            <sz val="9"/>
            <rFont val="宋体"/>
            <charset val="134"/>
          </rPr>
          <t>Administrator:</t>
        </r>
        <r>
          <rPr>
            <sz val="9"/>
            <rFont val="宋体"/>
            <charset val="134"/>
          </rPr>
          <t xml:space="preserve">
12/3 WIC贴贴纸41*19mm 25032pcs</t>
        </r>
      </text>
    </comment>
    <comment ref="AF923" authorId="0">
      <text>
        <r>
          <rPr>
            <b/>
            <sz val="9"/>
            <rFont val="宋体"/>
            <charset val="134"/>
          </rPr>
          <t>Administrator:</t>
        </r>
        <r>
          <rPr>
            <sz val="9"/>
            <rFont val="宋体"/>
            <charset val="134"/>
          </rPr>
          <t xml:space="preserve">
3000631 12/31 9464pcs 庞3a25</t>
        </r>
      </text>
    </comment>
    <comment ref="AF924" authorId="0">
      <text>
        <r>
          <rPr>
            <b/>
            <sz val="9"/>
            <rFont val="宋体"/>
            <charset val="134"/>
          </rPr>
          <t>Administrator:</t>
        </r>
        <r>
          <rPr>
            <sz val="9"/>
            <rFont val="宋体"/>
            <charset val="134"/>
          </rPr>
          <t xml:space="preserve">
1600099 12/26 300pcs王直走</t>
        </r>
      </text>
    </comment>
    <comment ref="AF925" authorId="0">
      <text>
        <r>
          <rPr>
            <b/>
            <sz val="9"/>
            <rFont val="宋体"/>
            <charset val="134"/>
          </rPr>
          <t>Administrator:</t>
        </r>
        <r>
          <rPr>
            <sz val="9"/>
            <rFont val="宋体"/>
            <charset val="134"/>
          </rPr>
          <t xml:space="preserve">
1900063 12/25 156pcs
文本云</t>
        </r>
      </text>
    </comment>
    <comment ref="AF926" authorId="0">
      <text>
        <r>
          <rPr>
            <b/>
            <sz val="9"/>
            <rFont val="宋体"/>
            <charset val="134"/>
          </rPr>
          <t>Administrator:</t>
        </r>
        <r>
          <rPr>
            <sz val="9"/>
            <rFont val="宋体"/>
            <charset val="134"/>
          </rPr>
          <t xml:space="preserve">
1900063 12/25 78pcs
文本云</t>
        </r>
      </text>
    </comment>
    <comment ref="AF927" authorId="0">
      <text>
        <r>
          <rPr>
            <b/>
            <sz val="9"/>
            <rFont val="宋体"/>
            <charset val="134"/>
          </rPr>
          <t>Administrator:</t>
        </r>
        <r>
          <rPr>
            <sz val="9"/>
            <rFont val="宋体"/>
            <charset val="134"/>
          </rPr>
          <t xml:space="preserve">
1600144 12/29 120pcs
华3b8
1600951 1/2 2800pcs 庞3b8
</t>
        </r>
      </text>
    </comment>
    <comment ref="AI927" authorId="0">
      <text>
        <r>
          <rPr>
            <b/>
            <sz val="9"/>
            <rFont val="宋体"/>
            <charset val="134"/>
          </rPr>
          <t>Administrator:</t>
        </r>
        <r>
          <rPr>
            <sz val="9"/>
            <rFont val="宋体"/>
            <charset val="134"/>
          </rPr>
          <t xml:space="preserve">
12/6 PDQ贴纸含EAN条码 160cs
西班牙环保标/容户进 4000pcs</t>
        </r>
      </text>
    </comment>
    <comment ref="AF928" authorId="0">
      <text>
        <r>
          <rPr>
            <b/>
            <sz val="9"/>
            <rFont val="宋体"/>
            <charset val="134"/>
          </rPr>
          <t>Administrator:</t>
        </r>
        <r>
          <rPr>
            <sz val="9"/>
            <rFont val="宋体"/>
            <charset val="134"/>
          </rPr>
          <t xml:space="preserve">
1601038 1/6 9000pcs王4a9</t>
        </r>
      </text>
    </comment>
    <comment ref="AI928" authorId="0">
      <text>
        <r>
          <rPr>
            <b/>
            <sz val="9"/>
            <rFont val="宋体"/>
            <charset val="134"/>
          </rPr>
          <t>Administrator:</t>
        </r>
        <r>
          <rPr>
            <sz val="9"/>
            <rFont val="宋体"/>
            <charset val="134"/>
          </rPr>
          <t xml:space="preserve">
12/6 PDQ贴纸含EAN条码 30pcs
12/8 西班牙环保标/客户进 900pcs</t>
        </r>
      </text>
    </comment>
    <comment ref="AF929" authorId="0">
      <text>
        <r>
          <rPr>
            <b/>
            <sz val="9"/>
            <rFont val="宋体"/>
            <charset val="134"/>
          </rPr>
          <t>Administrator:</t>
        </r>
        <r>
          <rPr>
            <sz val="9"/>
            <rFont val="宋体"/>
            <charset val="134"/>
          </rPr>
          <t xml:space="preserve">
1600951 1/2 3601pcs
庞3a16</t>
        </r>
      </text>
    </comment>
    <comment ref="AI929" authorId="0">
      <text>
        <r>
          <rPr>
            <b/>
            <sz val="9"/>
            <rFont val="宋体"/>
            <charset val="134"/>
          </rPr>
          <t>Administrator:</t>
        </r>
        <r>
          <rPr>
            <sz val="9"/>
            <rFont val="宋体"/>
            <charset val="134"/>
          </rPr>
          <t xml:space="preserve">
12/6 PDQ贴纸含EAN条码 277pcs
12/8 西班牙环保标/套户进口 3601pcs</t>
        </r>
      </text>
    </comment>
    <comment ref="AF930" authorId="0">
      <text>
        <r>
          <rPr>
            <b/>
            <sz val="9"/>
            <rFont val="宋体"/>
            <charset val="134"/>
          </rPr>
          <t>Administrator:</t>
        </r>
        <r>
          <rPr>
            <sz val="9"/>
            <rFont val="宋体"/>
            <charset val="134"/>
          </rPr>
          <t xml:space="preserve">
1601038 1/6 12000pcs王b4
1601026 1/7 2400pcs 华1f4</t>
        </r>
      </text>
    </comment>
    <comment ref="AI930" authorId="0">
      <text>
        <r>
          <rPr>
            <b/>
            <sz val="9"/>
            <rFont val="宋体"/>
            <charset val="134"/>
          </rPr>
          <t>Administrator:</t>
        </r>
        <r>
          <rPr>
            <sz val="9"/>
            <rFont val="宋体"/>
            <charset val="134"/>
          </rPr>
          <t xml:space="preserve">
12/6 PDQ贴纸含EAN条码 120pcs
12/8 西班牙环保标/客户进 3600pcs</t>
        </r>
      </text>
    </comment>
    <comment ref="AF931" authorId="0">
      <text>
        <r>
          <rPr>
            <b/>
            <sz val="9"/>
            <rFont val="宋体"/>
            <charset val="134"/>
          </rPr>
          <t>Administrator:</t>
        </r>
        <r>
          <rPr>
            <sz val="9"/>
            <rFont val="宋体"/>
            <charset val="134"/>
          </rPr>
          <t xml:space="preserve">
1600124 12/27 4950pcs
华3b17
1600134 12/29 50pcs 华3b17</t>
        </r>
      </text>
    </comment>
    <comment ref="AI931" authorId="0">
      <text>
        <r>
          <rPr>
            <b/>
            <sz val="9"/>
            <rFont val="宋体"/>
            <charset val="134"/>
          </rPr>
          <t>Administrator:</t>
        </r>
        <r>
          <rPr>
            <sz val="9"/>
            <rFont val="宋体"/>
            <charset val="134"/>
          </rPr>
          <t xml:space="preserve">
12/16 进口商贴纸 5000pcs</t>
        </r>
      </text>
    </comment>
    <comment ref="AF932" authorId="0">
      <text>
        <r>
          <rPr>
            <b/>
            <sz val="9"/>
            <rFont val="宋体"/>
            <charset val="134"/>
          </rPr>
          <t>Administrator:</t>
        </r>
        <r>
          <rPr>
            <sz val="9"/>
            <rFont val="宋体"/>
            <charset val="134"/>
          </rPr>
          <t xml:space="preserve">
1600950 12/31 46080pcs王4b2</t>
        </r>
      </text>
    </comment>
    <comment ref="AF933" authorId="0">
      <text>
        <r>
          <rPr>
            <b/>
            <sz val="9"/>
            <rFont val="宋体"/>
            <charset val="134"/>
          </rPr>
          <t>Administrator:</t>
        </r>
        <r>
          <rPr>
            <sz val="9"/>
            <rFont val="宋体"/>
            <charset val="134"/>
          </rPr>
          <t xml:space="preserve">
1600063 12/25 55套 文本云</t>
        </r>
      </text>
    </comment>
    <comment ref="AF934" authorId="0">
      <text>
        <r>
          <rPr>
            <b/>
            <sz val="9"/>
            <rFont val="宋体"/>
            <charset val="134"/>
          </rPr>
          <t>Administrator:</t>
        </r>
        <r>
          <rPr>
            <sz val="9"/>
            <rFont val="宋体"/>
            <charset val="134"/>
          </rPr>
          <t xml:space="preserve">
1900063 12/25 606pcs
文本云</t>
        </r>
      </text>
    </comment>
    <comment ref="AF935" authorId="0">
      <text>
        <r>
          <rPr>
            <b/>
            <sz val="9"/>
            <rFont val="宋体"/>
            <charset val="134"/>
          </rPr>
          <t>Administrator:</t>
        </r>
        <r>
          <rPr>
            <sz val="9"/>
            <rFont val="宋体"/>
            <charset val="134"/>
          </rPr>
          <t xml:space="preserve">
1600118 12/27 74250pcs
王5b81600119 12/27 30250pcs
王5b6
1600127 12/27 23500pcs王5b6
1600114 12/27 22000pcs王4c2</t>
        </r>
      </text>
    </comment>
    <comment ref="AI935" authorId="0">
      <text>
        <r>
          <rPr>
            <b/>
            <sz val="9"/>
            <rFont val="宋体"/>
            <charset val="134"/>
          </rPr>
          <t>Administrator:</t>
        </r>
        <r>
          <rPr>
            <sz val="9"/>
            <rFont val="宋体"/>
            <charset val="134"/>
          </rPr>
          <t xml:space="preserve">
12/15 客供外箱条码贴纸 6060pcs</t>
        </r>
      </text>
    </comment>
    <comment ref="AF936" authorId="0">
      <text>
        <r>
          <rPr>
            <b/>
            <sz val="9"/>
            <rFont val="宋体"/>
            <charset val="134"/>
          </rPr>
          <t>Administrator:</t>
        </r>
        <r>
          <rPr>
            <sz val="9"/>
            <rFont val="宋体"/>
            <charset val="134"/>
          </rPr>
          <t xml:space="preserve">
1600018 12/22 996pcs王4c5</t>
        </r>
      </text>
    </comment>
    <comment ref="AI936" authorId="0">
      <text>
        <r>
          <rPr>
            <b/>
            <sz val="9"/>
            <rFont val="宋体"/>
            <charset val="134"/>
          </rPr>
          <t>Administrator:</t>
        </r>
        <r>
          <rPr>
            <sz val="9"/>
            <rFont val="宋体"/>
            <charset val="134"/>
          </rPr>
          <t xml:space="preserve">
11/18 上空白贴纸1992pcs
12/15 客供价格贴纸 1096pcs</t>
        </r>
      </text>
    </comment>
    <comment ref="AF937" authorId="0">
      <text>
        <r>
          <rPr>
            <b/>
            <sz val="9"/>
            <rFont val="宋体"/>
            <charset val="134"/>
          </rPr>
          <t>Administrator:</t>
        </r>
        <r>
          <rPr>
            <sz val="9"/>
            <rFont val="宋体"/>
            <charset val="134"/>
          </rPr>
          <t xml:space="preserve">
1600018 12/22 996pcs
王4a4</t>
        </r>
      </text>
    </comment>
    <comment ref="AI937" authorId="0">
      <text>
        <r>
          <rPr>
            <b/>
            <sz val="9"/>
            <rFont val="宋体"/>
            <charset val="134"/>
          </rPr>
          <t>Administrator:</t>
        </r>
        <r>
          <rPr>
            <sz val="9"/>
            <rFont val="宋体"/>
            <charset val="134"/>
          </rPr>
          <t xml:space="preserve">
11/18 上空白贴纸1992pcs
12/15 客供价格贴纸 996pcs</t>
        </r>
      </text>
    </comment>
    <comment ref="AF938" authorId="0">
      <text>
        <r>
          <rPr>
            <b/>
            <sz val="9"/>
            <rFont val="宋体"/>
            <charset val="134"/>
          </rPr>
          <t>Administrator:</t>
        </r>
        <r>
          <rPr>
            <sz val="9"/>
            <rFont val="宋体"/>
            <charset val="134"/>
          </rPr>
          <t xml:space="preserve">
1600018 12/22 1200pcs
王4a4</t>
        </r>
      </text>
    </comment>
    <comment ref="AI938" authorId="0">
      <text>
        <r>
          <rPr>
            <b/>
            <sz val="9"/>
            <rFont val="宋体"/>
            <charset val="134"/>
          </rPr>
          <t>Administrator:</t>
        </r>
        <r>
          <rPr>
            <sz val="9"/>
            <rFont val="宋体"/>
            <charset val="134"/>
          </rPr>
          <t xml:space="preserve">
11/18 上空白贴纸2400pcs
12/15 客供价格贴纸 1320pcs
</t>
        </r>
      </text>
    </comment>
    <comment ref="AF939" authorId="0">
      <text>
        <r>
          <rPr>
            <b/>
            <sz val="9"/>
            <rFont val="宋体"/>
            <charset val="134"/>
          </rPr>
          <t>Administrator:</t>
        </r>
        <r>
          <rPr>
            <sz val="9"/>
            <rFont val="宋体"/>
            <charset val="134"/>
          </rPr>
          <t xml:space="preserve">
1600018 12/22 1200pcs
王4b4</t>
        </r>
      </text>
    </comment>
    <comment ref="AI939" authorId="0">
      <text>
        <r>
          <rPr>
            <b/>
            <sz val="9"/>
            <rFont val="宋体"/>
            <charset val="134"/>
          </rPr>
          <t>Administrator:</t>
        </r>
        <r>
          <rPr>
            <sz val="9"/>
            <rFont val="宋体"/>
            <charset val="134"/>
          </rPr>
          <t xml:space="preserve">
11/18 上空白贴纸2400pcs
12/15 客供价格贴纸 1320pcs</t>
        </r>
      </text>
    </comment>
    <comment ref="AF940" authorId="0">
      <text>
        <r>
          <rPr>
            <b/>
            <sz val="9"/>
            <rFont val="宋体"/>
            <charset val="134"/>
          </rPr>
          <t>Administrator:</t>
        </r>
        <r>
          <rPr>
            <sz val="9"/>
            <rFont val="宋体"/>
            <charset val="134"/>
          </rPr>
          <t xml:space="preserve">
1201031 12/20 507pcs 王4b1</t>
        </r>
      </text>
    </comment>
    <comment ref="AI940" authorId="0">
      <text>
        <r>
          <rPr>
            <b/>
            <sz val="9"/>
            <rFont val="宋体"/>
            <charset val="134"/>
          </rPr>
          <t>Administrator:</t>
        </r>
        <r>
          <rPr>
            <sz val="9"/>
            <rFont val="宋体"/>
            <charset val="134"/>
          </rPr>
          <t xml:space="preserve">
12/10 款号贴纸 507pcs
警语贴纸 507pcs</t>
        </r>
      </text>
    </comment>
    <comment ref="AF941" authorId="0">
      <text>
        <r>
          <rPr>
            <b/>
            <sz val="9"/>
            <rFont val="宋体"/>
            <charset val="134"/>
          </rPr>
          <t>Administrator:</t>
        </r>
        <r>
          <rPr>
            <sz val="9"/>
            <rFont val="宋体"/>
            <charset val="134"/>
          </rPr>
          <t xml:space="preserve">
1600068 12/23 2004pcs 华3b14
</t>
        </r>
      </text>
    </comment>
    <comment ref="AI941" authorId="0">
      <text>
        <r>
          <rPr>
            <b/>
            <sz val="9"/>
            <rFont val="宋体"/>
            <charset val="134"/>
          </rPr>
          <t>Administrator:</t>
        </r>
        <r>
          <rPr>
            <sz val="9"/>
            <rFont val="宋体"/>
            <charset val="134"/>
          </rPr>
          <t xml:space="preserve">
12/15 客供价格贴纸 2100pcs</t>
        </r>
      </text>
    </comment>
    <comment ref="AF942" authorId="0">
      <text>
        <r>
          <rPr>
            <b/>
            <sz val="9"/>
            <rFont val="宋体"/>
            <charset val="134"/>
          </rPr>
          <t>Administrator:</t>
        </r>
        <r>
          <rPr>
            <sz val="9"/>
            <rFont val="宋体"/>
            <charset val="134"/>
          </rPr>
          <t xml:space="preserve">
1600151 12/30 2775pcs
华3b14</t>
        </r>
      </text>
    </comment>
    <comment ref="AI942" authorId="0">
      <text>
        <r>
          <rPr>
            <b/>
            <sz val="9"/>
            <rFont val="宋体"/>
            <charset val="134"/>
          </rPr>
          <t>Administrator:</t>
        </r>
        <r>
          <rPr>
            <sz val="9"/>
            <rFont val="宋体"/>
            <charset val="134"/>
          </rPr>
          <t xml:space="preserve">
12/18 DC运输贴纸 2775pcs
12/24 PDQ标识贴 111pcs</t>
        </r>
      </text>
    </comment>
    <comment ref="AF943" authorId="0">
      <text>
        <r>
          <rPr>
            <b/>
            <sz val="9"/>
            <rFont val="宋体"/>
            <charset val="134"/>
          </rPr>
          <t>Administrator:</t>
        </r>
        <r>
          <rPr>
            <sz val="9"/>
            <rFont val="宋体"/>
            <charset val="134"/>
          </rPr>
          <t xml:space="preserve">
1600966 1/4 1200pcs 庞3a10</t>
        </r>
      </text>
    </comment>
    <comment ref="AF944" authorId="0">
      <text>
        <r>
          <rPr>
            <b/>
            <sz val="9"/>
            <rFont val="宋体"/>
            <charset val="134"/>
          </rPr>
          <t>Administrator:</t>
        </r>
        <r>
          <rPr>
            <sz val="9"/>
            <rFont val="宋体"/>
            <charset val="134"/>
          </rPr>
          <t xml:space="preserve">
1600144 12/29 36720pcs
华3a101600151 12/30 10800pcs华3a10
1600966 1/4 6672pcs
庞3a10
</t>
        </r>
      </text>
    </comment>
    <comment ref="AF945" authorId="0">
      <text>
        <r>
          <rPr>
            <b/>
            <sz val="9"/>
            <rFont val="宋体"/>
            <charset val="134"/>
          </rPr>
          <t>Administrator:</t>
        </r>
        <r>
          <rPr>
            <sz val="9"/>
            <rFont val="宋体"/>
            <charset val="134"/>
          </rPr>
          <t xml:space="preserve">
1600992 1/5 1500pcs王4c5</t>
        </r>
      </text>
    </comment>
    <comment ref="AI945" authorId="0">
      <text>
        <r>
          <rPr>
            <b/>
            <sz val="9"/>
            <rFont val="宋体"/>
            <charset val="134"/>
          </rPr>
          <t>Administrator:</t>
        </r>
        <r>
          <rPr>
            <sz val="9"/>
            <rFont val="宋体"/>
            <charset val="134"/>
          </rPr>
          <t xml:space="preserve">
12/12 进口商贴纸 1500pcs
UPC 条码贴纸 1200pcs</t>
        </r>
      </text>
    </comment>
    <comment ref="AF946" authorId="0">
      <text>
        <r>
          <rPr>
            <b/>
            <sz val="9"/>
            <rFont val="宋体"/>
            <charset val="134"/>
          </rPr>
          <t>Administrator:</t>
        </r>
        <r>
          <rPr>
            <sz val="9"/>
            <rFont val="宋体"/>
            <charset val="134"/>
          </rPr>
          <t xml:space="preserve">
1600151 12/30 1250pcs
华3b14
1600952 1/2  25pcs庞3b14</t>
        </r>
      </text>
    </comment>
    <comment ref="AI946" authorId="0">
      <text>
        <r>
          <rPr>
            <b/>
            <sz val="9"/>
            <rFont val="宋体"/>
            <charset val="134"/>
          </rPr>
          <t>Administrator:</t>
        </r>
        <r>
          <rPr>
            <sz val="9"/>
            <rFont val="宋体"/>
            <charset val="134"/>
          </rPr>
          <t xml:space="preserve">
12/18 DC运输贴纸 2275pcs
12/24 PDQ标识贴 51pcs</t>
        </r>
      </text>
    </comment>
    <comment ref="AF947" authorId="0">
      <text>
        <r>
          <rPr>
            <b/>
            <sz val="9"/>
            <rFont val="宋体"/>
            <charset val="134"/>
          </rPr>
          <t>Administrator:</t>
        </r>
        <r>
          <rPr>
            <sz val="9"/>
            <rFont val="宋体"/>
            <charset val="134"/>
          </rPr>
          <t xml:space="preserve">
1600151 12/30 2350pcs
华3b14</t>
        </r>
      </text>
    </comment>
    <comment ref="AI947" authorId="0">
      <text>
        <r>
          <rPr>
            <b/>
            <sz val="9"/>
            <rFont val="宋体"/>
            <charset val="134"/>
          </rPr>
          <t>Administrator:</t>
        </r>
        <r>
          <rPr>
            <sz val="9"/>
            <rFont val="宋体"/>
            <charset val="134"/>
          </rPr>
          <t xml:space="preserve">
12/18 DC运输贴纸 22350pcs
12/24 PDQ标识贴 94pcs</t>
        </r>
      </text>
    </comment>
    <comment ref="AF949" authorId="0">
      <text>
        <r>
          <rPr>
            <b/>
            <sz val="9"/>
            <rFont val="宋体"/>
            <charset val="134"/>
          </rPr>
          <t>Administrator:</t>
        </r>
        <r>
          <rPr>
            <sz val="9"/>
            <rFont val="宋体"/>
            <charset val="134"/>
          </rPr>
          <t xml:space="preserve">
</t>
        </r>
        <r>
          <rPr>
            <sz val="12"/>
            <rFont val="宋体"/>
            <charset val="134"/>
          </rPr>
          <t xml:space="preserve">1600099 12/26 611pcs 王4c5 </t>
        </r>
      </text>
    </comment>
    <comment ref="AI949" authorId="0">
      <text>
        <r>
          <rPr>
            <b/>
            <sz val="9"/>
            <rFont val="宋体"/>
            <charset val="134"/>
          </rPr>
          <t>Administrator:</t>
        </r>
        <r>
          <rPr>
            <sz val="9"/>
            <rFont val="宋体"/>
            <charset val="134"/>
          </rPr>
          <t xml:space="preserve">
12/17 多语警语折叠贴纸 611pcs</t>
        </r>
      </text>
    </comment>
    <comment ref="AF950" authorId="0">
      <text>
        <r>
          <rPr>
            <b/>
            <sz val="9"/>
            <rFont val="宋体"/>
            <charset val="134"/>
          </rPr>
          <t>Administrator:</t>
        </r>
        <r>
          <rPr>
            <sz val="9"/>
            <rFont val="宋体"/>
            <charset val="134"/>
          </rPr>
          <t xml:space="preserve">
3000627 12/30 5400pcs 文本云</t>
        </r>
      </text>
    </comment>
    <comment ref="AF951" authorId="0">
      <text>
        <r>
          <rPr>
            <b/>
            <sz val="9"/>
            <rFont val="宋体"/>
            <charset val="134"/>
          </rPr>
          <t>Administrator:</t>
        </r>
        <r>
          <rPr>
            <sz val="9"/>
            <rFont val="宋体"/>
            <charset val="134"/>
          </rPr>
          <t xml:space="preserve">
1600151 12/30 1872pcs
华3b15</t>
        </r>
      </text>
    </comment>
    <comment ref="AI951" authorId="0">
      <text>
        <r>
          <rPr>
            <b/>
            <sz val="9"/>
            <rFont val="宋体"/>
            <charset val="134"/>
          </rPr>
          <t>Administrator:</t>
        </r>
        <r>
          <rPr>
            <sz val="9"/>
            <rFont val="宋体"/>
            <charset val="134"/>
          </rPr>
          <t xml:space="preserve">
12/18 进口商贴纸 1872pcs
UPC条码贴纸 1872pcs</t>
        </r>
      </text>
    </comment>
    <comment ref="AF952" authorId="0">
      <text>
        <r>
          <rPr>
            <b/>
            <sz val="9"/>
            <rFont val="宋体"/>
            <charset val="134"/>
          </rPr>
          <t>Administrator:</t>
        </r>
        <r>
          <rPr>
            <sz val="9"/>
            <rFont val="宋体"/>
            <charset val="134"/>
          </rPr>
          <t xml:space="preserve">
1600951 1/2 10400pcs
庞3b8</t>
        </r>
      </text>
    </comment>
    <comment ref="AI952" authorId="0">
      <text>
        <r>
          <rPr>
            <b/>
            <sz val="9"/>
            <rFont val="宋体"/>
            <charset val="134"/>
          </rPr>
          <t>Administrator:</t>
        </r>
        <r>
          <rPr>
            <sz val="9"/>
            <rFont val="宋体"/>
            <charset val="134"/>
          </rPr>
          <t xml:space="preserve">
12/22 客户EAN贴纸 10400
PDQ数量贴纸 2600pcs</t>
        </r>
      </text>
    </comment>
    <comment ref="AF953" authorId="0">
      <text>
        <r>
          <rPr>
            <b/>
            <sz val="9"/>
            <rFont val="宋体"/>
            <charset val="134"/>
          </rPr>
          <t>Administrator:</t>
        </r>
        <r>
          <rPr>
            <sz val="9"/>
            <rFont val="宋体"/>
            <charset val="134"/>
          </rPr>
          <t xml:space="preserve">
1600952 1/2  1188pcs庞3a15
1600966 1/3 12pcs 庞3a15</t>
        </r>
      </text>
    </comment>
    <comment ref="AI953" authorId="0">
      <text>
        <r>
          <rPr>
            <b/>
            <sz val="9"/>
            <rFont val="宋体"/>
            <charset val="134"/>
          </rPr>
          <t>Administrator:</t>
        </r>
        <r>
          <rPr>
            <sz val="9"/>
            <rFont val="宋体"/>
            <charset val="134"/>
          </rPr>
          <t xml:space="preserve">
12/15 客供价格贴纸 1320pcs
</t>
        </r>
      </text>
    </comment>
    <comment ref="AF954" authorId="0">
      <text>
        <r>
          <rPr>
            <b/>
            <sz val="9"/>
            <rFont val="宋体"/>
            <charset val="134"/>
          </rPr>
          <t>Administrator:</t>
        </r>
        <r>
          <rPr>
            <sz val="9"/>
            <rFont val="宋体"/>
            <charset val="134"/>
          </rPr>
          <t xml:space="preserve">
1600952 1/2  996pcs 庞3b15</t>
        </r>
      </text>
    </comment>
    <comment ref="AI954" authorId="0">
      <text>
        <r>
          <rPr>
            <b/>
            <sz val="9"/>
            <rFont val="宋体"/>
            <charset val="134"/>
          </rPr>
          <t>Administrator:</t>
        </r>
        <r>
          <rPr>
            <sz val="9"/>
            <rFont val="宋体"/>
            <charset val="134"/>
          </rPr>
          <t xml:space="preserve">
12/15 客供价格贴纸 1096pcs
</t>
        </r>
      </text>
    </comment>
    <comment ref="AF955" authorId="0">
      <text>
        <r>
          <rPr>
            <b/>
            <sz val="9"/>
            <rFont val="宋体"/>
            <charset val="134"/>
          </rPr>
          <t>Administrator:</t>
        </r>
        <r>
          <rPr>
            <sz val="9"/>
            <rFont val="宋体"/>
            <charset val="134"/>
          </rPr>
          <t xml:space="preserve">
1600952 1/2  1200pcs 庞3b15</t>
        </r>
      </text>
    </comment>
    <comment ref="AI955" authorId="0">
      <text>
        <r>
          <rPr>
            <b/>
            <sz val="9"/>
            <rFont val="宋体"/>
            <charset val="134"/>
          </rPr>
          <t>Administrator:</t>
        </r>
        <r>
          <rPr>
            <sz val="9"/>
            <rFont val="宋体"/>
            <charset val="134"/>
          </rPr>
          <t xml:space="preserve">
12/15 客供价格贴纸 1320pcs
</t>
        </r>
      </text>
    </comment>
    <comment ref="AF956" authorId="0">
      <text>
        <r>
          <rPr>
            <b/>
            <sz val="9"/>
            <rFont val="宋体"/>
            <charset val="134"/>
          </rPr>
          <t>Administrator:</t>
        </r>
        <r>
          <rPr>
            <sz val="9"/>
            <rFont val="宋体"/>
            <charset val="134"/>
          </rPr>
          <t xml:space="preserve">
1600956</t>
        </r>
        <r>
          <rPr>
            <sz val="10"/>
            <rFont val="宋体"/>
            <charset val="134"/>
          </rPr>
          <t xml:space="preserve"> 1/3 996pcs庞3b15</t>
        </r>
      </text>
    </comment>
    <comment ref="AI956" authorId="0">
      <text>
        <r>
          <rPr>
            <b/>
            <sz val="9"/>
            <rFont val="宋体"/>
            <charset val="134"/>
          </rPr>
          <t>Administrator:</t>
        </r>
        <r>
          <rPr>
            <sz val="9"/>
            <rFont val="宋体"/>
            <charset val="134"/>
          </rPr>
          <t xml:space="preserve">
12/15 客供价格贴纸 1096pcs
</t>
        </r>
      </text>
    </comment>
    <comment ref="AF957" authorId="0">
      <text>
        <r>
          <rPr>
            <b/>
            <sz val="9"/>
            <rFont val="宋体"/>
            <charset val="134"/>
          </rPr>
          <t>Administrator:</t>
        </r>
        <r>
          <rPr>
            <sz val="9"/>
            <rFont val="宋体"/>
            <charset val="134"/>
          </rPr>
          <t xml:space="preserve">
1600951 1/2 2220pcs
庞3b8</t>
        </r>
      </text>
    </comment>
    <comment ref="AI957" authorId="0">
      <text>
        <r>
          <rPr>
            <b/>
            <sz val="9"/>
            <rFont val="宋体"/>
            <charset val="134"/>
          </rPr>
          <t>Administrator:</t>
        </r>
        <r>
          <rPr>
            <sz val="9"/>
            <rFont val="宋体"/>
            <charset val="134"/>
          </rPr>
          <t xml:space="preserve">
12/18 UPC条码贴纸 2220pcs
进口商贴纸 2220pcs</t>
        </r>
      </text>
    </comment>
    <comment ref="AF958" authorId="0">
      <text>
        <r>
          <rPr>
            <b/>
            <sz val="9"/>
            <rFont val="宋体"/>
            <charset val="134"/>
          </rPr>
          <t>Administrator:</t>
        </r>
        <r>
          <rPr>
            <sz val="9"/>
            <rFont val="宋体"/>
            <charset val="134"/>
          </rPr>
          <t xml:space="preserve">
1600144 12/29 1320pcs 华3b12
1600966 1/3 3672pcs庞3b11
</t>
        </r>
      </text>
    </comment>
    <comment ref="AI958" authorId="0">
      <text>
        <r>
          <rPr>
            <b/>
            <sz val="9"/>
            <rFont val="宋体"/>
            <charset val="134"/>
          </rPr>
          <t>Administrator:</t>
        </r>
        <r>
          <rPr>
            <sz val="9"/>
            <rFont val="宋体"/>
            <charset val="134"/>
          </rPr>
          <t xml:space="preserve">
12/16 客版产品条码贴纸 4992pcs</t>
        </r>
      </text>
    </comment>
    <comment ref="AF959" authorId="0">
      <text>
        <r>
          <rPr>
            <b/>
            <sz val="9"/>
            <rFont val="宋体"/>
            <charset val="134"/>
          </rPr>
          <t>Administrator:</t>
        </r>
        <r>
          <rPr>
            <sz val="9"/>
            <rFont val="宋体"/>
            <charset val="134"/>
          </rPr>
          <t xml:space="preserve">
1600951 1/2 1248pcs 庞3b8
</t>
        </r>
      </text>
    </comment>
    <comment ref="AI959" authorId="0">
      <text>
        <r>
          <rPr>
            <b/>
            <sz val="9"/>
            <rFont val="宋体"/>
            <charset val="134"/>
          </rPr>
          <t>Administrator:</t>
        </r>
        <r>
          <rPr>
            <sz val="9"/>
            <rFont val="宋体"/>
            <charset val="134"/>
          </rPr>
          <t xml:space="preserve">
12/8 客供警语贴纸贴球底部1288pcs
客供警语贴纸贴收藏指甫1290pcs
客供警语贴纸贴说明书上1290pcs
12/25 空白贴纸 1248pcs
UPC 条码贴纸 1248pcs</t>
        </r>
      </text>
    </comment>
    <comment ref="AF960" authorId="0">
      <text>
        <r>
          <rPr>
            <b/>
            <sz val="9"/>
            <rFont val="宋体"/>
            <charset val="134"/>
          </rPr>
          <t>Administrator:</t>
        </r>
        <r>
          <rPr>
            <sz val="9"/>
            <rFont val="宋体"/>
            <charset val="134"/>
          </rPr>
          <t xml:space="preserve">
4001728 1/10 720pcs
</t>
        </r>
      </text>
    </comment>
    <comment ref="AI960" authorId="0">
      <text>
        <r>
          <rPr>
            <b/>
            <sz val="9"/>
            <rFont val="宋体"/>
            <charset val="134"/>
          </rPr>
          <t>Administrator:</t>
        </r>
        <r>
          <rPr>
            <sz val="9"/>
            <rFont val="宋体"/>
            <charset val="134"/>
          </rPr>
          <t xml:space="preserve">
12/8 客供警语贴纸贴说明书上 1488pcs
客供电池警语贴纸 1488pcs
客供警语贴纸贴收藏指南 1488pcs
12/25 空白贴纸 720pcs</t>
        </r>
      </text>
    </comment>
    <comment ref="AF961" authorId="0">
      <text>
        <r>
          <rPr>
            <b/>
            <sz val="9"/>
            <rFont val="宋体"/>
            <charset val="134"/>
          </rPr>
          <t>Administrator:</t>
        </r>
        <r>
          <rPr>
            <sz val="9"/>
            <rFont val="宋体"/>
            <charset val="134"/>
          </rPr>
          <t xml:space="preserve">
1600952 1/2  2475pcs 庞3b8
1600966 1/3 25pcs
庞3b8</t>
        </r>
      </text>
    </comment>
    <comment ref="AI961" authorId="0">
      <text>
        <r>
          <rPr>
            <b/>
            <sz val="9"/>
            <rFont val="宋体"/>
            <charset val="134"/>
          </rPr>
          <t>Administrator:</t>
        </r>
        <r>
          <rPr>
            <sz val="9"/>
            <rFont val="宋体"/>
            <charset val="134"/>
          </rPr>
          <t xml:space="preserve">
12/25 法国回收标贴纸 2500pcs</t>
        </r>
      </text>
    </comment>
    <comment ref="AF962" authorId="0">
      <text>
        <r>
          <rPr>
            <b/>
            <sz val="9"/>
            <rFont val="宋体"/>
            <charset val="134"/>
          </rPr>
          <t>Administrator:</t>
        </r>
        <r>
          <rPr>
            <sz val="9"/>
            <rFont val="宋体"/>
            <charset val="134"/>
          </rPr>
          <t xml:space="preserve">
1600962 1/3 46000pcs庞3a22</t>
        </r>
      </text>
    </comment>
    <comment ref="AI963" authorId="0">
      <text>
        <r>
          <rPr>
            <b/>
            <sz val="9"/>
            <rFont val="宋体"/>
            <charset val="134"/>
          </rPr>
          <t>Administrator:</t>
        </r>
        <r>
          <rPr>
            <sz val="9"/>
            <rFont val="宋体"/>
            <charset val="134"/>
          </rPr>
          <t xml:space="preserve">
12/9 亚马逊外箱贴纸 84pcs</t>
        </r>
      </text>
    </comment>
    <comment ref="AF965" authorId="0">
      <text>
        <r>
          <rPr>
            <b/>
            <sz val="9"/>
            <rFont val="宋体"/>
            <charset val="134"/>
          </rPr>
          <t>Administrator:</t>
        </r>
        <r>
          <rPr>
            <sz val="9"/>
            <rFont val="宋体"/>
            <charset val="134"/>
          </rPr>
          <t xml:space="preserve">
1600992 1/5 132pcs
王4b1</t>
        </r>
      </text>
    </comment>
    <comment ref="AI965" authorId="0">
      <text>
        <r>
          <rPr>
            <b/>
            <sz val="9"/>
            <rFont val="宋体"/>
            <charset val="134"/>
          </rPr>
          <t>Administrator:</t>
        </r>
        <r>
          <rPr>
            <sz val="9"/>
            <rFont val="宋体"/>
            <charset val="134"/>
          </rPr>
          <t xml:space="preserve">
12/23 客供价格贴纸 746pcs</t>
        </r>
      </text>
    </comment>
    <comment ref="AI967" authorId="0">
      <text>
        <r>
          <rPr>
            <b/>
            <sz val="9"/>
            <rFont val="宋体"/>
            <charset val="134"/>
          </rPr>
          <t>Administrator:</t>
        </r>
        <r>
          <rPr>
            <sz val="9"/>
            <rFont val="宋体"/>
            <charset val="134"/>
          </rPr>
          <t xml:space="preserve">
12/23 客供价格贴纸 798pcs</t>
        </r>
      </text>
    </comment>
    <comment ref="AF968" authorId="0">
      <text>
        <r>
          <rPr>
            <b/>
            <sz val="9"/>
            <rFont val="宋体"/>
            <charset val="134"/>
          </rPr>
          <t>Administrator:</t>
        </r>
        <r>
          <rPr>
            <sz val="9"/>
            <rFont val="宋体"/>
            <charset val="134"/>
          </rPr>
          <t xml:space="preserve">
1600992 1/5 720pcs
王4b1
</t>
        </r>
      </text>
    </comment>
    <comment ref="AI968" authorId="0">
      <text>
        <r>
          <rPr>
            <b/>
            <sz val="9"/>
            <rFont val="宋体"/>
            <charset val="134"/>
          </rPr>
          <t>Administrator:</t>
        </r>
        <r>
          <rPr>
            <sz val="9"/>
            <rFont val="宋体"/>
            <charset val="134"/>
          </rPr>
          <t xml:space="preserve">
12/23 客供价格贴纸 792pcs</t>
        </r>
      </text>
    </comment>
    <comment ref="AI969" authorId="0">
      <text>
        <r>
          <rPr>
            <b/>
            <sz val="9"/>
            <rFont val="宋体"/>
            <charset val="134"/>
          </rPr>
          <t>Administrator:</t>
        </r>
        <r>
          <rPr>
            <sz val="9"/>
            <rFont val="宋体"/>
            <charset val="134"/>
          </rPr>
          <t xml:space="preserve">
12/23 客供价格贴纸 198pcs
</t>
        </r>
      </text>
    </comment>
    <comment ref="AF970" authorId="0">
      <text>
        <r>
          <rPr>
            <b/>
            <sz val="9"/>
            <rFont val="宋体"/>
            <charset val="134"/>
          </rPr>
          <t>Administrator:</t>
        </r>
        <r>
          <rPr>
            <sz val="9"/>
            <rFont val="宋体"/>
            <charset val="134"/>
          </rPr>
          <t xml:space="preserve">
1600992 1/5 180pcs
王4b1</t>
        </r>
      </text>
    </comment>
    <comment ref="AI970" authorId="0">
      <text>
        <r>
          <rPr>
            <b/>
            <sz val="9"/>
            <rFont val="宋体"/>
            <charset val="134"/>
          </rPr>
          <t>Administrator:</t>
        </r>
        <r>
          <rPr>
            <sz val="9"/>
            <rFont val="宋体"/>
            <charset val="134"/>
          </rPr>
          <t xml:space="preserve">
12/23 客供价格贴纸 198pcs
</t>
        </r>
      </text>
    </comment>
    <comment ref="AI971" authorId="0">
      <text>
        <r>
          <rPr>
            <b/>
            <sz val="9"/>
            <rFont val="宋体"/>
            <charset val="134"/>
          </rPr>
          <t>Administrator:</t>
        </r>
        <r>
          <rPr>
            <sz val="9"/>
            <rFont val="宋体"/>
            <charset val="134"/>
          </rPr>
          <t xml:space="preserve">
12/23 客供价格贴纸 792pcs
</t>
        </r>
      </text>
    </comment>
    <comment ref="AI972" authorId="0">
      <text>
        <r>
          <rPr>
            <b/>
            <sz val="9"/>
            <rFont val="宋体"/>
            <charset val="134"/>
          </rPr>
          <t>Administrator:</t>
        </r>
        <r>
          <rPr>
            <sz val="9"/>
            <rFont val="宋体"/>
            <charset val="134"/>
          </rPr>
          <t xml:space="preserve">
12/23 客供价格贴纸 198pcs
</t>
        </r>
      </text>
    </comment>
    <comment ref="AF973" authorId="0">
      <text>
        <r>
          <rPr>
            <b/>
            <sz val="9"/>
            <rFont val="宋体"/>
            <charset val="134"/>
          </rPr>
          <t>Administrator:</t>
        </r>
        <r>
          <rPr>
            <sz val="9"/>
            <rFont val="宋体"/>
            <charset val="134"/>
          </rPr>
          <t xml:space="preserve">
1600952 1/2 3600pcs 庞3b8
1601043 1/8 100pcs庞3b8
</t>
        </r>
      </text>
    </comment>
    <comment ref="AI973" authorId="0">
      <text>
        <r>
          <rPr>
            <b/>
            <sz val="9"/>
            <rFont val="宋体"/>
            <charset val="134"/>
          </rPr>
          <t>Administrator:</t>
        </r>
        <r>
          <rPr>
            <sz val="9"/>
            <rFont val="宋体"/>
            <charset val="134"/>
          </rPr>
          <t xml:space="preserve">
12/15 进口商贴纸 3600pcs</t>
        </r>
      </text>
    </comment>
    <comment ref="AF974" authorId="0">
      <text>
        <r>
          <rPr>
            <b/>
            <sz val="9"/>
            <rFont val="宋体"/>
            <charset val="134"/>
          </rPr>
          <t>Administrator:</t>
        </r>
        <r>
          <rPr>
            <sz val="9"/>
            <rFont val="宋体"/>
            <charset val="134"/>
          </rPr>
          <t xml:space="preserve">
1601013 1/6 912PCS 华3b11</t>
        </r>
      </text>
    </comment>
    <comment ref="AI974" authorId="0">
      <text>
        <r>
          <rPr>
            <b/>
            <sz val="9"/>
            <rFont val="宋体"/>
            <charset val="134"/>
          </rPr>
          <t>Administrator:</t>
        </r>
        <r>
          <rPr>
            <sz val="9"/>
            <rFont val="宋体"/>
            <charset val="134"/>
          </rPr>
          <t xml:space="preserve">
12/9 亚马逊外箱贴纸 76pcs
12/25 空白贴纸 1824pcs
环保标贴纸 912pcs</t>
        </r>
      </text>
    </comment>
    <comment ref="AF975" authorId="0">
      <text>
        <r>
          <rPr>
            <b/>
            <sz val="9"/>
            <rFont val="宋体"/>
            <charset val="134"/>
          </rPr>
          <t>Administrator:</t>
        </r>
        <r>
          <rPr>
            <sz val="9"/>
            <rFont val="宋体"/>
            <charset val="134"/>
          </rPr>
          <t xml:space="preserve">
1601028 1/6 1080PCS 华3a29 
1601013 1/6 5220PCS华3a29
</t>
        </r>
      </text>
    </comment>
    <comment ref="AI975" authorId="0">
      <text>
        <r>
          <rPr>
            <b/>
            <sz val="9"/>
            <rFont val="宋体"/>
            <charset val="134"/>
          </rPr>
          <t>Administrator:</t>
        </r>
        <r>
          <rPr>
            <sz val="9"/>
            <rFont val="宋体"/>
            <charset val="134"/>
          </rPr>
          <t xml:space="preserve">
12/9 亚马逊外箱贴纸 525pcs
12/25 空白贴纸 12600pcs
环保标贴纸 6300pcs</t>
        </r>
      </text>
    </comment>
    <comment ref="AF976" authorId="0">
      <text>
        <r>
          <rPr>
            <b/>
            <sz val="9"/>
            <rFont val="宋体"/>
            <charset val="134"/>
          </rPr>
          <t>Administrator:</t>
        </r>
        <r>
          <rPr>
            <sz val="9"/>
            <rFont val="宋体"/>
            <charset val="134"/>
          </rPr>
          <t xml:space="preserve">
1601038 1/6 2600pcs王4b5</t>
        </r>
      </text>
    </comment>
    <comment ref="AI976" authorId="0">
      <text>
        <r>
          <rPr>
            <b/>
            <sz val="9"/>
            <rFont val="宋体"/>
            <charset val="134"/>
          </rPr>
          <t>Administrator:</t>
        </r>
        <r>
          <rPr>
            <sz val="9"/>
            <rFont val="宋体"/>
            <charset val="134"/>
          </rPr>
          <t xml:space="preserve">
12/24 客供防窜码贴纸1拖13 200pcs
12/30 条码贴纸 2600pcs</t>
        </r>
      </text>
    </comment>
    <comment ref="AF977" authorId="0">
      <text>
        <r>
          <rPr>
            <b/>
            <sz val="9"/>
            <rFont val="宋体"/>
            <charset val="134"/>
          </rPr>
          <t xml:space="preserve">Administrat
1601028 </t>
        </r>
        <r>
          <rPr>
            <sz val="9"/>
            <rFont val="宋体"/>
            <charset val="134"/>
          </rPr>
          <t xml:space="preserve"> 1/6 8000PCS
华3a21</t>
        </r>
      </text>
    </comment>
    <comment ref="AF980" authorId="0">
      <text>
        <r>
          <rPr>
            <b/>
            <sz val="9"/>
            <rFont val="宋体"/>
            <charset val="134"/>
          </rPr>
          <t>Administrator:</t>
        </r>
        <r>
          <rPr>
            <sz val="9"/>
            <rFont val="宋体"/>
            <charset val="134"/>
          </rPr>
          <t xml:space="preserve">
1601032 1/6 50000pcs晚饭4a7</t>
        </r>
      </text>
    </comment>
    <comment ref="AF981" authorId="0">
      <text>
        <r>
          <rPr>
            <b/>
            <sz val="9"/>
            <rFont val="宋体"/>
            <charset val="134"/>
          </rPr>
          <t>Administrator:</t>
        </r>
        <r>
          <rPr>
            <sz val="9"/>
            <rFont val="宋体"/>
            <charset val="134"/>
          </rPr>
          <t xml:space="preserve">
1601038 1/6 12000pcs王4c4</t>
        </r>
      </text>
    </comment>
    <comment ref="AI981" authorId="0">
      <text>
        <r>
          <rPr>
            <b/>
            <sz val="9"/>
            <rFont val="宋体"/>
            <charset val="134"/>
          </rPr>
          <t>Administrator:</t>
        </r>
        <r>
          <rPr>
            <sz val="9"/>
            <rFont val="宋体"/>
            <charset val="134"/>
          </rPr>
          <t xml:space="preserve">
12/25 法国回收标贴纸 12000pcs</t>
        </r>
      </text>
    </comment>
    <comment ref="AF982" authorId="0">
      <text>
        <r>
          <rPr>
            <b/>
            <sz val="9"/>
            <rFont val="宋体"/>
            <charset val="134"/>
          </rPr>
          <t>Administrator:</t>
        </r>
        <r>
          <rPr>
            <sz val="9"/>
            <rFont val="宋体"/>
            <charset val="134"/>
          </rPr>
          <t xml:space="preserve">
1601028  1/6 2925PCS华3b21</t>
        </r>
      </text>
    </comment>
    <comment ref="AF983" authorId="0">
      <text>
        <r>
          <rPr>
            <b/>
            <sz val="9"/>
            <rFont val="宋体"/>
            <charset val="134"/>
          </rPr>
          <t xml:space="preserve">Administra
</t>
        </r>
        <r>
          <rPr>
            <sz val="9"/>
            <rFont val="宋体"/>
            <charset val="134"/>
          </rPr>
          <t>1601038 1/6 520pcs王4b9</t>
        </r>
      </text>
    </comment>
    <comment ref="AF985" authorId="0">
      <text>
        <r>
          <rPr>
            <b/>
            <sz val="9"/>
            <rFont val="宋体"/>
            <charset val="134"/>
          </rPr>
          <t>Administrator:</t>
        </r>
        <r>
          <rPr>
            <sz val="9"/>
            <rFont val="宋体"/>
            <charset val="134"/>
          </rPr>
          <t xml:space="preserve">
1601043 1/8 9893pcs 晚饭4c4</t>
        </r>
      </text>
    </comment>
    <comment ref="AI986" authorId="0">
      <text>
        <r>
          <rPr>
            <b/>
            <sz val="9"/>
            <rFont val="宋体"/>
            <charset val="134"/>
          </rPr>
          <t>Administrator:</t>
        </r>
        <r>
          <rPr>
            <sz val="9"/>
            <rFont val="宋体"/>
            <charset val="134"/>
          </rPr>
          <t xml:space="preserve">
11/22 上客供芯片贴纸660pcs
12/10 颜色贴纸 660pcs</t>
        </r>
      </text>
    </comment>
    <comment ref="AI987" authorId="0">
      <text>
        <r>
          <rPr>
            <b/>
            <sz val="9"/>
            <rFont val="宋体"/>
            <charset val="134"/>
          </rPr>
          <t>Administrator:</t>
        </r>
        <r>
          <rPr>
            <sz val="9"/>
            <rFont val="宋体"/>
            <charset val="134"/>
          </rPr>
          <t xml:space="preserve">
11/22 上客供芯片贴纸1800pcs
12/10 颜色贴纸 1800pcs</t>
        </r>
      </text>
    </comment>
    <comment ref="AI988" authorId="0">
      <text>
        <r>
          <rPr>
            <b/>
            <sz val="9"/>
            <rFont val="宋体"/>
            <charset val="134"/>
          </rPr>
          <t>Administrator:</t>
        </r>
        <r>
          <rPr>
            <sz val="9"/>
            <rFont val="宋体"/>
            <charset val="134"/>
          </rPr>
          <t xml:space="preserve">
12/9 3c贴纸 1200pcs
12/25 上客供芯片码贴纸1200pcs
12/10 颜色贴纸 1200pcs
空白贴纸 1200pcs</t>
        </r>
      </text>
    </comment>
    <comment ref="AF989" authorId="0">
      <text>
        <r>
          <rPr>
            <b/>
            <sz val="9"/>
            <rFont val="宋体"/>
            <charset val="134"/>
          </rPr>
          <t>Administrator:</t>
        </r>
        <r>
          <rPr>
            <sz val="9"/>
            <rFont val="宋体"/>
            <charset val="134"/>
          </rPr>
          <t xml:space="preserve">
1601184 1/17 624pcs
庞3b8</t>
        </r>
      </text>
    </comment>
    <comment ref="AI989" authorId="0">
      <text>
        <r>
          <rPr>
            <b/>
            <sz val="9"/>
            <rFont val="宋体"/>
            <charset val="134"/>
          </rPr>
          <t>Administrator:</t>
        </r>
        <r>
          <rPr>
            <sz val="9"/>
            <rFont val="宋体"/>
            <charset val="134"/>
          </rPr>
          <t xml:space="preserve">
1/5 客供亚马逊外箱贴纸 52pcs
</t>
        </r>
      </text>
    </comment>
    <comment ref="AF990" authorId="0">
      <text>
        <r>
          <rPr>
            <b/>
            <sz val="9"/>
            <rFont val="宋体"/>
            <charset val="134"/>
          </rPr>
          <t>Administrator:</t>
        </r>
        <r>
          <rPr>
            <sz val="9"/>
            <rFont val="宋体"/>
            <charset val="134"/>
          </rPr>
          <t xml:space="preserve">
1601184 1/17 4572pcs
庞1f7</t>
        </r>
      </text>
    </comment>
    <comment ref="AI990" authorId="0">
      <text>
        <r>
          <rPr>
            <b/>
            <sz val="9"/>
            <rFont val="宋体"/>
            <charset val="134"/>
          </rPr>
          <t>Administrator:</t>
        </r>
        <r>
          <rPr>
            <sz val="9"/>
            <rFont val="宋体"/>
            <charset val="134"/>
          </rPr>
          <t xml:space="preserve">
1/5 客供亚马逊外箱贴纸 381pcs</t>
        </r>
      </text>
    </comment>
    <comment ref="AF991" authorId="0">
      <text>
        <r>
          <rPr>
            <b/>
            <sz val="9"/>
            <rFont val="宋体"/>
            <charset val="134"/>
          </rPr>
          <t>Administrator:</t>
        </r>
        <r>
          <rPr>
            <sz val="9"/>
            <rFont val="宋体"/>
            <charset val="134"/>
          </rPr>
          <t xml:space="preserve">
1601184 1/17 408pcs
庞3a16</t>
        </r>
      </text>
    </comment>
    <comment ref="AI991" authorId="0">
      <text>
        <r>
          <rPr>
            <b/>
            <sz val="9"/>
            <rFont val="宋体"/>
            <charset val="134"/>
          </rPr>
          <t>Administrator:</t>
        </r>
        <r>
          <rPr>
            <sz val="9"/>
            <rFont val="宋体"/>
            <charset val="134"/>
          </rPr>
          <t xml:space="preserve">
1/5 客供亚马逊外箱贴纸 34pcs
</t>
        </r>
      </text>
    </comment>
    <comment ref="AF992" authorId="0">
      <text>
        <r>
          <rPr>
            <b/>
            <sz val="9"/>
            <rFont val="宋体"/>
            <charset val="134"/>
          </rPr>
          <t>Administrator:</t>
        </r>
        <r>
          <rPr>
            <sz val="9"/>
            <rFont val="宋体"/>
            <charset val="134"/>
          </rPr>
          <t xml:space="preserve">
1601182 1/17 10464pcs 庞登1楼</t>
        </r>
      </text>
    </comment>
    <comment ref="AI992" authorId="0">
      <text>
        <r>
          <rPr>
            <b/>
            <sz val="9"/>
            <rFont val="宋体"/>
            <charset val="134"/>
          </rPr>
          <t>Administrator:</t>
        </r>
        <r>
          <rPr>
            <sz val="9"/>
            <rFont val="宋体"/>
            <charset val="134"/>
          </rPr>
          <t xml:space="preserve">
1/5 客供亚马逊外箱贴纸 872pcs
</t>
        </r>
      </text>
    </comment>
    <comment ref="AF993" authorId="0">
      <text>
        <r>
          <rPr>
            <b/>
            <sz val="9"/>
            <rFont val="宋体"/>
            <charset val="134"/>
          </rPr>
          <t>Administrator:</t>
        </r>
        <r>
          <rPr>
            <sz val="9"/>
            <rFont val="宋体"/>
            <charset val="134"/>
          </rPr>
          <t xml:space="preserve">
1601184 1/17 2664pcs
庞3a16</t>
        </r>
      </text>
    </comment>
    <comment ref="AI993" authorId="0">
      <text>
        <r>
          <rPr>
            <b/>
            <sz val="9"/>
            <rFont val="宋体"/>
            <charset val="134"/>
          </rPr>
          <t>Administrator:</t>
        </r>
        <r>
          <rPr>
            <sz val="9"/>
            <rFont val="宋体"/>
            <charset val="134"/>
          </rPr>
          <t xml:space="preserve">
1/5 客供亚马逊外箱贴纸 222pcs
</t>
        </r>
      </text>
    </comment>
    <comment ref="AF994" authorId="0">
      <text>
        <r>
          <rPr>
            <b/>
            <sz val="9"/>
            <rFont val="宋体"/>
            <charset val="134"/>
          </rPr>
          <t>Administrator:</t>
        </r>
        <r>
          <rPr>
            <sz val="9"/>
            <rFont val="宋体"/>
            <charset val="134"/>
          </rPr>
          <t xml:space="preserve">
1601182 1/17 96pcs
庞登1楼
</t>
        </r>
      </text>
    </comment>
    <comment ref="AI994" authorId="0">
      <text>
        <r>
          <rPr>
            <b/>
            <sz val="9"/>
            <rFont val="宋体"/>
            <charset val="134"/>
          </rPr>
          <t>Administrator:</t>
        </r>
        <r>
          <rPr>
            <sz val="9"/>
            <rFont val="宋体"/>
            <charset val="134"/>
          </rPr>
          <t xml:space="preserve">
1/5 客供亚马逊外箱贴纸 8pcs
</t>
        </r>
      </text>
    </comment>
    <comment ref="AF995" authorId="0">
      <text>
        <r>
          <rPr>
            <b/>
            <sz val="9"/>
            <rFont val="宋体"/>
            <charset val="134"/>
          </rPr>
          <t>Administrator:</t>
        </r>
        <r>
          <rPr>
            <sz val="9"/>
            <rFont val="宋体"/>
            <charset val="134"/>
          </rPr>
          <t xml:space="preserve">
1601057 1/9 1500pcs庞3a27</t>
        </r>
      </text>
    </comment>
    <comment ref="AF996" authorId="0">
      <text>
        <r>
          <rPr>
            <b/>
            <sz val="9"/>
            <rFont val="宋体"/>
            <charset val="134"/>
          </rPr>
          <t>Administrator:</t>
        </r>
        <r>
          <rPr>
            <sz val="9"/>
            <rFont val="宋体"/>
            <charset val="134"/>
          </rPr>
          <t xml:space="preserve">
1601065 1/9 4576pcs华3a27</t>
        </r>
      </text>
    </comment>
    <comment ref="AF997" authorId="0">
      <text>
        <r>
          <rPr>
            <b/>
            <sz val="9"/>
            <rFont val="宋体"/>
            <charset val="134"/>
          </rPr>
          <t>Administrator:</t>
        </r>
        <r>
          <rPr>
            <sz val="9"/>
            <rFont val="宋体"/>
            <charset val="134"/>
          </rPr>
          <t xml:space="preserve">
1601168 1/15 720pcs庞3b8</t>
        </r>
      </text>
    </comment>
    <comment ref="AI997" authorId="0">
      <text>
        <r>
          <rPr>
            <b/>
            <sz val="9"/>
            <rFont val="宋体"/>
            <charset val="134"/>
          </rPr>
          <t>Administrator:</t>
        </r>
        <r>
          <rPr>
            <sz val="9"/>
            <rFont val="宋体"/>
            <charset val="134"/>
          </rPr>
          <t xml:space="preserve">
11/22 客供NJ外箱贴纸88pcs
通用客供外箱贴纸60pcs
12/25 价格贴纸 1440pcs</t>
        </r>
      </text>
    </comment>
    <comment ref="AF998" authorId="0">
      <text>
        <r>
          <rPr>
            <b/>
            <sz val="9"/>
            <rFont val="宋体"/>
            <charset val="134"/>
          </rPr>
          <t>Administrator:</t>
        </r>
        <r>
          <rPr>
            <sz val="9"/>
            <rFont val="宋体"/>
            <charset val="134"/>
          </rPr>
          <t xml:space="preserve">
1601168 1/15 312pcs
庞3b8</t>
        </r>
      </text>
    </comment>
    <comment ref="AI998" authorId="0">
      <text>
        <r>
          <rPr>
            <b/>
            <sz val="9"/>
            <rFont val="宋体"/>
            <charset val="134"/>
          </rPr>
          <t>Administrator:</t>
        </r>
        <r>
          <rPr>
            <sz val="9"/>
            <rFont val="宋体"/>
            <charset val="134"/>
          </rPr>
          <t xml:space="preserve">
11/22 客供NV外箱贴纸26pcs
通用客供外箱贴纸26pcs
12/25 价格贴纸 312pcs</t>
        </r>
      </text>
    </comment>
    <comment ref="AF999" authorId="0">
      <text>
        <r>
          <rPr>
            <b/>
            <sz val="9"/>
            <rFont val="宋体"/>
            <charset val="134"/>
          </rPr>
          <t>Administrator:</t>
        </r>
        <r>
          <rPr>
            <sz val="9"/>
            <rFont val="宋体"/>
            <charset val="134"/>
          </rPr>
          <t xml:space="preserve">
1601116 1/13 4000pcs庞3b8</t>
        </r>
      </text>
    </comment>
    <comment ref="AI999" authorId="0">
      <text>
        <r>
          <rPr>
            <b/>
            <sz val="9"/>
            <rFont val="宋体"/>
            <charset val="134"/>
          </rPr>
          <t>Administrator:</t>
        </r>
        <r>
          <rPr>
            <sz val="9"/>
            <rFont val="宋体"/>
            <charset val="134"/>
          </rPr>
          <t xml:space="preserve">
12/25 西班牙环保标贴纸 4000pcs</t>
        </r>
      </text>
    </comment>
    <comment ref="AI1000" authorId="0">
      <text>
        <r>
          <rPr>
            <b/>
            <sz val="9"/>
            <rFont val="宋体"/>
            <charset val="134"/>
          </rPr>
          <t>Administrator:</t>
        </r>
        <r>
          <rPr>
            <sz val="9"/>
            <rFont val="宋体"/>
            <charset val="134"/>
          </rPr>
          <t xml:space="preserve">
12/25 EAN贴纸 360pcs
空白贴纸 360pcs</t>
        </r>
      </text>
    </comment>
    <comment ref="AF1001" authorId="0">
      <text>
        <r>
          <rPr>
            <b/>
            <sz val="9"/>
            <rFont val="宋体"/>
            <charset val="134"/>
          </rPr>
          <t>Administrator:</t>
        </r>
        <r>
          <rPr>
            <sz val="9"/>
            <rFont val="宋体"/>
            <charset val="134"/>
          </rPr>
          <t xml:space="preserve">
4001758 1/14 1200pcs</t>
        </r>
      </text>
    </comment>
    <comment ref="AF1002" authorId="0">
      <text>
        <r>
          <rPr>
            <b/>
            <sz val="9"/>
            <rFont val="宋体"/>
            <charset val="134"/>
          </rPr>
          <t>Administrator:</t>
        </r>
        <r>
          <rPr>
            <sz val="9"/>
            <rFont val="宋体"/>
            <charset val="134"/>
          </rPr>
          <t xml:space="preserve">
1601184 1/17 1104pcs庞3a16</t>
        </r>
      </text>
    </comment>
    <comment ref="AI1002" authorId="0">
      <text>
        <r>
          <rPr>
            <b/>
            <sz val="9"/>
            <rFont val="宋体"/>
            <charset val="134"/>
          </rPr>
          <t>Administrator:</t>
        </r>
        <r>
          <rPr>
            <sz val="9"/>
            <rFont val="宋体"/>
            <charset val="134"/>
          </rPr>
          <t xml:space="preserve">
12/15 客供价格贴纸 1155pcs</t>
        </r>
      </text>
    </comment>
    <comment ref="AF1003" authorId="0">
      <text>
        <r>
          <rPr>
            <b/>
            <sz val="9"/>
            <rFont val="宋体"/>
            <charset val="134"/>
          </rPr>
          <t>Administrator:</t>
        </r>
        <r>
          <rPr>
            <sz val="9"/>
            <rFont val="宋体"/>
            <charset val="134"/>
          </rPr>
          <t xml:space="preserve">
1601116 1/13 18100pcs 庞3a13</t>
        </r>
      </text>
    </comment>
    <comment ref="AI1003" authorId="0">
      <text>
        <r>
          <rPr>
            <b/>
            <sz val="9"/>
            <rFont val="宋体"/>
            <charset val="134"/>
          </rPr>
          <t>Administrator:</t>
        </r>
        <r>
          <rPr>
            <sz val="9"/>
            <rFont val="宋体"/>
            <charset val="134"/>
          </rPr>
          <t xml:space="preserve">
12/29 西班牙环保标贴纸 18100pcs</t>
        </r>
      </text>
    </comment>
    <comment ref="AF1004" authorId="0">
      <text>
        <r>
          <rPr>
            <b/>
            <sz val="9"/>
            <rFont val="宋体"/>
            <charset val="134"/>
          </rPr>
          <t>Administrator:</t>
        </r>
        <r>
          <rPr>
            <sz val="9"/>
            <rFont val="宋体"/>
            <charset val="134"/>
          </rPr>
          <t xml:space="preserve">
1601065 1/9 468pcs
华3b12</t>
        </r>
      </text>
    </comment>
    <comment ref="AI1004" authorId="0">
      <text>
        <r>
          <rPr>
            <b/>
            <sz val="9"/>
            <rFont val="宋体"/>
            <charset val="134"/>
          </rPr>
          <t>Administrator:</t>
        </r>
        <r>
          <rPr>
            <sz val="9"/>
            <rFont val="宋体"/>
            <charset val="134"/>
          </rPr>
          <t xml:space="preserve">
12/25 警语贴纸 468pcs</t>
        </r>
      </text>
    </comment>
    <comment ref="AF1005" authorId="0">
      <text>
        <r>
          <rPr>
            <b/>
            <sz val="9"/>
            <rFont val="宋体"/>
            <charset val="134"/>
          </rPr>
          <t>Administrator:</t>
        </r>
        <r>
          <rPr>
            <sz val="9"/>
            <rFont val="宋体"/>
            <charset val="134"/>
          </rPr>
          <t xml:space="preserve">
4001728 1/10 2520pcs
文本云
4001712 1/13 2880pcs
4001713 1/13 600pcs</t>
        </r>
      </text>
    </comment>
    <comment ref="AF1006" authorId="0">
      <text>
        <r>
          <rPr>
            <b/>
            <sz val="9"/>
            <rFont val="宋体"/>
            <charset val="134"/>
          </rPr>
          <t>Administrator:</t>
        </r>
        <r>
          <rPr>
            <sz val="9"/>
            <rFont val="宋体"/>
            <charset val="134"/>
          </rPr>
          <t xml:space="preserve">
1601187 1/17 1225pcs庞3a16</t>
        </r>
      </text>
    </comment>
    <comment ref="AI1006" authorId="0">
      <text>
        <r>
          <rPr>
            <b/>
            <sz val="9"/>
            <rFont val="宋体"/>
            <charset val="134"/>
          </rPr>
          <t>Administrator:</t>
        </r>
        <r>
          <rPr>
            <sz val="9"/>
            <rFont val="宋体"/>
            <charset val="134"/>
          </rPr>
          <t xml:space="preserve">
12/18 DC运输贴纸 21225pcs
12/24 PDQ标识贴 49pcs</t>
        </r>
      </text>
    </comment>
    <comment ref="AF1007" authorId="0">
      <text>
        <r>
          <rPr>
            <b/>
            <sz val="9"/>
            <rFont val="宋体"/>
            <charset val="134"/>
          </rPr>
          <t>Administrator:</t>
        </r>
        <r>
          <rPr>
            <sz val="9"/>
            <rFont val="宋体"/>
            <charset val="134"/>
          </rPr>
          <t xml:space="preserve">
1601188 1/17 18876pcs
庞1f11
1601190 1/19 4680pcs庞1f11
1601228 1/19 2444pcs
庞1f11</t>
        </r>
      </text>
    </comment>
    <comment ref="AI1007" authorId="0">
      <text>
        <r>
          <rPr>
            <b/>
            <sz val="9"/>
            <rFont val="宋体"/>
            <charset val="134"/>
          </rPr>
          <t>Administrator:</t>
        </r>
        <r>
          <rPr>
            <sz val="9"/>
            <rFont val="宋体"/>
            <charset val="134"/>
          </rPr>
          <t xml:space="preserve">
12/24 客供防窜码贴纸1拖13 2000pcs12/30 条码贴纸 26000pcs
</t>
        </r>
      </text>
    </comment>
    <comment ref="AF1008" authorId="0">
      <text>
        <r>
          <rPr>
            <b/>
            <sz val="9"/>
            <rFont val="宋体"/>
            <charset val="134"/>
          </rPr>
          <t xml:space="preserve">Administrator
</t>
        </r>
        <r>
          <rPr>
            <sz val="9"/>
            <rFont val="宋体"/>
            <charset val="134"/>
          </rPr>
          <t>1601193 1/19 13260pcs 庞3a20
1601228 1/19 12740pcs 庞1f7</t>
        </r>
      </text>
    </comment>
    <comment ref="AI1008" authorId="0">
      <text>
        <r>
          <rPr>
            <b/>
            <sz val="9"/>
            <rFont val="宋体"/>
            <charset val="134"/>
          </rPr>
          <t>Administrator:</t>
        </r>
        <r>
          <rPr>
            <sz val="9"/>
            <rFont val="宋体"/>
            <charset val="134"/>
          </rPr>
          <t xml:space="preserve">
12/24 客供防窜码贴纸1拖13 2000pcs
12/30 条码贴纸 26000pcs</t>
        </r>
      </text>
    </comment>
    <comment ref="AF1009" authorId="0">
      <text>
        <r>
          <rPr>
            <b/>
            <sz val="9"/>
            <rFont val="宋体"/>
            <charset val="134"/>
          </rPr>
          <t>Administrator:</t>
        </r>
        <r>
          <rPr>
            <sz val="9"/>
            <rFont val="宋体"/>
            <charset val="134"/>
          </rPr>
          <t xml:space="preserve">
1601190 1/19 7280cs
庞3a17</t>
        </r>
      </text>
    </comment>
    <comment ref="AI1009" authorId="0">
      <text>
        <r>
          <rPr>
            <b/>
            <sz val="9"/>
            <rFont val="宋体"/>
            <charset val="134"/>
          </rPr>
          <t>Administrator:</t>
        </r>
        <r>
          <rPr>
            <sz val="9"/>
            <rFont val="宋体"/>
            <charset val="134"/>
          </rPr>
          <t xml:space="preserve">
12/24 客供防窜码贴纸1拖13 560pcs
12/30 条码贴纸 7280pcs
</t>
        </r>
      </text>
    </comment>
    <comment ref="AF1010" authorId="0">
      <text>
        <r>
          <rPr>
            <b/>
            <sz val="9"/>
            <rFont val="宋体"/>
            <charset val="134"/>
          </rPr>
          <t>Administrator:</t>
        </r>
        <r>
          <rPr>
            <sz val="9"/>
            <rFont val="宋体"/>
            <charset val="134"/>
          </rPr>
          <t xml:space="preserve">
1601187 1/17 3000pcs
庞3b10</t>
        </r>
      </text>
    </comment>
    <comment ref="AI1010" authorId="0">
      <text>
        <r>
          <rPr>
            <b/>
            <sz val="9"/>
            <rFont val="宋体"/>
            <charset val="134"/>
          </rPr>
          <t>Administrator:</t>
        </r>
        <r>
          <rPr>
            <sz val="9"/>
            <rFont val="宋体"/>
            <charset val="134"/>
          </rPr>
          <t xml:space="preserve">
12/27 进口商贴纸 3000pcs
UPC贴纸 3000pcs</t>
        </r>
      </text>
    </comment>
    <comment ref="AF1011" authorId="0">
      <text>
        <r>
          <rPr>
            <b/>
            <sz val="9"/>
            <rFont val="宋体"/>
            <charset val="134"/>
          </rPr>
          <t>Administrator:</t>
        </r>
        <r>
          <rPr>
            <sz val="9"/>
            <rFont val="宋体"/>
            <charset val="134"/>
          </rPr>
          <t xml:space="preserve">
1601182 1/17 25pcs
庞3a22
1601175 1/17 6475pcs庞3a22</t>
        </r>
      </text>
    </comment>
    <comment ref="AI1011" authorId="0">
      <text>
        <r>
          <rPr>
            <b/>
            <sz val="9"/>
            <rFont val="宋体"/>
            <charset val="134"/>
          </rPr>
          <t>Administrator:</t>
        </r>
        <r>
          <rPr>
            <sz val="9"/>
            <rFont val="宋体"/>
            <charset val="134"/>
          </rPr>
          <t xml:space="preserve">
12/27 法国sorting label贴纸 6500pcs</t>
        </r>
      </text>
    </comment>
    <comment ref="AF1012" authorId="0">
      <text>
        <r>
          <rPr>
            <b/>
            <sz val="9"/>
            <rFont val="宋体"/>
            <charset val="134"/>
          </rPr>
          <t>Administrator:</t>
        </r>
        <r>
          <rPr>
            <sz val="9"/>
            <rFont val="宋体"/>
            <charset val="134"/>
          </rPr>
          <t xml:space="preserve">
1601228 1/19 5980pcs
庞3b17</t>
        </r>
      </text>
    </comment>
    <comment ref="AI1012" authorId="0">
      <text>
        <r>
          <rPr>
            <b/>
            <sz val="9"/>
            <rFont val="宋体"/>
            <charset val="134"/>
          </rPr>
          <t>Administrator:</t>
        </r>
        <r>
          <rPr>
            <sz val="9"/>
            <rFont val="宋体"/>
            <charset val="134"/>
          </rPr>
          <t xml:space="preserve">
12/22 UPC 条码贴纸 5980pcs
韩语贴纸(正面 5980pcs
韩语贴纸(球底) 5980pcs</t>
        </r>
      </text>
    </comment>
    <comment ref="AF1013" authorId="0">
      <text>
        <r>
          <rPr>
            <b/>
            <sz val="9"/>
            <rFont val="宋体"/>
            <charset val="134"/>
          </rPr>
          <t>Administrator:</t>
        </r>
        <r>
          <rPr>
            <sz val="9"/>
            <rFont val="宋体"/>
            <charset val="134"/>
          </rPr>
          <t xml:space="preserve">
1601182 1/17 9000pcs
庞登1楼</t>
        </r>
      </text>
    </comment>
    <comment ref="AF1014" authorId="0">
      <text>
        <r>
          <rPr>
            <b/>
            <sz val="9"/>
            <rFont val="宋体"/>
            <charset val="134"/>
          </rPr>
          <t>Administrator:</t>
        </r>
        <r>
          <rPr>
            <sz val="9"/>
            <rFont val="宋体"/>
            <charset val="134"/>
          </rPr>
          <t xml:space="preserve">
4001773 1/20 504pcs 庞3b13</t>
        </r>
      </text>
    </comment>
    <comment ref="AF1015" authorId="0">
      <text>
        <r>
          <rPr>
            <b/>
            <sz val="9"/>
            <rFont val="宋体"/>
            <charset val="134"/>
          </rPr>
          <t>Administrator:</t>
        </r>
        <r>
          <rPr>
            <sz val="9"/>
            <rFont val="宋体"/>
            <charset val="134"/>
          </rPr>
          <t xml:space="preserve">
1601187 1/17 1512pcs
庞3b8</t>
        </r>
      </text>
    </comment>
    <comment ref="AI1015" authorId="0">
      <text>
        <r>
          <rPr>
            <b/>
            <sz val="9"/>
            <rFont val="宋体"/>
            <charset val="134"/>
          </rPr>
          <t>Administrator:</t>
        </r>
        <r>
          <rPr>
            <sz val="9"/>
            <rFont val="宋体"/>
            <charset val="134"/>
          </rPr>
          <t xml:space="preserve">
12/16 客人白色Cat.label 1512pcs</t>
        </r>
      </text>
    </comment>
    <comment ref="AF1016" authorId="0">
      <text>
        <r>
          <rPr>
            <b/>
            <sz val="9"/>
            <rFont val="宋体"/>
            <charset val="134"/>
          </rPr>
          <t>Administrator:</t>
        </r>
        <r>
          <rPr>
            <sz val="9"/>
            <rFont val="宋体"/>
            <charset val="134"/>
          </rPr>
          <t xml:space="preserve">
1601121 1/13 40040pcs王4b8</t>
        </r>
      </text>
    </comment>
    <comment ref="AI1016" authorId="0">
      <text>
        <r>
          <rPr>
            <b/>
            <sz val="9"/>
            <rFont val="宋体"/>
            <charset val="134"/>
          </rPr>
          <t>Administrator:</t>
        </r>
        <r>
          <rPr>
            <sz val="9"/>
            <rFont val="宋体"/>
            <charset val="134"/>
          </rPr>
          <t xml:space="preserve">
12/31 外箱贴纸 770pcs
价格贴纸 40040pcs</t>
        </r>
      </text>
    </comment>
    <comment ref="AF1017" authorId="0">
      <text>
        <r>
          <rPr>
            <b/>
            <sz val="9"/>
            <rFont val="宋体"/>
            <charset val="134"/>
          </rPr>
          <t>Administrator:</t>
        </r>
        <r>
          <rPr>
            <sz val="9"/>
            <rFont val="宋体"/>
            <charset val="134"/>
          </rPr>
          <t xml:space="preserve">
1601228 1/19 1500pcs
庞3b7</t>
        </r>
      </text>
    </comment>
    <comment ref="AI1017" authorId="0">
      <text>
        <r>
          <rPr>
            <b/>
            <sz val="9"/>
            <rFont val="宋体"/>
            <charset val="134"/>
          </rPr>
          <t>Administrator:</t>
        </r>
        <r>
          <rPr>
            <sz val="9"/>
            <rFont val="宋体"/>
            <charset val="134"/>
          </rPr>
          <t xml:space="preserve">
1/13 UPC贴纸 1500pcs</t>
        </r>
      </text>
    </comment>
    <comment ref="AF1018" authorId="0">
      <text>
        <r>
          <rPr>
            <b/>
            <sz val="9"/>
            <rFont val="宋体"/>
            <charset val="134"/>
          </rPr>
          <t>Administrator:</t>
        </r>
        <r>
          <rPr>
            <sz val="9"/>
            <rFont val="宋体"/>
            <charset val="134"/>
          </rPr>
          <t xml:space="preserve">
1601187 1/17 780pcs
庞3b8</t>
        </r>
      </text>
    </comment>
    <comment ref="AF1019" authorId="0">
      <text>
        <r>
          <rPr>
            <b/>
            <sz val="9"/>
            <rFont val="宋体"/>
            <charset val="134"/>
          </rPr>
          <t>Administrator:</t>
        </r>
        <r>
          <rPr>
            <sz val="9"/>
            <rFont val="宋体"/>
            <charset val="134"/>
          </rPr>
          <t xml:space="preserve">
1601208 1/22 21180pcs庞3a27</t>
        </r>
      </text>
    </comment>
    <comment ref="AI1019" authorId="0">
      <text>
        <r>
          <rPr>
            <b/>
            <sz val="9"/>
            <rFont val="宋体"/>
            <charset val="134"/>
          </rPr>
          <t>Administrator:</t>
        </r>
        <r>
          <rPr>
            <sz val="9"/>
            <rFont val="宋体"/>
            <charset val="134"/>
          </rPr>
          <t xml:space="preserve">
12/27 上产品彩色贴纸7060pcs
12/8 客供白色防盗贴纸</t>
        </r>
        <r>
          <rPr>
            <b/>
            <sz val="9"/>
            <rFont val="宋体"/>
            <charset val="134"/>
          </rPr>
          <t xml:space="preserve"> 22000pcs</t>
        </r>
        <r>
          <rPr>
            <sz val="9"/>
            <rFont val="宋体"/>
            <charset val="134"/>
          </rPr>
          <t xml:space="preserve">
 </t>
        </r>
      </text>
    </comment>
    <comment ref="AF1020" authorId="0">
      <text>
        <r>
          <rPr>
            <b/>
            <sz val="9"/>
            <rFont val="宋体"/>
            <charset val="134"/>
          </rPr>
          <t>Administrator:</t>
        </r>
        <r>
          <rPr>
            <sz val="9"/>
            <rFont val="宋体"/>
            <charset val="134"/>
          </rPr>
          <t xml:space="preserve">
1601263 1/23 3500pcs庞3b8</t>
        </r>
      </text>
    </comment>
    <comment ref="AI1020" authorId="0">
      <text>
        <r>
          <rPr>
            <b/>
            <sz val="9"/>
            <rFont val="宋体"/>
            <charset val="134"/>
          </rPr>
          <t>Administrator:</t>
        </r>
        <r>
          <rPr>
            <sz val="9"/>
            <rFont val="宋体"/>
            <charset val="134"/>
          </rPr>
          <t xml:space="preserve">
1/9 进口商贴 3500pcs
UPC条码 3500pcs</t>
        </r>
      </text>
    </comment>
    <comment ref="AF1021" authorId="0">
      <text>
        <r>
          <rPr>
            <b/>
            <sz val="9"/>
            <rFont val="宋体"/>
            <charset val="134"/>
          </rPr>
          <t>Administrator:</t>
        </r>
        <r>
          <rPr>
            <sz val="9"/>
            <rFont val="宋体"/>
            <charset val="134"/>
          </rPr>
          <t xml:space="preserve">
1201268 1/24 2000pcs庞3b14</t>
        </r>
      </text>
    </comment>
    <comment ref="AI1021" authorId="0">
      <text>
        <r>
          <rPr>
            <b/>
            <sz val="9"/>
            <rFont val="宋体"/>
            <charset val="134"/>
          </rPr>
          <t>Administrator:</t>
        </r>
        <r>
          <rPr>
            <sz val="9"/>
            <rFont val="宋体"/>
            <charset val="134"/>
          </rPr>
          <t xml:space="preserve">
12/15 客供价格贴纸 2100pcs</t>
        </r>
      </text>
    </comment>
    <comment ref="AF1023" authorId="0">
      <text>
        <r>
          <rPr>
            <b/>
            <sz val="9"/>
            <rFont val="宋体"/>
            <charset val="134"/>
          </rPr>
          <t>Administrator:</t>
        </r>
        <r>
          <rPr>
            <sz val="9"/>
            <rFont val="宋体"/>
            <charset val="134"/>
          </rPr>
          <t xml:space="preserve">
1601216 1/20 7025pcs庞1f3</t>
        </r>
      </text>
    </comment>
    <comment ref="AI1023" authorId="0">
      <text>
        <r>
          <rPr>
            <b/>
            <sz val="9"/>
            <rFont val="宋体"/>
            <charset val="134"/>
          </rPr>
          <t>Administrator:</t>
        </r>
        <r>
          <rPr>
            <sz val="9"/>
            <rFont val="宋体"/>
            <charset val="134"/>
          </rPr>
          <t xml:space="preserve">
12/25 PDQUPC 条码贴纸 281pcs</t>
        </r>
      </text>
    </comment>
    <comment ref="AF1024" authorId="0">
      <text>
        <r>
          <rPr>
            <b/>
            <sz val="9"/>
            <rFont val="宋体"/>
            <charset val="134"/>
          </rPr>
          <t>Administrator:</t>
        </r>
        <r>
          <rPr>
            <sz val="9"/>
            <rFont val="宋体"/>
            <charset val="134"/>
          </rPr>
          <t xml:space="preserve">
1601216 1/20 5725pcs
庞3a26</t>
        </r>
      </text>
    </comment>
    <comment ref="AI1024" authorId="0">
      <text>
        <r>
          <rPr>
            <b/>
            <sz val="9"/>
            <rFont val="宋体"/>
            <charset val="134"/>
          </rPr>
          <t>Administrator:</t>
        </r>
        <r>
          <rPr>
            <sz val="9"/>
            <rFont val="宋体"/>
            <charset val="134"/>
          </rPr>
          <t xml:space="preserve">
12/25 PDQUPC 条码贴纸 229pcs</t>
        </r>
      </text>
    </comment>
    <comment ref="AF1025" authorId="0">
      <text>
        <r>
          <rPr>
            <b/>
            <sz val="9"/>
            <rFont val="宋体"/>
            <charset val="134"/>
          </rPr>
          <t>Administrator:</t>
        </r>
        <r>
          <rPr>
            <sz val="9"/>
            <rFont val="宋体"/>
            <charset val="134"/>
          </rPr>
          <t xml:space="preserve">
1601254 1/23 3800pcs
庞3b17</t>
        </r>
      </text>
    </comment>
    <comment ref="AF1027" authorId="0">
      <text>
        <r>
          <rPr>
            <b/>
            <sz val="9"/>
            <rFont val="宋体"/>
            <charset val="134"/>
          </rPr>
          <t>Administrator:</t>
        </r>
        <r>
          <rPr>
            <sz val="9"/>
            <rFont val="宋体"/>
            <charset val="134"/>
          </rPr>
          <t xml:space="preserve">
4001816 1/27 648pcs庞1f9
4001818 1/29 114pcs庞1f9</t>
        </r>
      </text>
    </comment>
    <comment ref="AF1028" authorId="0">
      <text>
        <r>
          <rPr>
            <b/>
            <sz val="9"/>
            <rFont val="宋体"/>
            <charset val="134"/>
          </rPr>
          <t>Administrator:</t>
        </r>
        <r>
          <rPr>
            <sz val="9"/>
            <rFont val="宋体"/>
            <charset val="134"/>
          </rPr>
          <t xml:space="preserve">
4001815 1/27 324pcs王4b
44001818 1/29 180pcs庞B栋
</t>
        </r>
      </text>
    </comment>
    <comment ref="AF1029" authorId="0">
      <text>
        <r>
          <rPr>
            <b/>
            <sz val="9"/>
            <rFont val="宋体"/>
            <charset val="134"/>
          </rPr>
          <t>Administrator:</t>
        </r>
        <r>
          <rPr>
            <sz val="9"/>
            <rFont val="宋体"/>
            <charset val="134"/>
          </rPr>
          <t xml:space="preserve">
1601271 1/24 984pcs
庞3a17</t>
        </r>
      </text>
    </comment>
    <comment ref="AI1029" authorId="0">
      <text>
        <r>
          <rPr>
            <b/>
            <sz val="9"/>
            <rFont val="宋体"/>
            <charset val="134"/>
          </rPr>
          <t>Administrator:</t>
        </r>
        <r>
          <rPr>
            <sz val="9"/>
            <rFont val="宋体"/>
            <charset val="134"/>
          </rPr>
          <t xml:space="preserve">
12/22 亚马逊外箱贴纸 82pcs
1/4 空白贴纸 1968pcs
环保标贴纸 984pcs</t>
        </r>
      </text>
    </comment>
    <comment ref="AF1030" authorId="0">
      <text>
        <r>
          <rPr>
            <b/>
            <sz val="9"/>
            <rFont val="宋体"/>
            <charset val="134"/>
          </rPr>
          <t>Administrator:</t>
        </r>
        <r>
          <rPr>
            <sz val="9"/>
            <rFont val="宋体"/>
            <charset val="134"/>
          </rPr>
          <t xml:space="preserve">
1601273 1/24 3965pcs
庞3b10</t>
        </r>
      </text>
    </comment>
    <comment ref="AI1030" authorId="0">
      <text>
        <r>
          <rPr>
            <b/>
            <sz val="9"/>
            <rFont val="宋体"/>
            <charset val="134"/>
          </rPr>
          <t>Administrator:</t>
        </r>
        <r>
          <rPr>
            <sz val="9"/>
            <rFont val="宋体"/>
            <charset val="134"/>
          </rPr>
          <t xml:space="preserve">
12/31 UPC条码贴纸 3965pcs
1/12 Kmart外箱贴纸 305pcs </t>
        </r>
      </text>
    </comment>
    <comment ref="AF1031" authorId="0">
      <text>
        <r>
          <rPr>
            <b/>
            <sz val="9"/>
            <rFont val="宋体"/>
            <charset val="134"/>
          </rPr>
          <t>Administrator:</t>
        </r>
        <r>
          <rPr>
            <sz val="9"/>
            <rFont val="宋体"/>
            <charset val="134"/>
          </rPr>
          <t xml:space="preserve">
1601187 1/17 1925pcs
庞3a16</t>
        </r>
      </text>
    </comment>
    <comment ref="AI1031" authorId="0">
      <text>
        <r>
          <rPr>
            <b/>
            <sz val="9"/>
            <rFont val="宋体"/>
            <charset val="134"/>
          </rPr>
          <t>Administrator:</t>
        </r>
        <r>
          <rPr>
            <sz val="9"/>
            <rFont val="宋体"/>
            <charset val="134"/>
          </rPr>
          <t xml:space="preserve">
12/18 DC运输贴纸 1925pcs
12/24 PDQ标识贴 77pcs</t>
        </r>
      </text>
    </comment>
    <comment ref="AF1032" authorId="0">
      <text>
        <r>
          <rPr>
            <b/>
            <sz val="9"/>
            <rFont val="宋体"/>
            <charset val="134"/>
          </rPr>
          <t>Administrator:</t>
        </r>
        <r>
          <rPr>
            <sz val="9"/>
            <rFont val="宋体"/>
            <charset val="134"/>
          </rPr>
          <t xml:space="preserve">
1601187 1/17 925pcs
庞3a17</t>
        </r>
      </text>
    </comment>
    <comment ref="AI1032" authorId="0">
      <text>
        <r>
          <rPr>
            <b/>
            <sz val="9"/>
            <rFont val="宋体"/>
            <charset val="134"/>
          </rPr>
          <t>Administrator:</t>
        </r>
        <r>
          <rPr>
            <sz val="9"/>
            <rFont val="宋体"/>
            <charset val="134"/>
          </rPr>
          <t xml:space="preserve">
12/18 DC运输贴纸 925pcs
12/24 PDQ标识贴 37pcs</t>
        </r>
      </text>
    </comment>
    <comment ref="AF1033" authorId="0">
      <text>
        <r>
          <rPr>
            <b/>
            <sz val="9"/>
            <rFont val="宋体"/>
            <charset val="134"/>
          </rPr>
          <t>Administrator:</t>
        </r>
        <r>
          <rPr>
            <sz val="9"/>
            <rFont val="宋体"/>
            <charset val="134"/>
          </rPr>
          <t xml:space="preserve">
1601187 1/17 2025pcs
庞3b8</t>
        </r>
      </text>
    </comment>
    <comment ref="AI1033" authorId="0">
      <text>
        <r>
          <rPr>
            <b/>
            <sz val="9"/>
            <rFont val="宋体"/>
            <charset val="134"/>
          </rPr>
          <t>Administrator:</t>
        </r>
        <r>
          <rPr>
            <sz val="9"/>
            <rFont val="宋体"/>
            <charset val="134"/>
          </rPr>
          <t xml:space="preserve">
12/18 DC运输贴纸 2025pcs
12/24 PDQ标识贴 81pcs</t>
        </r>
      </text>
    </comment>
    <comment ref="AF1034" authorId="0">
      <text>
        <r>
          <rPr>
            <b/>
            <sz val="9"/>
            <rFont val="宋体"/>
            <charset val="134"/>
          </rPr>
          <t>Administrator:</t>
        </r>
        <r>
          <rPr>
            <sz val="9"/>
            <rFont val="宋体"/>
            <charset val="134"/>
          </rPr>
          <t xml:space="preserve">
1601272 1/24 4407pcs庞3b13</t>
        </r>
      </text>
    </comment>
    <comment ref="AI1034" authorId="0">
      <text>
        <r>
          <rPr>
            <b/>
            <sz val="9"/>
            <rFont val="宋体"/>
            <charset val="134"/>
          </rPr>
          <t>Administrator:</t>
        </r>
        <r>
          <rPr>
            <sz val="9"/>
            <rFont val="宋体"/>
            <charset val="134"/>
          </rPr>
          <t xml:space="preserve">
1/4 UPC条码贴 4407pcs
1/12 Kmart外箱贴纸 339pcs</t>
        </r>
      </text>
    </comment>
    <comment ref="AF1035" authorId="0">
      <text>
        <r>
          <rPr>
            <b/>
            <sz val="9"/>
            <rFont val="宋体"/>
            <charset val="134"/>
          </rPr>
          <t>Administrator:</t>
        </r>
        <r>
          <rPr>
            <sz val="9"/>
            <rFont val="宋体"/>
            <charset val="134"/>
          </rPr>
          <t xml:space="preserve">
1601273 1/24 52pcs
庞3b11</t>
        </r>
      </text>
    </comment>
    <comment ref="AI1035" authorId="0">
      <text>
        <r>
          <rPr>
            <b/>
            <sz val="9"/>
            <rFont val="宋体"/>
            <charset val="134"/>
          </rPr>
          <t>Administrator:</t>
        </r>
        <r>
          <rPr>
            <sz val="9"/>
            <rFont val="宋体"/>
            <charset val="134"/>
          </rPr>
          <t xml:space="preserve">
1/4 UPC条码贴 52pcs
1/12 Kmart外箱贴纸 4pcs </t>
        </r>
      </text>
    </comment>
    <comment ref="AF1036" authorId="0">
      <text>
        <r>
          <rPr>
            <b/>
            <sz val="9"/>
            <rFont val="宋体"/>
            <charset val="134"/>
          </rPr>
          <t>Administrator:</t>
        </r>
        <r>
          <rPr>
            <sz val="9"/>
            <rFont val="宋体"/>
            <charset val="134"/>
          </rPr>
          <t xml:space="preserve">
1405685 1/30 2080pcs 庞登1楼</t>
        </r>
      </text>
    </comment>
    <comment ref="AI1036" authorId="0">
      <text>
        <r>
          <rPr>
            <b/>
            <sz val="9"/>
            <rFont val="宋体"/>
            <charset val="134"/>
          </rPr>
          <t>Administrator:</t>
        </r>
        <r>
          <rPr>
            <sz val="9"/>
            <rFont val="宋体"/>
            <charset val="134"/>
          </rPr>
          <t xml:space="preserve">
1/7 警语贴纸 2080pcs
1/13 客供价格贴纸 2080pcs</t>
        </r>
      </text>
    </comment>
    <comment ref="AF1037" authorId="0">
      <text>
        <r>
          <rPr>
            <b/>
            <sz val="9"/>
            <rFont val="宋体"/>
            <charset val="134"/>
          </rPr>
          <t>Administrator:</t>
        </r>
        <r>
          <rPr>
            <sz val="9"/>
            <rFont val="宋体"/>
            <charset val="134"/>
          </rPr>
          <t xml:space="preserve">
1601208 1/22 5161pcs庞3b14
1601263 1/23 39opcs庞3b14</t>
        </r>
      </text>
    </comment>
    <comment ref="AI1037" authorId="0">
      <text>
        <r>
          <rPr>
            <b/>
            <sz val="9"/>
            <rFont val="宋体"/>
            <charset val="134"/>
          </rPr>
          <t>Administrator:</t>
        </r>
        <r>
          <rPr>
            <sz val="9"/>
            <rFont val="宋体"/>
            <charset val="134"/>
          </rPr>
          <t xml:space="preserve">
12/30 条码贴纸 5200pcs
1/15 客供防車码贴纸1拖13 400pcs</t>
        </r>
      </text>
    </comment>
    <comment ref="AF1038" authorId="0">
      <text>
        <r>
          <rPr>
            <b/>
            <sz val="9"/>
            <rFont val="宋体"/>
            <charset val="134"/>
          </rPr>
          <t>Administrator:</t>
        </r>
        <r>
          <rPr>
            <sz val="9"/>
            <rFont val="宋体"/>
            <charset val="134"/>
          </rPr>
          <t xml:space="preserve">
1601271 1/24  252pcs
庞3b8</t>
        </r>
      </text>
    </comment>
    <comment ref="AI1038" authorId="0">
      <text>
        <r>
          <rPr>
            <b/>
            <sz val="9"/>
            <rFont val="宋体"/>
            <charset val="134"/>
          </rPr>
          <t>Administrator:</t>
        </r>
        <r>
          <rPr>
            <sz val="9"/>
            <rFont val="宋体"/>
            <charset val="134"/>
          </rPr>
          <t xml:space="preserve">
1/5 空白贴纸 504pcs
1/13 客供亚马逊外箱贴纸 21pcs
1/19 进口商贴纸 252pcs</t>
        </r>
      </text>
    </comment>
    <comment ref="AF1039" authorId="0">
      <text>
        <r>
          <rPr>
            <b/>
            <sz val="9"/>
            <rFont val="宋体"/>
            <charset val="134"/>
          </rPr>
          <t>Administrator:</t>
        </r>
        <r>
          <rPr>
            <sz val="9"/>
            <rFont val="宋体"/>
            <charset val="134"/>
          </rPr>
          <t xml:space="preserve">
1601271 1/24 1044pcs
庞3a16</t>
        </r>
      </text>
    </comment>
    <comment ref="AI1039" authorId="0">
      <text>
        <r>
          <rPr>
            <b/>
            <sz val="9"/>
            <rFont val="宋体"/>
            <charset val="134"/>
          </rPr>
          <t>Administrator:</t>
        </r>
        <r>
          <rPr>
            <sz val="9"/>
            <rFont val="宋体"/>
            <charset val="134"/>
          </rPr>
          <t xml:space="preserve">
1/5 空白贴纸 2088pcs
1/13 客供亚马逊外箱贴纸 87pcs
1/19 进口商贴纸 1044pcs
</t>
        </r>
      </text>
    </comment>
    <comment ref="AF1040" authorId="0">
      <text>
        <r>
          <rPr>
            <b/>
            <sz val="9"/>
            <rFont val="宋体"/>
            <charset val="134"/>
          </rPr>
          <t>Administrator:</t>
        </r>
        <r>
          <rPr>
            <sz val="9"/>
            <rFont val="宋体"/>
            <charset val="134"/>
          </rPr>
          <t xml:space="preserve">
5000259 1/27 2400pcs庞3a23</t>
        </r>
      </text>
    </comment>
    <comment ref="AI1040" authorId="0">
      <text>
        <r>
          <rPr>
            <b/>
            <sz val="9"/>
            <rFont val="宋体"/>
            <charset val="134"/>
          </rPr>
          <t>Administrator:</t>
        </r>
        <r>
          <rPr>
            <sz val="9"/>
            <rFont val="宋体"/>
            <charset val="134"/>
          </rPr>
          <t xml:space="preserve">
1/5 进口商贴纸 2400pcs</t>
        </r>
      </text>
    </comment>
    <comment ref="AF1041" authorId="0">
      <text>
        <r>
          <rPr>
            <b/>
            <sz val="9"/>
            <rFont val="宋体"/>
            <charset val="134"/>
          </rPr>
          <t>Administrator:</t>
        </r>
        <r>
          <rPr>
            <sz val="9"/>
            <rFont val="宋体"/>
            <charset val="134"/>
          </rPr>
          <t xml:space="preserve">
5000259 1/27 800pcs
庞3b14</t>
        </r>
      </text>
    </comment>
    <comment ref="AI1041" authorId="0">
      <text>
        <r>
          <rPr>
            <b/>
            <sz val="9"/>
            <rFont val="宋体"/>
            <charset val="134"/>
          </rPr>
          <t>Administrator:</t>
        </r>
        <r>
          <rPr>
            <sz val="9"/>
            <rFont val="宋体"/>
            <charset val="134"/>
          </rPr>
          <t xml:space="preserve">
1/14 进口商贴纸 800pcs
条码贴纸 800pcs</t>
        </r>
      </text>
    </comment>
    <comment ref="AF1042" authorId="0">
      <text>
        <r>
          <rPr>
            <b/>
            <sz val="9"/>
            <rFont val="宋体"/>
            <charset val="134"/>
          </rPr>
          <t>Administrator:</t>
        </r>
        <r>
          <rPr>
            <sz val="9"/>
            <rFont val="宋体"/>
            <charset val="134"/>
          </rPr>
          <t xml:space="preserve">
1601220 1/21 1200pcs庞登一楼</t>
        </r>
      </text>
    </comment>
    <comment ref="AI1042" authorId="0">
      <text>
        <r>
          <rPr>
            <b/>
            <sz val="9"/>
            <rFont val="宋体"/>
            <charset val="134"/>
          </rPr>
          <t>Administrator:</t>
        </r>
        <r>
          <rPr>
            <sz val="9"/>
            <rFont val="宋体"/>
            <charset val="134"/>
          </rPr>
          <t xml:space="preserve">
12/31 西班牙环保标贴 1200pcs</t>
        </r>
      </text>
    </comment>
    <comment ref="AF1043" authorId="0">
      <text>
        <r>
          <rPr>
            <b/>
            <sz val="9"/>
            <rFont val="宋体"/>
            <charset val="134"/>
          </rPr>
          <t>Administrator:</t>
        </r>
        <r>
          <rPr>
            <sz val="9"/>
            <rFont val="宋体"/>
            <charset val="134"/>
          </rPr>
          <t xml:space="preserve">
1601220 1/21 1200pcs庞登一楼
</t>
        </r>
      </text>
    </comment>
    <comment ref="AI1043" authorId="0">
      <text>
        <r>
          <rPr>
            <b/>
            <sz val="9"/>
            <rFont val="宋体"/>
            <charset val="134"/>
          </rPr>
          <t>Administrator:</t>
        </r>
        <r>
          <rPr>
            <sz val="9"/>
            <rFont val="宋体"/>
            <charset val="134"/>
          </rPr>
          <t xml:space="preserve">
12/16 进口商贴纸 1200pcs</t>
        </r>
      </text>
    </comment>
    <comment ref="AF1044" authorId="0">
      <text>
        <r>
          <rPr>
            <b/>
            <sz val="9"/>
            <rFont val="宋体"/>
            <charset val="134"/>
          </rPr>
          <t>Administrator:</t>
        </r>
        <r>
          <rPr>
            <sz val="9"/>
            <rFont val="宋体"/>
            <charset val="134"/>
          </rPr>
          <t xml:space="preserve">
1601254 1/23 2400pcs
庞3b17
</t>
        </r>
      </text>
    </comment>
    <comment ref="AF1045" authorId="0">
      <text>
        <r>
          <rPr>
            <b/>
            <sz val="9"/>
            <rFont val="宋体"/>
            <charset val="134"/>
          </rPr>
          <t>Administrator:</t>
        </r>
        <r>
          <rPr>
            <sz val="9"/>
            <rFont val="宋体"/>
            <charset val="134"/>
          </rPr>
          <t xml:space="preserve">
1601254 1/23 2000pcs庞3b17
</t>
        </r>
      </text>
    </comment>
    <comment ref="AF1046" authorId="0">
      <text>
        <r>
          <rPr>
            <b/>
            <sz val="9"/>
            <rFont val="宋体"/>
            <charset val="134"/>
          </rPr>
          <t>Administrator:</t>
        </r>
        <r>
          <rPr>
            <sz val="9"/>
            <rFont val="宋体"/>
            <charset val="134"/>
          </rPr>
          <t xml:space="preserve">
1601254 1/23 4500pcs
庞3b17
</t>
        </r>
      </text>
    </comment>
    <comment ref="AF1047" authorId="0">
      <text>
        <r>
          <rPr>
            <b/>
            <sz val="9"/>
            <rFont val="宋体"/>
            <charset val="134"/>
          </rPr>
          <t>Administrator:</t>
        </r>
        <r>
          <rPr>
            <sz val="9"/>
            <rFont val="宋体"/>
            <charset val="134"/>
          </rPr>
          <t xml:space="preserve">
1601254 1/23 700pcs
庞3b17
</t>
        </r>
      </text>
    </comment>
    <comment ref="AF1048" authorId="0">
      <text>
        <r>
          <rPr>
            <b/>
            <sz val="9"/>
            <rFont val="宋体"/>
            <charset val="134"/>
          </rPr>
          <t>Administrator:</t>
        </r>
        <r>
          <rPr>
            <sz val="9"/>
            <rFont val="宋体"/>
            <charset val="134"/>
          </rPr>
          <t xml:space="preserve">
4001808 1/26 5400pcs车间</t>
        </r>
      </text>
    </comment>
    <comment ref="AF1049" authorId="0">
      <text>
        <r>
          <rPr>
            <b/>
            <sz val="9"/>
            <rFont val="宋体"/>
            <charset val="134"/>
          </rPr>
          <t>Administrator:</t>
        </r>
        <r>
          <rPr>
            <sz val="9"/>
            <rFont val="宋体"/>
            <charset val="134"/>
          </rPr>
          <t xml:space="preserve">
1601294 1/26 4500pcs庞3a3</t>
        </r>
      </text>
    </comment>
    <comment ref="AI1049" authorId="0">
      <text>
        <r>
          <rPr>
            <b/>
            <sz val="9"/>
            <rFont val="宋体"/>
            <charset val="134"/>
          </rPr>
          <t>Administrator:</t>
        </r>
        <r>
          <rPr>
            <sz val="9"/>
            <rFont val="宋体"/>
            <charset val="134"/>
          </rPr>
          <t xml:space="preserve">
1/14 UPC贴纸 4800pcs</t>
        </r>
      </text>
    </comment>
    <comment ref="AF1050" authorId="0">
      <text>
        <r>
          <rPr>
            <b/>
            <sz val="9"/>
            <rFont val="宋体"/>
            <charset val="134"/>
          </rPr>
          <t>Administrator:</t>
        </r>
        <r>
          <rPr>
            <sz val="9"/>
            <rFont val="宋体"/>
            <charset val="134"/>
          </rPr>
          <t xml:space="preserve">
1201037 12/22 780pcs王4c5
1601208 1/22 780pcs庞3b14</t>
        </r>
      </text>
    </comment>
    <comment ref="AI1050" authorId="0">
      <text>
        <r>
          <rPr>
            <b/>
            <sz val="9"/>
            <rFont val="宋体"/>
            <charset val="134"/>
          </rPr>
          <t>Administrator:</t>
        </r>
        <r>
          <rPr>
            <sz val="9"/>
            <rFont val="宋体"/>
            <charset val="134"/>
          </rPr>
          <t xml:space="preserve">
12/9 进口商贴纸 780pcs
UPC 条码贴纸 780pcs
1/7 进口商贴纸 1560pcs
UPC 条码贴纸 1560pcs</t>
        </r>
      </text>
    </comment>
    <comment ref="AF1051" authorId="0">
      <text>
        <r>
          <rPr>
            <b/>
            <sz val="9"/>
            <rFont val="宋体"/>
            <charset val="134"/>
          </rPr>
          <t>Administrator:</t>
        </r>
        <r>
          <rPr>
            <sz val="9"/>
            <rFont val="宋体"/>
            <charset val="134"/>
          </rPr>
          <t xml:space="preserve">
5000248 1/27 1250pcs
王4c5</t>
        </r>
      </text>
    </comment>
    <comment ref="AI1051" authorId="0">
      <text>
        <r>
          <rPr>
            <b/>
            <sz val="9"/>
            <rFont val="宋体"/>
            <charset val="134"/>
          </rPr>
          <t>Administrator:</t>
        </r>
        <r>
          <rPr>
            <sz val="9"/>
            <rFont val="宋体"/>
            <charset val="134"/>
          </rPr>
          <t xml:space="preserve">
10/24 上红色LOGO贴纸2500pcs
10/23 上进口商贴纸2500pcs
UPC贴纸2500pcs
</t>
        </r>
      </text>
    </comment>
    <comment ref="AF1052" authorId="0">
      <text>
        <r>
          <rPr>
            <b/>
            <sz val="9"/>
            <rFont val="宋体"/>
            <charset val="134"/>
          </rPr>
          <t>Administrator:</t>
        </r>
        <r>
          <rPr>
            <sz val="9"/>
            <rFont val="宋体"/>
            <charset val="134"/>
          </rPr>
          <t xml:space="preserve">
5000248 1/27 300pcs
王4b5</t>
        </r>
      </text>
    </comment>
    <comment ref="AF1053" authorId="0">
      <text>
        <r>
          <rPr>
            <b/>
            <sz val="9"/>
            <rFont val="宋体"/>
            <charset val="134"/>
          </rPr>
          <t>Administrator:</t>
        </r>
        <r>
          <rPr>
            <sz val="9"/>
            <rFont val="宋体"/>
            <charset val="134"/>
          </rPr>
          <t xml:space="preserve">
5000248 1/27 950pcs
王4a9</t>
        </r>
      </text>
    </comment>
    <comment ref="AF1054" authorId="0">
      <text>
        <r>
          <rPr>
            <b/>
            <sz val="9"/>
            <rFont val="宋体"/>
            <charset val="134"/>
          </rPr>
          <t>Administrator:</t>
        </r>
        <r>
          <rPr>
            <sz val="9"/>
            <rFont val="宋体"/>
            <charset val="134"/>
          </rPr>
          <t xml:space="preserve">
5000248 1/27 1300pcs
王4b9</t>
        </r>
      </text>
    </comment>
    <comment ref="AI1054" authorId="0">
      <text>
        <r>
          <rPr>
            <b/>
            <sz val="9"/>
            <rFont val="宋体"/>
            <charset val="134"/>
          </rPr>
          <t>Administrator:</t>
        </r>
        <r>
          <rPr>
            <sz val="9"/>
            <rFont val="宋体"/>
            <charset val="134"/>
          </rPr>
          <t xml:space="preserve">
1/5 进口商贴纸 1300pcs</t>
        </r>
      </text>
    </comment>
    <comment ref="AF1055" authorId="0">
      <text>
        <r>
          <rPr>
            <b/>
            <sz val="9"/>
            <rFont val="宋体"/>
            <charset val="134"/>
          </rPr>
          <t>Administrator:</t>
        </r>
        <r>
          <rPr>
            <sz val="9"/>
            <rFont val="宋体"/>
            <charset val="134"/>
          </rPr>
          <t xml:space="preserve">
5000259 1/27 10000pcs
庞1f9</t>
        </r>
      </text>
    </comment>
    <comment ref="AI1055" authorId="0">
      <text>
        <r>
          <rPr>
            <b/>
            <sz val="9"/>
            <rFont val="宋体"/>
            <charset val="134"/>
          </rPr>
          <t>Administrator:</t>
        </r>
        <r>
          <rPr>
            <sz val="9"/>
            <rFont val="宋体"/>
            <charset val="134"/>
          </rPr>
          <t xml:space="preserve">
1/12 法国sorting label 10000pcs</t>
        </r>
      </text>
    </comment>
    <comment ref="AF1056" authorId="0">
      <text>
        <r>
          <rPr>
            <b/>
            <sz val="9"/>
            <rFont val="宋体"/>
            <charset val="134"/>
          </rPr>
          <t>Administrator:</t>
        </r>
        <r>
          <rPr>
            <sz val="9"/>
            <rFont val="宋体"/>
            <charset val="134"/>
          </rPr>
          <t xml:space="preserve">
5000259 1/27 4000pcs
庞3a24</t>
        </r>
      </text>
    </comment>
    <comment ref="AI1056" authorId="0">
      <text>
        <r>
          <rPr>
            <b/>
            <sz val="9"/>
            <rFont val="宋体"/>
            <charset val="134"/>
          </rPr>
          <t>Administrator:</t>
        </r>
        <r>
          <rPr>
            <sz val="9"/>
            <rFont val="宋体"/>
            <charset val="134"/>
          </rPr>
          <t xml:space="preserve">
1/12 法国sorting label 4000pcs</t>
        </r>
      </text>
    </comment>
    <comment ref="AF1057" authorId="0">
      <text>
        <r>
          <rPr>
            <b/>
            <sz val="9"/>
            <rFont val="宋体"/>
            <charset val="134"/>
          </rPr>
          <t>Administrator:</t>
        </r>
        <r>
          <rPr>
            <sz val="9"/>
            <rFont val="宋体"/>
            <charset val="134"/>
          </rPr>
          <t xml:space="preserve">
1601217 1/20 4500pcs文本云</t>
        </r>
      </text>
    </comment>
    <comment ref="AF1058" authorId="0">
      <text>
        <r>
          <rPr>
            <b/>
            <sz val="9"/>
            <rFont val="宋体"/>
            <charset val="134"/>
          </rPr>
          <t>Administrator:</t>
        </r>
        <r>
          <rPr>
            <sz val="9"/>
            <rFont val="宋体"/>
            <charset val="134"/>
          </rPr>
          <t xml:space="preserve">
4001820 1/29 2268cs
庞1f5
4001930 2/30 264pcs 庞1f5</t>
        </r>
      </text>
    </comment>
    <comment ref="AI1058" authorId="0">
      <text>
        <r>
          <rPr>
            <b/>
            <sz val="9"/>
            <rFont val="宋体"/>
            <charset val="134"/>
          </rPr>
          <t>Administrator:</t>
        </r>
        <r>
          <rPr>
            <sz val="9"/>
            <rFont val="宋体"/>
            <charset val="134"/>
          </rPr>
          <t xml:space="preserve">
12/29 EAN条码贴纸 2532pcs
空白贴纸 5064pcs</t>
        </r>
      </text>
    </comment>
    <comment ref="AF1059" authorId="0">
      <text>
        <r>
          <rPr>
            <b/>
            <sz val="9"/>
            <rFont val="宋体"/>
            <charset val="134"/>
          </rPr>
          <t>Administrator:</t>
        </r>
        <r>
          <rPr>
            <sz val="9"/>
            <rFont val="宋体"/>
            <charset val="134"/>
          </rPr>
          <t xml:space="preserve">
1601220 1/21 1250pcs
庞登一楼
</t>
        </r>
      </text>
    </comment>
    <comment ref="AI1059" authorId="0">
      <text>
        <r>
          <rPr>
            <b/>
            <sz val="9"/>
            <rFont val="宋体"/>
            <charset val="134"/>
          </rPr>
          <t>Administrator:</t>
        </r>
        <r>
          <rPr>
            <sz val="9"/>
            <rFont val="宋体"/>
            <charset val="134"/>
          </rPr>
          <t xml:space="preserve">
1/22 UPC贴纸 1250pcs</t>
        </r>
      </text>
    </comment>
    <comment ref="AF1060" authorId="0">
      <text>
        <r>
          <rPr>
            <b/>
            <sz val="9"/>
            <rFont val="宋体"/>
            <charset val="134"/>
          </rPr>
          <t>Administrator:</t>
        </r>
        <r>
          <rPr>
            <sz val="9"/>
            <rFont val="宋体"/>
            <charset val="134"/>
          </rPr>
          <t xml:space="preserve">
1405708 1/28 3000pcs庞3a26</t>
        </r>
      </text>
    </comment>
    <comment ref="AI1060" authorId="0">
      <text>
        <r>
          <rPr>
            <b/>
            <sz val="9"/>
            <rFont val="宋体"/>
            <charset val="134"/>
          </rPr>
          <t>Administrator:</t>
        </r>
        <r>
          <rPr>
            <sz val="9"/>
            <rFont val="宋体"/>
            <charset val="134"/>
          </rPr>
          <t xml:space="preserve">
12/25 进口商贴纸 3000pcs
UPC条码贴纸 3000pcs
正面收藏指南贴纸 3000pcs
背面收藏指南贴纸 3000pcs
</t>
        </r>
      </text>
    </comment>
    <comment ref="AF1061" authorId="0">
      <text>
        <r>
          <rPr>
            <b/>
            <sz val="9"/>
            <rFont val="宋体"/>
            <charset val="134"/>
          </rPr>
          <t>Administrator:</t>
        </r>
        <r>
          <rPr>
            <sz val="9"/>
            <rFont val="宋体"/>
            <charset val="134"/>
          </rPr>
          <t xml:space="preserve">
1405692 1/30 2080pcs
庞b4</t>
        </r>
      </text>
    </comment>
    <comment ref="AI1061" authorId="0">
      <text>
        <r>
          <rPr>
            <b/>
            <sz val="9"/>
            <rFont val="宋体"/>
            <charset val="134"/>
          </rPr>
          <t>Administrator:</t>
        </r>
        <r>
          <rPr>
            <sz val="9"/>
            <rFont val="宋体"/>
            <charset val="134"/>
          </rPr>
          <t xml:space="preserve">
12/25 客供警语贴纸贴球底部 2150pcs
供警语贴纸贴收藏指ī 2150pcs
供警语贴纸贴说明书 2150pcs
1/7 UPC 条码贴纸 2080pcs</t>
        </r>
      </text>
    </comment>
    <comment ref="AF1062" authorId="0">
      <text>
        <r>
          <rPr>
            <b/>
            <sz val="9"/>
            <rFont val="宋体"/>
            <charset val="134"/>
          </rPr>
          <t>Administrator:</t>
        </r>
        <r>
          <rPr>
            <sz val="9"/>
            <rFont val="宋体"/>
            <charset val="134"/>
          </rPr>
          <t xml:space="preserve">
4001929 1/30 720pcs王4a2</t>
        </r>
      </text>
    </comment>
    <comment ref="AI1062" authorId="0">
      <text>
        <r>
          <rPr>
            <b/>
            <sz val="9"/>
            <rFont val="宋体"/>
            <charset val="134"/>
          </rPr>
          <t>Administrator:</t>
        </r>
        <r>
          <rPr>
            <sz val="9"/>
            <rFont val="宋体"/>
            <charset val="134"/>
          </rPr>
          <t xml:space="preserve">
12/25 供警语贴纸贴说明书 1490pcs
客供电池警语贴纸 1488pcs
供警语贴纸贴收藏指內 1488pcs
1/7 空白帖纸 720pcs
</t>
        </r>
      </text>
    </comment>
    <comment ref="AF1063" authorId="0">
      <text>
        <r>
          <rPr>
            <b/>
            <sz val="9"/>
            <rFont val="宋体"/>
            <charset val="134"/>
          </rPr>
          <t>Administrator:</t>
        </r>
        <r>
          <rPr>
            <sz val="9"/>
            <rFont val="宋体"/>
            <charset val="134"/>
          </rPr>
          <t xml:space="preserve">
1405692 1/30 32pcs 庞b4
1405650 2/2 8720PCS
王4a1</t>
        </r>
      </text>
    </comment>
    <comment ref="AF1064" authorId="0">
      <text>
        <r>
          <rPr>
            <b/>
            <sz val="9"/>
            <rFont val="宋体"/>
            <charset val="134"/>
          </rPr>
          <t>Administrator:</t>
        </r>
        <r>
          <rPr>
            <sz val="9"/>
            <rFont val="宋体"/>
            <charset val="134"/>
          </rPr>
          <t xml:space="preserve">
1405713 1/28 3900pcs王4b4</t>
        </r>
      </text>
    </comment>
    <comment ref="AI1064" authorId="0">
      <text>
        <r>
          <rPr>
            <b/>
            <sz val="9"/>
            <rFont val="宋体"/>
            <charset val="134"/>
          </rPr>
          <t>Administrator:</t>
        </r>
        <r>
          <rPr>
            <sz val="9"/>
            <rFont val="宋体"/>
            <charset val="134"/>
          </rPr>
          <t xml:space="preserve">
1/15 客供防車码贴纸1拖13 1300pcs
1/12 条码贴纸 3900pcs</t>
        </r>
      </text>
    </comment>
    <comment ref="AF1065" authorId="0">
      <text>
        <r>
          <rPr>
            <b/>
            <sz val="9"/>
            <rFont val="宋体"/>
            <charset val="134"/>
          </rPr>
          <t>Administrator:</t>
        </r>
        <r>
          <rPr>
            <sz val="9"/>
            <rFont val="宋体"/>
            <charset val="134"/>
          </rPr>
          <t xml:space="preserve">
1405696 1/29 9100pcs 直走</t>
        </r>
      </text>
    </comment>
    <comment ref="AI1065" authorId="0">
      <text>
        <r>
          <rPr>
            <b/>
            <sz val="9"/>
            <rFont val="宋体"/>
            <charset val="134"/>
          </rPr>
          <t>Administrator:</t>
        </r>
        <r>
          <rPr>
            <sz val="9"/>
            <rFont val="宋体"/>
            <charset val="134"/>
          </rPr>
          <t xml:space="preserve">
1/15 客供防車码贴纸1拖13 1300pcs
1/12 条码贴纸 9100pcs
</t>
        </r>
      </text>
    </comment>
    <comment ref="AF1066" authorId="0">
      <text>
        <r>
          <rPr>
            <b/>
            <sz val="9"/>
            <rFont val="宋体"/>
            <charset val="134"/>
          </rPr>
          <t>Administrator:</t>
        </r>
        <r>
          <rPr>
            <sz val="9"/>
            <rFont val="宋体"/>
            <charset val="134"/>
          </rPr>
          <t xml:space="preserve">
1405696 1/29 6500pcs
直走</t>
        </r>
      </text>
    </comment>
    <comment ref="AI1066" authorId="0">
      <text>
        <r>
          <rPr>
            <b/>
            <sz val="9"/>
            <rFont val="宋体"/>
            <charset val="134"/>
          </rPr>
          <t>Administrator:</t>
        </r>
        <r>
          <rPr>
            <sz val="9"/>
            <rFont val="宋体"/>
            <charset val="134"/>
          </rPr>
          <t xml:space="preserve">
1/12 条码贴纸 6500pcs
</t>
        </r>
      </text>
    </comment>
    <comment ref="AF1067" authorId="0">
      <text>
        <r>
          <rPr>
            <b/>
            <sz val="9"/>
            <rFont val="宋体"/>
            <charset val="134"/>
          </rPr>
          <t>Administrator:</t>
        </r>
        <r>
          <rPr>
            <sz val="9"/>
            <rFont val="宋体"/>
            <charset val="134"/>
          </rPr>
          <t xml:space="preserve">
1405696 1/29 13000pcs
直走</t>
        </r>
      </text>
    </comment>
    <comment ref="AI1067" authorId="0">
      <text>
        <r>
          <rPr>
            <b/>
            <sz val="9"/>
            <rFont val="宋体"/>
            <charset val="134"/>
          </rPr>
          <t>Administrator:</t>
        </r>
        <r>
          <rPr>
            <sz val="9"/>
            <rFont val="宋体"/>
            <charset val="134"/>
          </rPr>
          <t xml:space="preserve">
1/12 条码贴纸 13000pcs
</t>
        </r>
      </text>
    </comment>
    <comment ref="AF1068" authorId="0">
      <text>
        <r>
          <rPr>
            <b/>
            <sz val="9"/>
            <rFont val="宋体"/>
            <charset val="134"/>
          </rPr>
          <t>Administrator:</t>
        </r>
        <r>
          <rPr>
            <sz val="9"/>
            <rFont val="宋体"/>
            <charset val="134"/>
          </rPr>
          <t xml:space="preserve">
1405696 1/29 3900pcs
王4c10</t>
        </r>
      </text>
    </comment>
    <comment ref="AF1069" authorId="0">
      <text>
        <r>
          <rPr>
            <b/>
            <sz val="9"/>
            <rFont val="宋体"/>
            <charset val="134"/>
          </rPr>
          <t>Administrator:</t>
        </r>
        <r>
          <rPr>
            <sz val="9"/>
            <rFont val="宋体"/>
            <charset val="134"/>
          </rPr>
          <t xml:space="preserve">
4001930 2/30 24pcs
庞1f5
</t>
        </r>
      </text>
    </comment>
    <comment ref="AF1070" authorId="0">
      <text>
        <r>
          <rPr>
            <b/>
            <sz val="9"/>
            <rFont val="宋体"/>
            <charset val="134"/>
          </rPr>
          <t>Administrator:</t>
        </r>
        <r>
          <rPr>
            <sz val="9"/>
            <rFont val="宋体"/>
            <charset val="134"/>
          </rPr>
          <t xml:space="preserve">
1405659 2/2 1020pcs
庞3b15</t>
        </r>
      </text>
    </comment>
    <comment ref="AI1070" authorId="0">
      <text>
        <r>
          <rPr>
            <b/>
            <sz val="9"/>
            <rFont val="宋体"/>
            <charset val="134"/>
          </rPr>
          <t>Administrator:</t>
        </r>
        <r>
          <rPr>
            <sz val="9"/>
            <rFont val="宋体"/>
            <charset val="134"/>
          </rPr>
          <t xml:space="preserve">
1/12 进口商/西班牙环1020pcs </t>
        </r>
      </text>
    </comment>
    <comment ref="AF1071" authorId="0">
      <text>
        <r>
          <rPr>
            <b/>
            <sz val="9"/>
            <rFont val="宋体"/>
            <charset val="134"/>
          </rPr>
          <t>Administrator:</t>
        </r>
        <r>
          <rPr>
            <sz val="9"/>
            <rFont val="宋体"/>
            <charset val="134"/>
          </rPr>
          <t xml:space="preserve">
1405622 2/4 1200pcs
华3b14</t>
        </r>
      </text>
    </comment>
    <comment ref="AF1072" authorId="0">
      <text>
        <r>
          <rPr>
            <b/>
            <sz val="9"/>
            <rFont val="宋体"/>
            <charset val="134"/>
          </rPr>
          <t>Administrator:</t>
        </r>
        <r>
          <rPr>
            <sz val="9"/>
            <rFont val="宋体"/>
            <charset val="134"/>
          </rPr>
          <t xml:space="preserve">
1405622 2/4 96pcs
华3b14
</t>
        </r>
      </text>
    </comment>
    <comment ref="AF1073" authorId="0">
      <text>
        <r>
          <rPr>
            <b/>
            <sz val="9"/>
            <rFont val="宋体"/>
            <charset val="134"/>
          </rPr>
          <t>Administrator:</t>
        </r>
        <r>
          <rPr>
            <sz val="9"/>
            <rFont val="宋体"/>
            <charset val="134"/>
          </rPr>
          <t xml:space="preserve">
1405622 2/4 2004pcs华3b8</t>
        </r>
      </text>
    </comment>
    <comment ref="AI1073" authorId="0">
      <text>
        <r>
          <rPr>
            <b/>
            <sz val="9"/>
            <rFont val="宋体"/>
            <charset val="134"/>
          </rPr>
          <t>Administrator:</t>
        </r>
        <r>
          <rPr>
            <sz val="9"/>
            <rFont val="宋体"/>
            <charset val="134"/>
          </rPr>
          <t xml:space="preserve">
1/5 客供价格贴纸 2100pcs</t>
        </r>
      </text>
    </comment>
    <comment ref="AF1074" authorId="0">
      <text>
        <r>
          <rPr>
            <b/>
            <sz val="9"/>
            <rFont val="宋体"/>
            <charset val="134"/>
          </rPr>
          <t>Administrator:</t>
        </r>
        <r>
          <rPr>
            <sz val="9"/>
            <rFont val="宋体"/>
            <charset val="134"/>
          </rPr>
          <t xml:space="preserve">
1405659 2/2 9030pcs庞1f12</t>
        </r>
      </text>
    </comment>
    <comment ref="AF1075" authorId="0">
      <text>
        <r>
          <rPr>
            <b/>
            <sz val="9"/>
            <rFont val="宋体"/>
            <charset val="134"/>
          </rPr>
          <t>Administrator:</t>
        </r>
        <r>
          <rPr>
            <sz val="9"/>
            <rFont val="宋体"/>
            <charset val="134"/>
          </rPr>
          <t xml:space="preserve">
1405696 1/29 4329pcs
王4b6</t>
        </r>
      </text>
    </comment>
    <comment ref="AF1076" authorId="0">
      <text>
        <r>
          <rPr>
            <b/>
            <sz val="9"/>
            <rFont val="宋体"/>
            <charset val="134"/>
          </rPr>
          <t>Administrator:</t>
        </r>
        <r>
          <rPr>
            <sz val="9"/>
            <rFont val="宋体"/>
            <charset val="134"/>
          </rPr>
          <t xml:space="preserve">
1405696 1/29 2015pcs
王4b7</t>
        </r>
      </text>
    </comment>
    <comment ref="AF1077" authorId="0">
      <text>
        <r>
          <rPr>
            <b/>
            <sz val="9"/>
            <rFont val="宋体"/>
            <charset val="134"/>
          </rPr>
          <t>Administrator:</t>
        </r>
        <r>
          <rPr>
            <sz val="9"/>
            <rFont val="宋体"/>
            <charset val="134"/>
          </rPr>
          <t xml:space="preserve">
4001820 1/29 1200pcs庞3a31</t>
        </r>
      </text>
    </comment>
    <comment ref="AI1077" authorId="0">
      <text>
        <r>
          <rPr>
            <b/>
            <sz val="9"/>
            <rFont val="宋体"/>
            <charset val="134"/>
          </rPr>
          <t>Administrator:</t>
        </r>
        <r>
          <rPr>
            <sz val="9"/>
            <rFont val="宋体"/>
            <charset val="134"/>
          </rPr>
          <t xml:space="preserve">
12/29 3c贴纸 1200pcs</t>
        </r>
      </text>
    </comment>
    <comment ref="AF1078" authorId="0">
      <text>
        <r>
          <rPr>
            <b/>
            <sz val="9"/>
            <rFont val="宋体"/>
            <charset val="134"/>
          </rPr>
          <t>Administrator:</t>
        </r>
        <r>
          <rPr>
            <sz val="9"/>
            <rFont val="宋体"/>
            <charset val="134"/>
          </rPr>
          <t xml:space="preserve">
4001820 1/29 3000pcs
庞1f11
</t>
        </r>
      </text>
    </comment>
    <comment ref="AI1078" authorId="0">
      <text>
        <r>
          <rPr>
            <b/>
            <sz val="9"/>
            <rFont val="宋体"/>
            <charset val="134"/>
          </rPr>
          <t>Administrator:</t>
        </r>
        <r>
          <rPr>
            <sz val="9"/>
            <rFont val="宋体"/>
            <charset val="134"/>
          </rPr>
          <t xml:space="preserve">
1/5 颜色贴纸 3000pcs
空白贴纸 3000pcs
空白贴纸 6000pcs</t>
        </r>
      </text>
    </comment>
    <comment ref="AF1079" authorId="0">
      <text>
        <r>
          <rPr>
            <b/>
            <sz val="9"/>
            <rFont val="宋体"/>
            <charset val="134"/>
          </rPr>
          <t>Administrator:</t>
        </r>
        <r>
          <rPr>
            <sz val="9"/>
            <rFont val="宋体"/>
            <charset val="134"/>
          </rPr>
          <t xml:space="preserve">
4001818 1/29 7800cs
庞登1楼</t>
        </r>
      </text>
    </comment>
    <comment ref="AI1079" authorId="0">
      <text>
        <r>
          <rPr>
            <b/>
            <sz val="9"/>
            <rFont val="宋体"/>
            <charset val="134"/>
          </rPr>
          <t>Administrator:</t>
        </r>
        <r>
          <rPr>
            <sz val="9"/>
            <rFont val="宋体"/>
            <charset val="134"/>
          </rPr>
          <t xml:space="preserve">
1/5 颜色贴纸 7800pcs
空白贴纸 3000pcs
空白贴纸 15600pcs
</t>
        </r>
      </text>
    </comment>
    <comment ref="AF1080" authorId="0">
      <text>
        <r>
          <rPr>
            <b/>
            <sz val="9"/>
            <rFont val="宋体"/>
            <charset val="134"/>
          </rPr>
          <t>Administrator:</t>
        </r>
        <r>
          <rPr>
            <sz val="9"/>
            <rFont val="宋体"/>
            <charset val="134"/>
          </rPr>
          <t xml:space="preserve">
4001932 1/30 6972pcs 王4c1
4001934 1/31 228pcs 庞4c1</t>
        </r>
      </text>
    </comment>
    <comment ref="AI1080" authorId="0">
      <text>
        <r>
          <rPr>
            <b/>
            <sz val="9"/>
            <rFont val="宋体"/>
            <charset val="134"/>
          </rPr>
          <t>Administrator:</t>
        </r>
        <r>
          <rPr>
            <sz val="9"/>
            <rFont val="宋体"/>
            <charset val="134"/>
          </rPr>
          <t xml:space="preserve">
1/5 颜色贴纸 3000pcs
空白贴纸 7200pcs
空白贴纸 14400pcs
</t>
        </r>
      </text>
    </comment>
    <comment ref="AF1081" authorId="0">
      <text>
        <r>
          <rPr>
            <b/>
            <sz val="9"/>
            <rFont val="宋体"/>
            <charset val="134"/>
          </rPr>
          <t>Administrator:</t>
        </r>
        <r>
          <rPr>
            <sz val="9"/>
            <rFont val="宋体"/>
            <charset val="134"/>
          </rPr>
          <t xml:space="preserve">
1405696 1/29 5000pcs
王军4c8</t>
        </r>
      </text>
    </comment>
    <comment ref="AI1081" authorId="0">
      <text>
        <r>
          <rPr>
            <b/>
            <sz val="9"/>
            <rFont val="宋体"/>
            <charset val="134"/>
          </rPr>
          <t>Administrator:</t>
        </r>
        <r>
          <rPr>
            <sz val="9"/>
            <rFont val="宋体"/>
            <charset val="134"/>
          </rPr>
          <t xml:space="preserve">
1/12 进口商贴纸 5000pcs
UPC条码贴纸 5000pcs</t>
        </r>
      </text>
    </comment>
    <comment ref="AF1082" authorId="0">
      <text>
        <r>
          <rPr>
            <b/>
            <sz val="9"/>
            <rFont val="宋体"/>
            <charset val="134"/>
          </rPr>
          <t>Administrator:</t>
        </r>
        <r>
          <rPr>
            <sz val="9"/>
            <rFont val="宋体"/>
            <charset val="134"/>
          </rPr>
          <t xml:space="preserve">
4001935 1/31 1800pcs</t>
        </r>
      </text>
    </comment>
    <comment ref="AF1083" authorId="0">
      <text>
        <r>
          <rPr>
            <b/>
            <sz val="9"/>
            <rFont val="宋体"/>
            <charset val="134"/>
          </rPr>
          <t>Administrator:</t>
        </r>
        <r>
          <rPr>
            <sz val="9"/>
            <rFont val="宋体"/>
            <charset val="134"/>
          </rPr>
          <t xml:space="preserve">
1405660 2/2 1200pcs庞3a36</t>
        </r>
      </text>
    </comment>
    <comment ref="AI1083" authorId="0">
      <text>
        <r>
          <rPr>
            <b/>
            <sz val="9"/>
            <rFont val="宋体"/>
            <charset val="134"/>
          </rPr>
          <t>Administrator:</t>
        </r>
        <r>
          <rPr>
            <sz val="9"/>
            <rFont val="宋体"/>
            <charset val="134"/>
          </rPr>
          <t xml:space="preserve">
1/15 客供价格贴纸 1320pcs
1/19 空白贴纸 240pcs
</t>
        </r>
      </text>
    </comment>
    <comment ref="AF1084" authorId="0">
      <text>
        <r>
          <rPr>
            <b/>
            <sz val="9"/>
            <rFont val="宋体"/>
            <charset val="134"/>
          </rPr>
          <t>Administrator:</t>
        </r>
        <r>
          <rPr>
            <sz val="9"/>
            <rFont val="宋体"/>
            <charset val="134"/>
          </rPr>
          <t xml:space="preserve">
1405660 2/2 996pcs庞3a36
</t>
        </r>
      </text>
    </comment>
    <comment ref="AI1084" authorId="0">
      <text>
        <r>
          <rPr>
            <b/>
            <sz val="9"/>
            <rFont val="宋体"/>
            <charset val="134"/>
          </rPr>
          <t>Administrator:</t>
        </r>
        <r>
          <rPr>
            <sz val="9"/>
            <rFont val="宋体"/>
            <charset val="134"/>
          </rPr>
          <t xml:space="preserve">
1/15 客供价格贴纸 1096pcs
1/19 空白贴纸 1992pcs</t>
        </r>
      </text>
    </comment>
    <comment ref="AF1085" authorId="0">
      <text>
        <r>
          <rPr>
            <b/>
            <sz val="9"/>
            <rFont val="宋体"/>
            <charset val="134"/>
          </rPr>
          <t>Administrator:</t>
        </r>
        <r>
          <rPr>
            <sz val="9"/>
            <rFont val="宋体"/>
            <charset val="134"/>
          </rPr>
          <t xml:space="preserve">
1405659 2/2 8000pcs庞1f3</t>
        </r>
      </text>
    </comment>
    <comment ref="AI1085" authorId="0">
      <text>
        <r>
          <rPr>
            <b/>
            <sz val="9"/>
            <rFont val="宋体"/>
            <charset val="134"/>
          </rPr>
          <t>Administrator:</t>
        </r>
        <r>
          <rPr>
            <sz val="9"/>
            <rFont val="宋体"/>
            <charset val="134"/>
          </rPr>
          <t xml:space="preserve">
1/19 进口商贴纸 8000pcs
UPC贴纸 8000pcs</t>
        </r>
      </text>
    </comment>
    <comment ref="AF1086" authorId="0">
      <text>
        <r>
          <rPr>
            <b/>
            <sz val="9"/>
            <rFont val="宋体"/>
            <charset val="134"/>
          </rPr>
          <t>Administrator4001910 4001910 2/4 1200pcs王4a8</t>
        </r>
      </text>
    </comment>
    <comment ref="AF1087" authorId="0">
      <text>
        <r>
          <rPr>
            <b/>
            <sz val="9"/>
            <rFont val="宋体"/>
            <charset val="134"/>
          </rPr>
          <t>Administrator:</t>
        </r>
        <r>
          <rPr>
            <sz val="9"/>
            <rFont val="宋体"/>
            <charset val="134"/>
          </rPr>
          <t xml:space="preserve">
1405666 2/3 1500pcs庞登一楼</t>
        </r>
      </text>
    </comment>
    <comment ref="AI1087" authorId="0">
      <text>
        <r>
          <rPr>
            <b/>
            <sz val="9"/>
            <rFont val="宋体"/>
            <charset val="134"/>
          </rPr>
          <t>Administrator:</t>
        </r>
        <r>
          <rPr>
            <sz val="9"/>
            <rFont val="宋体"/>
            <charset val="134"/>
          </rPr>
          <t xml:space="preserve">
1/19 挪威语警语贴纸 1500pcs</t>
        </r>
      </text>
    </comment>
    <comment ref="AF1088" authorId="0">
      <text>
        <r>
          <rPr>
            <b/>
            <sz val="9"/>
            <rFont val="宋体"/>
            <charset val="134"/>
          </rPr>
          <t>Administrator:</t>
        </r>
        <r>
          <rPr>
            <sz val="9"/>
            <rFont val="宋体"/>
            <charset val="134"/>
          </rPr>
          <t xml:space="preserve">
1405659 2/2 750pcs
庞3b9</t>
        </r>
      </text>
    </comment>
    <comment ref="AI1088" authorId="0">
      <text>
        <r>
          <rPr>
            <b/>
            <sz val="9"/>
            <rFont val="宋体"/>
            <charset val="134"/>
          </rPr>
          <t>Administrator:</t>
        </r>
        <r>
          <rPr>
            <sz val="9"/>
            <rFont val="宋体"/>
            <charset val="134"/>
          </rPr>
          <t xml:space="preserve">
1/19 UPC贴纸 750pcs</t>
        </r>
      </text>
    </comment>
    <comment ref="AF1089" authorId="0">
      <text>
        <r>
          <rPr>
            <b/>
            <sz val="9"/>
            <rFont val="宋体"/>
            <charset val="134"/>
          </rPr>
          <t>Administrator:</t>
        </r>
        <r>
          <rPr>
            <sz val="9"/>
            <rFont val="宋体"/>
            <charset val="134"/>
          </rPr>
          <t xml:space="preserve">
1405659 2/2 750pcs庞3b9
</t>
        </r>
      </text>
    </comment>
    <comment ref="AI1089" authorId="0">
      <text>
        <r>
          <rPr>
            <b/>
            <sz val="9"/>
            <rFont val="宋体"/>
            <charset val="134"/>
          </rPr>
          <t>Administrator:</t>
        </r>
        <r>
          <rPr>
            <sz val="9"/>
            <rFont val="宋体"/>
            <charset val="134"/>
          </rPr>
          <t xml:space="preserve">
1/19 UPC贴纸 750pcs
</t>
        </r>
      </text>
    </comment>
    <comment ref="AF1090" authorId="0">
      <text>
        <r>
          <rPr>
            <b/>
            <sz val="9"/>
            <rFont val="宋体"/>
            <charset val="134"/>
          </rPr>
          <t>Administrator:</t>
        </r>
        <r>
          <rPr>
            <sz val="9"/>
            <rFont val="宋体"/>
            <charset val="134"/>
          </rPr>
          <t xml:space="preserve">
1405659 2/2 1500pcs庞3b9
</t>
        </r>
      </text>
    </comment>
    <comment ref="AI1090" authorId="0">
      <text>
        <r>
          <rPr>
            <b/>
            <sz val="9"/>
            <rFont val="宋体"/>
            <charset val="134"/>
          </rPr>
          <t>Administrator:</t>
        </r>
        <r>
          <rPr>
            <sz val="9"/>
            <rFont val="宋体"/>
            <charset val="134"/>
          </rPr>
          <t xml:space="preserve">
1/19 UPC贴纸 1500pcs
</t>
        </r>
      </text>
    </comment>
    <comment ref="AF1091" authorId="0">
      <text>
        <r>
          <rPr>
            <b/>
            <sz val="9"/>
            <rFont val="宋体"/>
            <charset val="134"/>
          </rPr>
          <t>Administrator:</t>
        </r>
        <r>
          <rPr>
            <sz val="9"/>
            <rFont val="宋体"/>
            <charset val="134"/>
          </rPr>
          <t xml:space="preserve">
1405660 2/2 2004pcs庞3a23</t>
        </r>
      </text>
    </comment>
    <comment ref="AI1091" authorId="0">
      <text>
        <r>
          <rPr>
            <b/>
            <sz val="9"/>
            <rFont val="宋体"/>
            <charset val="134"/>
          </rPr>
          <t>Administrator:</t>
        </r>
        <r>
          <rPr>
            <sz val="9"/>
            <rFont val="宋体"/>
            <charset val="134"/>
          </rPr>
          <t xml:space="preserve">
1/15 客供价格贴纸 2100pcs</t>
        </r>
      </text>
    </comment>
    <comment ref="AF1092" authorId="0">
      <text>
        <r>
          <rPr>
            <b/>
            <sz val="9"/>
            <rFont val="宋体"/>
            <charset val="134"/>
          </rPr>
          <t>Administrator:</t>
        </r>
        <r>
          <rPr>
            <sz val="9"/>
            <rFont val="宋体"/>
            <charset val="134"/>
          </rPr>
          <t xml:space="preserve">
4001889 2/5 3000pcs
王4a3</t>
        </r>
      </text>
    </comment>
    <comment ref="AI1092" authorId="0">
      <text>
        <r>
          <rPr>
            <b/>
            <sz val="9"/>
            <rFont val="宋体"/>
            <charset val="134"/>
          </rPr>
          <t>Administrator:</t>
        </r>
        <r>
          <rPr>
            <sz val="9"/>
            <rFont val="宋体"/>
            <charset val="134"/>
          </rPr>
          <t xml:space="preserve">
1/15 客供价格贴纸 3150pcs
</t>
        </r>
      </text>
    </comment>
    <comment ref="AF1093" authorId="0">
      <text>
        <r>
          <rPr>
            <b/>
            <sz val="9"/>
            <rFont val="宋体"/>
            <charset val="134"/>
          </rPr>
          <t>Administrator:</t>
        </r>
        <r>
          <rPr>
            <sz val="9"/>
            <rFont val="宋体"/>
            <charset val="134"/>
          </rPr>
          <t xml:space="preserve">
1405660 2/2 804pcs
庞3b14</t>
        </r>
      </text>
    </comment>
    <comment ref="AI1093" authorId="0">
      <text>
        <r>
          <rPr>
            <b/>
            <sz val="9"/>
            <rFont val="宋体"/>
            <charset val="134"/>
          </rPr>
          <t>Administrator:</t>
        </r>
        <r>
          <rPr>
            <sz val="9"/>
            <rFont val="宋体"/>
            <charset val="134"/>
          </rPr>
          <t xml:space="preserve">
1/13 客供价格贴纸 840pc</t>
        </r>
      </text>
    </comment>
    <comment ref="AF1094" authorId="0">
      <text>
        <r>
          <rPr>
            <b/>
            <sz val="9"/>
            <rFont val="宋体"/>
            <charset val="134"/>
          </rPr>
          <t>Administrator:</t>
        </r>
        <r>
          <rPr>
            <sz val="9"/>
            <rFont val="宋体"/>
            <charset val="134"/>
          </rPr>
          <t xml:space="preserve">
1405555 2/7 1040pcs王4a2</t>
        </r>
      </text>
    </comment>
    <comment ref="AF1095" authorId="0">
      <text>
        <r>
          <rPr>
            <b/>
            <sz val="9"/>
            <rFont val="宋体"/>
            <charset val="134"/>
          </rPr>
          <t>Administrator:</t>
        </r>
        <r>
          <rPr>
            <sz val="9"/>
            <rFont val="宋体"/>
            <charset val="134"/>
          </rPr>
          <t xml:space="preserve">
1405666 2/3 1228pcs
庞登一楼
</t>
        </r>
      </text>
    </comment>
    <comment ref="AI1095" authorId="0">
      <text>
        <r>
          <rPr>
            <b/>
            <sz val="9"/>
            <rFont val="宋体"/>
            <charset val="134"/>
          </rPr>
          <t>Administrator:</t>
        </r>
        <r>
          <rPr>
            <sz val="9"/>
            <rFont val="宋体"/>
            <charset val="134"/>
          </rPr>
          <t xml:space="preserve">
1/19 客人自色Cat.label 1008pcs</t>
        </r>
      </text>
    </comment>
    <comment ref="AF1096" authorId="0">
      <text>
        <r>
          <rPr>
            <b/>
            <sz val="9"/>
            <rFont val="宋体"/>
            <charset val="134"/>
          </rPr>
          <t>Administrator:</t>
        </r>
        <r>
          <rPr>
            <sz val="9"/>
            <rFont val="宋体"/>
            <charset val="134"/>
          </rPr>
          <t xml:space="preserve">
1405628 2/4 4800pcs庞3b6</t>
        </r>
      </text>
    </comment>
    <comment ref="AI1096" authorId="0">
      <text>
        <r>
          <rPr>
            <b/>
            <sz val="9"/>
            <rFont val="宋体"/>
            <charset val="134"/>
          </rPr>
          <t>Administrator:</t>
        </r>
        <r>
          <rPr>
            <sz val="9"/>
            <rFont val="宋体"/>
            <charset val="134"/>
          </rPr>
          <t xml:space="preserve">
1/5 客供邸ID贴纸 4800pcs
 </t>
        </r>
      </text>
    </comment>
    <comment ref="AF1097" authorId="0">
      <text>
        <r>
          <rPr>
            <b/>
            <sz val="9"/>
            <rFont val="宋体"/>
            <charset val="134"/>
          </rPr>
          <t>Administrator:</t>
        </r>
        <r>
          <rPr>
            <sz val="9"/>
            <rFont val="宋体"/>
            <charset val="134"/>
          </rPr>
          <t xml:space="preserve">
1405628 2/4 42240pcs
1405628 2/4 8448pcs庞3a24
1405629 2/4 19008pcs王4b6
1405608 2/4 14784pcs王4b6
</t>
        </r>
      </text>
    </comment>
    <comment ref="AI1097" authorId="0">
      <text>
        <r>
          <rPr>
            <b/>
            <sz val="9"/>
            <rFont val="宋体"/>
            <charset val="134"/>
          </rPr>
          <t>Administrator:</t>
        </r>
        <r>
          <rPr>
            <sz val="9"/>
            <rFont val="宋体"/>
            <charset val="134"/>
          </rPr>
          <t xml:space="preserve">
1/5 客供邸ID贴纸  42240pcs
</t>
        </r>
      </text>
    </comment>
    <comment ref="AF1098" authorId="0">
      <text>
        <r>
          <rPr>
            <b/>
            <sz val="9"/>
            <rFont val="宋体"/>
            <charset val="134"/>
          </rPr>
          <t xml:space="preserve">Administra
</t>
        </r>
        <r>
          <rPr>
            <sz val="9"/>
            <rFont val="宋体"/>
            <charset val="134"/>
          </rPr>
          <t>1405628 2/4 50880pcs庞3a17</t>
        </r>
      </text>
    </comment>
    <comment ref="AI1098" authorId="0">
      <text>
        <r>
          <rPr>
            <b/>
            <sz val="9"/>
            <rFont val="宋体"/>
            <charset val="134"/>
          </rPr>
          <t>Administrator:</t>
        </r>
        <r>
          <rPr>
            <sz val="9"/>
            <rFont val="宋体"/>
            <charset val="134"/>
          </rPr>
          <t xml:space="preserve">
1/5 客供邸ID贴纸  50880pcs
</t>
        </r>
      </text>
    </comment>
    <comment ref="AF1099" authorId="0">
      <text>
        <r>
          <rPr>
            <b/>
            <sz val="9"/>
            <rFont val="宋体"/>
            <charset val="134"/>
          </rPr>
          <t>Administrator:</t>
        </r>
        <r>
          <rPr>
            <sz val="9"/>
            <rFont val="宋体"/>
            <charset val="134"/>
          </rPr>
          <t xml:space="preserve">
4001874 2/7 504pcs
庞3b12</t>
        </r>
      </text>
    </comment>
    <comment ref="AI1099" authorId="0">
      <text>
        <r>
          <rPr>
            <b/>
            <sz val="9"/>
            <rFont val="宋体"/>
            <charset val="134"/>
          </rPr>
          <t>Administrator:</t>
        </r>
        <r>
          <rPr>
            <sz val="9"/>
            <rFont val="宋体"/>
            <charset val="134"/>
          </rPr>
          <t xml:space="preserve">
1/23 亚马逊外箱贴纸 84pcs</t>
        </r>
      </text>
    </comment>
    <comment ref="AF1100" authorId="0">
      <text>
        <r>
          <rPr>
            <b/>
            <sz val="9"/>
            <rFont val="宋体"/>
            <charset val="134"/>
          </rPr>
          <t>Administrator:</t>
        </r>
        <r>
          <rPr>
            <sz val="9"/>
            <rFont val="宋体"/>
            <charset val="134"/>
          </rPr>
          <t xml:space="preserve">
4001897 2/7 1296pcs王4a4
4001874 2/7 1134pcs庞3a24</t>
        </r>
      </text>
    </comment>
    <comment ref="AI1100" authorId="0">
      <text>
        <r>
          <rPr>
            <b/>
            <sz val="9"/>
            <rFont val="宋体"/>
            <charset val="134"/>
          </rPr>
          <t>Administrator:</t>
        </r>
        <r>
          <rPr>
            <sz val="9"/>
            <rFont val="宋体"/>
            <charset val="134"/>
          </rPr>
          <t xml:space="preserve">
1/21 Kinderherz 2430pcs
1/23 亚马逊外箱贴纸 405pcs
 </t>
        </r>
      </text>
    </comment>
    <comment ref="AF1101" authorId="0">
      <text>
        <r>
          <rPr>
            <b/>
            <sz val="9"/>
            <rFont val="宋体"/>
            <charset val="134"/>
          </rPr>
          <t>Administrator:</t>
        </r>
        <r>
          <rPr>
            <sz val="9"/>
            <rFont val="宋体"/>
            <charset val="134"/>
          </rPr>
          <t xml:space="preserve">
5000812 2/7 6648pcs
王4b4</t>
        </r>
      </text>
    </comment>
    <comment ref="AI1101" authorId="0">
      <text>
        <r>
          <rPr>
            <b/>
            <sz val="9"/>
            <rFont val="宋体"/>
            <charset val="134"/>
          </rPr>
          <t>Administrator:</t>
        </r>
        <r>
          <rPr>
            <sz val="9"/>
            <rFont val="宋体"/>
            <charset val="134"/>
          </rPr>
          <t xml:space="preserve">
12/31 环保标贴纸 6648pcs
空白贴纸 13296pcs
1/23 亚马逊外箱贴纸 554pcs
1/29 洗涤说明贴纸 6648pcs</t>
        </r>
      </text>
    </comment>
    <comment ref="AF1102" authorId="0">
      <text>
        <r>
          <rPr>
            <b/>
            <sz val="9"/>
            <rFont val="宋体"/>
            <charset val="134"/>
          </rPr>
          <t>Administrator:</t>
        </r>
        <r>
          <rPr>
            <sz val="9"/>
            <rFont val="宋体"/>
            <charset val="134"/>
          </rPr>
          <t xml:space="preserve">
5000812 2/7 1992pcs
王4a2</t>
        </r>
      </text>
    </comment>
    <comment ref="AI1102" authorId="0">
      <text>
        <r>
          <rPr>
            <b/>
            <sz val="9"/>
            <rFont val="宋体"/>
            <charset val="134"/>
          </rPr>
          <t>Administrator:</t>
        </r>
        <r>
          <rPr>
            <sz val="9"/>
            <rFont val="宋体"/>
            <charset val="134"/>
          </rPr>
          <t xml:space="preserve">
12/31 环保标贴纸 1992pcs
空白贴纸 2764pcs
1/23 亚马逊外箱贴纸 166pcs
</t>
        </r>
      </text>
    </comment>
    <comment ref="AF1103" authorId="0">
      <text>
        <r>
          <rPr>
            <b/>
            <sz val="9"/>
            <rFont val="宋体"/>
            <charset val="134"/>
          </rPr>
          <t>Administrator:</t>
        </r>
        <r>
          <rPr>
            <sz val="9"/>
            <rFont val="宋体"/>
            <charset val="134"/>
          </rPr>
          <t xml:space="preserve">
1405555 2/7 2405pcs王4a9</t>
        </r>
      </text>
    </comment>
    <comment ref="AI1103" authorId="0">
      <text>
        <r>
          <rPr>
            <b/>
            <sz val="9"/>
            <rFont val="宋体"/>
            <charset val="134"/>
          </rPr>
          <t>Administrator:</t>
        </r>
        <r>
          <rPr>
            <sz val="9"/>
            <rFont val="宋体"/>
            <charset val="134"/>
          </rPr>
          <t xml:space="preserve">
1/21 PDQ贴纸 185pcs
1/23 西班牙环保标/客户进口商 2405pcs</t>
        </r>
      </text>
    </comment>
    <comment ref="AF1104" authorId="0">
      <text>
        <r>
          <rPr>
            <b/>
            <sz val="9"/>
            <rFont val="宋体"/>
            <charset val="134"/>
          </rPr>
          <t>Administrator:</t>
        </r>
        <r>
          <rPr>
            <sz val="9"/>
            <rFont val="宋体"/>
            <charset val="134"/>
          </rPr>
          <t xml:space="preserve">
1405555 2/7 2790pcs
王4b4</t>
        </r>
      </text>
    </comment>
    <comment ref="AI1104" authorId="0">
      <text>
        <r>
          <rPr>
            <b/>
            <sz val="9"/>
            <rFont val="宋体"/>
            <charset val="134"/>
          </rPr>
          <t>Administrator:</t>
        </r>
        <r>
          <rPr>
            <sz val="9"/>
            <rFont val="宋体"/>
            <charset val="134"/>
          </rPr>
          <t xml:space="preserve">
1/21 PDQ贴纸 93pcs
1/23 西班牙环保标/客户进口商 2790pcs
</t>
        </r>
      </text>
    </comment>
    <comment ref="AF1105" authorId="0">
      <text>
        <r>
          <rPr>
            <b/>
            <sz val="9"/>
            <rFont val="宋体"/>
            <charset val="134"/>
          </rPr>
          <t>Administrator:</t>
        </r>
        <r>
          <rPr>
            <sz val="9"/>
            <rFont val="宋体"/>
            <charset val="134"/>
          </rPr>
          <t xml:space="preserve">
1405696 1/29 2500pcs
王4c10
</t>
        </r>
      </text>
    </comment>
    <comment ref="AI1105" authorId="0">
      <text>
        <r>
          <rPr>
            <b/>
            <sz val="9"/>
            <rFont val="宋体"/>
            <charset val="134"/>
          </rPr>
          <t>Administrator:</t>
        </r>
        <r>
          <rPr>
            <sz val="9"/>
            <rFont val="宋体"/>
            <charset val="134"/>
          </rPr>
          <t xml:space="preserve">
1/19 进口商贴纸 2500pcs
UPC贴纸 2500pcs</t>
        </r>
      </text>
    </comment>
    <comment ref="AF1106" authorId="0">
      <text>
        <r>
          <rPr>
            <b/>
            <sz val="9"/>
            <rFont val="宋体"/>
            <charset val="134"/>
          </rPr>
          <t>Administrator:</t>
        </r>
        <r>
          <rPr>
            <sz val="9"/>
            <rFont val="宋体"/>
            <charset val="134"/>
          </rPr>
          <t xml:space="preserve">
4001903 2/2 5400pcs</t>
        </r>
      </text>
    </comment>
    <comment ref="AF1107" authorId="0">
      <text>
        <r>
          <rPr>
            <b/>
            <sz val="9"/>
            <rFont val="宋体"/>
            <charset val="134"/>
          </rPr>
          <t>Administrator:</t>
        </r>
        <r>
          <rPr>
            <sz val="9"/>
            <rFont val="宋体"/>
            <charset val="134"/>
          </rPr>
          <t xml:space="preserve">
4001903 2/2 760pcs
4001905 2/3 3960pcs
4001909 2/4 680pcs</t>
        </r>
      </text>
    </comment>
    <comment ref="AF1108" authorId="0">
      <text>
        <r>
          <rPr>
            <b/>
            <sz val="9"/>
            <rFont val="宋体"/>
            <charset val="134"/>
          </rPr>
          <t>Administrator:</t>
        </r>
        <r>
          <rPr>
            <sz val="9"/>
            <rFont val="宋体"/>
            <charset val="134"/>
          </rPr>
          <t xml:space="preserve">
1405563 2/7 3000pcs庞1f3</t>
        </r>
      </text>
    </comment>
    <comment ref="AI1108" authorId="0">
      <text>
        <r>
          <rPr>
            <b/>
            <sz val="9"/>
            <rFont val="宋体"/>
            <charset val="134"/>
          </rPr>
          <t>Administrator:</t>
        </r>
        <r>
          <rPr>
            <sz val="9"/>
            <rFont val="宋体"/>
            <charset val="134"/>
          </rPr>
          <t xml:space="preserve">
1/21 进口商贴纸 3000pcs
价标贴纸 3000pcs
2/3 客供mu贴纸(条码贴 60pcs
客供ASN贴纸 60pcs
</t>
        </r>
      </text>
    </comment>
    <comment ref="AF1109" authorId="0">
      <text>
        <r>
          <rPr>
            <b/>
            <sz val="9"/>
            <rFont val="宋体"/>
            <charset val="134"/>
          </rPr>
          <t>Administrator:</t>
        </r>
        <r>
          <rPr>
            <sz val="9"/>
            <rFont val="宋体"/>
            <charset val="134"/>
          </rPr>
          <t xml:space="preserve">
1405513 2/24 1875pcs庞3a16</t>
        </r>
      </text>
    </comment>
    <comment ref="AI1110" authorId="0">
      <text>
        <r>
          <rPr>
            <b/>
            <sz val="9"/>
            <rFont val="宋体"/>
            <charset val="134"/>
          </rPr>
          <t>Administrator:</t>
        </r>
        <r>
          <rPr>
            <sz val="9"/>
            <rFont val="宋体"/>
            <charset val="134"/>
          </rPr>
          <t xml:space="preserve">
1/19 客户婺语贴纸(含环保标 ) 2444pcs</t>
        </r>
      </text>
    </comment>
    <comment ref="AI1112" authorId="0">
      <text>
        <r>
          <rPr>
            <b/>
            <sz val="9"/>
            <rFont val="宋体"/>
            <charset val="134"/>
          </rPr>
          <t>Administrator:</t>
        </r>
        <r>
          <rPr>
            <sz val="9"/>
            <rFont val="宋体"/>
            <charset val="134"/>
          </rPr>
          <t xml:space="preserve">
1/22 警示语贴纸 1000pcs</t>
        </r>
      </text>
    </comment>
    <comment ref="AI1113" authorId="0">
      <text>
        <r>
          <rPr>
            <b/>
            <sz val="9"/>
            <rFont val="宋体"/>
            <charset val="134"/>
          </rPr>
          <t>Administrator:</t>
        </r>
        <r>
          <rPr>
            <sz val="9"/>
            <rFont val="宋体"/>
            <charset val="134"/>
          </rPr>
          <t xml:space="preserve">
1/22 进口商贴纸 20800pcs
UPC条码贴纸 20800pcs</t>
        </r>
      </text>
    </comment>
    <comment ref="AF1114" authorId="0">
      <text>
        <r>
          <rPr>
            <b/>
            <sz val="9"/>
            <rFont val="宋体"/>
            <charset val="134"/>
          </rPr>
          <t>Administrator:</t>
        </r>
        <r>
          <rPr>
            <sz val="9"/>
            <rFont val="宋体"/>
            <charset val="134"/>
          </rPr>
          <t xml:space="preserve">
1405513 2/24 63000pcs
庞3a22</t>
        </r>
      </text>
    </comment>
    <comment ref="AI1114" authorId="0">
      <text>
        <r>
          <rPr>
            <b/>
            <sz val="9"/>
            <rFont val="宋体"/>
            <charset val="134"/>
          </rPr>
          <t>Administrator:</t>
        </r>
        <r>
          <rPr>
            <sz val="9"/>
            <rFont val="宋体"/>
            <charset val="134"/>
          </rPr>
          <t xml:space="preserve">
1/15 客供外箱条码贴纸 2545pcs
+</t>
        </r>
      </text>
    </comment>
    <comment ref="AI1115" authorId="0">
      <text>
        <r>
          <rPr>
            <b/>
            <sz val="9"/>
            <rFont val="宋体"/>
            <charset val="134"/>
          </rPr>
          <t>Administrator:</t>
        </r>
        <r>
          <rPr>
            <sz val="9"/>
            <rFont val="宋体"/>
            <charset val="134"/>
          </rPr>
          <t xml:space="preserve">
1/23 多语折稥警语贴纸 2509pcs
</t>
        </r>
      </text>
    </comment>
    <comment ref="AI1116" authorId="0">
      <text>
        <r>
          <rPr>
            <b/>
            <sz val="9"/>
            <rFont val="宋体"/>
            <charset val="134"/>
          </rPr>
          <t>Administrator:</t>
        </r>
        <r>
          <rPr>
            <sz val="9"/>
            <rFont val="宋体"/>
            <charset val="134"/>
          </rPr>
          <t xml:space="preserve">
1/22 UPC条码贴 455pcs
1/23 Kmart外箱贴纸 35pcs 
1/30 白色防盗贴纸 445pcs</t>
        </r>
      </text>
    </comment>
    <comment ref="AI1117" authorId="0">
      <text>
        <r>
          <rPr>
            <b/>
            <sz val="9"/>
            <rFont val="宋体"/>
            <charset val="134"/>
          </rPr>
          <t>Administrator:</t>
        </r>
        <r>
          <rPr>
            <sz val="9"/>
            <rFont val="宋体"/>
            <charset val="134"/>
          </rPr>
          <t xml:space="preserve">
1/22 UPC条码贴 3939pcs
1/23 Kmart外箱贴纸 303pcs
1/30 白色防盗贴纸 3939pcs
</t>
        </r>
      </text>
    </comment>
    <comment ref="AI1121" authorId="0">
      <text>
        <r>
          <rPr>
            <b/>
            <sz val="9"/>
            <rFont val="宋体"/>
            <charset val="134"/>
          </rPr>
          <t>Administrator:</t>
        </r>
        <r>
          <rPr>
            <sz val="9"/>
            <rFont val="宋体"/>
            <charset val="134"/>
          </rPr>
          <t xml:space="preserve">
1/26 UPC贴纸 2500pcs</t>
        </r>
      </text>
    </comment>
    <comment ref="AI1122" authorId="0">
      <text>
        <r>
          <rPr>
            <b/>
            <sz val="9"/>
            <rFont val="宋体"/>
            <charset val="134"/>
          </rPr>
          <t>Administrator:</t>
        </r>
        <r>
          <rPr>
            <sz val="9"/>
            <rFont val="宋体"/>
            <charset val="134"/>
          </rPr>
          <t xml:space="preserve">
1/26 PDQUPC 条码贴纸 4675pcs</t>
        </r>
      </text>
    </comment>
    <comment ref="AI1123" authorId="0">
      <text>
        <r>
          <rPr>
            <b/>
            <sz val="9"/>
            <rFont val="宋体"/>
            <charset val="134"/>
          </rPr>
          <t>Administrator:</t>
        </r>
        <r>
          <rPr>
            <sz val="9"/>
            <rFont val="宋体"/>
            <charset val="134"/>
          </rPr>
          <t xml:space="preserve">
2/3 PDQUPC 条码贴纸 153pcs </t>
        </r>
      </text>
    </comment>
    <comment ref="AI1125" authorId="0">
      <text>
        <r>
          <rPr>
            <b/>
            <sz val="9"/>
            <rFont val="宋体"/>
            <charset val="134"/>
          </rPr>
          <t>Administrator:</t>
        </r>
        <r>
          <rPr>
            <sz val="9"/>
            <rFont val="宋体"/>
            <charset val="134"/>
          </rPr>
          <t xml:space="preserve">
1/16 客供价格贴纸 2100pcs</t>
        </r>
      </text>
    </comment>
    <comment ref="AI1126" authorId="0">
      <text>
        <r>
          <rPr>
            <b/>
            <sz val="9"/>
            <rFont val="宋体"/>
            <charset val="134"/>
          </rPr>
          <t>Administrator:</t>
        </r>
        <r>
          <rPr>
            <sz val="9"/>
            <rFont val="宋体"/>
            <charset val="134"/>
          </rPr>
          <t xml:space="preserve">
1/16 客供价格贴纸 2100pcs
</t>
        </r>
      </text>
    </comment>
    <comment ref="AI1128" authorId="0">
      <text>
        <r>
          <rPr>
            <b/>
            <sz val="9"/>
            <rFont val="宋体"/>
            <charset val="134"/>
          </rPr>
          <t>Administrator:</t>
        </r>
        <r>
          <rPr>
            <sz val="9"/>
            <rFont val="宋体"/>
            <charset val="134"/>
          </rPr>
          <t xml:space="preserve">
1/23 UPC 条码贴纸 3750pcs
2/2 PDQ条码贴纸 1875pcs</t>
        </r>
      </text>
    </comment>
    <comment ref="AI1129" authorId="0">
      <text>
        <r>
          <rPr>
            <b/>
            <sz val="9"/>
            <rFont val="宋体"/>
            <charset val="134"/>
          </rPr>
          <t>Administrator:</t>
        </r>
        <r>
          <rPr>
            <sz val="9"/>
            <rFont val="宋体"/>
            <charset val="134"/>
          </rPr>
          <t xml:space="preserve">
1/26 UPC条码贴纸 4485pcs
1/29 Kmart外箱贴纸 345pcs
1/30 白色防盗贴纸 4485pcs
</t>
        </r>
      </text>
    </comment>
    <comment ref="AI1130" authorId="0">
      <text>
        <r>
          <rPr>
            <b/>
            <sz val="9"/>
            <rFont val="宋体"/>
            <charset val="134"/>
          </rPr>
          <t>Administrator:</t>
        </r>
        <r>
          <rPr>
            <sz val="9"/>
            <rFont val="宋体"/>
            <charset val="134"/>
          </rPr>
          <t xml:space="preserve">
1/26 UPC条码贴纸 445pcs
1/29 Kmart外箱贴纸 35pcs
1/30 白色防盗贴纸 445pcs
</t>
        </r>
      </text>
    </comment>
    <comment ref="AI1133" authorId="0">
      <text>
        <r>
          <rPr>
            <b/>
            <sz val="9"/>
            <rFont val="宋体"/>
            <charset val="134"/>
          </rPr>
          <t>Administrator:</t>
        </r>
        <r>
          <rPr>
            <sz val="9"/>
            <rFont val="宋体"/>
            <charset val="134"/>
          </rPr>
          <t xml:space="preserve">
2/3 进口商贴纸 2500pcs
UPC贴纸 2500pcs</t>
        </r>
      </text>
    </comment>
    <comment ref="AI1134" authorId="0">
      <text>
        <r>
          <rPr>
            <b/>
            <sz val="9"/>
            <rFont val="宋体"/>
            <charset val="134"/>
          </rPr>
          <t>Administrator:</t>
        </r>
        <r>
          <rPr>
            <sz val="9"/>
            <rFont val="宋体"/>
            <charset val="134"/>
          </rPr>
          <t xml:space="preserve">
1/29 进口商贴纸 5004pcs
空白条码贴纸 10008pcs</t>
        </r>
      </text>
    </comment>
    <comment ref="AI1135" authorId="0">
      <text>
        <r>
          <rPr>
            <b/>
            <sz val="9"/>
            <rFont val="宋体"/>
            <charset val="134"/>
          </rPr>
          <t>Administrator:</t>
        </r>
        <r>
          <rPr>
            <sz val="9"/>
            <rFont val="宋体"/>
            <charset val="134"/>
          </rPr>
          <t xml:space="preserve">
2/5 UPC贴纸 3150pcs</t>
        </r>
      </text>
    </comment>
    <comment ref="AI1136" authorId="0">
      <text>
        <r>
          <rPr>
            <b/>
            <sz val="9"/>
            <rFont val="宋体"/>
            <charset val="134"/>
          </rPr>
          <t>Administrator:</t>
        </r>
        <r>
          <rPr>
            <sz val="9"/>
            <rFont val="宋体"/>
            <charset val="134"/>
          </rPr>
          <t xml:space="preserve">
2/5 UPC贴纸 1850pcs
</t>
        </r>
      </text>
    </comment>
    <comment ref="AI1137" authorId="0">
      <text>
        <r>
          <rPr>
            <b/>
            <sz val="9"/>
            <rFont val="宋体"/>
            <charset val="134"/>
          </rPr>
          <t>Administrator:</t>
        </r>
        <r>
          <rPr>
            <sz val="9"/>
            <rFont val="宋体"/>
            <charset val="134"/>
          </rPr>
          <t xml:space="preserve">
1/26 UPC条码贴纸 4485pcs
2/4 Kmart外箱贴纸 345pcs 
</t>
        </r>
      </text>
    </comment>
    <comment ref="AI1138" authorId="0">
      <text>
        <r>
          <rPr>
            <b/>
            <sz val="9"/>
            <rFont val="宋体"/>
            <charset val="134"/>
          </rPr>
          <t>Administrator:</t>
        </r>
        <r>
          <rPr>
            <sz val="9"/>
            <rFont val="宋体"/>
            <charset val="134"/>
          </rPr>
          <t xml:space="preserve">
1/26 UPC条码贴纸 455pcs
1/30 白色防盗贴纸 445pcs
2/4 Kmart外箱贴纸 35pcs 
</t>
        </r>
      </text>
    </comment>
    <comment ref="AI1139" authorId="0">
      <text>
        <r>
          <rPr>
            <b/>
            <sz val="9"/>
            <rFont val="宋体"/>
            <charset val="134"/>
          </rPr>
          <t>Administrator:</t>
        </r>
        <r>
          <rPr>
            <sz val="9"/>
            <rFont val="宋体"/>
            <charset val="134"/>
          </rPr>
          <t xml:space="preserve">
1/16 客供价格贴纸 630pcs
 </t>
        </r>
      </text>
    </comment>
    <comment ref="AI1140" authorId="0">
      <text>
        <r>
          <rPr>
            <b/>
            <sz val="9"/>
            <rFont val="宋体"/>
            <charset val="134"/>
          </rPr>
          <t>Administrator:</t>
        </r>
        <r>
          <rPr>
            <sz val="9"/>
            <rFont val="宋体"/>
            <charset val="134"/>
          </rPr>
          <t xml:space="preserve">
1/16 客供价格贴纸 1155pcs</t>
        </r>
      </text>
    </comment>
    <comment ref="AI1146" authorId="0">
      <text>
        <r>
          <rPr>
            <b/>
            <sz val="9"/>
            <rFont val="宋体"/>
            <charset val="134"/>
          </rPr>
          <t>Administrator:</t>
        </r>
        <r>
          <rPr>
            <sz val="9"/>
            <rFont val="宋体"/>
            <charset val="134"/>
          </rPr>
          <t xml:space="preserve">
2/5 进口商贴纸 1950pcs
UPC贴纸 1950pcs</t>
        </r>
      </text>
    </comment>
    <comment ref="AI1150" authorId="0">
      <text>
        <r>
          <rPr>
            <b/>
            <sz val="9"/>
            <rFont val="宋体"/>
            <charset val="134"/>
          </rPr>
          <t>Administrator:</t>
        </r>
        <r>
          <rPr>
            <sz val="9"/>
            <rFont val="宋体"/>
            <charset val="134"/>
          </rPr>
          <t xml:space="preserve">
2/9 德语警语贴纸 504pcs</t>
        </r>
      </text>
    </comment>
    <comment ref="AI1153" authorId="0">
      <text>
        <r>
          <rPr>
            <b/>
            <sz val="9"/>
            <rFont val="宋体"/>
            <charset val="134"/>
          </rPr>
          <t>Administrator:</t>
        </r>
        <r>
          <rPr>
            <sz val="9"/>
            <rFont val="宋体"/>
            <charset val="134"/>
          </rPr>
          <t xml:space="preserve">
2/2 多语折疊警语贴纸 4810pcs </t>
        </r>
      </text>
    </comment>
    <comment ref="AI1159" authorId="0">
      <text>
        <r>
          <rPr>
            <b/>
            <sz val="9"/>
            <rFont val="宋体"/>
            <charset val="134"/>
          </rPr>
          <t>Administrator:</t>
        </r>
        <r>
          <rPr>
            <sz val="9"/>
            <rFont val="宋体"/>
            <charset val="134"/>
          </rPr>
          <t xml:space="preserve">
1/16 客供价格贴纸 2100pcs</t>
        </r>
      </text>
    </comment>
    <comment ref="AI1160" authorId="0">
      <text>
        <r>
          <rPr>
            <b/>
            <sz val="9"/>
            <rFont val="宋体"/>
            <charset val="134"/>
          </rPr>
          <t>Administrator:</t>
        </r>
        <r>
          <rPr>
            <sz val="9"/>
            <rFont val="宋体"/>
            <charset val="134"/>
          </rPr>
          <t xml:space="preserve">
1/16 客供价格贴纸 1680pcs</t>
        </r>
      </text>
    </comment>
    <comment ref="AI1161" authorId="0">
      <text>
        <r>
          <rPr>
            <b/>
            <sz val="9"/>
            <rFont val="宋体"/>
            <charset val="134"/>
          </rPr>
          <t>Administrator:</t>
        </r>
        <r>
          <rPr>
            <sz val="9"/>
            <rFont val="宋体"/>
            <charset val="134"/>
          </rPr>
          <t xml:space="preserve">
2/2 亚马逊外箱贴纸 168pcs </t>
        </r>
      </text>
    </comment>
    <comment ref="BU1161" authorId="1">
      <text>
        <r>
          <rPr>
            <b/>
            <sz val="9"/>
            <rFont val="宋体"/>
            <charset val="134"/>
          </rPr>
          <t>RR:</t>
        </r>
        <r>
          <rPr>
            <sz val="9"/>
            <rFont val="宋体"/>
            <charset val="134"/>
          </rPr>
          <t xml:space="preserve">
新客版资料</t>
        </r>
      </text>
    </comment>
    <comment ref="AI1162" authorId="0">
      <text>
        <r>
          <rPr>
            <b/>
            <sz val="9"/>
            <rFont val="宋体"/>
            <charset val="134"/>
          </rPr>
          <t>Administrator:</t>
        </r>
        <r>
          <rPr>
            <sz val="9"/>
            <rFont val="宋体"/>
            <charset val="134"/>
          </rPr>
          <t xml:space="preserve">
2/2 亚马逊外箱贴纸 843pcs 
</t>
        </r>
      </text>
    </comment>
    <comment ref="BU1162" authorId="1">
      <text>
        <r>
          <rPr>
            <b/>
            <sz val="9"/>
            <rFont val="宋体"/>
            <charset val="134"/>
          </rPr>
          <t>RR:</t>
        </r>
        <r>
          <rPr>
            <sz val="9"/>
            <rFont val="宋体"/>
            <charset val="134"/>
          </rPr>
          <t xml:space="preserve">
新客版资料</t>
        </r>
      </text>
    </comment>
    <comment ref="AI1163" authorId="0">
      <text>
        <r>
          <rPr>
            <b/>
            <sz val="9"/>
            <rFont val="宋体"/>
            <charset val="134"/>
          </rPr>
          <t>Administrator:</t>
        </r>
        <r>
          <rPr>
            <sz val="9"/>
            <rFont val="宋体"/>
            <charset val="134"/>
          </rPr>
          <t xml:space="preserve">
2/2 亚马逊外箱贴纸 84pcs 
</t>
        </r>
      </text>
    </comment>
    <comment ref="BU1163" authorId="1">
      <text>
        <r>
          <rPr>
            <b/>
            <sz val="9"/>
            <rFont val="宋体"/>
            <charset val="134"/>
          </rPr>
          <t>RR:</t>
        </r>
        <r>
          <rPr>
            <sz val="9"/>
            <rFont val="宋体"/>
            <charset val="134"/>
          </rPr>
          <t xml:space="preserve">
新客版资料</t>
        </r>
      </text>
    </comment>
    <comment ref="AI1180" authorId="0">
      <text>
        <r>
          <rPr>
            <b/>
            <sz val="9"/>
            <rFont val="宋体"/>
            <charset val="134"/>
          </rPr>
          <t>Administrator:</t>
        </r>
        <r>
          <rPr>
            <sz val="9"/>
            <rFont val="宋体"/>
            <charset val="134"/>
          </rPr>
          <t xml:space="preserve">
2/5 NJ 客供外箱贴纸 332pcs
NJ 通用客供外箱贴纸 332pcs</t>
        </r>
      </text>
    </comment>
    <comment ref="AI1181" authorId="0">
      <text>
        <r>
          <rPr>
            <b/>
            <sz val="9"/>
            <rFont val="宋体"/>
            <charset val="134"/>
          </rPr>
          <t>Administrator:</t>
        </r>
        <r>
          <rPr>
            <sz val="9"/>
            <rFont val="宋体"/>
            <charset val="134"/>
          </rPr>
          <t xml:space="preserve">
2/5 NJ 客供外箱贴纸 332pcs
NJ 通用客供外箱贴纸143pcs
</t>
        </r>
      </text>
    </comment>
    <comment ref="AI1201" authorId="0">
      <text>
        <r>
          <rPr>
            <b/>
            <sz val="9"/>
            <rFont val="宋体"/>
            <charset val="134"/>
          </rPr>
          <t>Administrator:</t>
        </r>
        <r>
          <rPr>
            <sz val="9"/>
            <rFont val="宋体"/>
            <charset val="134"/>
          </rPr>
          <t xml:space="preserve">
1/26 NJ 客供外箱贴纸 125pcs
</t>
        </r>
      </text>
    </comment>
    <comment ref="AI1202" authorId="0">
      <text>
        <r>
          <rPr>
            <b/>
            <sz val="9"/>
            <rFont val="宋体"/>
            <charset val="134"/>
          </rPr>
          <t>Administrator:</t>
        </r>
        <r>
          <rPr>
            <sz val="9"/>
            <rFont val="宋体"/>
            <charset val="134"/>
          </rPr>
          <t xml:space="preserve">
1/26 NJ 客供外箱贴纸42pcs</t>
        </r>
      </text>
    </comment>
  </commentList>
</comments>
</file>

<file path=xl/comments3.xml><?xml version="1.0" encoding="utf-8"?>
<comments xmlns="http://schemas.openxmlformats.org/spreadsheetml/2006/main">
  <authors>
    <author>RR</author>
  </authors>
  <commentList>
    <comment ref="I6" authorId="0">
      <text>
        <r>
          <rPr>
            <b/>
            <sz val="9"/>
            <rFont val="宋体"/>
            <charset val="134"/>
          </rPr>
          <t>RR:</t>
        </r>
        <r>
          <rPr>
            <sz val="9"/>
            <rFont val="宋体"/>
            <charset val="134"/>
          </rPr>
          <t xml:space="preserve">
消耗MA-RR-1619</t>
        </r>
      </text>
    </comment>
    <comment ref="N8" authorId="0">
      <text>
        <r>
          <rPr>
            <b/>
            <sz val="9"/>
            <rFont val="宋体"/>
            <charset val="134"/>
          </rPr>
          <t>RR:</t>
        </r>
        <r>
          <rPr>
            <sz val="9"/>
            <rFont val="宋体"/>
            <charset val="134"/>
          </rPr>
          <t xml:space="preserve">
转Costco-INT MA 库存给 Costco-US PO先消耗;</t>
        </r>
      </text>
    </comment>
  </commentList>
</comments>
</file>

<file path=xl/comments4.xml><?xml version="1.0" encoding="utf-8"?>
<comments xmlns="http://schemas.openxmlformats.org/spreadsheetml/2006/main">
  <authors>
    <author>RR</author>
    <author>Administrator</author>
  </authors>
  <commentList>
    <comment ref="AM1" authorId="0">
      <text>
        <r>
          <rPr>
            <b/>
            <sz val="9"/>
            <rFont val="宋体"/>
            <charset val="134"/>
          </rPr>
          <t>RR:
77198SK:
-SOO1无底座带demo；
-S002有底座带demo；
-SOO3无底座带demo</t>
        </r>
      </text>
    </comment>
    <comment ref="AH3" authorId="1">
      <text>
        <r>
          <rPr>
            <b/>
            <sz val="9"/>
            <rFont val="宋体"/>
            <charset val="134"/>
          </rPr>
          <t>Administrator:</t>
        </r>
        <r>
          <rPr>
            <sz val="9"/>
            <rFont val="宋体"/>
            <charset val="134"/>
          </rPr>
          <t xml:space="preserve">
4/15 上多语折叠警告语贴纸1200pcs
4/21 WEEE通用黑色书纸带电池走货1200pcs</t>
        </r>
      </text>
    </comment>
    <comment ref="AH13" authorId="1">
      <text>
        <r>
          <rPr>
            <b/>
            <sz val="9"/>
            <rFont val="宋体"/>
            <charset val="134"/>
          </rPr>
          <t>Administrator:</t>
        </r>
        <r>
          <rPr>
            <sz val="9"/>
            <rFont val="宋体"/>
            <charset val="134"/>
          </rPr>
          <t xml:space="preserve">
6/24 上客供RFID贴纸1376pcs
</t>
        </r>
      </text>
    </comment>
    <comment ref="AH14" authorId="1">
      <text>
        <r>
          <rPr>
            <b/>
            <sz val="9"/>
            <rFont val="宋体"/>
            <charset val="134"/>
          </rPr>
          <t>Administrator:</t>
        </r>
        <r>
          <rPr>
            <sz val="9"/>
            <rFont val="宋体"/>
            <charset val="134"/>
          </rPr>
          <t xml:space="preserve">
6/24 上客供RFID贴纸1056pcs
</t>
        </r>
      </text>
    </comment>
    <comment ref="AH15" authorId="1">
      <text>
        <r>
          <rPr>
            <b/>
            <sz val="9"/>
            <rFont val="宋体"/>
            <charset val="134"/>
          </rPr>
          <t>Administrator:</t>
        </r>
        <r>
          <rPr>
            <sz val="9"/>
            <rFont val="宋体"/>
            <charset val="134"/>
          </rPr>
          <t xml:space="preserve">
6/24 上客供RFID贴纸1152pcs
</t>
        </r>
      </text>
    </comment>
    <comment ref="AH16" authorId="1">
      <text>
        <r>
          <rPr>
            <b/>
            <sz val="9"/>
            <rFont val="宋体"/>
            <charset val="134"/>
          </rPr>
          <t>Administrator:</t>
        </r>
        <r>
          <rPr>
            <sz val="9"/>
            <rFont val="宋体"/>
            <charset val="134"/>
          </rPr>
          <t xml:space="preserve">
6/24 上客供RFID贴纸592pcs
</t>
        </r>
      </text>
    </comment>
    <comment ref="AJ17" authorId="1">
      <text>
        <r>
          <rPr>
            <b/>
            <sz val="9"/>
            <rFont val="宋体"/>
            <charset val="134"/>
          </rPr>
          <t>Administrator:</t>
        </r>
        <r>
          <rPr>
            <sz val="9"/>
            <rFont val="宋体"/>
            <charset val="134"/>
          </rPr>
          <t xml:space="preserve">
7/3 上客供RFID贴纸272pcs
</t>
        </r>
      </text>
    </comment>
    <comment ref="AJ18" authorId="1">
      <text>
        <r>
          <rPr>
            <b/>
            <sz val="9"/>
            <rFont val="宋体"/>
            <charset val="134"/>
          </rPr>
          <t>Administrator:</t>
        </r>
        <r>
          <rPr>
            <sz val="9"/>
            <rFont val="宋体"/>
            <charset val="134"/>
          </rPr>
          <t xml:space="preserve">
7/3 上客供RFID贴纸208pcs
</t>
        </r>
      </text>
    </comment>
    <comment ref="AJ19" authorId="1">
      <text>
        <r>
          <rPr>
            <b/>
            <sz val="9"/>
            <rFont val="宋体"/>
            <charset val="134"/>
          </rPr>
          <t>Administrator:</t>
        </r>
        <r>
          <rPr>
            <sz val="9"/>
            <rFont val="宋体"/>
            <charset val="134"/>
          </rPr>
          <t xml:space="preserve">
7/3 上客供RFID贴纸228pcs
</t>
        </r>
      </text>
    </comment>
    <comment ref="AJ20" authorId="1">
      <text>
        <r>
          <rPr>
            <b/>
            <sz val="9"/>
            <rFont val="宋体"/>
            <charset val="134"/>
          </rPr>
          <t>Administrator:</t>
        </r>
        <r>
          <rPr>
            <sz val="9"/>
            <rFont val="宋体"/>
            <charset val="134"/>
          </rPr>
          <t xml:space="preserve">
7/3 上客供RFID贴纸112pcs
</t>
        </r>
      </text>
    </comment>
    <comment ref="AH52" authorId="1">
      <text>
        <r>
          <rPr>
            <b/>
            <sz val="9"/>
            <rFont val="宋体"/>
            <charset val="134"/>
          </rPr>
          <t>Administrator:</t>
        </r>
        <r>
          <rPr>
            <sz val="9"/>
            <rFont val="宋体"/>
            <charset val="134"/>
          </rPr>
          <t xml:space="preserve">
7/28 上客供外箱条码贴纸606pcs
</t>
        </r>
      </text>
    </comment>
    <comment ref="AJ64" authorId="1">
      <text>
        <r>
          <rPr>
            <b/>
            <sz val="9"/>
            <rFont val="宋体"/>
            <charset val="134"/>
          </rPr>
          <t>Administrator:</t>
        </r>
        <r>
          <rPr>
            <sz val="9"/>
            <rFont val="宋体"/>
            <charset val="134"/>
          </rPr>
          <t xml:space="preserve">
9/16 上WEEE_带电池走货 _ 说明书欧洲EN+30L-B版 1504pcs
</t>
        </r>
      </text>
    </comment>
    <comment ref="AG65" authorId="1">
      <text>
        <r>
          <rPr>
            <b/>
            <sz val="9"/>
            <rFont val="宋体"/>
            <charset val="134"/>
          </rPr>
          <t>Administrator:</t>
        </r>
        <r>
          <rPr>
            <sz val="9"/>
            <rFont val="宋体"/>
            <charset val="134"/>
          </rPr>
          <t xml:space="preserve">
5000460 9/30 4976pcs
5000452 10/8 24pcs
</t>
        </r>
      </text>
    </comment>
    <comment ref="AJ65" authorId="1">
      <text>
        <r>
          <rPr>
            <b/>
            <sz val="9"/>
            <rFont val="宋体"/>
            <charset val="134"/>
          </rPr>
          <t>Administrator:</t>
        </r>
        <r>
          <rPr>
            <sz val="9"/>
            <rFont val="宋体"/>
            <charset val="134"/>
          </rPr>
          <t xml:space="preserve">
9/20 上UPC贴纸5000pcs</t>
        </r>
      </text>
    </comment>
    <comment ref="AH66" authorId="1">
      <text>
        <r>
          <rPr>
            <b/>
            <sz val="9"/>
            <rFont val="宋体"/>
            <charset val="134"/>
          </rPr>
          <t>Administrator:</t>
        </r>
        <r>
          <rPr>
            <sz val="9"/>
            <rFont val="宋体"/>
            <charset val="134"/>
          </rPr>
          <t xml:space="preserve">
10/8 上白色防盗贴纸12597pcs
10/21 上UPC条码贴纸12597pcs
</t>
        </r>
      </text>
    </comment>
    <comment ref="AH74" authorId="1">
      <text>
        <r>
          <rPr>
            <b/>
            <sz val="9"/>
            <rFont val="宋体"/>
            <charset val="134"/>
          </rPr>
          <t>Administrator:</t>
        </r>
        <r>
          <rPr>
            <sz val="9"/>
            <rFont val="宋体"/>
            <charset val="134"/>
          </rPr>
          <t xml:space="preserve">
12/24 上客供RFID贴纸33600pcs
</t>
        </r>
      </text>
    </comment>
    <comment ref="AI81" authorId="1">
      <text>
        <r>
          <rPr>
            <b/>
            <sz val="9"/>
            <rFont val="宋体"/>
            <charset val="134"/>
          </rPr>
          <t>Administrator:</t>
        </r>
        <r>
          <rPr>
            <sz val="9"/>
            <rFont val="宋体"/>
            <charset val="134"/>
          </rPr>
          <t xml:space="preserve">
12/9 进口商贴纸 780pcs
UPC 条码贴纸 780pcs</t>
        </r>
      </text>
    </comment>
    <comment ref="AK82" authorId="1">
      <text>
        <r>
          <rPr>
            <b/>
            <sz val="9"/>
            <rFont val="宋体"/>
            <charset val="134"/>
          </rPr>
          <t>Administrator:</t>
        </r>
        <r>
          <rPr>
            <sz val="9"/>
            <rFont val="宋体"/>
            <charset val="134"/>
          </rPr>
          <t xml:space="preserve">
12/9 进口商贴纸 400pcs</t>
        </r>
      </text>
    </comment>
  </commentList>
</comments>
</file>

<file path=xl/sharedStrings.xml><?xml version="1.0" encoding="utf-8"?>
<sst xmlns="http://schemas.openxmlformats.org/spreadsheetml/2006/main" count="34046" uniqueCount="7034">
  <si>
    <t>香港接单日期</t>
  </si>
  <si>
    <t>第三方客户名称</t>
  </si>
  <si>
    <t>走货国家</t>
  </si>
  <si>
    <t>ZURU PO NO#</t>
  </si>
  <si>
    <t>第三方客户 PO NO#</t>
  </si>
  <si>
    <t>SKU</t>
  </si>
  <si>
    <t>ITEM#</t>
  </si>
  <si>
    <t>货品名称</t>
  </si>
  <si>
    <t>PO数量(只)</t>
  </si>
  <si>
    <t>内箱装箱数量(只)</t>
  </si>
  <si>
    <t>外箱装箱数量(只)</t>
  </si>
  <si>
    <t>总箱数</t>
  </si>
  <si>
    <t>计划出货期</t>
  </si>
  <si>
    <t>计划验货期</t>
  </si>
  <si>
    <t>第三方客户公证行验货</t>
  </si>
  <si>
    <t>验货结果</t>
  </si>
  <si>
    <t>S/O(截仓期)</t>
  </si>
  <si>
    <t>箱唛
(收到日期)</t>
  </si>
  <si>
    <t>外箱贴纸</t>
  </si>
  <si>
    <t>贴纸资料
(收到日期及订购日期)</t>
  </si>
  <si>
    <t>客供物料</t>
  </si>
  <si>
    <t>样办</t>
  </si>
  <si>
    <t>备注</t>
  </si>
  <si>
    <t>ZURU跟单组员</t>
  </si>
  <si>
    <t>单价USD</t>
  </si>
  <si>
    <t>金额USD</t>
  </si>
  <si>
    <t>发票号</t>
  </si>
  <si>
    <t>系统货号</t>
  </si>
  <si>
    <t>是否入系统</t>
  </si>
  <si>
    <t>下单情况</t>
  </si>
  <si>
    <t>生产情况</t>
  </si>
  <si>
    <t>采购单</t>
  </si>
  <si>
    <t>已回数量</t>
  </si>
  <si>
    <t>欠数</t>
  </si>
  <si>
    <t>HN回复完成时间</t>
  </si>
  <si>
    <t>贴纸</t>
  </si>
  <si>
    <t>纸箱</t>
  </si>
  <si>
    <t>77673标准版本    订单数量</t>
  </si>
  <si>
    <t>77673COSTCO-NA 客版订单数量</t>
  </si>
  <si>
    <t>77673 TARGET US 客版 订单数量</t>
  </si>
  <si>
    <t>77673COSTCO-INT 客版订单数量</t>
  </si>
  <si>
    <t>收缩膜
1L A版本</t>
  </si>
  <si>
    <t>收缩膜
3L A版本</t>
  </si>
  <si>
    <t>收藏指南  5L A版本</t>
  </si>
  <si>
    <t>中文收藏指南</t>
  </si>
  <si>
    <t>黑白说明书</t>
  </si>
  <si>
    <t>中文黑白说明书</t>
  </si>
  <si>
    <t>BJ'S WHOLESALE CLUB, INC.客版收缩膜.收藏指南</t>
  </si>
  <si>
    <t>COSTCO客版收缩膜</t>
  </si>
  <si>
    <t>COSTCO客版收藏指南</t>
  </si>
  <si>
    <t>COSTCO客版说明书</t>
  </si>
  <si>
    <t>Smyths客版收缩膜</t>
  </si>
  <si>
    <t>Smyths客版收藏指南</t>
  </si>
  <si>
    <t>TARGET客版收缩膜</t>
  </si>
  <si>
    <t>TARGET客版收藏指南</t>
  </si>
  <si>
    <t>77637TQ1 1L</t>
  </si>
  <si>
    <t>77637TQ1 3L</t>
  </si>
  <si>
    <t>77637TQ2 3L</t>
  </si>
  <si>
    <t>77721彩盒</t>
  </si>
  <si>
    <t>77721托盘</t>
  </si>
  <si>
    <t>77785彩盒 1L</t>
  </si>
  <si>
    <t>77785彩盒 3L</t>
  </si>
  <si>
    <t>MEC305-S001-INT</t>
  </si>
  <si>
    <t>ZPO2412009</t>
  </si>
  <si>
    <t>77673-S001</t>
  </si>
  <si>
    <t>迷你冰箱</t>
  </si>
  <si>
    <t>无</t>
  </si>
  <si>
    <t>Alison Chen</t>
  </si>
  <si>
    <t>N/A</t>
  </si>
  <si>
    <t>已完成</t>
  </si>
  <si>
    <t>THE WAREHOUSE LIMITED</t>
  </si>
  <si>
    <t>新西兰</t>
  </si>
  <si>
    <t>4500157534-50</t>
  </si>
  <si>
    <t>消耗PP订单出货</t>
  </si>
  <si>
    <r>
      <rPr>
        <sz val="11"/>
        <rFont val="宋体"/>
        <charset val="134"/>
        <scheme val="minor"/>
      </rPr>
      <t xml:space="preserve">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77673：包装正面和说明书都需要加电池警告语贴纸（法规要求）
</t>
    </r>
    <r>
      <rPr>
        <sz val="11"/>
        <color rgb="FFFF0000"/>
        <rFont val="宋体"/>
        <charset val="134"/>
        <scheme val="minor"/>
      </rPr>
      <t xml:space="preserve"> 所有外箱上都要贴一张大黄贴："ZURU Product for NZ test "</t>
    </r>
    <r>
      <rPr>
        <sz val="11"/>
        <rFont val="宋体"/>
        <charset val="134"/>
        <scheme val="minor"/>
      </rPr>
      <t xml:space="preserve">
Remark: 
 77673：3PCS AG13 BATTERIES(INCLUDED)</t>
    </r>
  </si>
  <si>
    <t>Abby Liang</t>
  </si>
  <si>
    <t>已入</t>
  </si>
  <si>
    <t>ZMPO250187</t>
  </si>
  <si>
    <t>Remark:大货最新版本包装/大货标准箱装箱/箱唛请参照邮件附件;备注：收到样品订单后尽快安排 ，注意样板品质质量要求要高于大货品质要求 ，送货时必须要附带送货单(没有送货单和QC检验合格报告的仓库一律拒绝收货)，请知悉，谢谢！</t>
  </si>
  <si>
    <t xml:space="preserve">Angus </t>
  </si>
  <si>
    <t>东莞安排</t>
  </si>
  <si>
    <t>ZMPO250244</t>
  </si>
  <si>
    <t>迷你冰箱P39饮料瓶散件</t>
  </si>
  <si>
    <t>1100套</t>
  </si>
  <si>
    <t>Remark：大货版本/只需要左图款散件；备注：  收到订单后请尽快安排，谢谢</t>
  </si>
  <si>
    <t>Angus</t>
  </si>
  <si>
    <t>ZMPO250283</t>
  </si>
  <si>
    <t>80套散件</t>
  </si>
  <si>
    <t>Remark:大货最新版本/只需要齐套散件/麻烦用胶袋分装好一套为一袋/箱唛参照邮件附件;备注：  收到订单后请尽快安排，谢谢</t>
  </si>
  <si>
    <t>WAL-MART STORES INC. USA</t>
  </si>
  <si>
    <t>美国</t>
  </si>
  <si>
    <t>0902763014</t>
  </si>
  <si>
    <t>4500159641-10</t>
  </si>
  <si>
    <t>77673TQ1-S001</t>
  </si>
  <si>
    <t>迷你冰箱4pcs/箱</t>
  </si>
  <si>
    <t>4/25 第三方抽办</t>
  </si>
  <si>
    <t>有</t>
  </si>
  <si>
    <r>
      <rPr>
        <sz val="11"/>
        <rFont val="宋体"/>
        <charset val="134"/>
        <scheme val="minor"/>
      </rPr>
      <t xml:space="preserve">日期码格式：ZURU DGYYYYMMDD CHINA(日期避开周末和法定节假日即可） 日期：按实际生产日期
Packaging Info: 77673TQ1-S001
1.包装要求：
</t>
    </r>
    <r>
      <rPr>
        <sz val="11"/>
        <color rgb="FFFF0000"/>
        <rFont val="宋体"/>
        <charset val="134"/>
        <scheme val="minor"/>
      </rPr>
      <t>MA 1L A版收缩膜+MA 5L 收藏指南+MA 说明书+MA playset</t>
    </r>
    <r>
      <rPr>
        <sz val="11"/>
        <rFont val="宋体"/>
        <charset val="134"/>
        <scheme val="minor"/>
      </rPr>
      <t xml:space="preserve">
每pcs产品上要贴1张RFID贴纸，贴纸由ZURU提供，贴纸位置请严格按照我们签回的签板；
Remark: 77673TQ1-S001
1.包装要求：
</t>
    </r>
    <r>
      <rPr>
        <sz val="11"/>
        <color rgb="FFFF0000"/>
        <rFont val="宋体"/>
        <charset val="134"/>
        <scheme val="minor"/>
      </rPr>
      <t>MA 1L A版收缩膜+MA 5L 收藏指南+MA 说明书+MA playset</t>
    </r>
    <r>
      <rPr>
        <sz val="11"/>
        <rFont val="宋体"/>
        <charset val="134"/>
        <scheme val="minor"/>
      </rPr>
      <t xml:space="preserve">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此单需要抽板和验货，抽板时间预计4/23，请多备料
6. 此单以loose carton出货，4pcs/PDQ/CTN</t>
    </r>
  </si>
  <si>
    <t>Maggie Xie</t>
  </si>
  <si>
    <t>ZMPO250315</t>
  </si>
  <si>
    <t>Remark:大货最新版本/大货标准箱装箱/箱唛参照邮件附件;备注：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</si>
  <si>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4500159882-20</t>
  </si>
  <si>
    <t>77673TQ1-S002</t>
  </si>
  <si>
    <t>PASS</t>
  </si>
  <si>
    <t>4/25 出货</t>
  </si>
  <si>
    <r>
      <rPr>
        <sz val="11"/>
        <rFont val="宋体"/>
        <charset val="134"/>
        <scheme val="minor"/>
      </rPr>
      <t xml:space="preserve">日期码格式：ZURU INC(BVI) 标准格式 日期：按实际生产日期 
Packaging Info: #77673TQ1:
 1.3PCS AG13 BATTERIES(INCLUDED)，有纽扣电池，包装正面和说明书都需要加电池警告语贴纸（法规要求）
 2.Filxed Collection
 </t>
    </r>
    <r>
      <rPr>
        <sz val="11"/>
        <color rgb="FFFF0000"/>
        <rFont val="宋体"/>
        <charset val="134"/>
        <scheme val="minor"/>
      </rPr>
      <t>#77673需要加UPC贴纸</t>
    </r>
    <r>
      <rPr>
        <sz val="11"/>
        <rFont val="宋体"/>
        <charset val="134"/>
        <scheme val="minor"/>
      </rPr>
      <t xml:space="preserve">
Remark: 1.MA UPC 英语包装（优先1L英语版本，或者3L/5L含英语都可）
 2.此客人不接受易掉落或者剥落或者可直接触碰的闪粉，可降解也不行，但可以接受符合欧洲微塑料标准的珠光粉或者闪片。</t>
    </r>
  </si>
  <si>
    <t>4500159886-20</t>
  </si>
  <si>
    <r>
      <rPr>
        <sz val="11"/>
        <rFont val="宋体"/>
        <charset val="134"/>
        <scheme val="minor"/>
      </rPr>
      <t xml:space="preserve">日期码格式：ZURU INC(BVI) 标准格式 日期：按实际生产日期 
Packaging Info: #77673TQ1:
 1.3PCS AG13 BATTERIES(INCLUDED)，有纽扣电池，包装正面和说明书都需要加电池警告语贴纸（法规要求）
 2.Filxed Collection
</t>
    </r>
    <r>
      <rPr>
        <sz val="11"/>
        <color rgb="FFFF0000"/>
        <rFont val="宋体"/>
        <charset val="134"/>
        <scheme val="minor"/>
      </rPr>
      <t xml:space="preserve"> #77673需要加UPC贴纸</t>
    </r>
    <r>
      <rPr>
        <sz val="11"/>
        <rFont val="宋体"/>
        <charset val="134"/>
        <scheme val="minor"/>
      </rPr>
      <t xml:space="preserve">
Remark: 1.MA UPC 英语包装（优先1L英语版本，或者3L/5L含英语都可）
 2.此客人不接受易掉落或者剥落或者可直接触碰的闪粉，可降解也不行，但可以接受符合欧洲微塑料标准的珠光粉或者闪片。</t>
    </r>
  </si>
  <si>
    <t>ZURU LLC</t>
  </si>
  <si>
    <t>B0DR3VG3YH</t>
  </si>
  <si>
    <t>4500160498-30</t>
  </si>
  <si>
    <t>77673-S001-MTS</t>
  </si>
  <si>
    <t>日期码格式：ZURU INC(BVI) 标准格式 日期：按实际生产日期
Packaging Info: 
 #77673: MA 1L UPC版包装，出口美国。
Remark: 1.Amazon domestic 订单。出口美国。外箱最长边不能超过25" （超过了，case pack只能为1），不符合要求的大货，一律不接受。
 2.无第三方验货/测试要求。
 3.日期码使用ZURU标准版本。
 4.邮包盒要印刷日期码。</t>
  </si>
  <si>
    <t>Kelly Shen/Mia Pan/P</t>
  </si>
  <si>
    <t>OK</t>
  </si>
  <si>
    <t>ALL BRANDS TOYS PTY LTD</t>
  </si>
  <si>
    <t>澳大利亚</t>
  </si>
  <si>
    <t>4500159576-20</t>
  </si>
  <si>
    <t>77673-S003</t>
  </si>
  <si>
    <t>迷你冰箱6pcs/箱</t>
  </si>
  <si>
    <t>日期码格式：ZURU INC(BVI) 标准格式 日期：按实际生产日期 
Packaging Info:
 2. 77673: MA_UPC版本包装（MA首选1L，如无1L可用多语且含英语的配套多语UPC包装）+ 1张小纽扣电池警告语贴纸贴于包装正面 + 2张大纽扣电池警告语贴纸附
 带进口商信息分别贴于包装背面以及说明书上
Remark: 1.按实际生产日期;
 2.出澳大利亚，请按照相应标准生产;</t>
  </si>
  <si>
    <t>Lydia Wu</t>
  </si>
  <si>
    <t>KMART AUSTRALIA LTD</t>
  </si>
  <si>
    <t>4500160026-20</t>
  </si>
  <si>
    <t>日期码格式：ZURU INC(BVI) 标准格式 日期：按实际生产日期
Packaging Info: 
77673-S001: MA英语UPC版本包装（收缩膜和说明书, MA首选1L，如无1L可用多语且含英语的配套多语包装) + 1张说明书纽扣电池警告语贴纸+ 1张收缩膜纽扣电池
警告语贴纸+ 1张防盗贴纸+箱唛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</si>
  <si>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KMART AUSTRALIA LTD(NEW ZEALAND)</t>
  </si>
  <si>
    <t>4500160027-20</t>
  </si>
  <si>
    <t>日期码格式：ZURU INC(BVI) 标准格式 日期：按实际生产日期
Packaging Info: 
77673-S001: MA英语UPC版本包装（收缩膜和说明书, MA首选1L，如无1L可用多语且含英语的配套多语包装) + 1张说明书纽扣电池警告语贴纸+ 1张收缩膜纽扣电池
警告语贴纸+ 1张防盗贴纸+箱唛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</si>
  <si>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WALMART INC.</t>
  </si>
  <si>
    <t>0904512308
STATESBORO</t>
  </si>
  <si>
    <t>4500161759-10</t>
  </si>
  <si>
    <t>5/9 第三方验货</t>
  </si>
  <si>
    <t>外箱印刷带条码的RFID箱唛：RFID紫色色带+WM Dept.图标+RFID图标+ITF-14条码，四面右下角印刷ZURU logo, ITFF条码只印刷在正唛一面，在加印的时候确保
条形码能扫描出来，外箱侧面任一角落加印："MADE IN CHINA" 字样；</t>
  </si>
  <si>
    <t>RFID贴纸</t>
  </si>
  <si>
    <t>日期码格式：ZURU DGYYYYMMDD CHINA(日期避开周末和法定节假日即可） 日期：按实际生产日期
Packaging Info: 77673TQ1-S001
1.包装要求：
MA 1L A版收缩膜+MA 5L 收藏指南+MA 说明书+MA playset，翻单：4500159641
每pcs产品上要贴1张RFID贴纸，贴纸由ZURU提供，贴纸位置请严格按照我们签回的签板；
Remark: 77673TQ1-S001
1.包装要求：
MA 1L A版收缩膜+MA 5L 收藏指南+MA 说明书+MA playset，翻单：4500159641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carton出货，4pcs/PDQ/CTN</t>
  </si>
  <si>
    <t>0904512292
SUFFOLK</t>
  </si>
  <si>
    <t>4500161759-20</t>
  </si>
  <si>
    <t>ZB00239-5.13</t>
  </si>
  <si>
    <t>ZURU Germany GMBH</t>
  </si>
  <si>
    <t>德国</t>
  </si>
  <si>
    <t>4500160634-20</t>
  </si>
  <si>
    <t>77673TQ1-S001-MTS</t>
  </si>
  <si>
    <t>多语折叠警告语贴纸（翻单4500157858）+WEEE通用黑色书纸带电池走货</t>
  </si>
  <si>
    <t>所有电子产品身上需要加字唛，为ZURU FRANCE 地址 (如无电子产品，或者产品布标有此地址，可忽略此信息)
 ZURU France 1/3, Rue d'Argenteuil 95210 SAINT-GRATIEN, FRANCE</t>
  </si>
  <si>
    <t>日期码格式：ZURU INC(BVI) 标准格式 日期：按实际生产日期 Tracking Code:
Packaging Info:
 77673TQ1: MA_3L PDQ + MA 3L EAN 收缩膜 + 多语折叠警告语贴纸（翻单4500157858） +MA5L收藏指南+ MA 23L说明书+MA纸袋 + WEEE通用黑色书纸带电池走货
 EAN # 4894680042773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</si>
  <si>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SD04</t>
  </si>
  <si>
    <t>Smyths Toys EU HQ UC</t>
  </si>
  <si>
    <t>4500155594-10</t>
  </si>
  <si>
    <t>77673TQ1-S003</t>
  </si>
  <si>
    <t>WEEE声明(带电池)走货欧洲通用30L-B版说明书</t>
  </si>
  <si>
    <r>
      <rPr>
        <sz val="11"/>
        <rFont val="宋体"/>
        <charset val="134"/>
        <scheme val="minor"/>
      </rPr>
      <t>日期码格式：ZURU INC(BVI) 标准格式 日期：按实际生产日期 
Packaging Info: 最新MA PDQ(优先3L )+ 客版收缩膜(英法德callout/英法德意荷警语/法国环保logo) +</t>
    </r>
    <r>
      <rPr>
        <sz val="11"/>
        <color rgb="FFFF0000"/>
        <rFont val="宋体"/>
        <charset val="134"/>
        <scheme val="minor"/>
      </rPr>
      <t>23L 说明书+客版收藏指南(英法德意荷) +客版WEEE声明通用说明书(带电池)
 EAN: 4894680042773</t>
    </r>
    <r>
      <rPr>
        <sz val="11"/>
        <rFont val="宋体"/>
        <charset val="134"/>
        <scheme val="minor"/>
      </rPr>
      <t xml:space="preserve">
Remark: 1. 此单出德国，需要满足Zuru Standard欧洲标准测试要求；
 2. 请准时出货，推期会有罚款；
 3. 出口欧洲，微塑料需符合法规；
 4. 所有电子产品身上需要加字唛，为ZURU FRANCE 地址 (如无电子产品，或者产品布标有此地址，可忽略此信息)
 ZURU France 1/3, Rue d'Argenteuil 95210 SAINT-GRATIEN, FRANCE
 5. 标准配比</t>
    </r>
  </si>
  <si>
    <t>Shirley Zhou</t>
  </si>
  <si>
    <t>WAL-MART CANADA CORP.</t>
  </si>
  <si>
    <t>加拿大</t>
  </si>
  <si>
    <t>4500160504-40</t>
  </si>
  <si>
    <t>77673-S002</t>
  </si>
  <si>
    <t>5/19 第三方验货，#77673需于2025/4/18安排签版, 签样数量：空PDQ2PCS, 大货样各4PCS+散件3套;
#77673 需于2025/4/28安排抽办测试, 抽办数量：大货各4 SETS</t>
  </si>
  <si>
    <r>
      <rPr>
        <sz val="11"/>
        <rFont val="宋体"/>
        <charset val="134"/>
        <scheme val="minor"/>
      </rPr>
      <t xml:space="preserve">日期码格式：ZURU INC(BVI) 标准格式 日期：按实际生产日期
Packaging Info:
#77673：
MA3L收缩膜+UPC贴纸(UPC:193052079404)+MA23L说明书+MA5L收藏指南+MA5L,UV胶瓶身贴
产品配比：
7 Assortment, Polar bear: Penguin: Walrus: Mammoth: Owl: Seal: Snow man=10:10:10:10:10:8:2. Snow man is the rare item.
Remark: 1. 此单有箱唛；
3. 此单有第三方验货，烦请多备包装物料；
</t>
    </r>
    <r>
      <rPr>
        <sz val="11"/>
        <color rgb="FFFF0000"/>
        <rFont val="宋体"/>
        <charset val="134"/>
        <scheme val="minor"/>
      </rPr>
      <t>5. #77673需于2025/4/18安排签版, 签样数量：空PDQ2PCS, 大货样各4PCS+齐套散件3套;
9. #77673 需于2025/4/28安排抽办测试, 抽办数量：大货4 pcs+齐套散件4SETS;</t>
    </r>
    <r>
      <rPr>
        <sz val="11"/>
        <rFont val="宋体"/>
        <charset val="134"/>
        <scheme val="minor"/>
      </rPr>
      <t xml:space="preserve">
11. UPC贴纸：必须在原来错误的条码上用黑色粗头笔涂黑直至不能扫描，再贴上正确的UPC;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</si>
  <si>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Monica Zhou</t>
  </si>
  <si>
    <t>360 SALES SOLUTIONS INC</t>
  </si>
  <si>
    <t>2025ZURU11</t>
  </si>
  <si>
    <t>4500159666-20</t>
  </si>
  <si>
    <t>5/17 SI</t>
  </si>
  <si>
    <r>
      <rPr>
        <sz val="11"/>
        <rFont val="宋体"/>
        <charset val="134"/>
        <scheme val="minor"/>
      </rPr>
      <t xml:space="preserve">日期码格式： 标准格式 日期：按实际生产日期
Packaging Info:
</t>
    </r>
    <r>
      <rPr>
        <sz val="11"/>
        <color rgb="FFFF0000"/>
        <rFont val="宋体"/>
        <charset val="134"/>
        <scheme val="minor"/>
      </rPr>
      <t>77673 MA 多语（含英法）EAN包装+UPC贴纸， UPC号码193052079404</t>
    </r>
    <r>
      <rPr>
        <sz val="11"/>
        <rFont val="宋体"/>
        <charset val="134"/>
        <scheme val="minor"/>
      </rPr>
      <t xml:space="preserve">
Remark: 出加拿大
Zuru验货.日期跟踪码：产品外包装及产品本身都必须有日期跟踪码，ZURU标准格式日期码。（箱唛日期码按跟单提供格式）</t>
    </r>
  </si>
  <si>
    <t xml:space="preserve"> Summer Mo</t>
  </si>
  <si>
    <t>77673-S001-3L</t>
  </si>
  <si>
    <t>预计5/14验货</t>
  </si>
  <si>
    <t>0904512282</t>
  </si>
  <si>
    <t>4500161760-10</t>
  </si>
  <si>
    <t>5/14 第三方验货</t>
  </si>
  <si>
    <t>0902421331
SAVANNAH</t>
  </si>
  <si>
    <t>4500159654-10</t>
  </si>
  <si>
    <t>每pcs产品上要贴1张RFID贴纸，贴纸由ZURU提供，贴纸位置请严格按照我们签回的签板，粉色艾利贴纸（不干胶打印）</t>
  </si>
  <si>
    <r>
      <rPr>
        <sz val="11"/>
        <rFont val="宋体"/>
        <charset val="134"/>
        <scheme val="minor"/>
      </rPr>
      <t xml:space="preserve">日期码格式：ZURU DGYYYYMMDD CHINA(日期避开周末和法定节假日即可） 日期：按实际生产日期
Packaging Info: 77673TQ1-S001
1.包装要求：
</t>
    </r>
    <r>
      <rPr>
        <sz val="11"/>
        <color rgb="FFFF0000"/>
        <rFont val="宋体"/>
        <charset val="134"/>
        <scheme val="minor"/>
      </rPr>
      <t>MA 1L A版收缩膜+MA 5L 收藏指南+MA 说明书+MA playset</t>
    </r>
    <r>
      <rPr>
        <sz val="11"/>
        <rFont val="宋体"/>
        <charset val="134"/>
        <scheme val="minor"/>
      </rPr>
      <t xml:space="preserve">
每pcs产品上要贴1张RFID贴纸，贴纸由ZURU提供，贴纸位置请严格按照我们签回的签板；
Remark: 77673TQ1-S001
1.包装要求：
</t>
    </r>
    <r>
      <rPr>
        <sz val="11"/>
        <color rgb="FFFF0000"/>
        <rFont val="宋体"/>
        <charset val="134"/>
        <scheme val="minor"/>
      </rPr>
      <t>MA 1L A版收缩膜+MA 5L 收藏指南+MA 说明书+MA playset</t>
    </r>
    <r>
      <rPr>
        <sz val="11"/>
        <rFont val="宋体"/>
        <charset val="134"/>
        <scheme val="minor"/>
      </rPr>
      <t xml:space="preserve">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carton出货，4pcs/PDQ/CTN</t>
    </r>
  </si>
  <si>
    <t>0902421341
SUFFOLK</t>
  </si>
  <si>
    <t>4500159654-20</t>
  </si>
  <si>
    <t>0902421349
RIDGEVILLE SC</t>
  </si>
  <si>
    <t>4500159654-30</t>
  </si>
  <si>
    <t>ZURU Denmark ApS</t>
  </si>
  <si>
    <t>丹麦</t>
  </si>
  <si>
    <t>4500162820-20</t>
  </si>
  <si>
    <t>日期码格式：ZURU INC(BVI) 标准格式 日期：按实际生产日期
Packaging Info:
77673 MA3L EAN 版本收缩膜+1*多语警告语贴纸+MA 5L 收藏指南+ MA 23L 电池UV 警告语+MA PDQ （语言不限）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</si>
  <si>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ZMPO250350</t>
  </si>
  <si>
    <t>Remark:大货最新版本/大货标准箱装箱/箱唛请参照邮件附件;备注：收到样品订单后尽快安排 ，注意样板品质质量要求要高于大货品质要求 ，送货时必须要附带送货单(没有送货单和QC检验合格报告的仓库一律拒绝收货)，请知悉，谢谢！</t>
  </si>
  <si>
    <t>MEIJER DISTRIBUTION, INC.</t>
  </si>
  <si>
    <t>4500161407-20</t>
  </si>
  <si>
    <t>77673-S004</t>
  </si>
  <si>
    <t>日期码格式：ZURU INC(BVI) 标准格式 日期：
Packaging Info: 1. MA 1L 包装
2. 客人指定箱唛排版
Remark: 出货前 Zuru QC 验货</t>
  </si>
  <si>
    <t>Cherie Li</t>
  </si>
  <si>
    <t>4500161408-20</t>
  </si>
  <si>
    <t>ASIA GOAL LIMITED</t>
  </si>
  <si>
    <t>香港</t>
  </si>
  <si>
    <t>AG240427-HK</t>
  </si>
  <si>
    <t>4500160943-20</t>
  </si>
  <si>
    <t>客供警告语贴纸</t>
  </si>
  <si>
    <t>日期码格式：ZURU INC(BVI) 标准格式 日期：按实际生产日期
Packaging Info: 
77711GQ1 （INT): MA 3L 收缩膜+1张UPC 条码贴纸+ MA 3L PDQ+MA 5L 收藏指南+客供警语贴纸
 （1张贴球底部，1张贴说明书，1张贴收藏指南）
 77673TQ1:MA 1L 收缩膜+MA 1L PDQ+MA 5L 收藏指南+MA 说明书+1张客供警语贴纸+1张客供电池警语贴纸+1张客供中文警告说明书）
Remark: 此单出香港</t>
  </si>
  <si>
    <t>Doris Shou</t>
  </si>
  <si>
    <t>ASIA GOAL LIMITED TAIWAN BRANCH (H.</t>
  </si>
  <si>
    <t>台湾</t>
  </si>
  <si>
    <t>AG240431-TW</t>
  </si>
  <si>
    <t>4500161426-20</t>
  </si>
  <si>
    <t>日期码格式：ZURU INC(BVI) 标准格式 日期：按实际生产日期
Packaging Info:
77673TQ1：MA 1L 收缩膜+MA 1L PDQ+MA 5L 收藏指南+MA 说明书+1张警语贴纸
Remark: 此单出TW</t>
  </si>
  <si>
    <t>PPTOYS PTE LTD (SG)</t>
  </si>
  <si>
    <t>新加坡</t>
  </si>
  <si>
    <t>ZU25032701SG</t>
  </si>
  <si>
    <t>4500163177-20</t>
  </si>
  <si>
    <t>日期码格式：ZURU INC(BVI) 标准格式 日期：按实际生产日期
Packaging Info: 1. 77673因系统问题，暂时开40GP，待系统维护后会改成20GP发过来。
2. 77673-MA UPC包装（优先1L)+1张进口商贴纸
77673进口商贴纸资料待提供。
Remark: 77673-Filxed Collection， 3PCS AG13 BATTERIES(INCLUDED)</t>
  </si>
  <si>
    <t>Emma Wu</t>
  </si>
  <si>
    <t>4500160504-50</t>
  </si>
  <si>
    <t>5/19 第三方验货，77673需于2025/4/18安排签版, 签样数量：空PDQ2PCS, 大货样各4PCS+齐套散件3套;
9. #77673 需于2025/4/28安排抽办测试, 抽办数量：大货4 pcs+齐套散件4SETS;</t>
  </si>
  <si>
    <r>
      <rPr>
        <sz val="11"/>
        <rFont val="宋体"/>
        <charset val="134"/>
        <scheme val="minor"/>
      </rPr>
      <t xml:space="preserve">日期码格式：ZURU INC(BVI) 标准格式 日期：按实际生产日期
Packaging Info:
#77673：
MA3L收缩膜+UPC贴纸(UPC:193052079404)+MA23L说明书+MA5L收藏指南+MA5L,UV胶瓶身贴
产品配比：
7 Assortment, Polar bear: Penguin: Walrus: Mammoth: Owl: Seal: Snow man=10:10:10:10:10:8:2. Snow man is the rare item.
Remark: 1. 此单有箱唛；
2. 9900923472单为ECOM订单，外箱四面须加一张黄色贴纸；
3. 此单有第三方验货，烦请多备包装物料；
</t>
    </r>
    <r>
      <rPr>
        <sz val="11"/>
        <color rgb="FFFF0000"/>
        <rFont val="宋体"/>
        <charset val="134"/>
        <scheme val="minor"/>
      </rPr>
      <t>5. #77673需于2025/4/18安排签版, 签样数量：空PDQ2PCS, 大货样各4PCS+齐套散件3套;
9. #77673 需于2025/4/28安排抽办测试, 抽办数量：大货4 pcs+齐套散件4SETS;</t>
    </r>
    <r>
      <rPr>
        <sz val="11"/>
        <rFont val="宋体"/>
        <charset val="134"/>
        <scheme val="minor"/>
      </rPr>
      <t xml:space="preserve">
11. UPC贴纸：必须在原来错误的条码上用黑色粗头笔涂黑直至不能扫描，再贴上正确的UPC;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</si>
  <si>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4500160504-60</t>
  </si>
  <si>
    <t>0904512278</t>
  </si>
  <si>
    <t>4500161761-10</t>
  </si>
  <si>
    <t>5/19 第三方验货</t>
  </si>
  <si>
    <t>TAS IMPORT AS(Lekekassen)</t>
  </si>
  <si>
    <t>挪威</t>
  </si>
  <si>
    <t>4500160993-30</t>
  </si>
  <si>
    <r>
      <rPr>
        <sz val="11"/>
        <rFont val="宋体"/>
        <charset val="134"/>
        <scheme val="minor"/>
      </rPr>
      <t>日期码格式：ZURU INC(BVI) 标准格式 日期：按实际生产日期
Packaging Info:
3. 77673: MA 3L EAN版收缩膜+挪威/瑞典/丹麦语警告语/客人进口商地址贴纸做成一张贴纸+MA 5L收藏指南+MA 电池+UV胶警告语-23L +</t>
    </r>
    <r>
      <rPr>
        <sz val="11"/>
        <color rgb="FFFF0000"/>
        <rFont val="宋体"/>
        <charset val="134"/>
        <scheme val="minor"/>
      </rPr>
      <t xml:space="preserve"> WEEE__带电池走货北欧六
语通用黑白说明书</t>
    </r>
    <r>
      <rPr>
        <sz val="11"/>
        <rFont val="宋体"/>
        <charset val="134"/>
        <scheme val="minor"/>
      </rPr>
      <t xml:space="preserve">
4.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77673:4894680042773</t>
    </r>
  </si>
  <si>
    <t>Sheba</t>
  </si>
  <si>
    <t>TARGET US</t>
  </si>
  <si>
    <t>10001232749-3890</t>
  </si>
  <si>
    <t>4500159604-10</t>
  </si>
  <si>
    <t>77673TQ1-S001-CC</t>
  </si>
  <si>
    <t>迷你冰箱 4pcs/箱（客版配件）</t>
  </si>
  <si>
    <t>日期码格式：ZURU INC(BVI) 标准格式 日期：按实际生产日期
Packaging Info: 77673TQ1：产品包装 客版收缩膜+客版收藏指南+MA说明书+ MA 1L PDQ；客版收缩膜+客版收藏指南翻单4500158149
Remark: 77673TQ1: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此订单所有item：
1. 产品和包装上印刷 tracking code信息，格式为ZURU常规格式;
2. 出货方式：货代自提</t>
  </si>
  <si>
    <t>Holly Zheng</t>
  </si>
  <si>
    <t>10001245308-3890</t>
  </si>
  <si>
    <t>4500158149-10</t>
  </si>
  <si>
    <t>日期码格式：ZURU INC(BVI) 标准格式 日期：按实际生产日期
Packaging Info: 77673TQ1：产品包装 客版收缩膜+客版收藏指南+MA说明书+ MA 1L PDQ；
Remark: 77673TQ1:
1. 77673TQ1-S001-CC-MINI BRANDS-FILL THE FRIDGE PLAYSET-SERIES 1-SHRINK WRAP,4PCS/PDQ,4PCS/PDQ/CTN
2. 产品包装 客版收缩膜+客版收藏指南+MA说明书+ MA 1L PDQ；客版收缩膜上的UPC显示193052079404；
3. 外箱正唛左上角位置粘贴条码箱贴纸，每箱只贴一张，由ZURU订购。来料贴纸上显示的客户DPCI# 086-02-3468， UPC显示10193052079401;
4. 外箱正唛箱唛内容右侧需贴一张Event label，内容显示Toys Set Date：7/20/2025，工厂自行订购；
此订单所有item：
1. 产品和包装上印刷 tracking code信息，格式为ZURU常规格式;
2. 出货方式：货代自提</t>
  </si>
  <si>
    <t>Smyths Toys HQ UC UK</t>
  </si>
  <si>
    <t>爱尔兰</t>
  </si>
  <si>
    <t>PO4400460300</t>
  </si>
  <si>
    <t>4500155602-10</t>
  </si>
  <si>
    <r>
      <rPr>
        <sz val="11"/>
        <rFont val="宋体"/>
        <charset val="134"/>
        <scheme val="minor"/>
      </rPr>
      <t>日期码格式：ZURU INC(BVI) 标准格式 日期：按实际生产日期 
Packaging Info: 77673TQ1：</t>
    </r>
    <r>
      <rPr>
        <sz val="11"/>
        <color rgb="FFFF0000"/>
        <rFont val="宋体"/>
        <charset val="134"/>
        <scheme val="minor"/>
      </rPr>
      <t>最新MA PDQ(优先3L )+客版收缩膜+23L说明书+客版收藏指南+客版WEEE声明通用说明书(带电池) （所有资料翻#4500155594）
 客户PO号码请参考remark</t>
    </r>
    <r>
      <rPr>
        <sz val="11"/>
        <rFont val="宋体"/>
        <charset val="134"/>
        <scheme val="minor"/>
      </rPr>
      <t xml:space="preserve">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需要完全符合欧洲标准(符合微塑料法规)，否则不合法规会有客诉产生</t>
    </r>
  </si>
  <si>
    <t>Ula Zhao</t>
  </si>
  <si>
    <t>PO4400460306</t>
  </si>
  <si>
    <t>4500155602-20</t>
  </si>
  <si>
    <t>TOYS "R" US (CANADA) LTD.</t>
  </si>
  <si>
    <t>4500163438-10</t>
  </si>
  <si>
    <t>需要第三方SGS验货，验货时间2025/05/19，每款每色请备1PC完整带包装样品供验货人员参考。用完后若无损坏可以放回大货里。</t>
  </si>
  <si>
    <t>日期码格式：ZURU INC(BVI) 标准格式 日期：按实际生产日期
Packaging Info: 1. 出口加拿大市场，MA UPC版本包装。
#77673: MA 3L EAN版本 +UPC贴纸；UPC#193052079404; 3PCS AG13 BATTERIES(INCLUDED)
2. 产品、包装、外箱上面tracking code的时间格式需要一致
Remark: 3. 需要第三方SGS验货，验货时间2025/05/19，每款每色请备1PC完整带包装样品供验货人员参考。用完后若无损坏可以放回大货里。</t>
  </si>
  <si>
    <t>Abby Mai,Lluvia Zeng</t>
  </si>
  <si>
    <t>0902421329
HOUSTON</t>
  </si>
  <si>
    <t>4500159658-10</t>
  </si>
  <si>
    <t>5/22 第三方验货</t>
  </si>
  <si>
    <t>0902421316
MOBILE</t>
  </si>
  <si>
    <t>4500159658-20</t>
  </si>
  <si>
    <t>WM MORRISON SUPERMARKET PLC</t>
  </si>
  <si>
    <t>英国</t>
  </si>
  <si>
    <t>4500160042-10</t>
  </si>
  <si>
    <t>77673TQ1-S004</t>
  </si>
  <si>
    <t>迷你冰箱16pcs/箱</t>
  </si>
  <si>
    <r>
      <rPr>
        <sz val="11"/>
        <rFont val="宋体"/>
        <charset val="134"/>
        <scheme val="minor"/>
      </rPr>
      <t>日期码格式：ZURU INC(BVI) 标准格式 日期：按实际生产日期
Packaging Info: 77673TQ1-S004： MA 1L UPC 包装+其他MA 最新包装</t>
    </r>
    <r>
      <rPr>
        <sz val="11"/>
        <color rgb="FFFF0000"/>
        <rFont val="宋体"/>
        <charset val="134"/>
        <scheme val="minor"/>
      </rPr>
      <t>+1张防盗贴纸（贴纸类型10111896：40R ECON YBL DE 8.2 1kr）请工厂自行跟checkpoint供应商订购贴纸</t>
    </r>
    <r>
      <rPr>
        <sz val="11"/>
        <rFont val="宋体"/>
        <charset val="134"/>
        <scheme val="minor"/>
      </rPr>
      <t xml:space="preserve">
UPC#193052079404，请先检查包装条码是否正确再安排做货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r>
  </si>
  <si>
    <t>Yoga Huang</t>
  </si>
  <si>
    <t>0904512284
EASTVALE</t>
  </si>
  <si>
    <t>4500161762-10</t>
  </si>
  <si>
    <t>0904512309
ELWOOD</t>
  </si>
  <si>
    <t>4500161762-20</t>
  </si>
  <si>
    <t>0904512289
STATESBORO</t>
  </si>
  <si>
    <t>4500161762-30</t>
  </si>
  <si>
    <t>0904512339
SUFFOLK</t>
  </si>
  <si>
    <t>4500161762-40</t>
  </si>
  <si>
    <t>ZB00389-6.2</t>
  </si>
  <si>
    <t>0904512352
RIDGEVILLE SC</t>
  </si>
  <si>
    <t>4500161762-50</t>
  </si>
  <si>
    <t>Outlet Drift AS</t>
  </si>
  <si>
    <t>4500162375-40</t>
  </si>
  <si>
    <r>
      <rPr>
        <sz val="11"/>
        <rFont val="宋体"/>
        <charset val="134"/>
        <scheme val="minor"/>
      </rPr>
      <t>日期码格式：ZURU INC(BVI) 标准格式 日期：按实际生产日期
Packaging Info: 
77673:收缩膜MA EAN 3L A+收藏指南5L A</t>
    </r>
    <r>
      <rPr>
        <sz val="11"/>
        <color rgb="FFFF0000"/>
        <rFont val="宋体"/>
        <charset val="134"/>
        <scheme val="minor"/>
      </rPr>
      <t>+MA 说明书 23L+1张警示语贴纸+带纽扣电池走货北欧六语通用黑白电池说明书</t>
    </r>
    <r>
      <rPr>
        <sz val="11"/>
        <rFont val="宋体"/>
        <charset val="134"/>
        <scheme val="minor"/>
      </rPr>
      <t xml:space="preserve">
Remark: 1/配比:
2/产品和包装要求无硼无香，包装不能含有PVC
3/如有微塑料，必须合规欧洲标准，闪粉也是微塑料的一种，目前仅接受三张方式1.去除，2.用可降解材料，和3.永久封印在固体。
4/带电池出货的产品，所用到的电池需要符合欧洲电池新规(EU)2023-1542</t>
    </r>
  </si>
  <si>
    <t>Zoe Zhou</t>
  </si>
  <si>
    <t>ZURU France</t>
  </si>
  <si>
    <t>法国</t>
  </si>
  <si>
    <t>4500162314-80</t>
  </si>
  <si>
    <r>
      <rPr>
        <sz val="11"/>
        <rFont val="宋体"/>
        <charset val="134"/>
        <scheme val="minor"/>
      </rPr>
      <t xml:space="preserve">日期码格式：ZURU INC(BVI) 标准格式 日期：按实际生产日期
Packaging Info:
</t>
    </r>
    <r>
      <rPr>
        <sz val="11"/>
        <color rgb="FFFF0000"/>
        <rFont val="宋体"/>
        <charset val="134"/>
        <scheme val="minor"/>
      </rPr>
      <t>77673TQ1</t>
    </r>
    <r>
      <rPr>
        <sz val="11"/>
        <rFont val="宋体"/>
        <charset val="134"/>
        <scheme val="minor"/>
      </rPr>
      <t>:最新MA 3L EAN收缩膜+最新MA 5L收藏指南+最新MA 23L说明书+最新MA纸袋+最新MA 3L PDQ+多语警语折叠贴纸（含包装缺失的法/意/西环保标）+</t>
    </r>
    <r>
      <rPr>
        <sz val="11"/>
        <color rgb="FFFF0000"/>
        <rFont val="宋体"/>
        <charset val="134"/>
        <scheme val="minor"/>
      </rPr>
      <t xml:space="preserve"> 多语版W
EEE电池垃圾桶的回收声明说明书（ included）,,</t>
    </r>
    <r>
      <rPr>
        <sz val="11"/>
        <rFont val="宋体"/>
        <charset val="134"/>
        <scheme val="minor"/>
      </rPr>
      <t xml:space="preserve">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r>
  </si>
  <si>
    <t>Jade Wang</t>
  </si>
  <si>
    <t>SCHEEL'S ALL SPORTS, INC.</t>
  </si>
  <si>
    <t>PO#019848172</t>
  </si>
  <si>
    <t>4500159089-20</t>
  </si>
  <si>
    <t>日期码格式：ZURU INC(BVI) 标准格式 日期：按实际生产日期
Packaging Info: 1. 包装：ZURU MA 1L 最新UPC版本；出口美国&lt;(&gt;&amp;&lt;)&gt;CA；
Remark: 2. 日期跟踪码：产品包装及产品本身都必须有日期跟踪码，并且确保两者的日期跟踪码要一致；ZURU标准格式日期码(请自行调整具体年月日生产期，但不能为周
末）。
3. 此单有4个客户PO， 请见侧边备注；
4. 出货配比: Zuru 标版配比。</t>
  </si>
  <si>
    <t>Mila Yao</t>
  </si>
  <si>
    <t>THE ENTERTAINER</t>
  </si>
  <si>
    <t>FB12980</t>
  </si>
  <si>
    <t>4500159575-40</t>
  </si>
  <si>
    <t>大货样： 请在5/10 前寄出每款1整套大货样到罗湖办公室7B Sandy Shao 收。</t>
  </si>
  <si>
    <r>
      <rPr>
        <sz val="11"/>
        <rFont val="宋体"/>
        <charset val="134"/>
        <scheme val="minor"/>
      </rPr>
      <t xml:space="preserve">日期码格式：ZURU INC(BVI) 标准格式 日期：按实际生产日期
Packaging Info: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*条码如下，请核查
77673TQ1-S002 </t>
    </r>
    <r>
      <rPr>
        <sz val="11"/>
        <color rgb="FFFF0000"/>
        <rFont val="宋体"/>
        <charset val="134"/>
        <scheme val="minor"/>
      </rPr>
      <t>193052079404</t>
    </r>
    <r>
      <rPr>
        <sz val="11"/>
        <rFont val="宋体"/>
        <charset val="134"/>
        <scheme val="minor"/>
      </rPr>
      <t xml:space="preserve">
* 大货样： 请在5/10 前寄出每款1整套大货样到罗湖办公室7B Sandy Shao 收。
Remark:
77673TQ1-S002 MA-1L 配套包装</t>
    </r>
    <r>
      <rPr>
        <sz val="11"/>
        <color rgb="FFFF0000"/>
        <rFont val="宋体"/>
        <charset val="134"/>
        <scheme val="minor"/>
      </rPr>
      <t>+UPC 条码覆盖原包装条码位置，另外产品内包装再加多一张2国语言电池说明书(英文+阿拉伯文）</t>
    </r>
  </si>
  <si>
    <t>Sandy Shao</t>
  </si>
  <si>
    <t>SAINSBURY'S SUPERMARKET LTD</t>
  </si>
  <si>
    <t>PO#2735217-Cu
stomer
SKU#146638251</t>
  </si>
  <si>
    <t>4500163316-20</t>
  </si>
  <si>
    <t>日期码格式：ZURU INC(BVI) 标准格式 日期：按实际生产日期
Packaging Info:
77673TQ1：MA 3L+UPC贴纸（UPC#193052079404）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</si>
  <si>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May Wu</t>
  </si>
  <si>
    <t>10001263725-3890</t>
  </si>
  <si>
    <t>4500159315-30</t>
  </si>
  <si>
    <t>日期码格式：ZURU INC(BVI) 标准格式 日期：按实际生产日期
Packaging Info:
77673TQ1：产品包装 客版收缩膜+客版收藏指南+MA说明书+ MA 1L PDQ；客版收缩膜+客版收藏指南翻单4500158149
Remark:
77673TQ1：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此订单所有item：
1. 产品和包装上印刷 tracking code信息，格式为ZURU常规格式;
2. 出货方式：货代自提</t>
  </si>
  <si>
    <t xml:space="preserve">Smyths Toys HQ UC </t>
  </si>
  <si>
    <t>4500156861-10</t>
  </si>
  <si>
    <t>荷兰警语贴纸(含法国环保logo)翻4500155602</t>
  </si>
  <si>
    <t>日期码格式：ZURU INC(BVI) 标准格式 日期：按实际生产日期 
Packaging Info: 77673TQ1：最新MA PDQ(优先3L )+ 客版收缩膜(英法德callout/英法德意荷警语/法国环保logo) +23L 说明书+客版收藏指南(英法德意荷) +客版WEEE声明通用说明
 书(带电池) （所有资料翻单#4500155594）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</si>
  <si>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Walmart Central America</t>
  </si>
  <si>
    <t>萨尔瓦多</t>
  </si>
  <si>
    <t>4500161312-20</t>
  </si>
  <si>
    <t>4/21，用双坑外箱</t>
  </si>
  <si>
    <t>贴纸翻单PO4500161302</t>
  </si>
  <si>
    <t>日期码格式：ZURU INC(BVI) 标准格式 日期：按实际生产日期
Packaging Info:
2. 77673：MA 3L EAN包装+UPC条码贴纸+MA多语说明书+进口商贴纸+箱唛，贴纸翻单PO4500161302
Remark: 1.使用双坑外箱
2.请注意产品包装条形码必须是UPC
3.无第三方验货</t>
  </si>
  <si>
    <t>Ever Li</t>
  </si>
  <si>
    <t>Walmart Central America-GT</t>
  </si>
  <si>
    <t>危地马拉</t>
  </si>
  <si>
    <t>4500161302-20</t>
  </si>
  <si>
    <t>日期码格式：ZURU INC(BVI) 标准格式 日期：按实际生产日期
Packaging Info:
2. 77673：MA 3L EAN包装+UPC条码贴纸+MA多语说明书+进口商贴纸+箱唛
Remark: 1.使用双坑外箱
2.请注意产品包装条形码必须是UPC
3.无第三方验货</t>
  </si>
  <si>
    <t>Walmart Central America-CR</t>
  </si>
  <si>
    <t>哥斯达黎加</t>
  </si>
  <si>
    <t>4500161306-20</t>
  </si>
  <si>
    <t>THE KROGER CO.</t>
  </si>
  <si>
    <t>PO#500-23710</t>
  </si>
  <si>
    <t>4500163428-40</t>
  </si>
  <si>
    <t>日期码格式：ZURU INC(BVI) 标准格式 日期：按实际生产日期
Packaging Info: 1、包装方式: MA UPC 优先1L最新版，出口美国
Remark: 2、无测试无验货要求
3、纸箱4面印ZURU LOGO + 箱唛
4、日期码请按ZURU标准版执行即可
5、ZURU OQC验货</t>
  </si>
  <si>
    <t>Vicky Wu</t>
  </si>
  <si>
    <t>ZB00622-7.1</t>
  </si>
  <si>
    <t>PO#600-59500</t>
  </si>
  <si>
    <t>4500163428-70</t>
  </si>
  <si>
    <t>ZB00627-7.2</t>
  </si>
  <si>
    <t>0902421327
EASTVALE</t>
  </si>
  <si>
    <t>4500159664-10</t>
  </si>
  <si>
    <t>5/27 第三方验货</t>
  </si>
  <si>
    <t>0902421372
ELWOOD</t>
  </si>
  <si>
    <t>4500159664-20</t>
  </si>
  <si>
    <t>0904512337</t>
  </si>
  <si>
    <t>4500161763-10</t>
  </si>
  <si>
    <t>5/30 第三方验货</t>
  </si>
  <si>
    <t>4/11 RFID贴纸</t>
  </si>
  <si>
    <t>日期码格式：ZURU DGYYYYMMDD CHINA(日期避开周末和法定节假日即可） 日期：按实际生产日期
Packaging Info: 77673TQ1-S001
1.包装要求：
MA 1L A版收缩膜+MA 5L 收藏指南+MA 说明书+MA playset，翻单：4500159641
每pcs产品上要贴1张RFID贴纸，贴纸由ZURU提供，贴纸位置请严格按照我们签回的签板
Remark: 77673TQ1-S001
1.包装要求：
MA 1L A版收缩膜+MA 5L 收藏指南+MA 说明书+MA playset，翻单：4500159641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carton出货，4pcs/PDQ/CTN</t>
  </si>
  <si>
    <t>COOP NORGE HANDEL AS - DOM</t>
  </si>
  <si>
    <t>4500162197-20</t>
  </si>
  <si>
    <r>
      <rPr>
        <sz val="11"/>
        <rFont val="宋体"/>
        <charset val="134"/>
        <scheme val="minor"/>
      </rPr>
      <t>日期码格式：ZURU INC(BVI) 标准格式 日期：按实际生产日期
Packaging Info:
2.77673TQ1：MA EAN 3L收缩膜+挪威语警语贴纸+MA 23L 电池警告语说明书</t>
    </r>
    <r>
      <rPr>
        <sz val="11"/>
        <color rgb="FFFF0000"/>
        <rFont val="宋体"/>
        <charset val="134"/>
        <scheme val="minor"/>
      </rPr>
      <t>+MA-A 3L 展示盒+带纽扣电池走货北欧六语通用黑白电池说明书</t>
    </r>
    <r>
      <rPr>
        <sz val="11"/>
        <rFont val="宋体"/>
        <charset val="134"/>
        <scheme val="minor"/>
      </rPr>
      <t xml:space="preserve">
Remark: 1/产品和包装要求无硼无香，包装不能含有PVC；
2/如有微塑料，必须合规欧洲标准，闪粉也是微塑料的一种，目前仅接受三张方式1.去除，2.用可降解材料，和3.永久封印在固体；
3/此订单有第三方验货，请准备三套大货样并不迟于5-14寄出给ZURU 深圳办公室；
4/带电池出货的产品所用到的电池需要符合欧洲电池新规(EU)2023-1542；
5/工厂货号-客户货号彩盒条码-外箱条码
77673TQ1-7254554-4894680042773-10193052079401
6/配比:
77673TQ1：Filxed Collection</t>
    </r>
  </si>
  <si>
    <t>K􀃤rkk􀃤inen Oy /Centrawla rehouse</t>
  </si>
  <si>
    <t>芬兰</t>
  </si>
  <si>
    <t>4500161573-230</t>
  </si>
  <si>
    <r>
      <rPr>
        <sz val="11"/>
        <rFont val="宋体"/>
        <charset val="134"/>
        <scheme val="minor"/>
      </rPr>
      <t xml:space="preserve">日期码格式：ZURU INC(BVI) 标准格式 日期：按实际生产日期
Packaging Info:
16. 77673TQ1: MA 3L EAN版收缩膜+瑞典芬兰爱沙尼亚语警告语/MADE IN CHINA翻译成瑞典芬兰爱沙尼亚语言做成一张贴纸+MA 5L收藏指南+MA 电池+UV胶警告语-23
L+MA 3L </t>
    </r>
    <r>
      <rPr>
        <sz val="11"/>
        <color rgb="FFFF0000"/>
        <rFont val="宋体"/>
        <charset val="134"/>
        <scheme val="minor"/>
      </rPr>
      <t>PDQ+带纽扣电池走货北欧六语通用黑白电池说明书</t>
    </r>
    <r>
      <rPr>
        <sz val="11"/>
        <rFont val="宋体"/>
        <charset val="134"/>
        <scheme val="minor"/>
      </rPr>
      <t xml:space="preserve">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77673TQ1:4894680042773</t>
    </r>
  </si>
  <si>
    <t>UPD, INC.</t>
  </si>
  <si>
    <t>PO# 34501</t>
  </si>
  <si>
    <t>4500164375-30</t>
  </si>
  <si>
    <t>日期码格式：ZURU INC(BVI) 标准格式 日期：按实际生产日期
Packaging Info: 1. 包装方式：MA UPC 优先1L 最新包装，出口美国
Remark: 2. 外箱箱唛红色和黑色双色印刷
3. 产品和包装上印刷tracking code信息，格式为ZURU常规
4. 需要ZURU QC 验货合格后方可出货
5. 整柜出货。</t>
  </si>
  <si>
    <t>Sia Liu</t>
  </si>
  <si>
    <t>4500164783-80</t>
  </si>
  <si>
    <t>77673-S004-MTS</t>
  </si>
  <si>
    <t>迷你冰箱 4pcs/箱</t>
  </si>
  <si>
    <t>日期码格式：ZURU INC(BVI) 标准格式 日期：按实际生产日期
Packaging Info:
8.77673：MA 3L 最新版EAN收缩膜+1张多语可折叠贴纸+MA 5L收藏指南+1张5L（PL+HU+CZ+SK+RO )贴纸+MA 23L 电池+UV胶警告语+1张30L WEEE带电池走货说明书+
其它MA包装；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</si>
  <si>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Amy Xiao</t>
  </si>
  <si>
    <t>77673-S004-3L</t>
  </si>
  <si>
    <t>GLOBUS Logistik GmbH and Co KG</t>
  </si>
  <si>
    <t>4500161168-70</t>
  </si>
  <si>
    <r>
      <rPr>
        <sz val="11"/>
        <rFont val="宋体"/>
        <charset val="134"/>
        <scheme val="minor"/>
      </rPr>
      <t>日期码格式：ZURU INC(BVI) 标准格式 日期：按实际生产日期
Packaging Info:
"77673TQ1: MA EAN收缩膜3L-A版本（+德语警告语贴纸）+MA电池+UV胶警告语23L说明书+MA纸袋+MA收藏指南5L-A版本+ MA PDQ3L-A版本+</t>
    </r>
    <r>
      <rPr>
        <sz val="11"/>
        <color rgb="FFFF0000"/>
        <rFont val="宋体"/>
        <charset val="134"/>
        <scheme val="minor"/>
      </rPr>
      <t>WEEE 带电池走货 通用30
L 说明书</t>
    </r>
    <r>
      <rPr>
        <sz val="11"/>
        <rFont val="宋体"/>
        <charset val="134"/>
        <scheme val="minor"/>
      </rPr>
      <t xml:space="preserve">
EAN:4894680042773
Remark: "1. 此单出德国，需准时出货。无须客户第三方验货但是需要在6-2 提供验货图片(含不良图）。待客人放货后才能安排走货。
2. 外箱正唛需要贴产品图片贴纸，（外箱印4面-2*正唛+2*侧唛）
3. 外箱正唛需要印GTIN, 请保证GTIN条码能扫描。
4. 需要在货期前一个月安排2套样品给客户评估（非测试，包装无要求）"</t>
    </r>
  </si>
  <si>
    <t>Claire Wang</t>
  </si>
  <si>
    <t>0904512321</t>
  </si>
  <si>
    <t>4500161764-10</t>
  </si>
  <si>
    <t>JUGUETES PASTOR S.L.</t>
  </si>
  <si>
    <t>西班牙</t>
  </si>
  <si>
    <t>4500163040-30</t>
  </si>
  <si>
    <r>
      <rPr>
        <sz val="11"/>
        <rFont val="宋体"/>
        <charset val="134"/>
        <scheme val="minor"/>
      </rPr>
      <t>日期码格式：ZURU INC(BVI) 标准格式 日期：按实际生产日期
Packaging Info:
2.77673:最新MA 3L EAN 版本包装+</t>
    </r>
    <r>
      <rPr>
        <sz val="11"/>
        <color rgb="FFFF0000"/>
        <rFont val="宋体"/>
        <charset val="134"/>
        <scheme val="minor"/>
      </rPr>
      <t>一张西班牙环保标&lt;(&gt;&amp;&lt;)&gt;邮箱贴纸</t>
    </r>
    <r>
      <rPr>
        <sz val="11"/>
        <rFont val="宋体"/>
        <charset val="134"/>
        <scheme val="minor"/>
      </rPr>
      <t>+MA 23L 说明书+MA 5L Creative 说明书+MA 3L PDQ；
Remark:</t>
    </r>
  </si>
  <si>
    <t>Miya Fang</t>
  </si>
  <si>
    <t>ARGOS LIMITED</t>
  </si>
  <si>
    <t>PO#239936-Cus
tomer
SKU#7624348</t>
  </si>
  <si>
    <t>4500163218-30</t>
  </si>
  <si>
    <t>日期码格式：ZURU INC(BVI) 标准格式 日期：按实际生产日期
Packaging Info: 
77673-S001
MA -1L UPC包装+客人白色Cat.label 1张覆盖ZURU条码
-注意Cat.label (要求易撕类贴纸，但是粘性不能过低），同时此贴纸每个订单都是不相同的(会显示客户对应的订单号），切勿翻旧订单购买，该贴纸由工厂自行
购买。
-订单对应客户PO号备注有显示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t>
  </si>
  <si>
    <t xml:space="preserve">May Wu </t>
  </si>
  <si>
    <t>UNIPAM SRL</t>
  </si>
  <si>
    <t>意大利</t>
  </si>
  <si>
    <t>4500164781-20</t>
  </si>
  <si>
    <t>贴纸和WEEE翻4500162314</t>
  </si>
  <si>
    <r>
      <rPr>
        <sz val="11"/>
        <rFont val="宋体"/>
        <charset val="134"/>
        <scheme val="minor"/>
      </rPr>
      <t>日期码格式：ZURU INC(BVI) 标准格式 日期：按实际生产日期
Packaging Info:
2.77673TQ1:最新MA 3L EAN收缩膜+最新MA 5L收藏指南+最新MA 23L说明书+最新MA纸袋+最新MA 3L PDQ+</t>
    </r>
    <r>
      <rPr>
        <sz val="11"/>
        <color rgb="FFFF0000"/>
        <rFont val="宋体"/>
        <charset val="134"/>
        <scheme val="minor"/>
      </rPr>
      <t>一张警语贴纸（含意大利警语和意大利环保标）+ 多语版WEE
E电池垃圾桶的回收声明说明书（ included，翻4500162314）</t>
    </r>
    <r>
      <rPr>
        <sz val="11"/>
        <rFont val="宋体"/>
        <charset val="134"/>
        <scheme val="minor"/>
      </rPr>
      <t xml:space="preserve">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t>
    </r>
  </si>
  <si>
    <t>Christine He</t>
  </si>
  <si>
    <t>NORWEGIAN TOY IMPORT AS - DOM</t>
  </si>
  <si>
    <t>4500163205-150</t>
  </si>
  <si>
    <r>
      <rPr>
        <sz val="11"/>
        <rFont val="宋体"/>
        <charset val="134"/>
        <scheme val="minor"/>
      </rPr>
      <t>日期码格式：ZURU INC(BVI) 标准格式 日期：按实际生产日期
Packaging Info: 
77673TQ1：MA EAN 3L收缩膜 +</t>
    </r>
    <r>
      <rPr>
        <sz val="11"/>
        <color rgb="FFFF0000"/>
        <rFont val="宋体"/>
        <charset val="134"/>
        <scheme val="minor"/>
      </rPr>
      <t>MA 23L 电池警告语说明书 +MA-A 3L 展示盒+进口商贴纸+带纽扣电池走货北欧六语通用黑白电池说明书_OL_画板 1</t>
    </r>
    <r>
      <rPr>
        <sz val="11"/>
        <rFont val="宋体"/>
        <charset val="134"/>
        <scheme val="minor"/>
      </rPr>
      <t xml:space="preserve">
Remark: 1/配比：
2/产品和包装要求无硼无香，包装不能含有PVC;
如有微塑料，必须合规欧洲标准，闪粉也是微塑料的一种，目前仅接受三张方式1.去除，2.用可降解材料，和3. 永久封印在固体。
3/带电池出货的产品,电池需要符合欧洲电池新规(EU) 2023-1542.</t>
    </r>
  </si>
  <si>
    <t>4500163205-120</t>
  </si>
  <si>
    <r>
      <rPr>
        <sz val="11"/>
        <rFont val="宋体"/>
        <charset val="134"/>
        <scheme val="minor"/>
      </rPr>
      <t>日期码格式：ZURU INC(BVI) 标准格式 日期：按实际生产日期
Packaging Info:
77673：MA_A EAN 3L 收缩膜 +</t>
    </r>
    <r>
      <rPr>
        <sz val="11"/>
        <color rgb="FFFF0000"/>
        <rFont val="宋体"/>
        <charset val="134"/>
        <scheme val="minor"/>
      </rPr>
      <t>进口商贴纸+带纽扣电池走货北欧六语通用黑白电池说明书_OL_画板 1</t>
    </r>
    <r>
      <rPr>
        <sz val="11"/>
        <rFont val="宋体"/>
        <charset val="134"/>
        <scheme val="minor"/>
      </rPr>
      <t xml:space="preserve">
Remark: 1/配比：
2/产品和包装要求无硼无香，包装不能含有PVC;
如有微塑料，必须合规欧洲标准，闪粉也是微塑料的一种，目前仅接受三张方式1.去除，2.用可降解材料，和3. 永久封印在固体。
3/带电池出货的产品,电池需要符合欧洲电池新规(EU) 2023-1542.</t>
    </r>
  </si>
  <si>
    <t>Lekia AB</t>
  </si>
  <si>
    <t>瑞典</t>
  </si>
  <si>
    <t>156653-2</t>
  </si>
  <si>
    <t>4500164226-30</t>
  </si>
  <si>
    <r>
      <rPr>
        <sz val="11"/>
        <rFont val="宋体"/>
        <charset val="134"/>
        <scheme val="minor"/>
      </rPr>
      <t xml:space="preserve">日期码格式：ZURU INC(BVI) 标准格式 日期：按实际生产日期
Packaging Info: 
 77673TQ1-S001:MA 3L EAN版收缩膜+警告语/进口商贴纸+MA 5L收藏指南+MA （电池+UV胶警告语-23L）说明书+MA 3L PDQ+带纽扣电池走货北欧六语通用黑白电池说
 明书
</t>
    </r>
    <r>
      <rPr>
        <sz val="11"/>
        <color rgb="FFFF0000"/>
        <rFont val="宋体"/>
        <charset val="134"/>
        <scheme val="minor"/>
      </rPr>
      <t xml:space="preserve"> 北欧五语通用Slime黑白说明书
 带纽扣电池走货北欧六语通用黑白电池说明书
 不带电池走货北欧六语通用黑白电池说明书
上述说明书翻单4500162375,之前已通知按照MA采购，不要重复订购</t>
    </r>
    <r>
      <rPr>
        <sz val="11"/>
        <rFont val="宋体"/>
        <charset val="134"/>
        <scheme val="minor"/>
      </rPr>
      <t xml:space="preserve">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77673TQ1-S001//100-223011473//4894680042773</t>
    </r>
  </si>
  <si>
    <t>Luna Lin</t>
  </si>
  <si>
    <t>HARVEY WHOLESALE LTD</t>
  </si>
  <si>
    <t>4500163518-20</t>
  </si>
  <si>
    <t>日期码格式：ZURU INC(BVI) 标准格式 日期：按实际生产日期
Packaging Info: 
#77673:Filxed Collection;
3PCS AG13 BATTERIES(INCLUDED)
Remark: MA UPC 英语包装（优先1L英语版本,或者3L/L含英语即可
#77673包装正面和说明书都需要加电池警告语贴纸（法规要求）</t>
  </si>
  <si>
    <t>4500162968-70</t>
  </si>
  <si>
    <t>日期码格式：ZURU INC(BVI) 标准格式 日期：按实际生产日期
Packaging Info:
77673-S001: MA英语UPC版本包装（收缩膜和说明书, MA首选1L，如无1L可用多语且含英语的配套多语包装) + 1张说明书纽扣电池警告语贴纸+ 1张收缩膜纽扣电池
警告语贴纸+ 1张防盗贴纸+箱唛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</si>
  <si>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 xml:space="preserve"> ZMPO250381</t>
  </si>
  <si>
    <t>95867-7.31</t>
  </si>
  <si>
    <t>4500163334-70</t>
  </si>
  <si>
    <t>日期码格式：ZURU INC(BVI) 标准格式 日期：按实际生产日期
Packaging Info: 
77673TQ1:最新MA 3L EAN收缩膜+最新MA 5L收藏指南+最新MA 23L说明书+最新MA纸袋+最新MA 3L PDQ+多语警语折叠贴纸（含包装缺失的法/意/西环保标）+ 多语版W
EEE电池垃圾桶的回收声明说明书（ included）（贴纸和WEEE翻4500162314）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</si>
  <si>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SD83</t>
  </si>
  <si>
    <t>MAGGIO 3 SRL</t>
  </si>
  <si>
    <t>4500163950-10</t>
  </si>
  <si>
    <r>
      <rPr>
        <sz val="11"/>
        <rFont val="宋体"/>
        <charset val="134"/>
        <scheme val="minor"/>
      </rPr>
      <t xml:space="preserve">日期码格式：ZURU INC(BVI) 标准格式 日期：按实际生产日期
Packaging Info: 77673TQ1: </t>
    </r>
    <r>
      <rPr>
        <sz val="11"/>
        <color rgb="FFFF0000"/>
        <rFont val="宋体"/>
        <charset val="134"/>
        <scheme val="minor"/>
      </rPr>
      <t>（MA 3L PDQ+1张展示架ITF14条码贴纸）+MA A 3L 收缩膜含EAN条码</t>
    </r>
    <r>
      <rPr>
        <sz val="11"/>
        <rFont val="宋体"/>
        <charset val="134"/>
        <scheme val="minor"/>
      </rPr>
      <t>+进口商含意大利环保标贴纸+MA A5L收藏指南，MA A23L说明书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r>
  </si>
  <si>
    <t>Mary Zhong</t>
  </si>
  <si>
    <t>95665-7.17</t>
  </si>
  <si>
    <t>77673TQ1-S002-3L</t>
  </si>
  <si>
    <t>JUGATOYS S.L.</t>
  </si>
  <si>
    <t>4500163874-30</t>
  </si>
  <si>
    <t>日期码格式：LOTE：39-工厂城市名缩写 20250602,只显示在包装上面即可</t>
  </si>
  <si>
    <r>
      <rPr>
        <sz val="11"/>
        <rFont val="宋体"/>
        <charset val="134"/>
        <scheme val="minor"/>
      </rPr>
      <t>日期码格式：LOTE：39-工厂城市名缩写</t>
    </r>
    <r>
      <rPr>
        <sz val="11"/>
        <color rgb="FFFF0000"/>
        <rFont val="宋体"/>
        <charset val="134"/>
        <scheme val="minor"/>
      </rPr>
      <t xml:space="preserve"> 20250603</t>
    </r>
    <r>
      <rPr>
        <sz val="11"/>
        <rFont val="宋体"/>
        <charset val="134"/>
        <scheme val="minor"/>
      </rPr>
      <t>,只显示在包装上面即可 日期：
Packaging Info
 77673:MA A 3L 收缩膜含EAN条码+进口商贴纸+MA A5L收藏指南，MA A23L说明书（产品包装和PDQ都需要贴纸）+WEEE带电池走货欧洲30语通用黑白说明书
Remark: 1. 此单出西班牙，需满足EU测试标准要求，另外微塑料需符合EU法规；
 2. 标准配比
 3. 客户日期码格式 LOTE：39-工厂城市名缩写 20250603 ，客户日期码格式需显示在包装上，否则会有客诉。不用重复显示在产品上面，产品&lt;(&gt;&amp;&lt;)&gt; 外箱格式可
 以用回ZURU格式。
 4.根据新电池法规（EU） 2023/1542， 所有走欧洲市场的电子产品，都需要增加WEEE通用30L说明书（分带电池走货 跟 不带电池走货两种），如工厂没有此文件，
 可以找我们跟单提供
 5. 准时完货，需安排ZURU OQC验货。 另外， 包装贴纸上面的警告语不可以覆盖西班牙警告语。</t>
    </r>
  </si>
  <si>
    <t>77673-S003-3L</t>
  </si>
  <si>
    <t>欠</t>
  </si>
  <si>
    <t>NORDIC TOY TEAM AS - DOM</t>
  </si>
  <si>
    <t>4500164402-20</t>
  </si>
  <si>
    <t>进口商贴纸</t>
  </si>
  <si>
    <r>
      <rPr>
        <sz val="11"/>
        <rFont val="宋体"/>
        <charset val="134"/>
        <scheme val="minor"/>
      </rPr>
      <t>日期码格式：ZURU INC(BVI) 标准格式 日期：按实际生产日期
Packaging Info: 
77673: MA_A EAN 3L 收缩膜+</t>
    </r>
    <r>
      <rPr>
        <sz val="11"/>
        <color rgb="FFFF0000"/>
        <rFont val="宋体"/>
        <charset val="134"/>
        <scheme val="minor"/>
      </rPr>
      <t>MA 5L 收藏指南+进口商贴纸</t>
    </r>
    <r>
      <rPr>
        <sz val="11"/>
        <rFont val="宋体"/>
        <charset val="134"/>
        <scheme val="minor"/>
      </rPr>
      <t xml:space="preserve">
Remark: 1/产品和包装要求无硼无香，包装不能含有PVC
2/如有微塑料，必须合规欧洲标准，闪粉也是微塑料的一种，目前仅接受三张方式1.去除，2.用可降解材料，和3.永久封印在固体。
3/带电池出货的产品，所用到的电池需要符合欧洲电池新规(EU)2023-1542
4/产品配比
77673: Filxed Collection</t>
    </r>
  </si>
  <si>
    <t>Amazon EU SARL, Ndl Deutschland</t>
  </si>
  <si>
    <t>Amazon
UK:3P5HOGHS</t>
  </si>
  <si>
    <t>4500164250-100</t>
  </si>
  <si>
    <t>空白外箱（加印带Zuru字样的最新logo，除了邮包盒直接做外箱的产品） + SSCC LABEL一张, 无箱唛，MADE IN CHINA 外箱只印一正一侧。箱唛资料按照给定的
标准去做即可，无需发回我方再行审批(新标准将另行通知)。</t>
  </si>
  <si>
    <t>2张贴纸(1张UPC#，参考翻单PO#4500158582；1张可折叠警语贴
含德意警告语+IT环保标，参考翻单PO#4500157858);</t>
  </si>
  <si>
    <t>日期码格式：ZURU INC(BVI) 标准格式 日期：按实际生产日期
Packaging Info: Amazon UK(15714K/7150B/77673/77723/92119AH/9279B/9561)/FR(9543D)/DE(71126/77555/77731/92104G/9543E)
3. 77673：12pcs/ctn; MA 3L(3L warning EAN#)A收缩膜+MA 23L warning说明书+MA 5L A收藏指南+2张贴纸(1张UPC#，参考翻单PO#4500158582；1张可折叠警语贴
含德意警告语+IT环保标，参考翻单PO#4500157858);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</si>
  <si>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Crystal Chen</t>
  </si>
  <si>
    <t>Lobbes Speelgoed BV</t>
  </si>
  <si>
    <t>荷兰</t>
  </si>
  <si>
    <t>4500164557-20</t>
  </si>
  <si>
    <t>迷你冰箱12pcs/箱</t>
  </si>
  <si>
    <r>
      <rPr>
        <sz val="12"/>
        <rFont val="宋体"/>
        <charset val="134"/>
        <scheme val="minor"/>
      </rPr>
      <t xml:space="preserve">日期码格式：ZURU INC(BVI) 标准格式 日期：按实际生产日期
Packaging Info:
</t>
    </r>
    <r>
      <rPr>
        <sz val="12"/>
        <color rgb="FFFF0000"/>
        <rFont val="宋体"/>
        <charset val="134"/>
        <scheme val="minor"/>
      </rPr>
      <t xml:space="preserve"> 77673: 客版EN FR DE IT NL 5L收缩膜（翻单4500155594），客版EN FR DE IT NL 5L收藏指南（翻单4500155594），MA 5L配件袋，MA 23L黑白说明书，WEEE带电池
 走货欧洲30L通用黑白说明书</t>
    </r>
    <r>
      <rPr>
        <sz val="12"/>
        <rFont val="宋体"/>
        <charset val="134"/>
        <scheme val="minor"/>
      </rPr>
      <t xml:space="preserve">
Remark: 1. STD配比
 2.EAN条码
 77673: 4894680042773
 3.须符合欧洲微塑料法规</t>
    </r>
  </si>
  <si>
    <t>Nicole Ye</t>
  </si>
  <si>
    <t>77673-S001-1</t>
  </si>
  <si>
    <t>ZMPO250363</t>
  </si>
  <si>
    <t>77785-S001-77673-INT-MTS</t>
  </si>
  <si>
    <t>1pcs迷你冰箱+2pcs迷你球混装</t>
  </si>
  <si>
    <t>Remark:大货版本/大货标准箱装箱/箱唛请参照邮件附件;备注：收到样品订单后尽快安排 ，注意样板品质质量要求要高于大货品质要求 ，送货时必须要附带送货单(没有送货单和QC检验合格报告的仓库一律拒绝收货)，请知悉，谢谢！</t>
  </si>
  <si>
    <t>95863-7.31</t>
  </si>
  <si>
    <t>77785-S001-INT</t>
  </si>
  <si>
    <t>0904512288EAS
TVALE</t>
  </si>
  <si>
    <t>4500162787-10</t>
  </si>
  <si>
    <t>外箱印刷带条码的RFID箱唛：RFID紫色色带+WM Dept.图标+RFID图标+ITF-14条码，四面右下角印刷ZURU logo, ITFF条码只印刷在正唛一面，在加印的时候确
保</t>
  </si>
  <si>
    <t>日期码格式：ZURU DGYYYYMMDD CHINA(日期避开周末和法定节假日即可） 日期：按实际生产日期
Packaging Info: 77673TQ1-S001
1.包装要求：
MA 1L A版收缩膜+MA 5L 收藏指南+MA 说明书+MA playset
每pcs产品上要贴1张RFID贴纸，贴纸由ZURU提供，贴纸位置请严格按照我们签回的签板；
Remark: 77673TQ1-S001
1.包装要求：
MA 1L A版收缩膜+MA 5L 收藏指南+MA 说明书+MA playset
每pcs产品上要贴1张RFID贴纸，贴纸由ZURU提供，贴纸位置请严格按照我们签回的签板；
2. 外箱印刷带条码的RFID箱唛：RFID紫色色带+WM Dept.图标+RFID图标+ITF-14条码，四面右下角印刷ZURU logo, ITFF条码只印刷在正唛一面，在加印的时候确
保
条形码能扫描出来，外箱侧面任一角落加印："MADE IN CHINA" 字样；
3. 在产品上和包装上要有日期码、以及要有MADE IN CHINA和ZURU字样；
4. 产品如有扎带口要剪平，不能刮手。
5.此单以loose carton出货，4pcs/PDQ/CT</t>
  </si>
  <si>
    <t>0904512338ELW
OOD</t>
  </si>
  <si>
    <t>4500162787-20</t>
  </si>
  <si>
    <t>0904512314STA
TESBORO</t>
  </si>
  <si>
    <t>4500162787-30</t>
  </si>
  <si>
    <t>0904512301SUF
FOLK</t>
  </si>
  <si>
    <t>4500162787-40</t>
  </si>
  <si>
    <t>0904512358RID
GEVILLE SC</t>
  </si>
  <si>
    <t>4500162787-50</t>
  </si>
  <si>
    <t>AB Gee of Ripley Ltd.</t>
  </si>
  <si>
    <t>777 4APR25</t>
  </si>
  <si>
    <t>4500164759-120</t>
  </si>
  <si>
    <t>翻单</t>
  </si>
  <si>
    <t>日期码格式：ZURU INC(BVI) 标准格式 日期：按实际生产日期
Packaging Info:
12. 77673TQ1-S004：MA 最新UPC包装+WEEE带电池走货欧洲30语通用黑白说明书, UPC# 193052079404，请先检查条码是否正确再安排做货，如有问题请告知
Remark: 1.产品及包装需要印UKCA图标，包装需要有ZURU UK LTD/ZURU France地址信息，QC同事请核查，如有问题与跟单确认。
2. 需要符合欧洲标准不能含有闪粉和微塑料，否则不合法规会有客诉产生</t>
  </si>
  <si>
    <t>ESAL ENTERPRISES FZC</t>
  </si>
  <si>
    <t>沙特阿拉伯</t>
  </si>
  <si>
    <t>KSA</t>
  </si>
  <si>
    <t>4500162474-100</t>
  </si>
  <si>
    <t>77673PLB-S001</t>
  </si>
  <si>
    <t>日期码格式：ZURU INC(BVI) 标准格式 日期：按实际生产日期
Packaging Info: 9548：1L MA包装（含G Mark)+进口商贴纸翻4500128286(含QR code, 阿拉伯警语); 贴纸上的QR code需微信可扫，扫描结果为64431； MA说明书
9561:MA+进口商贴纸+说明书（加贴纸）
9543GQ1：MA+进口商贴纸；PDQ+进口商贴纸
71152：MA+进口商贴纸+说明书（加贴纸）
77673TQ1：MA PDQ+彩色贴纸+进口商贴纸；MA收藏指南+彩色贴纸；收缩膜+进口商贴纸；MA说明书+一张客制黑白说明书纸
1. 9561PLB：9561-S001 4pcs/CTN (Carton Size: 39.2x39.2x34.2CM); 6*5H=30CTN=30*4pcs=120pcs/pallet; 9561（共120箱）:每层6箱，装5层。装4个pallet。
2. 9548PLB：9548-S001 4pcs/CTN (Carton Size: 57.7x38.5x32.2CM); 5*6H=30CTN=30*4pcs=120pcs/pallet；9548（共36箱）:每层5箱，装6层。装1个pallet 装3
0箱，剩36-30=6箱。
3. MPLB11：9548-S001 4pcs/CTN (Carton Size: 57.7x38.5x32.2CM); 9543GQ1-S001 22PCS/2PDQ/CTN (Carton Size: 48.4x36.6x27.2CM); 6*4H=24-2=22CTN+6CTN
(9548)，total 508pcs/pallet；9548-S001 4*6CTN=24pcs, 9543GQ1-S001 22*22CTN=484pcs;
9543GQ1（22箱）:每层6箱，装4层。装1个pallet，最上面1层少装2箱，其余空间装6箱9548-S001。
4. 71152PLB：71152-S001 6PCS/CTN (Carton Size: 31.7x29.2x43.3CM); 8*5H=40CTN=40*6pcs=240pcs/pallet；
71152（80箱）：每层8箱，装5层。装2个pallet。
5. 77673PLB：77673TQ1-S002 16PCS/4PDQ/CTN(SIZE:41.7*26.8*40.1CM)8*4H-2=30CTN=480PCS；
77673TQ1（30箱）：每层8箱，装4层。装1个pallet，最上面一层少放2箱。
6. 77803PLB：77803GQ2-S001-PRODCC-INT 50PCS/2PDQ/CTN(SIZE:42.6*33*41CM)8*4H-3=29CTN=1450PCS；
77803GQ2-S001（29箱）：每层8箱，装4层，装1个pallet ，最上面1层少装3箱。
7. 77803PLD：77803SK1-S002-PRODCC-INT 30PCS/SIDEKICK/CTN(SIZE:14.5*33.5*112.5CM)22*1H+6*2H+1=35CTN=1050PCS；
77803SK1-S002（35箱）：总高度（1290+670+145=2105mm）装1个pallet，竖放22箱+横放12箱，最上层再平放1箱
Remark: 9548:1 assorment,3pcs AAA batteries(not included)</t>
  </si>
  <si>
    <t>Lena Huang</t>
  </si>
  <si>
    <t>96584-2-9.30</t>
  </si>
  <si>
    <t>CCD SELL OUT SERVICE SRL</t>
  </si>
  <si>
    <t>4500163782-30</t>
  </si>
  <si>
    <t>18pc冰箱+90pc球混装展示架</t>
  </si>
  <si>
    <t>6/9 截SI</t>
  </si>
  <si>
    <t>日期码格式：ZURU INC(BVI) 标准格式 日期：按实际生产日期
Packaging Info:
MEC305：MA展示架
子件77673:最新MA3LEAN收缩膜+最新MA5L收藏指南+最新MA23L说明书+最新MA纸袋+意大利环保标通用地址贴(含意大利警语)
Remark: 1. 此单出意大利，需要满足EU标准，通过ZURU验货即可；
2. 产品均符合EU微塑料法规要求：不能含有微塑料/闪粉
3, SMASHERS 或含Slime产品，所有化合物使用无硼版本出意大利。</t>
  </si>
  <si>
    <t>Lena Li</t>
  </si>
  <si>
    <t>MEC305-S001-INT-77673</t>
  </si>
  <si>
    <t>77673</t>
  </si>
  <si>
    <t>AG240428-HK</t>
  </si>
  <si>
    <t>4500161438-10</t>
  </si>
  <si>
    <t>77785-S001-77673-INT</t>
  </si>
  <si>
    <t>6/8 出货</t>
  </si>
  <si>
    <t>1张客供警语贴+1张客供电池警语贴纸+1张客供中文警告说明书</t>
  </si>
  <si>
    <r>
      <rPr>
        <sz val="12"/>
        <rFont val="宋体"/>
        <charset val="134"/>
        <scheme val="minor"/>
      </rPr>
      <t>日期码格式：ZURU INC(BVI) 标准格式 日期：按实际生产日期
Packaging Info: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t>
    </r>
    <r>
      <rPr>
        <sz val="12"/>
        <color rgb="FFFF0000"/>
        <rFont val="宋体"/>
        <charset val="134"/>
        <scheme val="minor"/>
      </rPr>
      <t xml:space="preserve">
（具体贴纸位置参考HK客供贴纸位置图）</t>
    </r>
    <r>
      <rPr>
        <sz val="12"/>
        <rFont val="宋体"/>
        <charset val="134"/>
        <scheme val="minor"/>
      </rPr>
      <t xml:space="preserve">
Remark: 此单出HK</t>
    </r>
  </si>
  <si>
    <t>DISTRIBUIDORA JUGUETRON S.A. DE C.V</t>
  </si>
  <si>
    <t>墨西哥</t>
  </si>
  <si>
    <t>4500164861-110</t>
  </si>
  <si>
    <t>返工，6/10 出货</t>
  </si>
  <si>
    <t>产品/包装/说明书都需要贴一张进口商贴纸</t>
  </si>
  <si>
    <t>日期码格式：ZURU INC(BVI) 标准格式 日期：按实际生产日期
Packaging Info: 
77673:MA 3L EAN包装+UPC贴纸+MA 多语说明书+保证书+进口商贴纸+外箱贴纸，产品/包装/说明书都需要贴一张进口商贴纸
Remark: 此单有第三方监柜，需要每款多备1套完整物料</t>
  </si>
  <si>
    <t>Ava Liang</t>
  </si>
  <si>
    <t>4500163950-30</t>
  </si>
  <si>
    <r>
      <rPr>
        <sz val="12"/>
        <rFont val="宋体"/>
        <charset val="134"/>
        <scheme val="minor"/>
      </rPr>
      <t>日期码格式：ZURU INC(BVI) 标准格式 日期：按实际生产日期
Packaging Info:
 MEC305:MA 展示架（如有MA3L则不用MA1L）</t>
    </r>
    <r>
      <rPr>
        <sz val="12"/>
        <color rgb="FFFF0000"/>
        <rFont val="宋体"/>
        <charset val="134"/>
        <scheme val="minor"/>
      </rPr>
      <t>+1张展示架ITF14条码贴纸</t>
    </r>
    <r>
      <rPr>
        <sz val="12"/>
        <rFont val="宋体"/>
        <charset val="134"/>
        <scheme val="minor"/>
      </rPr>
      <t xml:space="preserve">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r>
  </si>
  <si>
    <t>Smyths Toys HQ UC IE</t>
  </si>
  <si>
    <t>4500164476-10</t>
  </si>
  <si>
    <t>（所有资料翻#4500155594）</t>
  </si>
  <si>
    <t>日期码格式：ZURU INC(BVI) 标准格式 日期：按实际生产日期
Packaging Info: 77673TQ1：最新MA PDQ(优先3L )+客版收缩膜(英法德callout/英法德意荷警语/法国环保logo)+23L说明书+客版收藏指南(英法德意荷)（所有资料翻#4500155594）+
WEEE电池通用30L说明书（带电池）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</si>
  <si>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Amazon ES</t>
  </si>
  <si>
    <t>Amazon ES:
24T2QNEG</t>
  </si>
  <si>
    <t>4500158623-10</t>
  </si>
  <si>
    <t>2张贴纸(1张UPC#，参考翻单PO#4500158582；1张可折叠警语贴
含德意警告语+IT环保标，参考翻单PO#4500157858)</t>
  </si>
  <si>
    <r>
      <rPr>
        <sz val="11"/>
        <rFont val="宋体"/>
        <charset val="134"/>
        <scheme val="minor"/>
      </rPr>
      <t xml:space="preserve">日期码格式：ZURU INC(BVI) 标准格式 日期：按实际生产日期
Packaging Info: Amazon ES(77673, 77731)/IT(77673, 77731)
1. 77673：12pcs/ctn; </t>
    </r>
    <r>
      <rPr>
        <sz val="11"/>
        <color rgb="FFFF0000"/>
        <rFont val="宋体"/>
        <charset val="134"/>
        <scheme val="minor"/>
      </rPr>
      <t>MA 3L(3L warning EAN#)A收缩膜+MA 23L warning说明书+MA 5L A收藏指南+2张贴纸(1张UPC#，参考翻单PO#4500158582；1张可折叠警语贴
含德意警告语+IT环保标，参考翻单PO#4500157858);</t>
    </r>
    <r>
      <rPr>
        <sz val="11"/>
        <rFont val="宋体"/>
        <charset val="134"/>
        <scheme val="minor"/>
      </rPr>
      <t xml:space="preserve">
3. 最迟验货不得晚于2025/6/6;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r>
  </si>
  <si>
    <t>Mandy Hu</t>
  </si>
  <si>
    <t>Amazon IT</t>
  </si>
  <si>
    <t>Amazon IT:
4NJLJW3F</t>
  </si>
  <si>
    <t>4500158623-20</t>
  </si>
  <si>
    <t>AMAZON UK</t>
  </si>
  <si>
    <t>Amazon UK:
5X73JCPG</t>
  </si>
  <si>
    <t>4500158582-10</t>
  </si>
  <si>
    <t>空白外箱（加印带Zuru字样的最新logo，除了邮包盒直接做外箱的产品） + SSCC LABEL一张, 无箱唛，MADE IN CHINA 外箱只印一正一侧。箱唛资料按照给定的
 标准去做即可，无需发回我方再行审批(新标准将另行通知)。</t>
  </si>
  <si>
    <r>
      <rPr>
        <sz val="11"/>
        <rFont val="宋体"/>
        <charset val="134"/>
        <scheme val="minor"/>
      </rPr>
      <t xml:space="preserve">日期码格式：ZURU INC(BVI) 标准格式 日期：按实际生产日期
Packaging Info: Amazon UK(77673, 77731)/DE(77673, 77731)/FR(77673, 77731)
</t>
    </r>
    <r>
      <rPr>
        <sz val="11"/>
        <color rgb="FFFF0000"/>
        <rFont val="宋体"/>
        <charset val="134"/>
        <scheme val="minor"/>
      </rPr>
      <t>1. 77673: 12pcs/ctn; MA 3L(3L warning EAN#)A收缩膜+MA 23L warning说明书+MA 5L A收藏指南+2张贴纸(1张UPC#；1张可折叠警语贴含德意警告语+IT环保标，
参考翻单PO#4500157858);</t>
    </r>
    <r>
      <rPr>
        <sz val="11"/>
        <rFont val="宋体"/>
        <charset val="134"/>
        <scheme val="minor"/>
      </rPr>
      <t xml:space="preserve">
3. 验货时间不迟于2025/6/6.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r>
  </si>
  <si>
    <t>Amazon DE:
7ZBT6PGD</t>
  </si>
  <si>
    <t>4500158582-20</t>
  </si>
  <si>
    <t>Amazon FR:
1Y7VM65P</t>
  </si>
  <si>
    <t>4500158582-30</t>
  </si>
  <si>
    <t>NUEVOS ALMACENES, S.A.</t>
  </si>
  <si>
    <t>4500162780-10</t>
  </si>
  <si>
    <t>MEEC356-S001-INT-77673</t>
  </si>
  <si>
    <t>无客户贴纸-(AW/结构同标版MEC305)</t>
  </si>
  <si>
    <r>
      <rPr>
        <sz val="11"/>
        <rFont val="宋体"/>
        <charset val="134"/>
        <scheme val="minor"/>
      </rPr>
      <t>日期码格式：ZURU INC(BVI) 标准格式 日期：按实际生产日期
Packaging Info: MEC356:MA 展架+箱唛，无客户贴纸+</t>
    </r>
    <r>
      <rPr>
        <sz val="11"/>
        <color rgb="FFFF0000"/>
        <rFont val="宋体"/>
        <charset val="134"/>
        <scheme val="minor"/>
      </rPr>
      <t>展示架贴纸</t>
    </r>
    <r>
      <rPr>
        <sz val="11"/>
        <rFont val="宋体"/>
        <charset val="134"/>
        <scheme val="minor"/>
      </rPr>
      <t xml:space="preserve">
77673：MA 3L EAN 包装+UPC贴纸
Remark: 订单需提交自检报告，客户审核通过才可以出货。
外箱上的箱唛资料会显示日期15/06/2025,产品/包装/外箱可以按ZURU 标准日期码打，也可以跟回外箱日期码，工厂自行选择,两者均可接受
MEC256 条码：
77673:193052079404(504pcs)</t>
    </r>
  </si>
  <si>
    <t>MEC356-S001-INT-77673</t>
  </si>
  <si>
    <t>Bol.com</t>
  </si>
  <si>
    <t>P2505497</t>
  </si>
  <si>
    <t>4500164946-20</t>
  </si>
  <si>
    <t>1张贴纸(1张可折叠警语贴含NL警告语，参考翻单PO#4500157858
)+WEEE电子产品说明书(带电池走货版，参考翻单PO#4500164946);</t>
  </si>
  <si>
    <t>日期码格式：ZURU INC(BVI) 标准格式 日期：按实际生产日期
2. 77673：12pcs/ctn; MA 3L(3L warning EAN#)A收缩膜+MA 23L warning说明书+MA 5L A收藏指南+1张贴纸(1张可折叠警语贴含NL警告语，参考翻单PO#4500157858
)+WEEE电子产品说明书(带电池走货版，参考翻单PO#4500164946);
3.最迟验货不得晚于2025/6/6;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</si>
  <si>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ADC BLACKFIRE ENTERTAINMENT SRL</t>
  </si>
  <si>
    <t>罗马尼亚</t>
  </si>
  <si>
    <t>PO-01472</t>
  </si>
  <si>
    <t>4500163230-20</t>
  </si>
  <si>
    <t>6/24 截SI</t>
  </si>
  <si>
    <t>日期码格式：ZURU INC(BVI) 标准格式 日期：按实际生产日期
Packaging Info:
77673TQ1: 1L MA 包装+进口商贴纸; A 版 5L MA 收藏指南/23L MA 说明书/A 版 1L MA PDQ
Remark: 1、若产品有比例使用ZURU STD 比例
2、所有item 均用MA UPC 条码，若包装不是UPC 条码的请告知
3、此单出欧洲需满足EU测试标准要求</t>
  </si>
  <si>
    <t>Snowy Wu</t>
  </si>
  <si>
    <t>KING JOUET LOGISTIQUE</t>
  </si>
  <si>
    <t>4500163211-10</t>
  </si>
  <si>
    <t>客版日期码LOT2527, 产品（蛋壳等）/包装（收缩膜等）/外箱 请保持一致</t>
  </si>
  <si>
    <r>
      <rPr>
        <sz val="11"/>
        <rFont val="宋体"/>
        <charset val="134"/>
        <scheme val="minor"/>
      </rPr>
      <t>日期码格式：</t>
    </r>
    <r>
      <rPr>
        <sz val="11"/>
        <color rgb="FFFF0000"/>
        <rFont val="宋体"/>
        <charset val="134"/>
        <scheme val="minor"/>
      </rPr>
      <t>LOT2522</t>
    </r>
    <r>
      <rPr>
        <sz val="11"/>
        <rFont val="宋体"/>
        <charset val="134"/>
        <scheme val="minor"/>
      </rPr>
      <t xml:space="preserve"> 日期：
Packaging Info: 最新MA 3L EAN包装+</t>
    </r>
    <r>
      <rPr>
        <sz val="11"/>
        <color rgb="FFFF0000"/>
        <rFont val="宋体"/>
        <charset val="134"/>
        <scheme val="minor"/>
      </rPr>
      <t>客版 3L 彩盒（翻4500163212）+ 一张mother EAN：4894680050945条码贴纸+一张进口商贴纸+一张产品贴纸+一张WEEE说明书纸</t>
    </r>
    <r>
      <rPr>
        <sz val="11"/>
        <rFont val="宋体"/>
        <charset val="134"/>
        <scheme val="minor"/>
      </rPr>
      <t xml:space="preserve">
Remark: 1. 大货样品2套/item，用于客人验货签板。验货后还会抽办1套/item，请多备料；
2. 客版日期码LOT2522,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r>
  </si>
  <si>
    <t>Prénatal Retail Group Asia Pacific</t>
  </si>
  <si>
    <t>4500163212-10</t>
  </si>
  <si>
    <r>
      <rPr>
        <sz val="11"/>
        <rFont val="宋体"/>
        <charset val="134"/>
        <scheme val="minor"/>
      </rPr>
      <t>日期码格式</t>
    </r>
    <r>
      <rPr>
        <sz val="11"/>
        <color rgb="FFFF0000"/>
        <rFont val="宋体"/>
        <charset val="134"/>
        <scheme val="minor"/>
      </rPr>
      <t>：LOT2522 日期：</t>
    </r>
    <r>
      <rPr>
        <sz val="11"/>
        <rFont val="宋体"/>
        <charset val="134"/>
        <scheme val="minor"/>
      </rPr>
      <t xml:space="preserve">
Packaging Info: 最新MA 3L EAN包装+最新MA </t>
    </r>
    <r>
      <rPr>
        <sz val="11"/>
        <color rgb="FFFF0000"/>
        <rFont val="宋体"/>
        <charset val="134"/>
        <scheme val="minor"/>
      </rPr>
      <t>3L彩盒+一张mother EAN：4894680050945条码贴纸+一张进口商贴纸+一张产品贴纸+一张WEEE说明书纸</t>
    </r>
    <r>
      <rPr>
        <sz val="11"/>
        <rFont val="宋体"/>
        <charset val="134"/>
        <scheme val="minor"/>
      </rPr>
      <t xml:space="preserve">
Remark: 1.RATIO 同MA 一致。
2.大货样品2套/item，用于客人验货签板。验货后还会抽办1套/item，请多备料。
3.客人日期码：</t>
    </r>
    <r>
      <rPr>
        <sz val="11"/>
        <color rgb="FFFF0000"/>
        <rFont val="宋体"/>
        <charset val="134"/>
        <scheme val="minor"/>
      </rPr>
      <t>LOT2522</t>
    </r>
    <r>
      <rPr>
        <sz val="11"/>
        <rFont val="宋体"/>
        <charset val="134"/>
        <scheme val="minor"/>
      </rPr>
      <t>，产品（蛋壳等）/包装（收缩膜等）/外箱 请保持一致。
4.产品均符合EU微塑料法规要求：不能含有微塑料/闪粉
5. SMASHERS 或含Slime产品，所有化合物使用无硼版本出意大利。
6. 本订单所有 具有 baby items / assorted items 的款式，零售包装上都要用 母 EAN;
7，此客户需要第三方验货，请在约三方验货前必须PASS ZURU验货。</t>
    </r>
  </si>
  <si>
    <t xml:space="preserve"> Multihexa Sdn Bhd</t>
  </si>
  <si>
    <t>马来西亚</t>
  </si>
  <si>
    <t>4500165640-50</t>
  </si>
  <si>
    <r>
      <rPr>
        <sz val="12"/>
        <rFont val="宋体"/>
        <charset val="134"/>
        <scheme val="minor"/>
      </rPr>
      <t xml:space="preserve">日期码格式：ZURU INC(BVI) 标准格式 日期：按实际生产日期
Packaging Info: 1.
</t>
    </r>
    <r>
      <rPr>
        <sz val="12"/>
        <color rgb="FFFF0000"/>
        <rFont val="宋体"/>
        <charset val="134"/>
        <scheme val="minor"/>
      </rPr>
      <t xml:space="preserve"> 77673-MA UPC包装（优先1L)+1张进口商贴纸。77673的贴纸资料待提供。</t>
    </r>
    <r>
      <rPr>
        <sz val="12"/>
        <rFont val="宋体"/>
        <charset val="134"/>
        <scheme val="minor"/>
      </rPr>
      <t xml:space="preserve">
 进口商贴纸和mother upc贴纸(mother upc条码是193052074874）图稿、位置图翻单4500158287
 3.因为此客人进口商贴纸是通用的，只可能因为item不同尺寸会有差别，如果发现尺寸一样就请统一订购节省成本。
Remark:
 77673-Filxed Collection,3PCS AG13 BATTERIES(INCLUDED)</t>
    </r>
  </si>
  <si>
    <t>UNFI WHOLESALE INC</t>
  </si>
  <si>
    <t>PO# 43359476</t>
  </si>
  <si>
    <t>4500165209-30</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</si>
  <si>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</si>
  <si>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PO# 91157512</t>
  </si>
  <si>
    <t>4500165209-80</t>
  </si>
  <si>
    <t>PO# 96103059</t>
  </si>
  <si>
    <t>4500165209-130</t>
  </si>
  <si>
    <t>MILLS FLEET FARM</t>
  </si>
  <si>
    <t>PO#4647606</t>
  </si>
  <si>
    <t>4500160726-20</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</si>
  <si>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</si>
  <si>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T. PLANET SHOPS SL</t>
  </si>
  <si>
    <t>4500164735-10</t>
  </si>
  <si>
    <t>日期码格式：202502 日期：</t>
  </si>
  <si>
    <t>日期码格式：202502 日期：
Packaging Info: 77785： MA A 3L 收缩膜+MA5L收藏指南+进口商贴纸+EAN 条码贴纸,MA 最新23L说明书+WEEE带电池走货欧洲30语通用黑白说明书
Remark: 1, 此货出西班牙，需满足EU测试标准要求&lt;(&gt;&amp;&lt;)&gt; 微塑料需符合法规。另外请确保所有包装都有西班牙环保标。
2，出货前两周需寄2-3套大货样品，请多备料
3, 此客人推期有罚款，请按时完货
4, 需要ZURU OQC 验货，出货前要客户格式的验货报告给客人确认OK后才出货
5. 客户批次号：202502，包装/产品/外箱需保持一致</t>
  </si>
  <si>
    <t>APOLLO D.O.O.</t>
  </si>
  <si>
    <t>斯洛文尼亚</t>
  </si>
  <si>
    <t>4500164331-60</t>
  </si>
  <si>
    <r>
      <rPr>
        <sz val="11"/>
        <rFont val="宋体"/>
        <charset val="134"/>
        <scheme val="minor"/>
      </rPr>
      <t>日期码格式：ZURU INC(BVI) 标准格式 日期：按实际生产日期
Packaging Info: 
 77763: MA 1LUPC包装+ 进口商贴纸</t>
    </r>
    <r>
      <rPr>
        <sz val="11"/>
        <color rgb="FFFF0000"/>
        <rFont val="宋体"/>
        <charset val="134"/>
        <scheme val="minor"/>
      </rPr>
      <t>;MA收藏指南</t>
    </r>
    <r>
      <rPr>
        <sz val="11"/>
        <rFont val="宋体"/>
        <charset val="134"/>
        <scheme val="minor"/>
      </rPr>
      <t xml:space="preserve">
Remark: 此单出欧洲斯洛文尼亚， 需满足EU测试标准要求，不能含微塑料，需出无闪粉版本
 77673: 3PCS AG13 BATTERIES(INCLUDED)</t>
    </r>
  </si>
  <si>
    <t>Sharon Zhao</t>
  </si>
  <si>
    <t>95572-7.7</t>
  </si>
  <si>
    <t>0904512340HOU
STON</t>
  </si>
  <si>
    <t>4500162973-10</t>
  </si>
  <si>
    <t>0904512294MOB
ILE</t>
  </si>
  <si>
    <t>4500162973-20</t>
  </si>
  <si>
    <t xml:space="preserve"> ZURU France</t>
  </si>
  <si>
    <t>4500169682-30</t>
  </si>
  <si>
    <t>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</si>
  <si>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多语警语折叠贴纸（含包装缺失的法/意/西环保标）+多语版WEEE电池垃圾桶的回收声明说明书（included）（贴纸和WEEE翻4500162314）</t>
  </si>
  <si>
    <t>日期码格式：ZURU INC(BVI) 标准格式 日期：按实际生产日期
Packaging Info: 77673TQ1:最新MA3LEAN收缩膜+最新MA5L收藏指南+最新MA23L说明书+最新MA纸袋+最新MA3LPDQ+多语警语折叠贴纸（含包装缺失的法/意/西环保标）+多语版WEEE电
 池垃圾桶的回收声明说明书（included）（贴纸和WEEE翻4500162314）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</si>
  <si>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 xml:space="preserve"> SD83</t>
  </si>
  <si>
    <t>77673TQ1-S004-3L</t>
  </si>
  <si>
    <t>4500160810-20</t>
  </si>
  <si>
    <t>UPC贴纸翻单：4500160504)</t>
  </si>
  <si>
    <t>日期码格式：ZURU INC(BVI) 标准格式 日期：按实际生产日期
Packaging Info: 
#77673：
MA3L收缩膜+UPC贴纸(UPC:193052079404)+MA23L说明书+MA5L收藏指南+MA5L,UV胶瓶身贴
(UPC贴纸翻单：4500160504)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</si>
  <si>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4500164473-10</t>
  </si>
  <si>
    <t>日期码格式：ZURU INC(BVI) 标准格式 日期：按实际生产日期
Packaging Info: 77673TQ1: 最新MA PDQ(优先3L )+客版收缩膜(英法德callout/英法德意荷警语/法国环保logo)+23L说明书+客版收藏指南(英法德意荷)（所有资料翻#4500155594）+
WEEE电池通用30L说明书（带电池）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</si>
  <si>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Intertoys B.V.</t>
  </si>
  <si>
    <t>4500164022-20</t>
  </si>
  <si>
    <t>6/20 截SI</t>
  </si>
  <si>
    <t>日期码格式：ZURU INC(BVI) 标准格式 日期：按实际生产日期
Packaging Info:
77673: 客版3L+5L（英法德意荷）收缩膜翻-翻4500155594+客人款号EAN条码贴纸， MA23L 说明书+WEEE_带电池走货 _ 说明书欧洲EN+30L-OL， 客版收缩指南-翻4500155594， MA 纸袋
2. 出欧洲，微塑料需合规（如item本身不含微塑料 则忽略此要求）
3. 客人款号
77673 2008169
4. 大货样
请在2025/6/4日前寄出每个item 2pcs 到罗湖办公室, Amber Zhang 收</t>
  </si>
  <si>
    <t xml:space="preserve">Amber Zhang </t>
  </si>
  <si>
    <t xml:space="preserve"> Yug Contract</t>
  </si>
  <si>
    <t>乌克兰</t>
  </si>
  <si>
    <t>4500165525-20</t>
  </si>
  <si>
    <t>6/15 SI</t>
  </si>
  <si>
    <r>
      <rPr>
        <sz val="11"/>
        <rFont val="宋体"/>
        <charset val="134"/>
        <scheme val="minor"/>
      </rPr>
      <t>日期码格式：ZURU INC(BVI) 标准格式 日期：按实际生产日期
Packaging Info: 
 77673TQ1: MA A版 3L EAN 包装+进口商贴纸; MA A版5L收藏指南; MA 最新版23L说明书+</t>
    </r>
    <r>
      <rPr>
        <sz val="11"/>
        <color rgb="FFFF0000"/>
        <rFont val="宋体"/>
        <charset val="134"/>
        <scheme val="minor"/>
      </rPr>
      <t>进口商贴纸</t>
    </r>
    <r>
      <rPr>
        <sz val="11"/>
        <rFont val="宋体"/>
        <charset val="134"/>
        <scheme val="minor"/>
      </rPr>
      <t>; MA A版3L PDQ
Remark: 1、所有item 均用MA EAN 条码，若包装不是EAN 条码的请告知
 2、此单出欧洲需满足EU测试标准要求，另外不能出闪粉（若产品本身不含闪粉则忽略这句话）</t>
    </r>
  </si>
  <si>
    <t xml:space="preserve"> Sharon Zhao</t>
  </si>
  <si>
    <t>ZMPO250459</t>
  </si>
  <si>
    <t>Remark:大货最新3L版本包装/大货标准箱装箱;备注：收到样品订单后尽快安排 ，注意样板品质质量要求要高于大货品质要求 ，送货时必须要附带送货单(没有送货单和QC检验合格报告的仓库一律拒绝收货)，请知悉，谢谢！</t>
  </si>
  <si>
    <t>95865-7.31</t>
  </si>
  <si>
    <t>GEKAS ULLAREED AB</t>
  </si>
  <si>
    <t>4500160445-70</t>
  </si>
  <si>
    <r>
      <rPr>
        <sz val="12"/>
        <rFont val="宋体"/>
        <charset val="134"/>
        <scheme val="minor"/>
      </rPr>
      <t xml:space="preserve">日期码格式：ZURU INC(BVI) 标准格式 日期：按实际生产日期
Packaging Info:
 77673-S001_MA 3L EAN版收缩膜+MA 5L收藏指南+MA （电池+UV胶警告语-23L）说明书+MA 3L PDQ+带纽扣电池走货北欧六语通用黑白电池说明书+警告语/进口商贴
 纸
</t>
    </r>
    <r>
      <rPr>
        <sz val="12"/>
        <color rgb="FFFF0000"/>
        <rFont val="宋体"/>
        <charset val="134"/>
        <scheme val="minor"/>
      </rPr>
      <t xml:space="preserve"> 北欧五语通用Slime黑白说明书
 带纽扣电池走货北欧六语通用黑白电池说明书
 上述贴纸翻单4500162375，之前已经安排MA 采购，请不要重复采购</t>
    </r>
    <r>
      <rPr>
        <sz val="12"/>
        <rFont val="宋体"/>
        <charset val="134"/>
        <scheme val="minor"/>
      </rPr>
      <t xml:space="preserve">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77673-S001-4894680042773</t>
    </r>
  </si>
  <si>
    <t xml:space="preserve"> Navy Exchange Service Command</t>
  </si>
  <si>
    <t>PO#37490767</t>
  </si>
  <si>
    <t>4500165547-10</t>
  </si>
  <si>
    <r>
      <rPr>
        <sz val="12"/>
        <rFont val="宋体"/>
        <charset val="134"/>
        <scheme val="minor"/>
      </rPr>
      <t>日期码格式：ZURU INC(BVI) 标准格式 日期：按实际生产日期
Packaging Info: ZURU MA UPC优先1L包装；出口美国
Remark: 1. 日期跟踪码：产品外包装及产品本身都必须有日期跟踪码，并且确保两者的日期跟踪码要一致；ZURU标准格式日期码 (请自行调整具体年月日生产期，但不能为
周末）
2. 外箱贴纸：
外箱除了需要印刷箱唛外，还需额外加贴</t>
    </r>
    <r>
      <rPr>
        <sz val="12"/>
        <color rgb="FFFF0000"/>
        <rFont val="宋体"/>
        <charset val="134"/>
        <scheme val="minor"/>
      </rPr>
      <t>Packing Slip一张</t>
    </r>
    <r>
      <rPr>
        <sz val="12"/>
        <rFont val="宋体"/>
        <charset val="134"/>
        <scheme val="minor"/>
      </rPr>
      <t xml:space="preserve">
Packing Slip: 每款产品第一箱的外箱都需在1面正唛右上角处贴上Packing Slip（跟单提供资料；工厂用A4纸打印）&lt;(&gt;,&lt;)&gt;见箱唛资料详细内容。
3. 需要提供ZURU QC验货图片及验货报告给客户才能放SO出货，请QC验货时尽可能拍详细的图片。</t>
    </r>
  </si>
  <si>
    <t xml:space="preserve"> Annie Huang</t>
  </si>
  <si>
    <t>KOTRYNA GROUP, UAB</t>
  </si>
  <si>
    <t>立陶苑</t>
  </si>
  <si>
    <t>pi0447951</t>
  </si>
  <si>
    <t>4500164995-60</t>
  </si>
  <si>
    <t>6/16 截SI</t>
  </si>
  <si>
    <r>
      <rPr>
        <sz val="12"/>
        <rFont val="宋体"/>
        <charset val="134"/>
        <scheme val="minor"/>
      </rPr>
      <t>日期码格式：ZURU INC(BVI) 标准格式 日期：按实际生产日期
Packaging Info: 
 77673TQ1: A 版 1L MA 收缩膜+进口商贴纸；</t>
    </r>
    <r>
      <rPr>
        <sz val="12"/>
        <color rgb="FFFF0000"/>
        <rFont val="宋体"/>
        <charset val="134"/>
        <scheme val="minor"/>
      </rPr>
      <t>客版电池</t>
    </r>
    <r>
      <rPr>
        <sz val="12"/>
        <rFont val="宋体"/>
        <charset val="134"/>
        <scheme val="minor"/>
      </rPr>
      <t>+UV胶警告语MA 说明书/A 版 1L MA PDQ
Remark: "1、若产品有比例使用ZURU STD 比例
 2、所有item 均用MA UPC 条码，若包装不是UPC 条码的请告知
 3、此单出欧洲需满足EU测试标准要求"</t>
    </r>
  </si>
  <si>
    <t>Snowy</t>
  </si>
  <si>
    <t>Prenatal Retail Group Spain S.L.</t>
  </si>
  <si>
    <t>4500164587-10</t>
  </si>
  <si>
    <t>客人格式日期码 LOT2524，产品（蛋壳等）/包装（收缩膜等）/外箱都需要印此日期码，请务必保持一致。</t>
  </si>
  <si>
    <r>
      <rPr>
        <sz val="11"/>
        <rFont val="宋体"/>
        <charset val="134"/>
        <scheme val="minor"/>
      </rPr>
      <t>日期码格式：LOT2524 日期：
Packaging Info:</t>
    </r>
    <r>
      <rPr>
        <sz val="11"/>
        <color rgb="FFFF0000"/>
        <rFont val="宋体"/>
        <charset val="134"/>
        <scheme val="minor"/>
      </rPr>
      <t xml:space="preserve"> 1.77785：最新MA 3L EAN包装+客版3L 彩盒（翻4500163212）+一张mother EAN：4894680050945条码贴纸+一张进口商贴纸+一张产品贴纸+一张WEEE说明书纸</t>
    </r>
    <r>
      <rPr>
        <sz val="11"/>
        <rFont val="宋体"/>
        <charset val="134"/>
        <scheme val="minor"/>
      </rPr>
      <t xml:space="preserve">
Remark: 1. 订单出欧洲国家-西班牙，产品不能含有闪粉/微塑料，请确保所有包装都有西班牙环保标。
2. 客人格式日期码 LOT2524，产品（蛋壳等）/包装（收缩膜等）/外箱都需要印此日期码，请务必保持一致。
3. 新品需提供2套大货样品给客人，客人会签回一套，验货后验货员需要封1套板寄给香港办公室，请多备料。
4. 需要符合欧洲标准不能含有闪粉和微塑料，否则不合法规会有客诉产生。
5. 硼含量需要符合欧洲标准，否则不合法规会有客诉产生
6，此客户需要第三方验货，请在约三方验货前必须PASS ZURU验货。</t>
    </r>
  </si>
  <si>
    <t xml:space="preserve"> TARGET US</t>
  </si>
  <si>
    <t>10001263712-3890</t>
  </si>
  <si>
    <t>4500166259-20</t>
  </si>
  <si>
    <t>日期码格式：ZURU INC(BVI) 标准格式 日期：按实际生产日期
Packaging Info:
 77673TQ1：产品包装 客版收缩膜+客版收藏指南+MA说明书+ MA 1L PDQ；客版收缩膜+客版收藏指南翻单4500158149
Remark:
 77673TQ1：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此订单所有item：
 1. 产品和包装上印刷 tracking code信息，格式为ZURU常规格式;
 2. 出货方式：货代自提</t>
  </si>
  <si>
    <t xml:space="preserve"> Holly Zheng</t>
  </si>
  <si>
    <t>10001263713-3758</t>
  </si>
  <si>
    <t>4500166249-20</t>
  </si>
  <si>
    <t>ZURU Italy SRL</t>
  </si>
  <si>
    <t>4500164017-60</t>
  </si>
  <si>
    <t>6/17完成返工</t>
  </si>
  <si>
    <t>多语警语折叠贴纸（含意大利语callout+包装缺失的法/意/
西环保标）+ 多语版WEEE电池垃圾桶的回收声明说明书（ included），说明书翻4500162314</t>
  </si>
  <si>
    <r>
      <rPr>
        <sz val="11"/>
        <rFont val="宋体"/>
        <charset val="134"/>
        <scheme val="minor"/>
      </rPr>
      <t xml:space="preserve">日期码格式：ZURU INC(BVI) 标准格式 日期：按实际生产日期
Packaging Info: 
</t>
    </r>
    <r>
      <rPr>
        <sz val="11"/>
        <color rgb="FFFF0000"/>
        <rFont val="宋体"/>
        <charset val="134"/>
        <scheme val="minor"/>
      </rPr>
      <t>5.77673TQ1:最新MA 3L EAN收缩膜+最新MA 5L收藏指南+最新MA 23L说明书+最新MA纸袋+最新MA 3L PDQ+多语警语折叠贴纸（含意大利语callout+包装缺失的法/意/
西环保标）+ 多语版WEEE电池垃圾桶的回收声明说明书（ included），说明书翻4500162314</t>
    </r>
    <r>
      <rPr>
        <sz val="11"/>
        <rFont val="宋体"/>
        <charset val="134"/>
        <scheme val="minor"/>
      </rPr>
      <t xml:space="preserve">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r>
  </si>
  <si>
    <t>10001263783-3758</t>
  </si>
  <si>
    <t>4500166232-10</t>
  </si>
  <si>
    <t>日期码格式：ZURU INC(BVI) 标准格式 日期：按实际生产日期
Packaging Info: 产品包装 客版收缩膜+客版收藏指南+MA说明书+ MA 1L PDQ；客版收缩膜+客版收藏指南翻单4500158149
Remark: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4. 产品和包装上印刷 tracking code信息，格式为ZURU常规格式;
 5. 出货方式：货代自提</t>
  </si>
  <si>
    <t>4500169682-80</t>
  </si>
  <si>
    <t>6/18 出货</t>
  </si>
  <si>
    <t>EAN贴纸（翻4500163212），多语警语折叠贴纸（含包装缺失的法/意/西环保标）+多语版WEEE电池垃圾桶的回收声明说明书（included）（贴纸和WEEE翻4500162314）</t>
  </si>
  <si>
    <t>日期码格式：ZURU INC(BVI) 标准格式 日期：按实际生产日期
Packaging Info:
"77785:最新客版彩盒+EAN贴纸（翻4500163212）
子件77673：最新MA3LEAN收缩膜+最新MA5L收藏指南+最新MA23L说明书+最新MA纸袋+多语警语折叠贴纸（含包装缺失的法/意/西环保标）+多语版WEEE电池垃圾桶的回
收声明说明书（included）（贴纸和WEEE翻4500162314）"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</si>
  <si>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SUOMEN OSUUSKAUPPOJEN KESKUSKUNTA</t>
  </si>
  <si>
    <t>4500160378-30</t>
  </si>
  <si>
    <r>
      <rPr>
        <sz val="12"/>
        <rFont val="宋体"/>
        <charset val="134"/>
        <scheme val="minor"/>
      </rPr>
      <t>日期码格式：ZURU INC(BVI) 标准格式 日期：按实际生产日期
Packaging Info: 
 3. 77673: MA 3L EAN版收缩膜+瑞典芬兰爱沙尼亚语警告语/MADE IN CHINA翻译成瑞典芬兰爱沙尼亚语言/</t>
    </r>
    <r>
      <rPr>
        <sz val="12"/>
        <color rgb="FFFF0000"/>
        <rFont val="宋体"/>
        <charset val="134"/>
        <scheme val="minor"/>
      </rPr>
      <t>包装电池信息和说明书上电池信息翻译做成一张贴纸+MA 5
 L收藏指南</t>
    </r>
    <r>
      <rPr>
        <sz val="12"/>
        <rFont val="宋体"/>
        <charset val="134"/>
        <scheme val="minor"/>
      </rPr>
      <t>+MA 电池+UV胶警告语-23L+MA 3L PDQ+带纽扣电池走货北欧六语通用黑白电池说明书+MA paper bag+瑞典芬兰爱沙尼亚语警告语贴在纸袋子上（贴纸和位
 置图跟77711共用)
 7. 配比跟MA
Remark:
 请在6/2之前各提供一套大货签板给我们签回供第三方验货用，签板必须跟大货完全一致，否则验货会不合格
 2. 77673新款: 请在6/2之前各提供两套大货样给我们寄给客人留底
 3. 包装如含PVC,请改为PET并第一时间通知跟单
 4. 产品/包装要求无硼无香，出欧洲，微塑料需合规。
 5.带电池出货的产品所用到的电池需要符合欧洲电池新规(EU) 2023-1542
 6.有胶袋的产品：要求产品的胶袋厚度要大于等于0.05mm
 7.关于贴纸，如果贴纸位置图的包装版本与大货不一致，请工厂第一时间提前提出。跟单会重新调整确认是否更新贴纸或调整位置图
 8.产品/包装不含PFAS成分
 9.产品条码如下: 请先检查条码是否正确再安排做货，如有问题请告知
 ZURU ITEM#&lt;(&gt;&amp;&lt;)&gt;EAN:
 77673-S001:4894680042773</t>
    </r>
  </si>
  <si>
    <t>Sheba Ye</t>
  </si>
  <si>
    <t>95522-7.1</t>
  </si>
  <si>
    <t>4500162819-10</t>
  </si>
  <si>
    <t>6/4 寄出RFID贴纸</t>
  </si>
  <si>
    <t>ZB00644-7.3</t>
  </si>
  <si>
    <t>0904512312ELW
OOD</t>
  </si>
  <si>
    <t>4500162819-20</t>
  </si>
  <si>
    <t>0907594691STA
TESBORO</t>
  </si>
  <si>
    <t>4500162819-30</t>
  </si>
  <si>
    <t>ZB00720-7.10</t>
  </si>
  <si>
    <t>0907594699RID
GEVILLE SC</t>
  </si>
  <si>
    <t>4500162819-40</t>
  </si>
  <si>
    <t>ZB00683-7.8</t>
  </si>
  <si>
    <t>0907594742SUF
FOLK</t>
  </si>
  <si>
    <t>4500162819-50</t>
  </si>
  <si>
    <t xml:space="preserve"> ROFU Kinderland Spielwarenhandelsge</t>
  </si>
  <si>
    <t>4500165600-50</t>
  </si>
  <si>
    <t>5/28寄出供价格贴纸，德语警告语贴纸 翻单：4500161168</t>
  </si>
  <si>
    <t>所有电子产品身上需要加字唛，为ZURU FRANCE 地址 (如无电子产品/产品布标有此地址/产品太小无法增加，可忽略此信息)
 ZURU France 1/3, Rue d'Argenteuil 95210 SAINT-GRATIEN, FRANCE</t>
  </si>
  <si>
    <r>
      <rPr>
        <sz val="12"/>
        <rFont val="宋体"/>
        <charset val="134"/>
        <scheme val="minor"/>
      </rPr>
      <t>日期码格式：ZURU INC(BVI) 标准格式 日期：按实际生产日期
Packaging Info:
77673: MA EAN收缩膜3L-A版本+</t>
    </r>
    <r>
      <rPr>
        <sz val="12"/>
        <color rgb="FFFF0000"/>
        <rFont val="宋体"/>
        <charset val="134"/>
        <scheme val="minor"/>
      </rPr>
      <t>Kinderherz 2025 Logo贴纸（翻单：4500166480）+德语警告语贴纸（ 翻单：4500161168）+客供价格贴纸 +MA电池+UV胶警告语23L
说明书+MA纸袋+MA收藏指南5L-A版本+WEEE 带电池走货 通用30L 说明书</t>
    </r>
    <r>
      <rPr>
        <sz val="12"/>
        <rFont val="宋体"/>
        <charset val="134"/>
        <scheme val="minor"/>
      </rPr>
      <t xml:space="preserve">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r>
  </si>
  <si>
    <t xml:space="preserve"> Winnie zhong</t>
  </si>
  <si>
    <t xml:space="preserve"> RIALTO SPA</t>
  </si>
  <si>
    <t>4500163632-30</t>
  </si>
  <si>
    <t>日期码格式：ZURU INC(BVI) 标准格式 日期：按实际生产日期
Packaging Info: 
 77673TQ1: MA EAN收缩膜3L-A版本（+意大利警语贴纸+1*意大利sorting logo含进口商地址）+MA电池UV胶警告语23L说明书+MA纸袋+MA收藏指南5L-A版本+ MA PDQ+W
 EEE_带电池走货 _ 通用说明书
Remark: 1. 此单出意大利，需符合EU标准，不含微塑料，如果含slime等化学品，需要不含硼
 2. 需保证按期完货，延期罚款
 3.贴纸切勿盖住意大利警告语</t>
  </si>
  <si>
    <t xml:space="preserve"> AMIC TRADING (PTY) LTD</t>
  </si>
  <si>
    <t>南非</t>
  </si>
  <si>
    <t xml:space="preserve"> 6006-007111</t>
  </si>
  <si>
    <t>4500165851-110</t>
  </si>
  <si>
    <t>日期码格式：ZURU INC(BVI) 标准格式 日期：按实际生产日期
Packaging Info: MA 1L PKG ;
 MA 5L 收藏指南， MA说明书+ 1 张进口商贴纸（不得遮挡日期码）
(进口商贴纸新稿，后续新单以新版进口商贴纸为准，适用该客户订单的所有产品）
Remark:</t>
  </si>
  <si>
    <t xml:space="preserve"> Doris Shou</t>
  </si>
  <si>
    <t>B&amp;M RETAIL LIMITED</t>
  </si>
  <si>
    <t>客户PO:019236
41/1</t>
  </si>
  <si>
    <t>4500159524-10</t>
  </si>
  <si>
    <t>6/18 自检</t>
  </si>
  <si>
    <t>日期码格式：ZURU INC(BVI) 标准格式 日期：按实际生产日期 
Packaging Info: 标准配比
Remark: 订单对应2个客户PO，请不要混装， 不同PO分开装柜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</si>
  <si>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cora zhou</t>
  </si>
  <si>
    <t>客户PO;019236
43/1</t>
  </si>
  <si>
    <t>4500159524-20</t>
  </si>
  <si>
    <t>CRG</t>
  </si>
  <si>
    <t>ZU02-2025</t>
  </si>
  <si>
    <t>4500167152-170</t>
  </si>
  <si>
    <t>日期码格式：ZURU INC(BVI) 标准格式 日期：按实际生产日期
Packaging Info:
11.77673：MA多语EAN包装+UPC贴纸+MA 多语收藏指南+进口商贴纸+箱唛
Remark: 
16. 77673：Filxed Collection; 3PCS AG13 BATTERIES(INCLUDED)</t>
  </si>
  <si>
    <t>Zhuyu(Shenzhen)Trading Co.,Ltd.</t>
  </si>
  <si>
    <t>中国</t>
  </si>
  <si>
    <t>4500165636-40</t>
  </si>
  <si>
    <t>此单为首单请各提供6套 大货样</t>
  </si>
  <si>
    <t>日期码格式：ZURU INC(BVI) 标准格式 日期：按实际生产日期
Packaging Info: 1.物料要求
 77673 MA +中文说明书+3C中文贴纸 +收藏指南
 此单为首单请各提供6套 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</si>
  <si>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 xml:space="preserve"> Dona Tang</t>
  </si>
  <si>
    <t>4500165636-50</t>
  </si>
  <si>
    <t>4500163394-50</t>
  </si>
  <si>
    <t>纸箱消耗4500157858取消单</t>
  </si>
  <si>
    <t>多语警语折叠贴纸（含包装缺失的法/意/西环保标）+ 多语版W
EEE电池垃圾桶的回收声明说明书（ included）（贴纸和WEEE翻4500162314）</t>
  </si>
  <si>
    <t>外箱/产品/包装 保持一致</t>
  </si>
  <si>
    <r>
      <rPr>
        <sz val="12"/>
        <rFont val="宋体"/>
        <charset val="134"/>
        <scheme val="minor"/>
      </rPr>
      <t>日期码格式：ZURU INC(BVI) 标准格式 日期：按实际生产日期
Packaging Info: 
77673TQ1:最新MA 3L EAN收缩膜+最新MA 5L收藏指南+最新MA 23L说明书+最新MA纸袋+最新MA 3L PDQ+多语警语折叠贴纸（含包装缺失的法/意/西环保标）+ 多语版W
EEE电池垃圾桶的回收声明说明书（ included）（贴纸和WEEE翻4500162314）</t>
    </r>
    <r>
      <rPr>
        <sz val="12"/>
        <color rgb="FFFF0000"/>
        <rFont val="宋体"/>
        <charset val="134"/>
        <scheme val="minor"/>
      </rPr>
      <t>（其中1200pcs消耗Amy Xiao订单4500157858，包装一样用多语警语折叠贴纸+WEEE欧洲
通用带电池出货电池说明书）</t>
    </r>
    <r>
      <rPr>
        <sz val="12"/>
        <rFont val="宋体"/>
        <charset val="134"/>
        <scheme val="minor"/>
      </rPr>
      <t xml:space="preserve">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t>
    </r>
  </si>
  <si>
    <t>95553-7.5</t>
  </si>
  <si>
    <t>CONTINENTE S.A.</t>
  </si>
  <si>
    <t>哥伦比亚</t>
  </si>
  <si>
    <t>COL66-25-FAL</t>
  </si>
  <si>
    <t>4500163691-230</t>
  </si>
  <si>
    <t>日期码格式：DG20250520</t>
  </si>
  <si>
    <t>日期码格式：DG20250520 日期：
Packaging Info:77673::MA 3L EAN 包装+进口商贴纸（进口商贴纸和UPC贴纸合并为一张）+箱唛
Remark:</t>
  </si>
  <si>
    <t>95523-7.1</t>
  </si>
  <si>
    <t xml:space="preserve"> TESCO CE</t>
  </si>
  <si>
    <t>斯洛伐克</t>
  </si>
  <si>
    <t xml:space="preserve"> 999-46877 999-46992</t>
  </si>
  <si>
    <t>4500166306-10</t>
  </si>
  <si>
    <r>
      <rPr>
        <sz val="11"/>
        <rFont val="宋体"/>
        <charset val="134"/>
        <scheme val="minor"/>
      </rPr>
      <t xml:space="preserve">日期码格式：ZURU INC(BVI) 标准格式 日期：按实际生产日期
Packaging Info: </t>
    </r>
    <r>
      <rPr>
        <sz val="11"/>
        <color rgb="FFFF0000"/>
        <rFont val="宋体"/>
        <charset val="134"/>
        <scheme val="minor"/>
      </rPr>
      <t>77673TQ1: MA A版1L UPC包装(加4国警告语贴纸Czech-Hugarian-Polish-Slovak),请先检查包装条码#193052079404是否正确再安排做货),MA A版1L PDQ</t>
    </r>
    <r>
      <rPr>
        <sz val="11"/>
        <rFont val="宋体"/>
        <charset val="134"/>
        <scheme val="minor"/>
      </rPr>
      <t xml:space="preserve">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r>
  </si>
  <si>
    <t>95531-7.2</t>
  </si>
  <si>
    <t xml:space="preserve"> TOYS "R" US (CANADA) LTD.</t>
  </si>
  <si>
    <t>4500166007-10</t>
  </si>
  <si>
    <t>需要第三方SGS验货，验货时间2025/06/27</t>
  </si>
  <si>
    <t>日期码格式：ZURU INC(BVI) 标准格式 日期：按实际生产日期
Packaging Info: 1. 出口加拿大市场。
 #77673：MA 3L EAN_A版本 + UPC贴纸; UPC#193052079404; 3PCS AG13 BATTERIES(INCLUDED);
 2. 产品、包装、外箱上面tracking code的时间格式需要一致。
Remark: 3. 需要第三方SGS验货，验货时间2025/06/23，每款每色请备1PC完整带包装样品供验货人员参考。用完后若无损坏可以放回大货里。</t>
  </si>
  <si>
    <t xml:space="preserve"> Abby Mai,Lluvia Zeng</t>
  </si>
  <si>
    <t>95575-7.7</t>
  </si>
  <si>
    <t xml:space="preserve"> CANADIAN TIRE</t>
  </si>
  <si>
    <t>01041691</t>
  </si>
  <si>
    <t>4500166281-30</t>
  </si>
  <si>
    <t>日期码格式：ZURU INC(BVI) 标准格式 日期：按实际生产日期
Packaging Info: 77673TQ1 MA 多语包装+UPC 贴纸,,， UPC 193052079404
Remark: 出加拿大
Zuru验货.日期跟踪码：产品外包装及产品本身都必须有日期跟踪码，ZURU标准格式
 日期码。</t>
  </si>
  <si>
    <t>Distruibuciones Universales, SA - D</t>
  </si>
  <si>
    <t>洪都拉斯</t>
  </si>
  <si>
    <t>4500167533-130</t>
  </si>
  <si>
    <t>日期码格式：ZURU INC(BVI) 标准格式 日期：按实际生产日期
Packaging Info: 
MOTHER UPC 条码：
Remark: MA多语EAN包装+UPC贴纸+MA 多语收藏指南+箱唛
13. 77673: Filxed Collection; 3PCS AG13 BATTERIES(INCLUDED)</t>
  </si>
  <si>
    <t>BASILE GIOCATTOLI SRL</t>
  </si>
  <si>
    <t>4500164834-10</t>
  </si>
  <si>
    <t>日期码格式：ZURU INC(BVI) 标准格式 日期：按实际生产日期
Packaging Info: 77673TQ1:MA 3L PDQ+MA A 3L 收缩膜含EAN条码+一张意大利警语&lt;(&gt;&amp;&lt;)&gt;意大利环保标&lt;(&gt;&amp;&lt;)&gt;进口商内容贴纸+最新MA 5L收藏指南，最新 MA 23L说明书+WEEE带电
池走货欧洲30语通用黑白说明书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</si>
  <si>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95512-7.1</t>
  </si>
  <si>
    <t>0907594694MOB
ILE</t>
  </si>
  <si>
    <t>4500162827-10</t>
  </si>
  <si>
    <t>ZB00620-7.1</t>
  </si>
  <si>
    <t xml:space="preserve"> MONOPRIX EXPLOITATION</t>
  </si>
  <si>
    <t xml:space="preserve"> 55-25-0039/1</t>
  </si>
  <si>
    <t>4500166177-30</t>
  </si>
  <si>
    <t>此票预计6/19第三方SGS实验室验货, 需做抽板测试(每个item预计抽板3-4套)请多备料, 验货和测试PASS后方可安排出货；</t>
  </si>
  <si>
    <t>欧洲通用30L WEEE_带电池走货声明书</t>
  </si>
  <si>
    <t>日期码格式：MONOP 0725 日期：
Packaging Info:
 77673TQ1:MA3L EAN收缩膜+1张客户网站贴纸+MA23L说明书+MA5L收藏指南/UV贴纸+MA3L PDQ+1张欧洲通用30L WEEE_带电池走货声明书
Remark: 1. 此票预计6/19第三方SGS实验室验货, 需做抽板测试(每个item预计抽板3-4套)请多备料, 验货和测试PASS后方可安排出货；
 2. 此票需按期完货, 推期有严重罚款；
 3. 此票出法国，请确保产品质量符合EU法国要求，包装含法国回收logo，产品符合欧洲微塑料法规；</t>
  </si>
  <si>
    <t xml:space="preserve"> Ula Zhao</t>
  </si>
  <si>
    <t>95689-7.18</t>
  </si>
  <si>
    <t>ZMPO250426</t>
  </si>
  <si>
    <t>95864-7.31</t>
  </si>
  <si>
    <t>PT. STAKOM TRIJAYA ANDALA</t>
  </si>
  <si>
    <t>印度尼西亚</t>
  </si>
  <si>
    <t>AW25</t>
  </si>
  <si>
    <t>4500167451-20</t>
  </si>
  <si>
    <r>
      <rPr>
        <sz val="11"/>
        <rFont val="宋体"/>
        <charset val="134"/>
        <scheme val="minor"/>
      </rPr>
      <t>日期码格式：ZURU INC(BVI) 标准格式 日期：按实际生产日期
Packaging Info: MA UPC(优先1L) package，</t>
    </r>
    <r>
      <rPr>
        <sz val="11"/>
        <color rgb="FFF7241F"/>
        <rFont val="宋体"/>
        <charset val="134"/>
        <scheme val="minor"/>
      </rPr>
      <t>77673TQ1无需任何贴纸;
此单只有77673TQ1带电池出货,客人确认如是带电产品或者需要电池操作的产品,都无需在国内加贴纸,他们自己会在国外加贴纸,所以这个item无需加贴纸;</t>
    </r>
    <r>
      <rPr>
        <sz val="11"/>
        <rFont val="宋体"/>
        <charset val="134"/>
        <scheme val="minor"/>
      </rPr>
      <t xml:space="preserve">
可能会需样板做测试, 也有可能有第三方验货,请等我们进一步通知;
此单会跟其他订单一起出整柜, 届时如走20GP会改单价给你们;
Remark:
77673TQ1-Filxed Collection</t>
    </r>
  </si>
  <si>
    <t>95614-7.11</t>
  </si>
  <si>
    <t>Ramp-s Corporation</t>
  </si>
  <si>
    <t>菲律宾</t>
  </si>
  <si>
    <t>PO4-25-0009</t>
  </si>
  <si>
    <t>4500167360-30</t>
  </si>
  <si>
    <t>日期码格式：ZURU INC(BVI) 标准格式 日期：按实际生产日期
Packaging Info:77673TQ1-MA UPC包装（优先1L)+1张进口商贴纸,
Remark: 77673TQ1-Filxed Collection，3PCS AG13 BATTERIES(INCLUDED)</t>
  </si>
  <si>
    <t>Mid-States Distributing, LLC</t>
  </si>
  <si>
    <t>Farm &lt;(&gt;&amp;&lt;)&gt;
Home Supply
PO 1620196-99</t>
  </si>
  <si>
    <t>4500161570-550</t>
  </si>
  <si>
    <t>日期码格式：ZURU INC(BVI) 标准格式 日期：按实际生产日期
Packaging Info: 1.使用 MA UPC版本包装，优先1L，出口美国。
Remark: 1.产品和包装上印刷tracking code信息，格式为ZURU常规。
2.ZURU QC验货</t>
  </si>
  <si>
    <t>Cara Li</t>
  </si>
  <si>
    <t>L &lt;(&gt;&amp;&lt;)&gt; M
Fleet Supply
PO P10007409</t>
  </si>
  <si>
    <t>4500161570-560</t>
  </si>
  <si>
    <t>4500164017-70</t>
  </si>
  <si>
    <t>MEC305-S001-INT-MTS</t>
  </si>
  <si>
    <r>
      <rPr>
        <sz val="11"/>
        <rFont val="宋体"/>
        <charset val="134"/>
        <scheme val="minor"/>
      </rPr>
      <t xml:space="preserve">日期码格式：ZURU INC(BVI) 标准格式 日期：按实际生产日期
Packaging Info:
 6.MEC305:（同77711/77673）+最新MA 展示架
</t>
    </r>
    <r>
      <rPr>
        <sz val="11"/>
        <color rgb="FFFF0000"/>
        <rFont val="宋体"/>
        <charset val="134"/>
        <scheme val="minor"/>
      </rPr>
      <t xml:space="preserve"> 子件：77673TQ1:最新MA 3L EAN收缩膜+最新MA 5L收藏指南+最新MA 23L说明书+最新MA纸袋+最新MA 3L PDQ+多语警语折叠贴纸（含意大利语callout+包装缺失的法/
 意/西环保标）+ 多语版WEEE电池垃圾桶的回收声明说明书（ included），说明书翻4500162314</t>
    </r>
    <r>
      <rPr>
        <sz val="11"/>
        <rFont val="宋体"/>
        <charset val="134"/>
        <scheme val="minor"/>
      </rPr>
      <t xml:space="preserve">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r>
  </si>
  <si>
    <t>MEC305-S001-INT-MTS-77673</t>
  </si>
  <si>
    <t>COSTCO DE MEXICO S.A. DE C.V.</t>
  </si>
  <si>
    <t>4500164462-10</t>
  </si>
  <si>
    <t>77758SLT-S001-INT</t>
  </si>
  <si>
    <t>1pcs迷你冰箱+3pcs迷你球混装</t>
  </si>
  <si>
    <t xml:space="preserve"> #77758SLT是首单需要安排10%，抽板测试: 抽板时间5/29。 请严格按期安排物料，预计会抽走6套成品版（具体数量届时再告知）+ all product package and shipping package+一套封板在工厂供100%验货用，箱唛要印刷客人箱唛，请做好损
耗计算；一般需要7-10 working day 做测试，抽版测试通过才能安排100%大货生产
3.77758SLT需要安排第三方100%完货验货:预计验货时间: 6/18
4. #77758SLT大货样板: 请在5/29提供三套大货样给客人留底</t>
  </si>
  <si>
    <t>6/23监柜</t>
  </si>
  <si>
    <r>
      <rPr>
        <sz val="11"/>
        <rFont val="宋体"/>
        <charset val="134"/>
        <scheme val="minor"/>
      </rPr>
      <t xml:space="preserve">日期码格式：ZURU INC(BVI) 标准格式 日期：按实际生产日期
Packaging Info: 77758SLT:客版彩盒+客版球的收缩膜+客版冰箱收缩膜+客版冰箱收藏指南+客版球的收藏指南+客版Manual for three kinds of mini creates +客版球的黑白说明
书+客版内纸袋 +客版UV glue bottle sticker+客版冰箱电池警告语和说明书：（以上MA客版翻COSTCO UK PO#4500163768）&lt;(&gt;,&lt;)&gt; 客版PDQ(客版 PDQ翻Costco US
PO#4500156301) 墨
西哥订单加一张保证书+墨西哥NOM贴纸，产品/包装/说明书都要贴1张NOM 贴纸
Remark: 1. 所有日期码印在彩卡上，产品(枪)上也需印日期码.按实际生产日期，ZURU 标准版格式的日期码。
2. #77758SLT是首单需要安排10%，抽板测试: 抽板时间5
/29。 请严格按期安排物
料，预计会抽走6套成品版（具体数量届时再告知）+ all product package and shipping package+一套封板在工厂供100%验货用，箱唛要印刷客人箱唛，请做好损
耗计算；一般需要7-10 working day 做测试，抽版测试通过才能安排100%大货生产
3.77758SLT需要安排第三方100%完货验货:预计验货时间: 6/12。
4. #77758SLT大货样板: 请在5/29提供三套大货样给客人留底
5. 纸箱唛头：纸箱四面，只印刷一个正面，另外一个正面不印，侧唛也不印, 按照箱唛模板要求排版。按照箱唛模板要求排版。请注意箱唛印刷效果要我们确认后
才可印刷大货的。 6
. 确保展示架在入外箱时一定要正面对着有印刷箱唛的那面,不可以装反。
7
. 3PK 77711-INT(capsules)+1PK 77673 combo in color box， 3PCS AG13 BATTERIES(INCLUDED)
</t>
    </r>
    <r>
      <rPr>
        <sz val="11"/>
        <color rgb="FFFF0000"/>
        <rFont val="宋体"/>
        <charset val="134"/>
        <scheme val="minor"/>
      </rPr>
      <t>8.此单需要监柜，需要安排1套大货样板用于监柜。</t>
    </r>
  </si>
  <si>
    <t xml:space="preserve"> MIGROS-GENOSSENSCHAFTS-BUND</t>
  </si>
  <si>
    <t>瑞士</t>
  </si>
  <si>
    <t>4500166647-10</t>
  </si>
  <si>
    <t>日期码格式：ZURU INC(BVI) 标准格式 日期：按实际生产日期
Packaging Info: "77785：客版彩盒+价格贴纸
 77673: MA EAN收缩膜3L-A版本（+德语意大利警告语贴纸）+MA电池+UV胶警告语23L说明书+MA纸袋+MA收藏指南5L-A版本+WEEE 带电池走货 通用30L 说明书
 "
Remark: 1. 价格贴纸要求为可移动贴纸
 2.一套大货样品/item，请多备料。
 3.延期出货会有罚款，请务必按时完货。
 4.客人要求飞机孔的尺寸为3.0-3.2 cm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t>
  </si>
  <si>
    <t xml:space="preserve"> Winnie Zhong</t>
  </si>
  <si>
    <t>95513-7.1</t>
  </si>
  <si>
    <t>JUGUETTOS CENTRAL DE COMPRAS, S.COO</t>
  </si>
  <si>
    <t>1067 - PC25106</t>
  </si>
  <si>
    <t>4500166380-50</t>
  </si>
  <si>
    <r>
      <rPr>
        <sz val="11"/>
        <rFont val="宋体"/>
        <charset val="134"/>
        <scheme val="minor"/>
      </rPr>
      <t xml:space="preserve">日期码格式：ZURU INC(BVI) 标准格式 日期：按实际生产日期
Packaging Info:
77785：MA A 3L 收缩膜+MA5L收藏指南+EAN 条码贴纸,MA 最新23L说明书+WEEE带电池走货欧洲30语通用黑白说明书
Remark: 1. 此单出西班牙市场，需满足EU测试标准要求，微塑料需符合EU法规。
</t>
    </r>
    <r>
      <rPr>
        <sz val="11"/>
        <color rgb="FFFF0000"/>
        <rFont val="宋体"/>
        <charset val="134"/>
        <scheme val="minor"/>
      </rPr>
      <t>2. 客户要求提供3套大货样板 &lt;(&gt;&amp;&lt;)&gt; 3个折叠好的空盒子(如含有PDQ的话要寄PDQ)， 在6/24前寄到深圳办公室 ，需备料</t>
    </r>
  </si>
  <si>
    <t>4 Kidz Polska Sp. z o.o.</t>
  </si>
  <si>
    <t>波兰</t>
  </si>
  <si>
    <t>Carrefour q3 2025</t>
  </si>
  <si>
    <t>4500166548-20</t>
  </si>
  <si>
    <t>日期码格式：ZURU INC(BVI) 标准格式 日期：按实际生产日期
Packaging Info: 
77673TQ1: MA A版1L UPC收缩膜+进口商贴纸；MA A版5L收藏指南；MA 23L说明书；MA A版1LPDQ
Remark: 此单出欧洲需满足EU测试标准要求
77673TQ1: 3PCS AG13 BATTERIES(INCLUDED),增加带电池WEEE说明书</t>
  </si>
  <si>
    <t>Sharon</t>
  </si>
  <si>
    <t>95742-7.23</t>
  </si>
  <si>
    <t>0907594712HOU
STON</t>
  </si>
  <si>
    <t>4500162962-10</t>
  </si>
  <si>
    <t>6/27 自检</t>
  </si>
  <si>
    <t>ZB00669-7.7</t>
  </si>
  <si>
    <t xml:space="preserve"> THE ENTERTAINER</t>
  </si>
  <si>
    <t>FB13332</t>
  </si>
  <si>
    <t>4500166375-20</t>
  </si>
  <si>
    <t>大货样：新款请在6/17 前寄出每款2整套大货样到罗湖办公室7B Sandy Shao 收，翻单不用寄。</t>
  </si>
  <si>
    <t>6/30 出货</t>
  </si>
  <si>
    <t>WEEE 电池说明书</t>
  </si>
  <si>
    <r>
      <rPr>
        <sz val="11"/>
        <rFont val="宋体"/>
        <charset val="134"/>
        <scheme val="minor"/>
      </rPr>
      <t>日期码格式：ZURU INC(BVI) 标准格式 日期：按实际生产日期
Packaging Info:
77673TQ1-S002：MA-1L 配套包装，</t>
    </r>
    <r>
      <rPr>
        <sz val="11"/>
        <color rgb="FFFF0000"/>
        <rFont val="宋体"/>
        <charset val="134"/>
        <scheme val="minor"/>
      </rPr>
      <t>另外产品内包装再加多一张ZURU通用的WEEE带电池出货版电池说明书</t>
    </r>
    <r>
      <rPr>
        <sz val="11"/>
        <rFont val="宋体"/>
        <charset val="134"/>
        <scheme val="minor"/>
      </rPr>
      <t>，条码请核对：193052079404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大货样：新款请在6/17 前寄出每款2整套大货样到罗湖办公室7B Sandy Shao 收，翻单不用寄。</t>
    </r>
  </si>
  <si>
    <t xml:space="preserve"> Sandy Shao</t>
  </si>
  <si>
    <t>95509-7.1</t>
  </si>
  <si>
    <t xml:space="preserve"> Smyths Toys EU HQ UC</t>
  </si>
  <si>
    <t>4500166480-20</t>
  </si>
  <si>
    <r>
      <rPr>
        <sz val="12"/>
        <rFont val="宋体"/>
        <charset val="134"/>
        <scheme val="minor"/>
      </rPr>
      <t>日期码格式：ZURU INC(BVI) 标准格式 日期：按实际生产日期
Packaging Info:
77673TQ1:最新MA 3L PDQ+</t>
    </r>
    <r>
      <rPr>
        <sz val="12"/>
        <color rgb="FFFF0000"/>
        <rFont val="宋体"/>
        <charset val="134"/>
        <scheme val="minor"/>
      </rPr>
      <t>Kinderherz 2025 Logo贴纸+ 客版收缩膜(英法德callout/英法德意荷警语/法国环保logo)+Kinderherz 2025 Logo贴纸 +客版收藏指南(英
法德意荷) 所有客版资料翻单4500155594+MA 23L 说明书WEEE带电池走货欧洲 30 语通用黑白说明书
EAN: 4894680042773</t>
    </r>
    <r>
      <rPr>
        <sz val="12"/>
        <rFont val="宋体"/>
        <charset val="134"/>
        <scheme val="minor"/>
      </rPr>
      <t xml:space="preserve">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r>
  </si>
  <si>
    <t xml:space="preserve"> Joan Wang</t>
  </si>
  <si>
    <t>95596-7.9</t>
  </si>
  <si>
    <t>FREDMEYER INC</t>
  </si>
  <si>
    <t>000039196357</t>
  </si>
  <si>
    <t>4500164421-20</t>
  </si>
  <si>
    <t>日期码格式：ZURU INC(BVI) 标准格式 日期：按实际生产日期
Packaging Info: 1、包装方式：MA UPC优先1L最新版，出口美国
Remark: 2、无第三方测试与验货要求
3、纸箱4面印ZURU LOGO
4、日期码请按ZURU标准版执行即可
5、ZURU QC验货</t>
  </si>
  <si>
    <t>ZB00621R1-7.1</t>
  </si>
  <si>
    <t>H-E-B, LP</t>
  </si>
  <si>
    <t>PO#60X686709</t>
  </si>
  <si>
    <t>4500167106-30</t>
  </si>
  <si>
    <t>7/7(这个客户需要100%货好后做第三方抽板测试，测试过了才能出货）</t>
  </si>
  <si>
    <t>需5月30日前需寄出3套大货样板(含PDQ)，样板须跟大货一模一样（含日期码）。</t>
  </si>
  <si>
    <r>
      <rPr>
        <sz val="11"/>
        <rFont val="宋体"/>
        <charset val="134"/>
        <scheme val="minor"/>
      </rPr>
      <t xml:space="preserve">日期码格式：ZURU INC(BVI) 标准格式 日期：按实际生产日期
Packaging Info: 1. 包材：ZURU MA 1L UPC最新版本，出口美国;
#15727:ZURU MA 5L UPC最新版本，出口美国;:
Remark: 2. 日期跟踪码：ZURU标准格式日期码，产品包装及产品本身都必须有ZURU标准格式日期码，并且确保两者信息保持一致(请自行调整具体年月日生产期，但不能为
周末）。
3. 大货样
</t>
    </r>
    <r>
      <rPr>
        <sz val="11"/>
        <color rgb="FFFF0000"/>
        <rFont val="宋体"/>
        <charset val="134"/>
        <scheme val="minor"/>
      </rPr>
      <t>#77673,需6月25日前需寄出3套大货样板(含PDQ)，样板须跟大货一模一样（含日期码）。</t>
    </r>
    <r>
      <rPr>
        <sz val="11"/>
        <rFont val="宋体"/>
        <charset val="134"/>
        <scheme val="minor"/>
      </rPr>
      <t xml:space="preserve">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*2套（</t>
    </r>
    <r>
      <rPr>
        <sz val="11"/>
        <color rgb="FFFF0000"/>
        <rFont val="宋体"/>
        <charset val="134"/>
        <scheme val="minor"/>
      </rPr>
      <t>盲盒类的</t>
    </r>
    <r>
      <rPr>
        <sz val="11"/>
        <rFont val="宋体"/>
        <charset val="134"/>
        <scheme val="minor"/>
      </rPr>
      <t>：4pcs成品球+2个空PDQ+2套散件）寄到以下地址：
Li Fung　
深圳市福田区绒花路8号深福保大厦附楼3楼。
收件人： Yoland Dai　电话：+0755 8825 3756
4. 验货+ 抽板 （同一天进行）
预约6月25日第三方（利丰）到工厂做100%大货现场验货和抽板，验货需打印EPM出来跟客户回签样板供第三方验货参考。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 除15727，其他items出ZURU 标版配比;
6. ZURU QA 验货时需拍齐每款角色的产品和产品包装上的日期码照片（供实验室review）</t>
    </r>
  </si>
  <si>
    <t>Elsa Zheng</t>
  </si>
  <si>
    <t>ZB00886-7.26</t>
  </si>
  <si>
    <t>ESAL TRADING L.L.C.</t>
  </si>
  <si>
    <t>阿拉伯联合酋长国</t>
  </si>
  <si>
    <t>UAE</t>
  </si>
  <si>
    <t>4500162410-30</t>
  </si>
  <si>
    <t xml:space="preserve">日期码格式：ZURU INC(BVI) 标准格式 日期：按实际生产日期
Packaging Info:
 77673TQ1：MA PDQ+彩色贴纸+进口商贴纸；MA收藏指南+彩色贴纸；收缩膜+进口商贴纸；MA说明书+一张客制黑白说明书纸
Remark: </t>
  </si>
  <si>
    <t>卡塔尔</t>
  </si>
  <si>
    <t>QATAR</t>
  </si>
  <si>
    <t>4500162426-30</t>
  </si>
  <si>
    <r>
      <rPr>
        <sz val="11"/>
        <rFont val="宋体"/>
        <charset val="134"/>
        <scheme val="minor"/>
      </rPr>
      <t>日期码格式：ZURU INC(BVI) 标准格式 日期：按实际生产日期
Packaging Info: 
 77673TQ1：</t>
    </r>
    <r>
      <rPr>
        <sz val="11"/>
        <color rgb="FFFF0000"/>
        <rFont val="宋体"/>
        <charset val="134"/>
        <scheme val="minor"/>
      </rPr>
      <t>MA PDQ+彩色贴纸+进口商贴纸；MA收藏指南+彩色贴纸；收缩膜+进口商贴纸；MA说明书+一张客制黑白说明书纸</t>
    </r>
    <r>
      <rPr>
        <sz val="11"/>
        <rFont val="宋体"/>
        <charset val="134"/>
        <scheme val="minor"/>
      </rPr>
      <t xml:space="preserve">
Remark:</t>
    </r>
  </si>
  <si>
    <t xml:space="preserve"> JUGUETES Y PELUCHES SANCHIS S.A.</t>
  </si>
  <si>
    <t>4500166563-30</t>
  </si>
  <si>
    <t>日期码格式：ZURU INC(BVI) 标准格式 日期：按实际生产日期
Packaging Info:
77785：77785:最新客版彩盒+EAN贴纸+一张客户警语贴纸；
子件77673：最新MA3LEAN收缩膜+最新MA5L收藏指南+最新MA23L说明书+最新MA纸袋+MA WEEE带电池走货欧洲30语通用黑白说明书 ；
Remark: 1.此单出西班牙市场，需满足EU测试标准要求，微塑料需符合EU法规。
 2.此单LC条款，延迟出货有罚款；
 3.此单每款产品各寄一套大货样到深圳办公室，请注意备料；</t>
  </si>
  <si>
    <t xml:space="preserve"> Mary Zhong</t>
  </si>
  <si>
    <t>95563-7.5</t>
  </si>
  <si>
    <t xml:space="preserve"> Van Cranenbroek ELC bv</t>
  </si>
  <si>
    <t xml:space="preserve"> IO-01000011314</t>
  </si>
  <si>
    <t>4500163986-70</t>
  </si>
  <si>
    <t>带电池走货 _ 说明书欧洲EN+30L
 贴纸</t>
  </si>
  <si>
    <r>
      <rPr>
        <sz val="11"/>
        <rFont val="宋体"/>
        <charset val="134"/>
        <scheme val="minor"/>
      </rPr>
      <t>日期码格式：ZURU INC(BVI) 标准格式 日期：按实际生产日期
Packaging Info: 
 77673:MA 3L EAN收缩膜(4894680042773)+NL警语贴纸，MA 纸袋，</t>
    </r>
    <r>
      <rPr>
        <sz val="11"/>
        <color rgb="FFFF0000"/>
        <rFont val="宋体"/>
        <charset val="134"/>
        <scheme val="minor"/>
      </rPr>
      <t>客版收藏指南翻4500155594</t>
    </r>
    <r>
      <rPr>
        <sz val="11"/>
        <rFont val="宋体"/>
        <charset val="134"/>
        <scheme val="minor"/>
      </rPr>
      <t>，MA 23L 警语说明书+WEEE_带电池走货 _ 说明书欧洲EN+30L
Remark: 1.出口欧洲，所有产品微塑料需符合法规
 2. 标准产品，没有特殊配比要求
 3. 所有出往欧洲市场订单的电子产品需增加一张WEEE声明说明书，区分带电池和不带电池版本, 如已做客版说明书可忽略此要求。</t>
    </r>
  </si>
  <si>
    <t xml:space="preserve"> Amber Zhang</t>
  </si>
  <si>
    <t>95640-7.14</t>
  </si>
  <si>
    <t>Costco Wholesale Canada Ltd</t>
  </si>
  <si>
    <t>4500161400-10</t>
  </si>
  <si>
    <t>77721SLT-S001</t>
  </si>
  <si>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纸箱唛头：纸箱四面，只印刷一个正面，另外一个正面不印，侧唛也不印, 按照箱唛要求排版。
4. 确保展示架在入外箱的时候一定要正面对着有印刷箱唛的那面,不可以装反。</t>
  </si>
  <si>
    <t>Cherish Yao</t>
  </si>
  <si>
    <t>95542-7.3</t>
  </si>
  <si>
    <t>Gullskógar ehf - DOM</t>
  </si>
  <si>
    <t>冰岛</t>
  </si>
  <si>
    <t>4500166269-170</t>
  </si>
  <si>
    <t>日期码格式：ZURU INC(BVI) 标准格式 日期：按实际生产日期
Packaging Info:
77673TQ1:MA 收缩膜EAN 3L A+电池+UV警告语23L+MA PDQ 3L A
Remark: 1/ 产品和包装要求无硼无香，包装不能含有PVC
2/ 如有微塑料，必须合规欧洲标准，闪粉也是微塑料的一种，目前仅接受三张方式
1.去除，2.用可降解材料，和3. 永久封印在固体。
3/带电池出货的产品所用到的电池需要符合欧洲电池新规(EU) 2023-1542
4/配比：
77673TQ1: Filxed Collection</t>
  </si>
  <si>
    <t>957010-7.19</t>
  </si>
  <si>
    <t>FB13605</t>
  </si>
  <si>
    <t>4500167191-60</t>
  </si>
  <si>
    <t>大货样： 新款请在6/14 前寄出每款2整套大货样到罗湖办公室7B Sandy Shao 收，翻单不用寄。</t>
  </si>
  <si>
    <r>
      <rPr>
        <sz val="11"/>
        <rFont val="宋体"/>
        <charset val="134"/>
        <scheme val="minor"/>
      </rPr>
      <t>日期码格式：ZURU INC(BVI) 标准格式 日期：按实际生产日期
Packaging Info: 
77785:客版3L彩盒(</t>
    </r>
    <r>
      <rPr>
        <sz val="12"/>
        <color rgb="FFFF0000"/>
        <rFont val="宋体"/>
        <charset val="134"/>
        <scheme val="minor"/>
      </rPr>
      <t>条码贴纸：EAN 5056296050422)</t>
    </r>
    <r>
      <rPr>
        <sz val="12"/>
        <rFont val="宋体"/>
        <charset val="134"/>
        <scheme val="minor"/>
      </rPr>
      <t>.
+冰箱77673（用空白贴纸覆盖条码位置+标准MA 说明书+ ZURU 带电池版本WEEE30L 电池说明书）+球77711（用空白贴纸覆盖条码位置）配比：2PK 77711-INT(capsu
les)+1PK 77673 combo in color box,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*订单对应客户7个PO号 ，备注有显示 ，注意分开做货/验货/装柜 ，混装有罚款。
* 大货样： 新款请在6/14 前寄出每款2整套大货样到罗湖办公室7B Sandy Shao 收，翻单不用寄。</t>
    </r>
  </si>
  <si>
    <t>95586-7.8</t>
  </si>
  <si>
    <t xml:space="preserve"> J D Williams &amp; Company Limited</t>
  </si>
  <si>
    <t>CUS
PO#1141622CUS
SKU#TC907</t>
  </si>
  <si>
    <t>4500166275-30</t>
  </si>
  <si>
    <t>77673-S006-MB</t>
  </si>
  <si>
    <t>迷你冰箱12pcs/箱
邮包盒装</t>
  </si>
  <si>
    <t>日期码格式：ZURU INC(BVI) 标准格式 日期：按实际生产日期
Packaging Info:
 77673: MA-1L 最新UPC包装+WEEE(带)电池走货欧洲30语通用黑白说明书，单个产品入一个空白棕色邮包盒，邮包盒加贴1张白色产品号贴于1侧面右下角，按订单要
 求12个邮包盒入一个外箱
Remark: 1# MA版本按工厂现有最新库存即可,订单出英国，请注意检查产品及包装应带UKCA图标，包装显示ZURU UK LTD信息，QC同事请查核，如有问题与跟单确认。
 2# 当2个或2个以上装一箱时 ，外箱尺寸范围应为以下，如产品开发过程中发现订单显示尺寸不符（外箱不能留空），务必要与ZURU跟单确认并在尺寸确认ok 的前
 提下及时要求ZURU跟单更新尺寸在订单上以免数据不一致导致出现错误而产生高额罚款(工厂承担)；外箱一旦完成打样，请用测量工具度量出外箱实际尺寸并拍照给
 跟单进行留底（订舱前的数据复核）。
 长25-63cm
 宽25-33cm
 高20-40cm
 3# 产品应符合英国当地法规，涉及到硼的请使用无硼/低硼版本，不含微塑料；
 4# 所有订单都需要经过ZURU QC验货并且通过后方可出货，ZURU QC务必要按照订单显示尺寸验货同时注意与工厂复核以上第2点，验货时请用测量工具度量出外箱
 实际尺寸并拍照给跟单进行留底（出货前的数据复核），如有疑问请及时与跟单沟通。</t>
  </si>
  <si>
    <t>95859-7.31</t>
  </si>
  <si>
    <t>NASA Panama</t>
  </si>
  <si>
    <t>巴拿马</t>
  </si>
  <si>
    <t>4500168055-120</t>
  </si>
  <si>
    <t>日期码格式：ZURU INC(BVI) 标准格式 日期：按实际生产日期
Packaging Info:77673:MA多语EAN+UPC贴纸+箱唛
Remark:</t>
  </si>
  <si>
    <t>96338-3-9.6</t>
  </si>
  <si>
    <t>SMYTHS TOYS HQ UC</t>
  </si>
  <si>
    <t>4500168001-20</t>
  </si>
  <si>
    <t>迷你冰箱8pcs</t>
  </si>
  <si>
    <t>日期码格式：ZURU INC(BVI) 标准格式 日期：按实际生产日期
Packaging Info:
7673TQ1:最新MA 3L PDQ+ 客版收缩膜(英法德callout/英法德意荷警语/法国环保logo) +客版收藏指南(英法德意荷) 所有客版资料翻单4500155594+MA 23L 说明书+
WEEE带电池走货欧洲 30 语通用黑白说明书
EAN: 4894680042773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</si>
  <si>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Joan Wang</t>
  </si>
  <si>
    <t>95631-7.14</t>
  </si>
  <si>
    <t>4500168463-110</t>
  </si>
  <si>
    <t>日期码格式：ZURU INC(BVI) 标准格式 日期：按实际生产日期
Packaging Info: 77673:MA多语EAN+UPC贴纸+箱唛
Remark: 请确保包装上的条形码是UPC，如有不一致，请及时提出。谢谢！</t>
  </si>
  <si>
    <t>Aimee Huang</t>
  </si>
  <si>
    <t>95582-7.7</t>
  </si>
  <si>
    <t>4500168594-100</t>
  </si>
  <si>
    <t>95787-7.26</t>
  </si>
  <si>
    <t>COSTCO WHOLESALE UK LTD</t>
  </si>
  <si>
    <t>199-9281-757</t>
  </si>
  <si>
    <t>4500164547-10</t>
  </si>
  <si>
    <t>需要安排10%抽板测试: 抽板时间6/13，
请严格按期安排物料，预计会抽走6套成品版（具体数量届时再告知）+ all product package and shipping package+一套封板在工厂供100%验货用，箱唛要印刷客
人箱唛，请做好损耗计算；一般需要10 working day 做测试，抽版测试通过才能安排100%大货生产
4.需要安排第三方100%完货验货: 验货时间: 7/3；</t>
  </si>
  <si>
    <t>日期码格式：ZURU INC(BVI) 标准格式 日期：按实际生产日期
Packaging Info: 1. 77758SLT: 客版彩盒(英法西瑞典冰岛语言)+客版球的收缩膜(英法西瑞典冰岛语言)+客版冰箱收缩膜(英法西瑞典冰岛语言)+客版冰箱收藏指南(英法西瑞典冰岛
语言)+客版球的收藏指南(英法西瑞典冰岛语言)+客版Manual for three kinds of mini creates(英法西瑞典冰岛语言) +客版球的黑白说明书(英法西瑞典冰岛语言
)+客版内纸袋(英法西瑞典冰岛语言) +客版UV glue bottle sticker(英法西瑞典冰岛语言) +客版冰箱电池警告语和说明书(英法西瑞典冰岛语言) + 客版PDQ
---以上客版包装除了(客版PDQ翻Costco US PO#4500156301)，剩下的客版包装都翻Costco Spain PO#4500163768,请一起合并订购物料
3PK 77711-INT(capsules)+1PK 77673 combo in color box
#77673( Fridge with extra 5 exclusive mini,But "pizza" in different versions of packaging for INT market)
77673:UV GLUE / 7 magnets（6 magnets and 1 Refrigerator magnet）
77711:UV GLUE/ 1 Refrigerator Magnet
77673:3PCS AG13 BATTERIES(INCLUDED)
1F*5D=5PCS/PDQ, 5PDQ/LAYER=25PCS/LAYER, 25PDQ/Tray*3=75PCS/PALLET
Remark: 1. 日期码印在产品和外箱上，按实际生产日期。 ZURU 标准版格式的日期码。
2. 出英国/冰岛/瑞典三个国家，产品需要打UKCA Mark，包装也需要有UKCA，否则不符合法规客人会退货有罚款产生
3.需要安排10%抽板测试: 抽板时间6/13，
请严格按期安排物料，预计会抽走6套成品版（具体数量届时再告知）+ all product package and shipping package+一套封板在工厂供100%验货用，箱唛要印刷客
人箱唛，请做好损耗计算；一般需要10 working day 做测试，抽版测试通过才能安排100%大货生产
4.需要安排第三方100%完货验货: 验货时间: 7/3；
5. 纸箱唛头：纸箱四面，只印刷一个正面，另外一个正面不印，侧唛也不印, 按照箱唛模板要求排版。按照箱唛模板要求排版。请注意箱唛印刷效果要我们确认后
才可印刷大货的。
6. 确保展示架在入外箱时一定要正面对着有印刷箱唛的那面,不可以装反.</t>
  </si>
  <si>
    <t>95729-7.22</t>
  </si>
  <si>
    <t>0907594722RID
GEVILLE SC</t>
  </si>
  <si>
    <t>4500162964-10</t>
  </si>
  <si>
    <t>7/1 第三方验货</t>
  </si>
  <si>
    <t>ZB00845-7.23</t>
  </si>
  <si>
    <t>0918625845</t>
  </si>
  <si>
    <t>4500167594-10</t>
  </si>
  <si>
    <t>7/1自检</t>
  </si>
  <si>
    <t>翻单：4500159641</t>
  </si>
  <si>
    <t>ZB00734-7.12</t>
  </si>
  <si>
    <t>Amazon UK:
7I41M6FO</t>
  </si>
  <si>
    <t>4500167501-20</t>
  </si>
  <si>
    <t>2张贴纸(1张UPC#，参考翻单PO#4500158582；1张可折叠警语贴
含德意警告语+IT环保标，参考翻单PO#4500157858)+WEEE电子产品说明书30L(带电池走货版);</t>
  </si>
  <si>
    <t>日期码格式：ZURU INC(BVI) 标准格式 日期：按实际生产日期
Packaging Info: Amazon UK(15714D/15728BEG/15762ADE/77673/77723/92119BD)/DE(15710B/15714G)/FR(15710B/15728E/15762B/15763B/77731/9561)
4. 77673: 12pcs/ctn; MA 3L(3L warning EAN#)A收缩膜+MA 23L warning说明书+MA 5L A收藏指南+2张贴纸(1张UPC#，参考翻单PO#4500158582；1张可折叠警语贴
含德意警告语+IT环保标，参考翻单PO#4500157858)+WEEE电子产品说明书30L(带电池走货版);
11.验货时间不迟于2025/7/1.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</si>
  <si>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95622-7.12</t>
  </si>
  <si>
    <t>4500163807-10</t>
  </si>
  <si>
    <t>日期码格式：ZURU INC(BVI) 标准格式 日期：按实际生产日期
Packaging Info: 77673:
1.MA -1L UPC包装+WEEE带电池走货说明书北欧+客人白色Cat.label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-请先检查条码是否正确再安排做，标签上的目录编号数字高度必须至少为5mm （14.17pt），条码扫描结果应为7624348。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</si>
  <si>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Ina Song</t>
  </si>
  <si>
    <t>95690-7.18</t>
  </si>
  <si>
    <t>ToyChamp Belgium nv</t>
  </si>
  <si>
    <t>比利时</t>
  </si>
  <si>
    <t>250400000359</t>
  </si>
  <si>
    <t>4500166992-60</t>
  </si>
  <si>
    <r>
      <rPr>
        <sz val="11"/>
        <rFont val="宋体"/>
        <charset val="134"/>
        <scheme val="minor"/>
      </rPr>
      <t>日期码格式：ZURU INC(BVI) 标准格式 日期：按实际生产日期
Packaging Info: 
6.77673： MA 3L 最新版EAN收缩膜</t>
    </r>
    <r>
      <rPr>
        <sz val="11"/>
        <color rgb="FFFF0000"/>
        <rFont val="宋体"/>
        <charset val="134"/>
        <scheme val="minor"/>
      </rPr>
      <t>+1张2L(NL&lt;(&gt;&amp;&lt;)&gt;DE)警告语贴纸+MA 5L收藏指南+1张荷兰语警告语贴纸+MA 23L 电池+UV胶警告语+1张30L WEEE带电池走货说明
书+其它MA包装；</t>
    </r>
    <r>
      <rPr>
        <sz val="11"/>
        <rFont val="宋体"/>
        <charset val="134"/>
        <scheme val="minor"/>
      </rPr>
      <t xml:space="preserve">
Remark: 1.STD配比；
2.外箱需要印条码，请确保条码可以清晰扫描且条码内容正确；
3.出欧洲，微塑料需合规（如item本身不含微塑料,则忽略此要求）;
4.所有产品需要符合REACH申明。</t>
    </r>
  </si>
  <si>
    <t>Bella Wang</t>
  </si>
  <si>
    <t>95850-7.31</t>
  </si>
  <si>
    <t>PSICHOGIOS PUBLICATIONS SA</t>
  </si>
  <si>
    <t>希腊</t>
  </si>
  <si>
    <t>4500168579-20</t>
  </si>
  <si>
    <t>日期码格式：ZURU INC(BVI) 标准格式 日期：按实际生产日期
Packaging Info: 
2. 77673:最新MA 3L EAN收缩膜+最新MA 5L包装+一张客人警语贴纸+两张纸袋希腊警语贴纸（同77711）
Remark: 1. 此单出希腊，需要满足EU标准； 产品均符合EU微塑料法规要求：不能含有微塑料闪粉
2. 本订单所有 具有 baby items / assorted items 的款式，零售包装上都要用 母 EAN;
3. 请根据产品是否带电出货，自行订购"WEEE_不带/带电池走货 _ 欧洲通用说明书EN+30L"说明书纸</t>
  </si>
  <si>
    <t>95552-7.5</t>
  </si>
  <si>
    <t>PLASTICOSUR S.A.</t>
  </si>
  <si>
    <t>4500168656-30</t>
  </si>
  <si>
    <t>（贴纸翻单4500163040）；</t>
  </si>
  <si>
    <t>日期码格式：ZURU INC(BVI) 标准格式 日期：按实际生产日期
Packaging Info: 
3.77673:最新MA 3L EAN 版本包装+一张邮箱贴纸+MA 23L 说明书+MA 5L Creative 说明书+MA 3L PDQ+WEEE带电池走货欧洲30语通用黑白说明书 ；（贴纸翻单45001
63040）；
Remark: 1.西班牙订单，需满足EU测试标准要求，微塑料需符合EU法规；</t>
  </si>
  <si>
    <t>95637-7.14</t>
  </si>
  <si>
    <t>0907594683</t>
  </si>
  <si>
    <t>4500168362-10</t>
  </si>
  <si>
    <t>2025/7/10自检</t>
  </si>
  <si>
    <t>日期码格式：ZURU DGYYYYMMDD CHINA(日期避开周末和法定节假日即可） 日期：按实际生产日期
Packaging Info: 77673TQ1-S001
1.包装要求：
MA 1L A版收缩膜+MA 5L 收藏指南+MA 说明书+MA 1L playset
每pcs产品上要贴1张RFID贴纸，贴纸由ZURU提供，贴纸位置请严格按照我们签回的签板；
Remark: 77673TQ1-S001
1.包装要求：
MA 1L A版收缩膜+MA 5L 收藏指南+MA 说明书+MA 1L playset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carton出货，4pcs/PDQ/CTN</t>
  </si>
  <si>
    <t>ZB00778-7.17</t>
  </si>
  <si>
    <t>0907594696</t>
  </si>
  <si>
    <t>4500168362-20</t>
  </si>
  <si>
    <t>2025/7/9第三方验货</t>
  </si>
  <si>
    <t>ZB00835-7.22</t>
  </si>
  <si>
    <t>0907594708</t>
  </si>
  <si>
    <t>4500168362-30</t>
  </si>
  <si>
    <t>ZB00802-7.18</t>
  </si>
  <si>
    <t>0907594713</t>
  </si>
  <si>
    <t>4500168362-40</t>
  </si>
  <si>
    <t>ZB00801-7.18</t>
  </si>
  <si>
    <t>BLAIN SUPPLY, INC</t>
  </si>
  <si>
    <t>PO#V125777-2</t>
  </si>
  <si>
    <t>4500167614-50</t>
  </si>
  <si>
    <t>日期码格式：ZURU INC(BVI) 标准格式 日期：按实际生产日期
Packaging Info: 1. 包装：ZURU MA 1L UPC最新包装；出口美国
Remark: 2. 日期跟踪码：产品外包装及产品本身都必须有日期跟踪码，并且确保两者的日期跟踪码要一致；ZURU标准格式日期码(请自行调整具体年月日生产期，但不能为
周末）。
3. 出货配比：ZURU MA 配比</t>
  </si>
  <si>
    <t>ZB00654R1-7.4</t>
  </si>
  <si>
    <t>4500167444-30</t>
  </si>
  <si>
    <t>日期码格式：ZURU INC(BVI) 标准格式 日期：按实际生产日期
Packaging Info:
#77673: MA 1L UPC版包装，出口美国。
Remark: 1.Amazon domestic 订单。出口美国。外箱最长边不能超过25" （超过了，case pack只能为1），不符合要求的大货，一律不接受。
2.无第三方验货/测试要求。
3.日期码使用ZURU标准版本。
4.邮包盒要印刷日期码。</t>
  </si>
  <si>
    <t>ZB00719-7.10</t>
  </si>
  <si>
    <t>4500161371-10</t>
  </si>
  <si>
    <t xml:space="preserve">2025/6/9安排做10%抽版测试 , （即最少需要完成8座的数量，600PCS），最晚 6/23完成100%大货安排第三方验货（ITS).  </t>
  </si>
  <si>
    <t>6/28 出货</t>
  </si>
  <si>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纸箱唛头：纸箱四面，只印刷一个正面，另外一个正面不印，侧唛也不印, 按照箱唛要求排版。
4. 确保展示架在入外箱的时候一定要正面对着有印刷箱唛的那面,不可以装反。
5. 此单是首单出货数量5400pcs, 最晚 2025/6/6安排做10%抽版测试 , 最晚 6/20完成100%大货安排第三方验货（ITS) 6. 样板：工厂需预留至少6套测试样用于抽
板+3pcs签样（1pc工厂留底+2pc ITS封样后寄深圳办公室，需给客人留底)+ 1pc大货样寄深圳办公室拍照用</t>
  </si>
  <si>
    <t>4500161390-10</t>
  </si>
  <si>
    <t>95543-7.3</t>
  </si>
  <si>
    <t>Cladellas 2000 S.L</t>
  </si>
  <si>
    <t>4500167713-30</t>
  </si>
  <si>
    <t>此单每款产品需各寄2套大货样到深圳办公室，请注意备料；</t>
  </si>
  <si>
    <t>日期码格式：ZURU INC(BVI) 标准格式 日期：按实际生产日期
Packaging Info:
3.77785:最新客版彩盒+EAN贴纸+一张客户进口商贴纸；
子件77673：最新MA3LEAN收缩膜+最新MA5L收藏指南+最新MA23L说明书+最新MA纸袋+MA WEEE带电池走货欧洲30语通用黑白说明书 ；"
Remark: 1.此单出西班牙市场，需满足EU测试标准要求，微塑料需符合EU法规。
2.此单每款产品需各寄2套大货样到深圳办公室，请注意备料；</t>
  </si>
  <si>
    <t>95636-7.14</t>
  </si>
  <si>
    <t>TOYS CENTRE SL</t>
  </si>
  <si>
    <t>4500168264-100</t>
  </si>
  <si>
    <t>贴纸翻单4500163040）</t>
  </si>
  <si>
    <t>日期码格式：ZURU INC(BVI) 标准格式 日期：按实际生产日期
Packaging Info:
10.77673:最新MA 3L EAN 版本包装+一张邮箱贴纸+MA 23L 说明书+MA 5L Creative 说明书+MA 3L PDQ+WEEE带电池走货欧洲30语通用黑白说明书 ；（贴纸翻单4500
163040）；
Remark: 1.此单出西班牙市场，需满足EU测试标准要求，微塑料需符合EU法规。
2.此单每款产品需各寄2套大货样到深圳办公室，请注意备料；</t>
  </si>
  <si>
    <t>95627-7.12</t>
  </si>
  <si>
    <t>4500168264-110</t>
  </si>
  <si>
    <t>日期码格式：ZURU INC(BVI) 标准格式 日期：按实际生产日期
Packaging Info: 
11.77785:最新客版彩盒+EAN贴纸；(条码贴纸翻单4500166563）；
子件77673：最新MA3LEAN收缩膜+最新MA5L收藏指南+最新MA23L说明书+最新MA纸袋+WEEE带电池走货欧洲30语通用黑白说明书 ；"
Remark: 1.此单出西班牙市场，需满足EU测试标准要求，微塑料需符合EU法规。
2.此单每款产品需各寄2套大货样到深圳办公室，请注意备料；</t>
  </si>
  <si>
    <t>JUGUETES PANRE S.L.</t>
  </si>
  <si>
    <t>4500168249-20</t>
  </si>
  <si>
    <t>日期码格式：ZURU INC(BVI) 标准格式 日期：按实际生产日期
Packaging Info:
2.77785:最新客版彩盒+EAN贴纸+一张客户进口商贴纸；
子件77673：最新MA3LEAN收缩膜+最新MA5L收藏指南+最新MA23L说明书+最新MA纸袋+MA WEEE带电池走货欧洲30语通用黑白说明书 ；"
Remark: 1.此单出西班牙市场，需满足EU测试标准要求，微塑料需符合EU法规。</t>
  </si>
  <si>
    <t>95624-7.12</t>
  </si>
  <si>
    <t>(MAPA) Exclusivas Teide</t>
  </si>
  <si>
    <t>4500168288-10</t>
  </si>
  <si>
    <t>EAN贴纸；(条码贴纸翻单4500166563）；</t>
  </si>
  <si>
    <t>日期码格式：ZURU INC(BVI) 标准格式 日期：按实际生产日期
Packaging Info: 1.77785:最新客版彩盒+EAN贴纸；(条码贴纸翻单4500166563）；
子件77673：最新MA3LEAN收缩膜+最新MA5L收藏指南+最新MA23L说明书+最新MA纸袋+MA WEEE带电池走货欧洲30语通用黑白说明书 ；
Remark: 1.此单出西班牙市场，需满足EU测试标准要求，微塑料需符合EU法规。</t>
  </si>
  <si>
    <t>0918619844</t>
  </si>
  <si>
    <t>4500167595-10</t>
  </si>
  <si>
    <t>2025/7/16第三方验货</t>
  </si>
  <si>
    <t>ZB00798-7.18</t>
  </si>
  <si>
    <t>0918625880</t>
  </si>
  <si>
    <t>4500167595-20</t>
  </si>
  <si>
    <t>ZB00862-7.25</t>
  </si>
  <si>
    <t>777 7MAY25</t>
  </si>
  <si>
    <t>4500167998-80</t>
  </si>
  <si>
    <t>WEEE带电池走货欧洲30语通用黑白说明书</t>
  </si>
  <si>
    <t>日期码格式：ZURU INC(BVI) 标准格式 日期：按实际生产日期
Packaging Info:
7. 77673TQ1-S004：MA 最新UPC包装+WEEE带电池走货欧洲30语通用黑白说明书, UPC# 193052079404，请先检查条码是否正确再安排做货，如有问题请告知
Remark: 1.产品及包装需要印UKCA图标，包装需要有ZURU UK LTD/ZURU France地址信息，QC同事请核查，如有问题与跟单确认。
2. 需要符合欧洲标准不能含有闪粉和微塑料，否则不和法规会有客诉产生</t>
  </si>
  <si>
    <t>95675-7.17</t>
  </si>
  <si>
    <t>0921438650</t>
  </si>
  <si>
    <t>4500168952-10</t>
  </si>
  <si>
    <t>2025/7/11第三方验货</t>
  </si>
  <si>
    <t>外箱印刷带条码的RFID箱唛：RFID紫色色带+WM Dept.图标+RFID图标+ITF-14条码，四面右下角印刷ZURU logo, ITFF条码只印刷在正唛一面，在加印的时候确保
条形码能扫描出来，外箱侧面任一角落加印："MADE IN CHINA" 字样,箱唛翻单：4500159641</t>
  </si>
  <si>
    <t>日期码格式：ZURU DGYYYYMMDD CHINA(日期避开周末和法定节假日即可） 日期：按实际生产日期
Packaging Info: 77673-S004
1.包装要求：
MA 1L A版收缩膜+MA 5L 收藏指南+MA 说明书
每pcs产品上要贴1张RFID贴纸，贴纸由ZURU提供，贴纸位置请严格按照我们签回的签板；
Remark: 77673-S004
1.包装要求：
MA 1L A版收缩膜+MA 5L 收藏指南+MA 说明书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字样,箱唛翻单：4500159641
3. 在产品上和包装上要有日期码、以及要有MADE IN CHINA和ZURU字样；
4. 产品如有扎带口要剪平，不能刮手。
5. 此单需要验货，请多备料
6. 此单以loose carton出货，4pcs/CTN</t>
  </si>
  <si>
    <t>ZB00754-7.15</t>
  </si>
  <si>
    <t>N.V. DREAMLAND</t>
  </si>
  <si>
    <t>4500169123-30</t>
  </si>
  <si>
    <t>2L(NL&lt;(&gt;&amp;&lt;)&gt;DE)警告语贴纸（翻单4500166992）；荷兰语警告语贴纸（翻单4500166992）</t>
  </si>
  <si>
    <t>日期码格式：ZURU INC(BVI) 标准格式 日期：按实际生产日期
Packaging Info:
3.77673 ：MA 3L 最新版EAN收缩膜+1张2L(NL&lt;(&gt;&amp;&lt;)&gt;DE)警告语贴纸（翻单4500166992）+MA 5L收藏指南+1张荷兰语警告语贴纸（翻单4500166992）+MA 23L 电池+U
V胶警告语+1张30L WEEE带电池走货说明书（翻单4500166992）+其它MA包装；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</si>
  <si>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000760423010</t>
  </si>
  <si>
    <t>4500161406-10</t>
  </si>
  <si>
    <t>77721SLT-S002</t>
  </si>
  <si>
    <t>日期码格式：ZURU INC(BVI) 标准格式 日期：按实际生产日期
Packaging Info:
Remark: 77721SLT：S002-MINI BRANDS-FILL THE FRIDGE-SERIES 1-1PK Fill the Fridge PLAYSET S1 (With 5 Extra Minis) And 3PK NA Capsules S1 COMBO IN COLOR B
OX,100CS/DISPLAY/SLIP SHEET
1. 所有日期码印在彩盒上，产品上也需要印日期码. 按实际生产日期，ZURU 标准版格式的日期码。
2. 客版包装: 客版彩盒+ 客版PDQ+客版收缩膜+客版收藏指南
3. 纸箱唛头：纸箱四面，只印刷一个正面，另外一个正面不印，侧唛也不印, 按照箱唛要求排版。
4. 确保展示架在入外箱的时候一定要正面对着有印刷箱唛的那面,不可以装反。
5. 请注意此单出货数量是2400pcs，四层的Pallet, 即100PCS/pallet, 还是5PCS/PDQ, 每层放25PCS.</t>
  </si>
  <si>
    <t>95630-7.14</t>
  </si>
  <si>
    <t>77721SLT-S002-NA</t>
  </si>
  <si>
    <t>0907594668</t>
  </si>
  <si>
    <t>4500169395-10</t>
  </si>
  <si>
    <t>2025/7/22第三方验货</t>
  </si>
  <si>
    <t>ZB00978-7.30</t>
  </si>
  <si>
    <t>0907594705</t>
  </si>
  <si>
    <t>4500169395-20</t>
  </si>
  <si>
    <t>ZB00929-7.28</t>
  </si>
  <si>
    <t>0907594727</t>
  </si>
  <si>
    <t>4500169395-30</t>
  </si>
  <si>
    <t>ZB00928-7.28</t>
  </si>
  <si>
    <t>0907594728</t>
  </si>
  <si>
    <t>4500169395-40</t>
  </si>
  <si>
    <t>ZB010979-7.30</t>
  </si>
  <si>
    <t>0907594758</t>
  </si>
  <si>
    <t>4500169395-50</t>
  </si>
  <si>
    <t>ZB00960-7.29</t>
  </si>
  <si>
    <t>4500159839-60</t>
  </si>
  <si>
    <t>防盗贴纸位置翻PO#4500160042</t>
  </si>
  <si>
    <t>箱唛日期码与包装保持一致</t>
  </si>
  <si>
    <t>日期码格式：ZURU INC(BVI) 标准格式 日期：按实际生产日期
Packaging Info:
6.77673TQ1-S004： MA 1L UPC 包装+其他MA 最新包装+1张防盗贴纸（贴纸类型10111896：40R ECON YBL DE 8.2 1kr）防盗贴纸位置翻PO#4500160042,请工厂自行
跟checkpoint供应商订购贴纸
UPC#193052079404，请先检查包装条码是否正确再安排做货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</si>
  <si>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95800-7.28</t>
  </si>
  <si>
    <t>4500164465-10</t>
  </si>
  <si>
    <r>
      <rPr>
        <sz val="11"/>
        <rFont val="宋体"/>
        <charset val="134"/>
        <scheme val="minor"/>
      </rPr>
      <t xml:space="preserve">日期码格式：ZURU INC(BVI) 标准格式 日期：按实际生产日期
Packaging Info: 77758SLT: 1.客版彩盒+客版球的收缩膜+客版冰箱收缩膜+客版冰箱收藏指南+客版球的收藏指南+客版Manual for three kinds of mini creates +客版球的黑白说
明书+客版内纸袋 +客版UV glue bottle sticker+客版冰箱电池警告语和说明书：（以上MA客版翻COSTCO UK PO#4500163768）
2.客版PDQ(客版 PDQ翻Costco US
PO#4500156301)
3.墨西哥订单加一张保证书+墨西
哥NOM贴纸，产品/包装/说明书都要贴1张NOM 贴纸
（翻PO#4500164462)
Remark: 1. 所有日期码印在彩卡上，产品(枪)上也需印日期码.按实际生产日期，ZURU 标准版格式的日期码。
2. 纸箱唛头：纸箱四面，只印刷一个正面，另外一个正面不印，侧唛也不印, 按照箱唛模板要求排版。按照箱唛模板要求排版。请注意箱唛印刷效果要我们确认后
才可印刷大货的。 3
. 确保展示架在入外箱时一定要正面对着有印刷箱唛的那面,不可以装反。
4
. 3PK 77711-INT(capsules)+1PK 77673 combo in color box， 3PCS AG13 BATTERIES(INCLUDED)
</t>
    </r>
    <r>
      <rPr>
        <sz val="11"/>
        <color rgb="FFFF0000"/>
        <rFont val="宋体"/>
        <charset val="134"/>
        <scheme val="minor"/>
      </rPr>
      <t>5.单需要监柜，需要安排1套大货样板用于监柜。</t>
    </r>
  </si>
  <si>
    <t>95648-7.15</t>
  </si>
  <si>
    <t>FB13021</t>
  </si>
  <si>
    <t>4500167693-40</t>
  </si>
  <si>
    <t>大货样： 新款请在6/30 前寄出每款2整套大货样到罗湖办公室7B Sandy Shao 收</t>
  </si>
  <si>
    <t>日期码格式：ZURU INC(BVI) 标准格式 日期：按实际生产日期
Packaging Info: 
77673TQ1-S002： MA-1L 配套包装，另外产品内包装再加多一张ZURU带电池版本的WEEE 电池说明书, 条码请核对：193052079404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</si>
  <si>
    <t>95692-7.18</t>
  </si>
  <si>
    <t>005730423132</t>
  </si>
  <si>
    <t>4500161402-10</t>
  </si>
  <si>
    <t>95664-7.17</t>
  </si>
  <si>
    <t xml:space="preserve"> GP TURKEY</t>
  </si>
  <si>
    <t>土耳其</t>
  </si>
  <si>
    <t>084212</t>
  </si>
  <si>
    <t>4500165563-30</t>
  </si>
  <si>
    <t>客户日期码：ZUR5195，产品/包装/外箱请保持一致。产品蛋壳需要印日期ZUR5195和对应的item号码77673</t>
  </si>
  <si>
    <r>
      <rPr>
        <sz val="11"/>
        <rFont val="宋体"/>
        <charset val="134"/>
        <scheme val="minor"/>
      </rPr>
      <t>日期码格式：</t>
    </r>
    <r>
      <rPr>
        <sz val="11"/>
        <color rgb="FFFF0000"/>
        <rFont val="宋体"/>
        <charset val="134"/>
        <scheme val="minor"/>
      </rPr>
      <t xml:space="preserve">ZUR5195 </t>
    </r>
    <r>
      <rPr>
        <sz val="11"/>
        <rFont val="宋体"/>
        <charset val="134"/>
        <scheme val="minor"/>
      </rPr>
      <t>日期：
Packaging Info: 
77673:MA 3L 包装+进口商贴纸（含客户条码）+MA 说明书;MA 3L PDQ
2.客户日期码：ZUR5195，产品/包装/外箱请保持一致。产品蛋壳需要印日期ZUR5195和对应的item号码77555GQ2/77673/77711GQ2
77673:分别需要两套完整大货样,需要1套满PDQ+1套完整大货样，还需要一套带PDQ的MA样，寄到客户香港办公室，请多备料，地址如下： Attn: Sylvia L
i Company name: GP Services HK Limited Company address: Suite 1502, 15th Floor, Chinachem Golden Plaza, 77 Mody Road, TST East, Kowloon, Hong Ko
ng Company address (Chinese): 香港九龍尖沙咀東部麼地道77號華懋廣場1502室 Contact Tel: +852 2739 5363
Remark: Contain UV Glue and Cream Glue 77555GQ2:Contains UV Glue</t>
    </r>
  </si>
  <si>
    <t xml:space="preserve"> Lena Huang</t>
  </si>
  <si>
    <t>MAC HOLDING SRL</t>
  </si>
  <si>
    <t>4500166748-10</t>
  </si>
  <si>
    <r>
      <rPr>
        <sz val="11"/>
        <rFont val="宋体"/>
        <charset val="134"/>
        <scheme val="minor"/>
      </rPr>
      <t xml:space="preserve">日期码格式：ZURU INC(BVI) 标准格式 日期：按实际生产日期
Packaging Info: MEC305:MA 展示架（如有MA3L则不用MA1L）
</t>
    </r>
    <r>
      <rPr>
        <sz val="11"/>
        <color rgb="FFFF0000"/>
        <rFont val="宋体"/>
        <charset val="134"/>
        <scheme val="minor"/>
      </rPr>
      <t>77673:MA A 3L 收缩膜含EAN条码+1*意大利sorting logo含进口商贴纸+MA A5L收藏指南，MA A23L说明书+WEEE带电池走货欧洲30语通用黑白说明书</t>
    </r>
    <r>
      <rPr>
        <sz val="11"/>
        <rFont val="宋体"/>
        <charset val="134"/>
        <scheme val="minor"/>
      </rPr>
      <t xml:space="preserve">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r>
  </si>
  <si>
    <t>日期码格式：ZURU INC(BVI) 标准格式 日期：按实际生产日期
Packaging Info: MEC305:MA 展示架（如有MA3L则不用MA1L）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</si>
  <si>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95671-7.17</t>
  </si>
  <si>
    <t>ZMPO250538</t>
  </si>
  <si>
    <t>Remark：大货最新版本包装/大货标准箱装箱/箱唛请参照邮件附件；备注：  收到订单后请尽快安排，谢谢</t>
  </si>
  <si>
    <t>95862-7.31</t>
  </si>
  <si>
    <t>4500160886-20</t>
  </si>
  <si>
    <t>7/21 第三方验货</t>
  </si>
  <si>
    <t>日期码格式：ZURU INC(BVI) 标准格式 日期：按实际生产日期
Packaging Info:
#77673：
MA3L收缩膜+UPC贴纸(UPC:193052079404)+MA23L说明书+MA5L收藏指南+MA5L,UV胶瓶身贴
(UPC贴纸翻单：4500160504)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</si>
  <si>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95743-7.23</t>
  </si>
  <si>
    <t>0921438656</t>
  </si>
  <si>
    <t>4500168953-10</t>
  </si>
  <si>
    <t>2025/7/23第三方验货</t>
  </si>
  <si>
    <t>6/18 上给湖南</t>
  </si>
  <si>
    <t>ZB00874-7.26</t>
  </si>
  <si>
    <t>0921438674</t>
  </si>
  <si>
    <t>4500168953-20</t>
  </si>
  <si>
    <t>ZB00958-7.29</t>
  </si>
  <si>
    <t>0921438679</t>
  </si>
  <si>
    <t>4500168953-30</t>
  </si>
  <si>
    <t>ZB00926-7.28</t>
  </si>
  <si>
    <t>0918619829</t>
  </si>
  <si>
    <t>4500167604-10</t>
  </si>
  <si>
    <t>6/6 上给湖南</t>
  </si>
  <si>
    <t>ZB01017-8.1</t>
  </si>
  <si>
    <t>0918619852</t>
  </si>
  <si>
    <t>4500167598-10</t>
  </si>
  <si>
    <t>2025/7/17第三方验货</t>
  </si>
  <si>
    <t>ZB00759-7.16</t>
  </si>
  <si>
    <t xml:space="preserve"> SAINSBURY'S SUPERMARKET LTD</t>
  </si>
  <si>
    <t>Customer PO：
2735219</t>
  </si>
  <si>
    <t>4500163581-10</t>
  </si>
  <si>
    <t>日期码格式：ZURU INC(BVI) 标准格式 日期：按实际生产日期
Packaging Info: 77673TQ1: MA 1L 收缩膜 ，1L MA PDQ
 需要增加WEEE通用说明书（带电池走货）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</si>
  <si>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CORA ZHOU</t>
  </si>
  <si>
    <t>95763-7.24</t>
  </si>
  <si>
    <t>CMS FAMOUS TOYS</t>
  </si>
  <si>
    <t>PO0000974</t>
  </si>
  <si>
    <t>4500169319-40</t>
  </si>
  <si>
    <t>日期码格式：ZURU INC(BVI) 标准格式 日期：按实际生产日期
Packaging Info:
77673 MA多语 加UPC贴纸 UPC: 193052079404
Remark: 出加拿大
每款产品都需要加进口商贴纸
Zuru验货.日期跟踪码：产品外包装及产品本身都必须有日期跟踪码，ZURU标准格式
日期码</t>
  </si>
  <si>
    <t>Bella Tan</t>
  </si>
  <si>
    <t>FB13606</t>
  </si>
  <si>
    <t>4500167191-70</t>
  </si>
  <si>
    <t>95712-7.21</t>
  </si>
  <si>
    <t>5200006977</t>
  </si>
  <si>
    <t>4500169038-20</t>
  </si>
  <si>
    <t>（贴纸和WEEE翻4500162314）</t>
  </si>
  <si>
    <t>日期码格式：ZURU INC(BVI) 标准格式 日期：按实际生产日期
Packaging Info:
2. 77673TQ1:最新MA 3L EAN收缩膜+最新MA 5L收藏指南+最新MA 23L说明书+最新MA纸袋+最新MA 3L PDQ+多语警语折叠贴纸（含包装缺失的法/意/西环保标）+ 多语
版WEEE电池垃圾桶的回收声明说明书（ included）（贴纸和WEEE翻4500162314）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 保持一致，完货后提供date code 信息以便我们保存记录做批次管理；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带电池产品都需要包含多语WEEE黑白说明书。
8， MTS所有订单，SMASHERS 或含Slime产品，所有化合物使用无硼版本出；如有香味产品，出无香版本; BOB系列要符合欧洲要求不含亚硝酸版本; XShot Hyper系
列，统一出EN71版本。</t>
  </si>
  <si>
    <t>95711-7.21</t>
  </si>
  <si>
    <t>0918619846</t>
  </si>
  <si>
    <t>4500167602-10</t>
  </si>
  <si>
    <t>ZB00927-7.28</t>
  </si>
  <si>
    <t>0918625836</t>
  </si>
  <si>
    <t>4500167605-10</t>
  </si>
  <si>
    <t>2025/7/25第三方验货</t>
  </si>
  <si>
    <t>7/28 出货</t>
  </si>
  <si>
    <t>ZB00959-7.29</t>
  </si>
  <si>
    <t>0918619840</t>
  </si>
  <si>
    <t>4500167605-20</t>
  </si>
  <si>
    <t>ZB00961-7.29</t>
  </si>
  <si>
    <t>4500169831-20</t>
  </si>
  <si>
    <t>日期码格式：ZURU DGYYYYMMDD CHINA(日期避开周末和法定节假日即可） 日期：按实际生产日期
Packaging Info: 1.包装要求：
77673TQ1-S001:MA 1L A版收缩膜+MA 5L 收藏指南+MA 说明书+MA 1L PDQ
每pcs产品上要贴1张RFID贴纸，贴纸由ZURU提供，贴纸位置请严格按照我们签回的签板；
Remark: 1.包装要求：
77673TQ1-S001:MA 1L A版收缩膜+MA 5L 收藏指南+MA 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77673：4pcs/PDQ/CTN</t>
  </si>
  <si>
    <t>ZB00976-7.30</t>
  </si>
  <si>
    <t>4500169831-30</t>
  </si>
  <si>
    <t>ZB01213-8.12</t>
  </si>
  <si>
    <t>0918622216</t>
  </si>
  <si>
    <t>4500167607-10</t>
  </si>
  <si>
    <t>ZB01101-8.6</t>
  </si>
  <si>
    <t>0918619838</t>
  </si>
  <si>
    <t>4500167609-10</t>
  </si>
  <si>
    <t>2025/8/1第三方验货</t>
  </si>
  <si>
    <t>ZB01118-8.7</t>
  </si>
  <si>
    <t>0918619957</t>
  </si>
  <si>
    <t>4500167600-10</t>
  </si>
  <si>
    <t>ZB00930-7.28</t>
  </si>
  <si>
    <t>0918625844</t>
  </si>
  <si>
    <t>4500167600-20</t>
  </si>
  <si>
    <t>ZB00876-7.26</t>
  </si>
  <si>
    <t>0907594724</t>
  </si>
  <si>
    <t>4500168363-10</t>
  </si>
  <si>
    <t>ZB00777-7.17</t>
  </si>
  <si>
    <t>0907594726</t>
  </si>
  <si>
    <t>4500168363-20</t>
  </si>
  <si>
    <t>ZB00799-7.18</t>
  </si>
  <si>
    <t>0918619926</t>
  </si>
  <si>
    <t>4500167596-10</t>
  </si>
  <si>
    <t>ZB00800-7.18</t>
  </si>
  <si>
    <t>0918619847</t>
  </si>
  <si>
    <t>4500167596-20</t>
  </si>
  <si>
    <t>ZB00844-7.23</t>
  </si>
  <si>
    <t>TIENDAS SORIANA, S.A. DE C.V.</t>
  </si>
  <si>
    <t>4500167907-20</t>
  </si>
  <si>
    <t>日期码格式：ZURU INC(BVI) 标准格式 日期：按实际生产日期
Packaging Info: 
77673：MA 3L EAN PKG+UPC 条码贴纸+MA 说明书+1个小的红色logo贴纸+进口商贴纸+保证书+箱唛，3张不同的进口商贴纸分别是贴在包装 /产品电池盖/说明书上
Remark: 1.77673：3PCS AG13 BATTERIES(INCLUDED)
5.集装箱及装柜要求：集装箱不能有破洞；不能太脏
6.每个item需要放1整箱在每个集装箱门口
7.装柜的时候要前、中、后拍照
8.此单有监柜要求，每款需要准备1pc监柜样板用于监装</t>
  </si>
  <si>
    <t>95744-7.23</t>
  </si>
  <si>
    <t>005710423113</t>
  </si>
  <si>
    <t>4500161405-10</t>
  </si>
  <si>
    <t>95785-7.26</t>
  </si>
  <si>
    <t>10001263766-3758</t>
  </si>
  <si>
    <t>4500168202-10</t>
  </si>
  <si>
    <t>6/18 寄出</t>
  </si>
  <si>
    <t>日期码格式：ZURU INC(BVI) 标准格式 日期：按实际生产日期
Packaging Info: 产品包装 客版收缩膜+客版收藏指南+MA说明书+ MA 1L PDQ；客版收缩膜+客版收藏指南翻单4500158149;
Remark: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4. 产品和包装上印刷 tracking code信息，格式为ZURU常规格式;
5. 出货方式：货代自提</t>
  </si>
  <si>
    <t>ZB01018-8.1</t>
  </si>
  <si>
    <t>SANBORN HERMANOS, S. A. DE C. V.</t>
  </si>
  <si>
    <t>4500167249-20</t>
  </si>
  <si>
    <r>
      <rPr>
        <sz val="11"/>
        <rFont val="宋体"/>
        <charset val="134"/>
        <scheme val="minor"/>
      </rPr>
      <t>日期码格式：ZURU INC(BVI) 标准格式 日期：按实际生产日期
Packaging Info: 
77673：MA 3L EAN 收缩膜+UPC 条码贴纸+5L 收藏指南+1张进口商贴纸+箱唛+</t>
    </r>
    <r>
      <rPr>
        <sz val="11"/>
        <color rgb="FFFF0000"/>
        <rFont val="宋体"/>
        <charset val="134"/>
        <scheme val="minor"/>
      </rPr>
      <t>1张说明书贴纸</t>
    </r>
    <r>
      <rPr>
        <sz val="11"/>
        <rFont val="宋体"/>
        <charset val="134"/>
        <scheme val="minor"/>
      </rPr>
      <t xml:space="preserve">
Remark: 电池：
77673：3PCS AG13 BATTERIES(INCLUDED)</t>
    </r>
  </si>
  <si>
    <t>95779-7.25</t>
  </si>
  <si>
    <t>COMERCIAL JOMAN S.L.</t>
  </si>
  <si>
    <t>4500169530-70</t>
  </si>
  <si>
    <t>EAN贴纸+一张进口商贴纸；（贴纸翻单4500168249）</t>
  </si>
  <si>
    <t>日期码格式：ZURU INC(BVI) 标准格式 日期：按实际生产日期
Packaging Info:
7.77785:最新客版彩盒+EAN贴纸+一张进口商贴纸；（贴纸翻单4500168249）
子件77673：最新MA3LEAN收缩膜+最新MA5L收藏指南+最新MA23L说明书+最新MA纸袋+MA WEEE带电池走货欧洲30语通用黑白说明书 ；
Remark: 1.此单出西班牙市场，需满足EU测试标准要求，微塑料需符合EU法规。
2.此单每款产品需在CRD前一周各寄2套大货样到深圳办公室，请注意备料；</t>
  </si>
  <si>
    <t>95762-7.24</t>
  </si>
  <si>
    <t>4500160470-50</t>
  </si>
  <si>
    <r>
      <rPr>
        <sz val="11"/>
        <rFont val="宋体"/>
        <charset val="134"/>
        <scheme val="minor"/>
      </rPr>
      <t xml:space="preserve">日期码格式：ZURU INC(BVI) 标准格式 日期：按实际生产日期
Packaging Info:
77673-S001_MA 3L EAN版收缩膜+MA 5L收藏指南+MA （电池+UV胶警告语-23L）说明书+MA 3L PDQ+带纽扣电池走货北欧六语通用黑白电池说明书+警告语/进口商贴
纸
北欧五语通用Slime黑白说明书
带纽扣电池走货北欧六语通用黑白电池说明书
上述贴纸翻单4500162375，之前已经安排MA 采购，请不要重复采购
</t>
    </r>
    <r>
      <rPr>
        <sz val="11"/>
        <color rgb="FFFF0000"/>
        <rFont val="宋体"/>
        <charset val="134"/>
        <scheme val="minor"/>
      </rPr>
      <t>此单资料全部翻单4500160445</t>
    </r>
    <r>
      <rPr>
        <sz val="11"/>
        <rFont val="宋体"/>
        <charset val="134"/>
        <scheme val="minor"/>
      </rPr>
      <t xml:space="preserve">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77673-S001-4894680042773</t>
    </r>
  </si>
  <si>
    <t>95851-7.31</t>
  </si>
  <si>
    <t>London Supply Group SA</t>
  </si>
  <si>
    <t>乌拉圭</t>
  </si>
  <si>
    <t>4500169604-160</t>
  </si>
  <si>
    <t>日期码格式：ZURU INC(BVI) 标准格式 日期：按实际生产日期
Packaging Info:
77673: MA 3L EAN PKG+UPC 条码贴纸+MA 3L PDQ+MA 收藏指南+箱唛
Remark: 
77673: 3PCS AG13 BATTERIES(INCLUDED)</t>
  </si>
  <si>
    <t>96590-4-9.30</t>
  </si>
  <si>
    <t>MANOR</t>
  </si>
  <si>
    <t>P015037569/S</t>
  </si>
  <si>
    <t>4500168200-20</t>
  </si>
  <si>
    <t>Kinderherz 2025 logo（翻单#4500166480）</t>
  </si>
  <si>
    <t>此单出货前要寄2套大货签办给到客户办公室</t>
  </si>
  <si>
    <r>
      <rPr>
        <sz val="11"/>
        <rFont val="宋体"/>
        <charset val="134"/>
        <scheme val="minor"/>
      </rPr>
      <t>日期码格式：ZURU INC(BVI) 标准格式 日期：按实际生产日期
Packaging Info:
77673TQ1: 最新MA 3L A版PDQ+PDQ Kinderherz 2025 logo（翻单#4500166480）+最新MA 3L A版EAN 收缩膜+收缩膜Kinderherz 2025 logo（翻单#4500166480）+</t>
    </r>
    <r>
      <rPr>
        <sz val="11"/>
        <color rgb="FFFF0000"/>
        <rFont val="宋体"/>
        <charset val="134"/>
        <scheme val="minor"/>
      </rPr>
      <t>新
MA 5L收藏指南</t>
    </r>
    <r>
      <rPr>
        <sz val="11"/>
        <rFont val="宋体"/>
        <charset val="134"/>
        <scheme val="minor"/>
      </rPr>
      <t>+最新MA 23L警语说明书+MA 5L纸袋+意语包装警语贴纸+客人款号贴纸+</t>
    </r>
    <r>
      <rPr>
        <sz val="11"/>
        <color rgb="FFFF0000"/>
        <rFont val="宋体"/>
        <charset val="134"/>
        <scheme val="minor"/>
      </rPr>
      <t>欧洲通用B版</t>
    </r>
    <r>
      <rPr>
        <sz val="11"/>
        <rFont val="宋体"/>
        <charset val="134"/>
        <scheme val="minor"/>
      </rPr>
      <t xml:space="preserve"> 30L WEEE带电池走货说明书
Remark: 1.此单务必准时出货，如有推期会有罚款和空运。
其中推期1至7天扣款5%，推期8至14天扣款10%，推期15至21天扣款20%,如此类推.
2.此单出货前要寄2套大货签办给到客户办公室
3.出口欧洲 微塑料需合规</t>
    </r>
  </si>
  <si>
    <t>Niki Chen</t>
  </si>
  <si>
    <t>Sainsburys</t>
  </si>
  <si>
    <t>MPO03624</t>
  </si>
  <si>
    <t>7/29送库有</t>
  </si>
  <si>
    <t>周转箱</t>
  </si>
  <si>
    <r>
      <rPr>
        <sz val="11"/>
        <rFont val="宋体"/>
        <charset val="134"/>
        <scheme val="minor"/>
      </rPr>
      <t>Remark: 以下子件由兴信客供带包装成品在库有组装
77673TQ1：1L UPC MA包装 + PDQ 1L A版+</t>
    </r>
    <r>
      <rPr>
        <sz val="11"/>
        <color rgb="FFFF0000"/>
        <rFont val="宋体"/>
        <charset val="134"/>
        <scheme val="minor"/>
      </rPr>
      <t>WEEE带电池走货30L B</t>
    </r>
    <r>
      <rPr>
        <sz val="11"/>
        <rFont val="宋体"/>
        <charset val="134"/>
        <scheme val="minor"/>
      </rPr>
      <t xml:space="preserve">
-条码按以下显示：
77673TQ1：193052079404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r>
  </si>
  <si>
    <t>97099-11.29</t>
  </si>
  <si>
    <t>SEARS MEXICO</t>
  </si>
  <si>
    <t>4500167318-40</t>
  </si>
  <si>
    <t>日期码格式：ZURU INC(BVI) 标准格式 日期：按实际生产日期
Packaging Info:
77673：MA 3L EAN 收缩膜+UPC 条码贴纸+5L 收藏指南+1张进口商贴纸+箱唛
Remark:
77673: 3PCS AG13 BATTERIES(INCLUDED)</t>
  </si>
  <si>
    <t>95845-7.31</t>
  </si>
  <si>
    <t>CENTRO CUESTA NACIONAL</t>
  </si>
  <si>
    <t>多米尼加共和国</t>
  </si>
  <si>
    <t>25-1068241JDO</t>
  </si>
  <si>
    <t>4500164774-290</t>
  </si>
  <si>
    <t>指定日期码：2025-07（外箱/产品/包装/进口商贴纸 日期码要一致</t>
  </si>
  <si>
    <t>日期码格式：2025-07 日期：
Packaging Info: 
77673:MA 3LEAN包装+进口商贴纸+UPC贴纸+箱唛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Hershey's-Chocolate Syrup 24 oz
Hershey's-Mini Chocolate Syrup 24 oz
Hershey's-Strawberry Syrup 22 oz</t>
  </si>
  <si>
    <t>96593-6-9.30</t>
  </si>
  <si>
    <t>10001416275-0581</t>
  </si>
  <si>
    <t>4500171338-10</t>
  </si>
  <si>
    <t>日期码格式：ZURU INC(BVI) 标准格式 日期：按实际生产日期
Packaging Info: 产品包装 客版收缩膜+客版收藏指南+MA说明书+ MA 1L PDQ；客版收缩膜+客版收藏指南翻单4500158149；
Remark: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4. 产品和包装上印刷 tracking code信息，格式为ZURU常规格式;
5. 出货方式：货代自提</t>
  </si>
  <si>
    <t>ZB01041-8.4</t>
  </si>
  <si>
    <t>PO#40182832</t>
  </si>
  <si>
    <t>4500170270-30</t>
  </si>
  <si>
    <t>日期码格式：ZURU INC(BVI) 标准格式 日期：按实际生产日期
Packaging Info: 1、包装方式：
其他：MA UPC优先1L最新版，出口美国
Remark: 2、无测试无验货要求
3、纸箱4面印ZURU LOGO + 箱唛
4、日期码请按ZURU标准版执行即可
5、ZURU OQC验货</t>
  </si>
  <si>
    <t>ZB01060-8.5</t>
  </si>
  <si>
    <t>4500166481-10</t>
  </si>
  <si>
    <t>Kinderherz 2025 Logo贴纸(翻单#4500166480)，WEEE带电池走货欧洲 30 语通用黑白说明书</t>
  </si>
  <si>
    <r>
      <rPr>
        <sz val="11"/>
        <rFont val="宋体"/>
        <charset val="134"/>
        <scheme val="minor"/>
      </rPr>
      <t>日期码格式：ZURU INC(BVI) 标准格式 日期：按实际生产日期
Packaging Info: 77673TQ1:最新MA 3L PDQ+</t>
    </r>
    <r>
      <rPr>
        <sz val="11"/>
        <color rgb="FFFF0000"/>
        <rFont val="宋体"/>
        <charset val="134"/>
        <scheme val="minor"/>
      </rPr>
      <t>Kinderherz 2025 Logo贴纸(翻单#4500166480)+ 客版收缩膜(英法德callout/英法德意荷警语/法国环保logo)+Kinderherz 2025 Logo贴纸
(翻单#4500166480) +客版收藏指南(英法德意荷) 所有客版资料翻单4500155594+MA 23L 说明书+WEEE带电池走货欧洲 30 语通用黑白说明书
EAN: 4894680042773</t>
    </r>
    <r>
      <rPr>
        <sz val="11"/>
        <rFont val="宋体"/>
        <charset val="134"/>
        <scheme val="minor"/>
      </rPr>
      <t xml:space="preserve">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r>
  </si>
  <si>
    <t>4500168979-10</t>
  </si>
  <si>
    <t>需要第三方SGS验货2025/07/25</t>
  </si>
  <si>
    <t>日期码格式：ZURU INC(BVI) 标准格式 日期：按实际生产日期
Packaging Info: 1. 出口加拿大市场。
#77673: MA 3L EAN_B版本 + UPC贴纸; UPC#193052079404; 3PCS AG13 BATTERIES(INCLUDED);
2. 产品、包装、外箱上面tracking code的时间格式需要一致.
Remark: 3. 需要第三方SGS验货，验货时间暂定2025/07/22，每款每色请备1PC完整带包装样品供验货人员参考。用完后若无损坏可以放回大货里。</t>
  </si>
  <si>
    <t>KOHL'S, INC.</t>
  </si>
  <si>
    <t>15777072</t>
  </si>
  <si>
    <t>4500169087-10</t>
  </si>
  <si>
    <t>8/5 SI</t>
  </si>
  <si>
    <t>外箱印刷 ZURU LOGO + MADE IN CHINA + 定位框，尺寸4"x6" (用于黏贴外箱贴）</t>
  </si>
  <si>
    <t>日期码格式：ZURU INC(BVI) 标准格式 日期：按实际生产日期
Packaging Info: 1. 此为Kohl's store 订单, MA UPC包装 + 价格贴纸 + 客供外箱贴纸
Remark: 2. 外箱印刷 ZURU LOGO + MADE IN CHINA + 定位框，尺寸4"x6" (用于黏贴外箱贴）
3. 需提供每款实际外箱尺寸排版确认定位框，store 订单的定位框位置要在：箱子的最大面朝上后，定位框在箱子的第二大面的右下角，距离箱子右边3英寸，距
离底部1.25英寸, 贴纸要按定位框贴，位置与方向贴不对会有客户罚款需由工厂承担
4. 产品入箱后，外箱的每个面都需要是平整，不能有鼓起
5. 收到外箱贴纸需要扫描上传ICE系统（出货前必须完成），上传的条码信息必须跟实际出货一致，贴纸备品不需要扫描。如有不同产生的罚款由工厂承担。
6. 需经ZURU验货通过后才可出货。
7. 客户有严格要求，若由工厂导致的罚款ZURU 都会向工厂收回。</t>
  </si>
  <si>
    <t>Jessi Xu</t>
  </si>
  <si>
    <t>ZB01144-8.8</t>
  </si>
  <si>
    <t>Distribuidora Liverpool S.A de C.V.</t>
  </si>
  <si>
    <t>4500165982-250</t>
  </si>
  <si>
    <t>6/20 提供</t>
  </si>
  <si>
    <r>
      <rPr>
        <sz val="11"/>
        <rFont val="宋体"/>
        <charset val="134"/>
        <scheme val="minor"/>
      </rPr>
      <t>日期码格式：ZURU INC(BVI) 标准格式 日期：按实际生产日期
Packaging Info: 
77673：MA 3L EAN包装+UPC贴纸+进口商贴纸+价标贴纸+箱唛+</t>
    </r>
    <r>
      <rPr>
        <sz val="11"/>
        <color rgb="FFFF0000"/>
        <rFont val="宋体"/>
        <charset val="134"/>
        <scheme val="minor"/>
      </rPr>
      <t>保证书</t>
    </r>
    <r>
      <rPr>
        <sz val="11"/>
        <rFont val="宋体"/>
        <charset val="134"/>
        <scheme val="minor"/>
      </rPr>
      <t>，包装和说明书都需要贴一张进口商贴纸
Remark: 1. 此单价格贴纸（ZURU定购).
2.此单有第三方监柜，不用额外准备备品，会在大货中每款拆1pc，拆了包装的产品会由监装员用客供胶带封好或在外箱上写上""opened by telescope”</t>
    </r>
  </si>
  <si>
    <t xml:space="preserve"> Ava Liang</t>
  </si>
  <si>
    <t>4500164920-150</t>
  </si>
  <si>
    <r>
      <rPr>
        <sz val="12"/>
        <rFont val="宋体"/>
        <charset val="134"/>
        <scheme val="minor"/>
      </rPr>
      <t>日期码格式：ZURU INC(BVI) 标准格式 日期：按实际生产日期
Packaging Info:
77673：MA 3L EAN包装+UPC贴纸+进口商贴纸+价标贴纸+箱唛+</t>
    </r>
    <r>
      <rPr>
        <sz val="12"/>
        <color rgb="FFFF0000"/>
        <rFont val="宋体"/>
        <charset val="134"/>
        <scheme val="minor"/>
      </rPr>
      <t>保证书</t>
    </r>
    <r>
      <rPr>
        <sz val="12"/>
        <rFont val="宋体"/>
        <charset val="134"/>
        <scheme val="minor"/>
      </rPr>
      <t>，包装和说明书都需要贴一张进口商贴纸
Remark: 1. 此单价格贴纸（ZURU定购).
2.此单有第三方监柜，不用额外准备备品，会在大货中每款拆1pc，拆了包装的产品会由监装员用客供胶带封好或在外箱上写上"opened by telescope"</t>
    </r>
  </si>
  <si>
    <t>0907594695</t>
  </si>
  <si>
    <t>4500169834-20</t>
  </si>
  <si>
    <t>2025/8/5第三方验货</t>
  </si>
  <si>
    <t>ZB01309-8.16</t>
  </si>
  <si>
    <t>0907594730</t>
  </si>
  <si>
    <t>4500169834-30</t>
  </si>
  <si>
    <t>ZB01182-8.11</t>
  </si>
  <si>
    <t>0907594762</t>
  </si>
  <si>
    <t>4500169834-50</t>
  </si>
  <si>
    <t>ZB01394-8.21</t>
  </si>
  <si>
    <t>0907594782</t>
  </si>
  <si>
    <t>4500169834-60</t>
  </si>
  <si>
    <t>ZB01282-8.15</t>
  </si>
  <si>
    <t>4500170843-10</t>
  </si>
  <si>
    <t>明书纽扣电池警告语贴纸+ 1张收缩膜纽扣电池警告语贴纸（两款贴纸位置
图翻单PO#4500170842 ）</t>
  </si>
  <si>
    <r>
      <rPr>
        <sz val="11"/>
        <rFont val="宋体"/>
        <charset val="134"/>
        <scheme val="minor"/>
      </rPr>
      <t xml:space="preserve">日期码格式：ZURU INC(BVI) 标准格式 日期：按实际生产日期
Packaging Info: 77785：MA 3L UPC 彩盒包装 + 箱唛 + 外箱贴纸SSCC Label
</t>
    </r>
    <r>
      <rPr>
        <sz val="11"/>
        <color rgb="FFFF0000"/>
        <rFont val="宋体"/>
        <charset val="134"/>
        <scheme val="minor"/>
      </rPr>
      <t>子件77673:MA 1L UPC 收缩膜+1张说明书纽扣电池警告语贴纸+ 1张收缩膜纽扣电池警告语贴纸+MA 5L 收藏指南+MA 23L 说明书+MA 纸袋
（客版AW以及电池警告语贴纸&lt;(&gt;&amp;&lt;)&gt;贴纸位置图翻单PO#4500170842）</t>
    </r>
    <r>
      <rPr>
        <sz val="11"/>
        <rFont val="宋体"/>
        <charset val="134"/>
        <scheme val="minor"/>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</si>
  <si>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77785-S001-INT-1</t>
  </si>
  <si>
    <t>4500170842-10</t>
  </si>
  <si>
    <r>
      <rPr>
        <sz val="11"/>
        <rFont val="宋体"/>
        <charset val="134"/>
        <scheme val="minor"/>
      </rPr>
      <t xml:space="preserve">日期码格式：ZURU INC(BVI) 标准格式 日期：按实际生产日期
Packaging Info: 77785：MA 3L UPC 彩盒包装 + 箱唛 + 外箱贴纸SSCC Label
</t>
    </r>
    <r>
      <rPr>
        <sz val="11"/>
        <color rgb="FFFF0000"/>
        <rFont val="宋体"/>
        <charset val="134"/>
        <scheme val="minor"/>
      </rPr>
      <t>子件77673:MA 1L UPC 收缩膜+1张说明书纽扣电池警告语贴纸+ 1张收缩膜纽扣电池警告语贴纸+MA5L收藏指南+MA23L说明书+MA纸袋</t>
    </r>
    <r>
      <rPr>
        <sz val="11"/>
        <rFont val="宋体"/>
        <charset val="134"/>
        <scheme val="minor"/>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</si>
  <si>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4500164207-20</t>
  </si>
  <si>
    <t>日期码格式：ZURU INC(BVI) 标准格式 日期：按实际生产日期
Packaging Info:
77673：
1.MA -1L UPC包装+WEEE带电池走货说明书北欧B版+客人白色Cat.label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-请先检查条码是否正确再安排做，标签上的目录编号数字高度必须至少为5mm （14.17pt），条码扫描结果应为7624348。
-订单对应客户2个PO号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</si>
  <si>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G.T. WHOLESALE LIMITED</t>
  </si>
  <si>
    <t>2936849-00 2936852-00</t>
  </si>
  <si>
    <t>4500170357-30</t>
  </si>
  <si>
    <t>7/24前寄出大货样2套</t>
  </si>
  <si>
    <t>日期码格式：ZURU INC(BVI) 标准格式 日期：按实际生产日期
Packaging Info:
77673TQ1 MA 3L B EAN版本+UPC贴纸193052079404，MA 5L A 收藏指南， MA 23L说明书， MA 3L A PDQ
Remark: 出口加拿大， 有 进口商贴纸
7/24前寄出大货样2套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</si>
  <si>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Summer Mo</t>
  </si>
  <si>
    <t>PR􀃉NATAL RETAIL GROUP ASIA PACIFIC</t>
  </si>
  <si>
    <t>4500170840-10</t>
  </si>
  <si>
    <t>此客户需要第三方验货，请在约三方验货前必须PASS ZURU验货。</t>
  </si>
  <si>
    <t>客人日期码：LOT2531，产品（蛋壳等）/包装（收缩膜等）/外箱 请保持一致</t>
  </si>
  <si>
    <t>大货样品2套/item，用于客人验货签板。验货后还会抽办1套/item，请多备料。</t>
  </si>
  <si>
    <t>日期码格式：LOT2531 日期：
Packaging Info: 最新MA 3L EAN收缩膜+一张进口商贴纸（含意/希警语和意大利环保标以及希腊胶袋警语）+一张产品贴纸+一张WEEE说明书纸+最新MA 5L 收藏指南+最新MA 23L说明
书+最新MA 5L 包装
Remark: 1.RATIO 同MA 一致。
2.大货样品2套/item，用于客人验货签板。验货后还会抽办1套/item，请多备料。
3.客人日期码：LOT2531，产品（蛋壳等）/包装（收缩膜等）/外箱 请保持一致。
4.产品均符合EU微塑料法规要求：不能含有微塑料/闪粉
5. SMASHERS 或含Slime产品，所有化合物使用无硼版本出意大利。
6. 本订单所有 具有 baby items / assorted items 的款式，零售包装上都要用 母 EAN;
7，此客户需要第三方验货，请在约三方验货前必须PASS ZURU验货。</t>
  </si>
  <si>
    <t>JUGUETIBICI, S.A. DE C.V.</t>
  </si>
  <si>
    <t>4500170311-40</t>
  </si>
  <si>
    <t>此单有监柜，每款请多备1pc样板用于监装</t>
  </si>
  <si>
    <t>日期码格式：ZURU INC(BVI) 标准格式 日期：按实际生产日期
Packaging Info:
77673：MA 3L EAN PKG+UPC 条码贴纸+MA 3L PDQ+MA 收藏指南+进口商贴纸+箱唛+保证书
Remark: 
77673：3PCS AG13 BATTERIES(INCLUDED); Filxed Collection
此单有监柜，每款请多备1pc样板用于监装</t>
  </si>
  <si>
    <t>MULTIHEXA SDN BHD</t>
  </si>
  <si>
    <t>4500170501-80</t>
  </si>
  <si>
    <t>进口商贴纸。贴纸翻单如下：77673-4500165640</t>
  </si>
  <si>
    <t>日期码格式：ZURU INC(BVI) 标准格式 日期：按实际生产日期
Packaging Info: 1.此单除了77803是7/31，77673是8/4，其他都是CRD 7/28
2.77673-MA UPC包装（优先1L)+1张进口商贴纸。贴纸翻单如下：77673-4500165640；
5.因为此客人进口商贴纸是通用的（除了那些加了UPC条码的），只可能因为item不同尺寸会有差别，如果发现尺寸一样就请统一订购节省成本。
Remark: 
77673-Filxed Collection，3PCS AG13 BATTERIES(INCLUDED)</t>
  </si>
  <si>
    <t>NASA PANAMA</t>
  </si>
  <si>
    <t>4500172103-150</t>
  </si>
  <si>
    <t>7/18 微信提供</t>
  </si>
  <si>
    <r>
      <rPr>
        <sz val="11"/>
        <rFont val="宋体"/>
        <charset val="134"/>
        <scheme val="minor"/>
      </rPr>
      <t xml:space="preserve">日期码格式：ZURU INC(BVI) 标准格式 日期：按实际生产日期
Packaging Info: </t>
    </r>
    <r>
      <rPr>
        <sz val="11"/>
        <color rgb="FFFF0000"/>
        <rFont val="宋体"/>
        <charset val="134"/>
        <scheme val="minor"/>
      </rPr>
      <t>请确保包装上的条形码是UPC，如果是babyUPC，需要用mother UPC覆盖，如有不一致，请及时提出。谢谢!</t>
    </r>
    <r>
      <rPr>
        <sz val="11"/>
        <rFont val="宋体"/>
        <charset val="134"/>
        <scheme val="minor"/>
      </rPr>
      <t xml:space="preserve">
77673 MA 多语EAN包装+UPC贴纸+MA 多语收藏指南+箱唛
Remark:
77673,,Filxed Collection; 3PCS AG13 BATTERIES(INCLUDED),,</t>
    </r>
  </si>
  <si>
    <t>96595-4-9.30</t>
  </si>
  <si>
    <t xml:space="preserve"> TOYS "R" US – JAPAN, LTD</t>
  </si>
  <si>
    <t>日本</t>
  </si>
  <si>
    <t>46:0003135848</t>
  </si>
  <si>
    <t>4500165405-10</t>
  </si>
  <si>
    <r>
      <rPr>
        <sz val="11"/>
        <rFont val="宋体"/>
        <charset val="134"/>
        <scheme val="minor"/>
      </rPr>
      <t>日期码格式：ZURU INC(BVI) 标准格式 日期：按实际生产日期
Packaging Info: 1.77673:MA 1L UPC包装+1张日语警语贴纸</t>
    </r>
    <r>
      <rPr>
        <sz val="11"/>
        <color rgb="FFFF0000"/>
        <rFont val="宋体"/>
        <charset val="134"/>
        <scheme val="minor"/>
      </rPr>
      <t>(贴纸资料7/15已发给工厂）</t>
    </r>
    <r>
      <rPr>
        <sz val="11"/>
        <rFont val="宋体"/>
        <charset val="134"/>
        <scheme val="minor"/>
      </rPr>
      <t xml:space="preserve">
</t>
    </r>
    <r>
      <rPr>
        <sz val="11"/>
        <color rgb="FFFF0000"/>
        <rFont val="宋体"/>
        <charset val="134"/>
        <scheme val="minor"/>
      </rPr>
      <t>2.收缩膜和说明书都要加贴纸
3.注意贴纸不要遮挡日期码</t>
    </r>
    <r>
      <rPr>
        <sz val="11"/>
        <rFont val="宋体"/>
        <charset val="134"/>
        <scheme val="minor"/>
      </rPr>
      <t xml:space="preserve">
Remark: 77673:3PCS AG13 BATTERIES(INCLUDED)
出日本首单需安排样板测试， 请按邮件要求先寄出MA包装的样板做测试。
大货的产品内容和MA包装版本以及产品品质需严格跟到寄出的测试版。</t>
    </r>
  </si>
  <si>
    <t xml:space="preserve"> Aimee Huang</t>
  </si>
  <si>
    <t>47:0003135851</t>
  </si>
  <si>
    <t>4500165405-20</t>
  </si>
  <si>
    <t>PO#700-19290</t>
  </si>
  <si>
    <t>4500171377-30</t>
  </si>
  <si>
    <t>手工单MO250624的正式订单</t>
  </si>
  <si>
    <t>ZB01283-8.15</t>
  </si>
  <si>
    <t>PO#700-19267</t>
  </si>
  <si>
    <t>4500171377-70</t>
  </si>
  <si>
    <t>ZB01215-8.12</t>
  </si>
  <si>
    <t>PO#500-36266</t>
  </si>
  <si>
    <t>4500171377-110</t>
  </si>
  <si>
    <t>ZB01183-8.11</t>
  </si>
  <si>
    <t>ZMPO250573</t>
  </si>
  <si>
    <t>4500169101-10</t>
  </si>
  <si>
    <t>77673-S007</t>
  </si>
  <si>
    <t>迷你冰箱（胶袋装）</t>
  </si>
  <si>
    <t>日期码格式：ZURU INC(BVI) 标准格式 日期：按实际生产日期
Packaging Info: 1. 此为Kohl's digital 订单， MA UPC 包装 +胶袋 + UPC 贴纸（ 贴胶袋正中间 不覆盖胶袋上的警告语）+ 客供外箱贴纸
Remark: 2. 胶带要求： 需要开孔，封口热封 （尺寸太大无法热封可用胶封，但运输过程不可散开），印警告语， 跟单提供警告语内容，胶袋尺寸和开孔数量请工厂按实
际产品尺寸来调整做货.
3. 外箱印刷 ZURU LOGO + MADE IN CHINA + 定位框，尺寸4"x6" (用于黏贴外箱贴）
4. 需提供每款实际外箱尺寸排版确认定位框，digital 订单的定位框位置要在：箱子的最大面积朝上后，定位框在最小面的右下角，距离箱子右边3英寸，距离底
部1.25英寸，贴纸要按定位框贴，位置与方向贴不对会有客户罚款需由工厂承担
5. 收到外箱贴纸需要扫描上传ICE系统（出货前必须完成），上传的条码信息必须跟实际出货一致，贴纸备品不需要扫描。如有不同产生的罚款由工厂承担。
6. 产品入箱后，外箱的每个面都需要是平整，不能有鼓起
7. 需经ZURU验货通过后才可出货。
8. 客户有严格要求，若由工厂导致的罚款ZURU 都会向工厂收回。</t>
  </si>
  <si>
    <t>ZB01142-8.8</t>
  </si>
  <si>
    <t>IMPERIAL DISTRIBUTOR</t>
  </si>
  <si>
    <t>650286
Xmas 25</t>
  </si>
  <si>
    <t>4500170076-10</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</si>
  <si>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Remark: 1. ZURU MA UPC 优先1L 最新包装，版本统一，不得混包材， 出口美国
2. 产品和包装需有日期码, ZURU标准日期码格式, 按照实际生产自行调整日期,但不能为周末,日期保持一致。
3. 大货配比：
77673: S001-MINI BRANDS-FILL THE FRIDGE PLAYSET-SERIES 1-SHRINK WRAP,12PCS/CTN.
GTIN: 10193052079401</t>
  </si>
  <si>
    <t>Yvonne Feng</t>
  </si>
  <si>
    <t>ZB01143-8.8</t>
  </si>
  <si>
    <t>4500170489-20</t>
  </si>
  <si>
    <t>纽扣电池警告语贴纸贴于包装正面 + 2张大纽扣电池警告语贴纸附（翻</t>
  </si>
  <si>
    <t>日期码格式：ZURU INC(BVI) 标准格式 日期：按实际生产日期
Packaging Info: 
77673: MA_UPC版本包装（MA首选1L，如无1L可用多语且含英语的配套多语UPC包装）+ 1张小纽扣电池警告语贴纸贴于包装正面 + 2张大纽扣电池警告语贴纸附（翻
单4500159576）
带进口商信息分别贴于包装背面以及说明书上
Remark: 1.按实际生产日期;
2.出澳大利亚，请按照相应标准生产;</t>
  </si>
  <si>
    <t>199-9281-761</t>
  </si>
  <si>
    <t>4500164549-10</t>
  </si>
  <si>
    <t>日期码格式：ZURU INC(BVI) 标准格式 日期：按实际生产日期
Packaging Info: 1. 77758SLT: 客版彩盒(英法西瑞典冰岛语言)+客版球的收缩膜(英法西瑞典冰岛语言)+客版冰箱收缩膜(英法西瑞典冰岛语言)+客版冰箱收藏指南(英法西瑞典冰岛
语言)+客版球的收藏指南(英法西瑞典冰岛语言)+客版Manual for three kinds of mini creates(英法西瑞典冰岛语言) +客版球的黑白说明书(英法西瑞典冰岛语言
)+客版内纸袋(英法西瑞典冰岛语言) +客版UV glue bottle sticker(英法西瑞典冰岛语言) +客版冰箱电池警告语和说明书(英法西瑞典冰岛语言) + 客版PDQ
---以上客版包装除了(客版PDQ翻Costco US PO#4500156301)，剩下的客版包装都翻Costco Spain PO#4500163768,请一起合并订购物料
3PK 77711-INT(capsules)+1PK 77673 combo in color box
#77673( Fridge with extra 5 exclusive mini,But "pizza" in different versions of packaging for INT market)
77673:UV GLUE / 7 magnets（6 magnets and 1 Refrigerator magnet）
77711:UV GLUE/ 1 Refrigerator Magnet
77673:3PCS AG13 BATTERIES(INCLUDED)
1F*5D=5PCS/PDQ, 5PDQ/LAYER=25PCS/LAYER, 25PDQ/Tray*3=75PCS/PALLET
Remark: 1. 日期码印在产品和外箱上，按实际生产日期。 ZURU 标准版格式的日期码。
2. 出英国/冰岛/瑞典三个国家，产品需要打UKCA Mark，包装也需要有UKCA，否则不符合法规客人会退货有罚款产生
3. 纸箱唛头：纸箱四面，只印刷一个正面，另外一个正面不印，侧唛也不印, 按照箱唛模板要求排版。按照箱唛模板要求排版。请注意箱唛印刷效果要我们确认后
才可印刷大货的。
4. 确保展示架在入外箱时一定要正面对着有印刷箱唛的那面,不可以装反.</t>
  </si>
  <si>
    <t>Amazon UK:
7UCFFCDK</t>
  </si>
  <si>
    <t>4500170602-10</t>
  </si>
  <si>
    <t>日期码格式：ZURU INC(BVI) 标准格式 日期：按实际生产日期
Packaging Info: Amazon UK(77673)/DE(77673)/FR(77673)
1. 77673: 12pcs/ctn; MA 3L(3L warning EAN#)B收缩膜+MA 23L warning B说明书+MA 5L A收藏指南+2张贴纸(1张UPC#，参考翻单PO#4500158582；1张可折叠警语
贴含德意警告语+IT环保标，参考翻单PO#4500157858)+WEEE电子产品说明书30L(带电池走货B版)+1张贴纸（Spielzeugpreis Alles fürs Kinderherz，仅出DE需要
）;
2. 验货时间不迟于2025/8/5.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</si>
  <si>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DE:
2SPHSYID</t>
  </si>
  <si>
    <t>4500170602-20</t>
  </si>
  <si>
    <t>Amazon FR:
8WJ7EDPL</t>
  </si>
  <si>
    <t>4500170602-30</t>
  </si>
  <si>
    <t>0907594723</t>
  </si>
  <si>
    <t>4500170589-10</t>
  </si>
  <si>
    <t>8/8 第三方验货</t>
  </si>
  <si>
    <t>7/2 上给湖南</t>
  </si>
  <si>
    <t>77673：4pcs使用B版收缩膜的成品+4pcsB版说明书；77711：4pcsB版冰块袋配件+4pcsB版收藏指南+4pcsB版说明书</t>
  </si>
  <si>
    <t>日期码格式：ZURU DGYYYYMMDD CHINA(日期避开周末和法定节假日即可） 日期：按实际生产日期
Packaging Info: 77673TQ1-S001
1.包装要求：
MA 1L B版收缩膜+MA 5L A版收藏指南+MA B版说明书+MA 1L PDQ
每pcs产品上要贴1张RFID贴纸，贴纸由ZURU提供，贴纸位置请严格按照我们签回的签板；
Remark: 77673TQ1-S001
1.包装要求：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carton出货，4pcs/PDQ/CTN</t>
  </si>
  <si>
    <t>ZB01211-8.12</t>
  </si>
  <si>
    <t>0907594829</t>
  </si>
  <si>
    <t>4500170589-20</t>
  </si>
  <si>
    <t>8/7 第三方自检</t>
  </si>
  <si>
    <t>ZB01349-8.19</t>
  </si>
  <si>
    <t>GAMESTOP</t>
  </si>
  <si>
    <t>4500170761-30</t>
  </si>
  <si>
    <t>警语贴纸（含意大利环保标，贴纸翻4500164781）</t>
  </si>
  <si>
    <t>日期码格式：ZURU INC(BVI) 标准格式 日期：按实际生产日期
Packaging Info: 
3. 77673TQ1:最新MA 3L EAN收缩膜+一张警语贴纸（含意大利环保标，贴纸翻4500164781）+最新MA 5L 收藏指南+最新MA 23L说明书+最新MA 5L 包装+最新MA 3L PD
Q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 "WEEE说明书欧洲EN+30L-B版"</t>
  </si>
  <si>
    <t>4500160891-20</t>
  </si>
  <si>
    <t>8/15 第三方验货</t>
  </si>
  <si>
    <t>96566-9.30</t>
  </si>
  <si>
    <t>ARCHIBRAND, S.A. DE C.V.</t>
  </si>
  <si>
    <t>4500170750-50</t>
  </si>
  <si>
    <t>8/7 出货</t>
  </si>
  <si>
    <r>
      <rPr>
        <sz val="11"/>
        <rFont val="宋体"/>
        <charset val="134"/>
        <scheme val="minor"/>
      </rPr>
      <t>日期码格式：ZURU INC(BVI) 标准格式 日期：按实际生产日期
Packaging Info: 
77673:MA 3L EAN PKG+UPC 条码贴纸+MA 收藏指南+MA 多语说明书+进口商贴纸+箱唛+</t>
    </r>
    <r>
      <rPr>
        <sz val="11"/>
        <color rgb="FFFF0000"/>
        <rFont val="宋体"/>
        <charset val="134"/>
        <scheme val="minor"/>
      </rPr>
      <t>保证书
所有带电产品的保证书通用1份</t>
    </r>
    <r>
      <rPr>
        <sz val="11"/>
        <rFont val="宋体"/>
        <charset val="134"/>
        <scheme val="minor"/>
      </rPr>
      <t xml:space="preserve">
Remark: 
77673:3PCS AG13 BATTERIES(INCLUDED);Filxed Collection</t>
    </r>
  </si>
  <si>
    <t>96589-2-9.30</t>
  </si>
  <si>
    <t xml:space="preserve">美国 </t>
  </si>
  <si>
    <t>4500170119-60</t>
  </si>
  <si>
    <t>4500170092-60</t>
  </si>
  <si>
    <t>ZB01311-8.16</t>
  </si>
  <si>
    <t>217652633
DC 086</t>
  </si>
  <si>
    <t>4500170515-10</t>
  </si>
  <si>
    <t>日期码格式：ZURU INC(BVI) 标准格式 日期：
Packaging Info: 1. MA 1L 包装
2. 客人指定箱唛排版
3.488箱的DC是086 263箱的DC是802，贴箱唛时注意根据箱唛右上角不同DC区分去贴箱唛
Remark: 出货前 Zuru QC 验货</t>
  </si>
  <si>
    <t>ZB01502-8.26</t>
  </si>
  <si>
    <t>217652636 DC
802</t>
  </si>
  <si>
    <t>4500170515-20</t>
  </si>
  <si>
    <t>ZB01350-8.19</t>
  </si>
  <si>
    <t>0907594752</t>
  </si>
  <si>
    <t>4500169834-40</t>
  </si>
  <si>
    <t>2025/7/31第三方验货</t>
  </si>
  <si>
    <t>ZB01119-8.7</t>
  </si>
  <si>
    <t>ZURU ITALY SRL</t>
  </si>
  <si>
    <t>4500175657-10</t>
  </si>
  <si>
    <t>77673TQ1-P-S005-MTS</t>
  </si>
  <si>
    <t>空PDQ</t>
  </si>
  <si>
    <t>日期码格式：ZURU INC(BVI) 标准格式 日期：按实际生产日期
Packaging Info: MA PDQ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 保持一致，完货后提供date code 信息以便我们保存记录做批次管理；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带电池产品都需要包含多语WEEE黑白说明书。
8. MTS所有订单，SMASHERS 或含Slime产品，所有化合物使用无硼版本出；如有香味产品，出无香版本; BOB系列要符合欧洲要求不含亚硝酸版本; XShot Hyper系列
，统一出EN71版本。</t>
  </si>
  <si>
    <t>4500171286-80</t>
  </si>
  <si>
    <t>日期码格式：ZURU INC(BVI) 标准格式 日期：按实际生产日期
Packaging Info:
77673：MA 多语EAN包装+UPC贴纸+MA 多语收藏指南+箱唛
Remark: 
77673： 3PCS AG13 BATTERIES(INCLUDED)</t>
  </si>
  <si>
    <t>96364-9.8</t>
  </si>
  <si>
    <t>AG250098-HK</t>
  </si>
  <si>
    <t>4500170405-10</t>
  </si>
  <si>
    <t>日期码格式：ZURU INC(BVI) 标准格式 日期：按实际生产日期
Packaging Info: 此单出香港
77673TQ1:MA 1L 收缩膜+MA 1L PDQ+MA 5L 收藏指南+MA 说明书+1张客供警语贴纸+1张客供电池警语贴纸+1张客供中文警告说明书）
Remark:</t>
  </si>
  <si>
    <t>po#60X269950</t>
  </si>
  <si>
    <t>4500169184-40</t>
  </si>
  <si>
    <t>8月18日第三方（利丰）到工厂做100%大货现场验货和抽板，验货需打印EPM出来跟客户回签样板供第三方验货参考。验货+ 抽板 （同一天进行）</t>
  </si>
  <si>
    <t>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77673-S004需7月25日前需寄出3套大货样板(含PDQ)，样板须跟大货一模一样
（含日期码）。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*带散件的产品： 2套（4pcs成品球+2个空PDQ+2套散件）；
不带散件： 成品2套；
寄到以下地址：
Li Fung　
深圳市福田区绒花路8号深福保大厦附楼3楼。
收件人： Yoland Dai　电话：+0755 8825 3756
4. 验货+ 抽板 （同一天进行）
预约8月13日第三方（利丰）到工厂做100%大货现场验货和抽板，验货需打印EPM出来跟客户回签样板供第三方验货参考。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#15727（不出L款）
6. ZURU QA 验货时需拍齐每款角色的产品和产品包装上的日期码照片（供实验室review）</t>
  </si>
  <si>
    <t>Amber liang</t>
  </si>
  <si>
    <t>ZB01666-9.3</t>
  </si>
  <si>
    <t>0907594700</t>
  </si>
  <si>
    <t>4500170593-70</t>
  </si>
  <si>
    <t>日期码格式：ZURU DGYYYYMMDD CHINA(日期避开周末和法定节假日即可） 日期：按实际生产日期
Packaging Info: 1.包装要求：
77673TQ1-S001: MA 1L B版收缩膜+MA 5L A版收藏指南+MA B版说明书+MA 1L PDQ
每pcs产品上要贴1张RFID贴纸，贴纸由ZURU提供，贴纸位置请严格按照我们签回的签板；
Remark: 1.包装要求：
77673TQ1-S001: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77673：4pcs/PDQ/CTN</t>
  </si>
  <si>
    <t>ZB01393-8.21</t>
  </si>
  <si>
    <t>0907594706</t>
  </si>
  <si>
    <t>4500170593-80</t>
  </si>
  <si>
    <t>ZB01507-8.26</t>
  </si>
  <si>
    <t>0907594711</t>
  </si>
  <si>
    <t>4500170593-90</t>
  </si>
  <si>
    <t>ZB01559-8.28</t>
  </si>
  <si>
    <t>0907594739</t>
  </si>
  <si>
    <t>4500170593-110</t>
  </si>
  <si>
    <t>ZB01452-8.23</t>
  </si>
  <si>
    <t>0907594809</t>
  </si>
  <si>
    <t>4500170593-120</t>
  </si>
  <si>
    <t>ZB01453-8.23</t>
  </si>
  <si>
    <t>10001368437-3891</t>
  </si>
  <si>
    <t>4500170675-20</t>
  </si>
  <si>
    <t>日期码格式：ZURU INC(BVI) 标准格式 日期：按实际生产日期
Packaging Info: 
77673TQ1: 产品包装 客版收缩膜+客版收藏指南+MA说明书+ MA 1L PDQ；客版收缩膜+客版收藏指南翻单4500158149；
Remark: 
77673TQ1: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4. 产品和包装上印刷 tracking code信息，格式为ZURU常规格式;
5. 出货方式：货代自提</t>
  </si>
  <si>
    <t>ZB01504-8.26</t>
  </si>
  <si>
    <t>10001401778-3890</t>
  </si>
  <si>
    <t>4500170533-10</t>
  </si>
  <si>
    <t>日期码格式：ZURU INC(BVI) 标准格式 日期：按实际生产日期
Packaging Info: 77673TQ1: 产品包装 客版收缩膜+客版收藏指南+MA说明书+ MA 1L PDQ；客版收缩膜+客版收藏指南翻单4500158149；
Remark: 77673TQ1: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4. 产品和包装上印刷 tracking code信息，格式为ZURU常规格式;
5. 出货方式：货代自提</t>
  </si>
  <si>
    <t>ZB01348-8.19</t>
  </si>
  <si>
    <t>COMERCIALIZADORA MEXICO AMERICANA S</t>
  </si>
  <si>
    <t>4500167348-10</t>
  </si>
  <si>
    <t>客版日期码要求：LOT+ZURU标准日期码格式。东莞生产的格式：LOTDGYYYYMMDD, DG是东莞拼音首字母，YYYYMMDD是实际的年月日，例如(LOTDG20240920)</t>
  </si>
  <si>
    <t>4. WM墨西哥防霉的新要求:货物必须在出货主箱和集装箱中按要求放置干燥剂，干燥剂指定品牌干霸
5. 77673：每箱需放置6小包干燥剂, 每包重2-3g
6. 如走柜货等loading plan 确认后再通知集装箱干燥剂数量
此单工厂将安排1*40HC，每个HC需要放置10包干燥剂，每包干燥剂1KG</t>
  </si>
  <si>
    <t>此单有第三方监柜，至少多备一套完整的物料用于监柜，请多备料</t>
  </si>
  <si>
    <r>
      <rPr>
        <sz val="12"/>
        <rFont val="宋体"/>
        <charset val="134"/>
        <scheme val="minor"/>
      </rPr>
      <t xml:space="preserve">日期码格式：LOTDGYYYYMMDD 日期：按实际生产日期
Packaging Info: 
77673: 3L EAN收缩膜+ UPC贴纸+ MA多语说明书+MA 5L收藏指南+进口商贴纸+箱唛++保证书，产品/包装/说明书上各贴1张进口商贴纸
Remark: 1 . 77673： 3PCS AG13 BATTERIES(INCLUDED)
2. 客版日期码要求：LOT+ZURU标准日期码格式。东莞生产的格式：LOTDGYYYYMMDD, DG是东莞拼音首字母，YYYYMMDD是实际的年月日，例如(LOTDG20240920)
3. 此单有第三方监柜，至少多备一套完整的物料用于监柜，请多备料
4. WM墨西哥防霉的新要求:货物必须在出货主箱和集装箱中按要求放置干燥剂，干燥剂指定品牌干霸
5. 77673：每箱需放置6小包干燥剂, 每包重2-3g
6. 如走柜货等loading plan 确认后再通知集装箱干燥剂数量
</t>
    </r>
    <r>
      <rPr>
        <sz val="12"/>
        <color rgb="FFFF0000"/>
        <rFont val="宋体"/>
        <charset val="134"/>
        <scheme val="minor"/>
      </rPr>
      <t>此单工厂将安排1*40HC，每个HC需要放置10包干燥剂，每包干燥剂1KG</t>
    </r>
  </si>
  <si>
    <t>GP- Giocheria</t>
  </si>
  <si>
    <t>4500163718-40</t>
  </si>
  <si>
    <t>7/4 更新</t>
  </si>
  <si>
    <t>客人警语贴纸，翻4500163648</t>
  </si>
  <si>
    <t>客人日期码：ZUR5201，产品/包装(收缩膜）/外箱 请保持一致</t>
  </si>
  <si>
    <t>日期码格式：ZUR5201 日期：
Packaging Info: 
4.MEC305: 最新MA 3L EAN收缩膜+最新MA 展示架+最新MA 5L说明书+最新MA纸袋+一张客人警语贴纸，翻4500163648
Remark: 1.客人日期码：ZUR5201，产品/包装（收缩膜等）/外箱 请保持一致
2.含Slime产品，所有化合物使用无硼版本出意大利
3.请自行根据产品是否带电池出货，相应订购"欧洲通用说明书EN+30L"</t>
  </si>
  <si>
    <t>4500163648-30</t>
  </si>
  <si>
    <t>29028748</t>
  </si>
  <si>
    <t>4500170550-10</t>
  </si>
  <si>
    <t>日期码格式：ZURU INC(BVI) 标准格式 日期：按实际生产日期
Packaging Info: #77673TQ1:
1.3PCS AG13 BATTERIES(INCLUDED)，有纽扣电池，包装正面和说明书都需要加电池警告语贴纸（法规要求）
2.Filxed Collection
3.加UPC贴纸：193052090164
Remark: 1.MA UPC 英语包装（优先1L英语版本，或者3L/5L含英语都可）
2.此客人不接受易掉落或者剥落或者可直接触碰的闪粉，可降解也不行，但可以接受符合欧洲微塑料标准的珠光粉或者闪片。
3.有纽扣电池，包装正面和说明书都需要加电池警告语贴纸（法规要求）
4.加UPC贴纸</t>
  </si>
  <si>
    <t>96288-9.1</t>
  </si>
  <si>
    <t>COSTCO WHOLESALE COORPERATION</t>
  </si>
  <si>
    <t>010520625238</t>
  </si>
  <si>
    <t>4500156322-10</t>
  </si>
  <si>
    <t>8/7 安排10%抽板测试，8/20 完成100%大货安排第三方验货</t>
  </si>
  <si>
    <r>
      <rPr>
        <sz val="11"/>
        <rFont val="宋体"/>
        <charset val="134"/>
        <scheme val="minor"/>
      </rPr>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t>
    </r>
    <r>
      <rPr>
        <sz val="11"/>
        <color rgb="FFFF0000"/>
        <rFont val="宋体"/>
        <charset val="134"/>
        <scheme val="minor"/>
      </rPr>
      <t>正唛和背面两面都需印刷，其他2面侧面留空,按照箱唛要求排版</t>
    </r>
    <r>
      <rPr>
        <sz val="11"/>
        <rFont val="宋体"/>
        <charset val="134"/>
        <scheme val="minor"/>
      </rPr>
      <t xml:space="preserve">。
4. 确保展示架在入外箱的时候一定要正面对着有印刷箱唛的那面,不可以装反。
</t>
    </r>
    <r>
      <rPr>
        <sz val="11"/>
        <color rgb="FFFF0000"/>
        <rFont val="宋体"/>
        <charset val="134"/>
        <scheme val="minor"/>
      </rPr>
      <t>5. 此单是首单出货数量5400pcs, 2025/8/7安排做10%抽版测试，最晚8/20完成100%大货安排第三方验货
6. 大货样板:工厂需预留至少6整套测试样用于抽板+3pcs封样（1pc工厂留底待第三方验货使用+2pc寄深圳办公室，需给客人留底)+ 1pc大货样寄深圳办公室拍照用</t>
    </r>
  </si>
  <si>
    <t>ZB01510-8.26</t>
  </si>
  <si>
    <t>77721SLT-S001-NA</t>
  </si>
  <si>
    <t>10001368436-3890</t>
  </si>
  <si>
    <t>4500170676-20</t>
  </si>
  <si>
    <t>日期码格式：ZURU INC(BVI) 标准格式 日期：按实际生产日期
Packaging Info: 
77673TQ1: 产品包装 客版收缩膜+客版收藏指南+MA说明书+ MA 1L PDQ；客版收缩膜+客版收藏指南翻单4500158149；
Remark:
77673TQ1: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4. 产品和包装上印刷 tracking code信息，格式为ZURU常规格式;
5. 出货方式：货代自提</t>
  </si>
  <si>
    <t>ZB01470-8.25</t>
  </si>
  <si>
    <t>AMAZON.COM SERVICES LLC</t>
  </si>
  <si>
    <t>Customer
PO#477XO6OD</t>
  </si>
  <si>
    <t>4500172566-10</t>
  </si>
  <si>
    <t>日期码格式：ZURU INC(BVI) 标准格式 日期：按实际生产日期
Packaging Info: 77673 MA UPC版包装(1L或3L都可以), 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</si>
  <si>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 Shen</t>
  </si>
  <si>
    <t>ZB01450R1-8.23</t>
  </si>
  <si>
    <t>4500170471-50</t>
  </si>
  <si>
    <t>8/20 第三方验货</t>
  </si>
  <si>
    <t>(UPC贴纸翻单：4500160504)</t>
  </si>
  <si>
    <t>日期码格式：ZURU INC(BVI) 标准格式 日期：按实际生产日期
Packaging Info: 
#77673：
MA3L收缩膜+UPC贴纸(UPC:193052079404)+MA23L说明书+MA5L收藏指南+MA5L,UV胶瓶身贴
(UPC贴纸翻单：4500160504)
Remark: 1. 此单有箱唛;
2. UPC贴纸：必须在原来错误的条码上用黑色粗头笔涂黑直至不能扫描，再贴上正确的UPC;
3. 此单有第三方验货，烦请多备包装物料；
4. #15727/15728需2025/7/9更新签板，签样数量：大货样各3pcs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</si>
  <si>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96294-9.2</t>
  </si>
  <si>
    <t>0907594733</t>
  </si>
  <si>
    <t>4500170698-10</t>
  </si>
  <si>
    <t>6/30 寄出</t>
  </si>
  <si>
    <t>ZB01605-8.30</t>
  </si>
  <si>
    <t>0907594766</t>
  </si>
  <si>
    <t>4500170698-20</t>
  </si>
  <si>
    <t>ZB01503-8.26</t>
  </si>
  <si>
    <t>4500164293-10</t>
  </si>
  <si>
    <t>日期码格式：ZURU INC(BVI) 标准格式 日期：按实际生产日期
Packaging Info: 77673：
1.MA -1L UPC包装+WEEE带电池走货说明书北欧B版+客人白色Cat.label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-请先检查条码是否正确再安排做，标签上的目录编号数字高度必须至少为5mm （14.17pt），条码扫描结果应为7624348。
-此订单对应客户7个PO号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</si>
  <si>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Draft PO-77673TQ1（1）</t>
  </si>
  <si>
    <t>4500170547-10</t>
  </si>
  <si>
    <t>ZB01632-9.1</t>
  </si>
  <si>
    <t>4500170993-10</t>
  </si>
  <si>
    <r>
      <rPr>
        <sz val="11"/>
        <rFont val="宋体"/>
        <charset val="134"/>
        <scheme val="minor"/>
      </rPr>
      <t xml:space="preserve">日期码格式：ZURU INC(BVI) 标准格式 日期：按实际生产日期
Packaging Info: 77785：MA 3L UPC 彩盒包装 + 箱唛 + 外箱贴纸SSCC Label
</t>
    </r>
    <r>
      <rPr>
        <sz val="11"/>
        <color rgb="FFFF0000"/>
        <rFont val="宋体"/>
        <charset val="134"/>
        <scheme val="minor"/>
      </rPr>
      <t>子件77673:MA 1L UPC 收缩膜+1张说明书纽扣电池警告语贴纸+ 1张收缩膜纽扣电池警告语贴纸+MA 5L 收藏指南+MA 23L 说明书+MA 纸袋
（客版AW以及电池警告语贴纸&lt;(&gt;&amp;&lt;)&gt;贴纸位置图翻单PO#4500170842）</t>
    </r>
    <r>
      <rPr>
        <sz val="11"/>
        <rFont val="宋体"/>
        <charset val="134"/>
        <scheme val="minor"/>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</si>
  <si>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4500170993-20</t>
  </si>
  <si>
    <t>4500170994-10</t>
  </si>
  <si>
    <t>4500170994-20</t>
  </si>
  <si>
    <t>TIENDAS CHEDRAUI, S.A. DE C.V.</t>
  </si>
  <si>
    <t>4500167877-10</t>
  </si>
  <si>
    <t>日期码格式：ZURU INC(BVI) 标准格式 日期：按实际生产日期
Packaging Info: 1. 77673：MA 多语EAN包装+UPC贴纸+MA 多语收藏指南+2张进口商贴纸(产品/包装都要加一张不同的进口商贴纸)+客版黑白说明书+保证书+箱唛
Remark: 1. 77673：Filxed Collection; 3PCS AG13 BATTERIES(INCLUDED)</t>
  </si>
  <si>
    <t>4500171158-10</t>
  </si>
  <si>
    <t>日期码格式：ZURU INC(BVI) 标准格式 日期：按实际生产日期
Packaging Info: 最新MA 3L PDQ+ 客版收缩膜(英法德callout/英法德意荷警语/法国环保logo) +客版收藏指南(英法德意荷)客版包装资料翻单4500155594 +最新MA 23L 说明书+B版
WEEE声明带电池走货欧洲 30 语通用黑白说明书
EAN: 4894680042773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</si>
  <si>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96399-9.11</t>
  </si>
  <si>
    <t>29028745</t>
  </si>
  <si>
    <t>4500170549-10</t>
  </si>
  <si>
    <t>SMYTHS TOYS HQ UC IE</t>
  </si>
  <si>
    <t>CUS
PO#4400496790</t>
  </si>
  <si>
    <t>4500173265-10</t>
  </si>
  <si>
    <t>WEEE电池通用30L-B版说明书（带电池）</t>
  </si>
  <si>
    <r>
      <rPr>
        <sz val="11"/>
        <rFont val="宋体"/>
        <charset val="134"/>
        <scheme val="minor"/>
      </rPr>
      <t>日期码格式：ZURU INC(BVI) 标准格式 日期：按实际生产日期
Packaging Info: 77673TQ1: 最新MA PDQ(优先3L )+客版收缩膜(英法德callout/英法德意荷警语/法国环保logo---</t>
    </r>
    <r>
      <rPr>
        <sz val="11"/>
        <color rgb="FFFF0000"/>
        <rFont val="宋体"/>
        <charset val="134"/>
        <scheme val="minor"/>
      </rPr>
      <t>此单提供新稿</t>
    </r>
    <r>
      <rPr>
        <sz val="11"/>
        <rFont val="宋体"/>
        <charset val="134"/>
        <scheme val="minor"/>
      </rPr>
      <t>)+23L说明书+客版收藏指南(英法德意荷)（翻#450015
5594）+WEEE电池通用30L-B版说明书（带电池）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r>
  </si>
  <si>
    <t>Sherry Lu</t>
  </si>
  <si>
    <t>0907594744</t>
  </si>
  <si>
    <t>4500170706-10</t>
  </si>
  <si>
    <t>ZB01751-9.6</t>
  </si>
  <si>
    <t>0907594754</t>
  </si>
  <si>
    <t>4500170706-20</t>
  </si>
  <si>
    <t>ZB01793-9.9</t>
  </si>
  <si>
    <t>0907594757</t>
  </si>
  <si>
    <t>4500170706-30</t>
  </si>
  <si>
    <t>ZB01715-9.5</t>
  </si>
  <si>
    <t>0907594759</t>
  </si>
  <si>
    <t>4500170706-40</t>
  </si>
  <si>
    <t>ZB01644-9.2</t>
  </si>
  <si>
    <t>0907594802</t>
  </si>
  <si>
    <t>4500170706-50</t>
  </si>
  <si>
    <t>ZB01750-9.6</t>
  </si>
  <si>
    <t>10001368612-3891</t>
  </si>
  <si>
    <t>4500170678-30</t>
  </si>
  <si>
    <t>日期码格式：ZURU INC(BVI) 标准格式 日期：按实际生产日期
Packaging Info: 
77673TQ1: 产品包装 客版收缩膜+客版收藏指南+MA说明书+ MA 1L PDQ；客版收缩膜+客版收藏指南翻单4500158149；
Remark:
77673TQ1: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以上所以item均：
1. 产品和包装上均要印刷tracking code信息，格式为ZURU常规格式;
2. 出货方式：货代自提</t>
  </si>
  <si>
    <t>ZB01561-8.28</t>
  </si>
  <si>
    <t>4500172403-10</t>
  </si>
  <si>
    <t>客人要求提前货期</t>
  </si>
  <si>
    <t>4500172405-10</t>
  </si>
  <si>
    <t>001750625301</t>
  </si>
  <si>
    <t>4500156313-10</t>
  </si>
  <si>
    <r>
      <rPr>
        <sz val="11"/>
        <rFont val="宋体"/>
        <charset val="134"/>
        <scheme val="minor"/>
      </rPr>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t>
    </r>
    <r>
      <rPr>
        <sz val="11"/>
        <color rgb="FFFF0000"/>
        <rFont val="宋体"/>
        <charset val="134"/>
        <scheme val="minor"/>
      </rPr>
      <t>正唛和背面两面都需印刷，其他2面侧面留空,按照箱唛要求排版。</t>
    </r>
    <r>
      <rPr>
        <sz val="11"/>
        <rFont val="宋体"/>
        <charset val="134"/>
        <scheme val="minor"/>
      </rPr>
      <t xml:space="preserve">
4. 确保展示架在入外箱的时候一定要正面对着有印刷箱唛的那面,不可以装反。</t>
    </r>
  </si>
  <si>
    <t>ZB01509-8.26</t>
  </si>
  <si>
    <t>Costco Wholesale Spain, S.L.U.</t>
  </si>
  <si>
    <t>4500163768-10</t>
  </si>
  <si>
    <t>大冰箱</t>
  </si>
  <si>
    <t>日期码格式：ZURU INC(BVI) 标准格式 日期：按实际生产日期
Packaging Info: 1. 77758SLT: 客版彩盒(英法西瑞典冰岛语言)+客版球的收缩膜(英法西瑞典冰岛语言)+客版冰箱收缩膜(英法西瑞典冰岛语言)+客版冰箱收藏指南(英法西瑞典冰岛
语言)+客版球的收藏指南(英法西瑞典冰岛语言)+客版Manual for three kinds of mini creates(英法西瑞典冰岛语言) +客版球的黑白说明书(英法西瑞典冰岛语言
)+客版内纸袋(英法西瑞典冰岛语言) +客版UV glue bottle sticker(英法西瑞典冰岛语言) +客版冰箱电池警告语和说明书(英法西瑞典冰岛语言) + 客版PDQ(客版
PDQ翻Costco US PO#4500156301)
---此单代替原本的订单PO#4500163768，原本订单已删除，请以此PO为准
3PK 77711-INT(capsules)+1PK 77673 combo in color box
#77673( Fridge with extra 5 exclusive mini,But "pizza" in different versions of packaging for INT market)
77673:UV GLUE / 7 magnets（6 magnets and 1 Refrigerator magnet）
77711:UV GLUE/ 1 Refrigerator Magnet
77673:3PCS AG13 BATTERIES(INCLUDED)
1F*5D=5PCS/PDQ, 5PDQ/LAYER=25PCS/LAYER, 25PDQ/Tray*3=75PCS/PALLET
Remark: 1. #77758SLT:因为内部系统原因，此单代替原本的订单PO#4500163768，原本订单已删除，请以此PO为准
2. #77758SLT已增加RMB4180/7.25=$576.55 收缩膜和袋子铜板费(380/支)到PO价格中
3. 所有日期码印在包装上，产品上也需印日期码.按实际生产日期，ZURU 标准版格式的日期码。
4.#77758SLT是首单需要安排10%抽板测试: 抽板时间6/16(跟UK的单一起抽板节省费用)
请严格按期安排物料，预计会抽走6套成品版（具体数量届时再告知）+ all product package and shipping package+一套封板在工厂供100%验货用，箱唛要印刷客
人箱唛，请做好损耗计算；一般需要7-10 working day 做测试，抽版测试通过才能安排100%大货生产
5. 请在7/25各提供两套大货样给客人留底
6. 纸箱唛头：纸箱四面，只印刷一个正面，另外一个正面不印，侧唛也不印, 按照箱唛模板要求排版。按照箱唛模板要求排版。请注意箱唛印刷效果要我们确认后
才可印刷大货的。
7. 确保展示架在入外箱时一定要正面对着有印刷箱唛的那面,不可以装反</t>
  </si>
  <si>
    <t>SHEBA YE</t>
  </si>
  <si>
    <t>96579-9.30</t>
  </si>
  <si>
    <t>002880625215</t>
  </si>
  <si>
    <t>4500156314-10</t>
  </si>
  <si>
    <r>
      <rPr>
        <sz val="11"/>
        <rFont val="宋体"/>
        <charset val="134"/>
        <scheme val="minor"/>
      </rPr>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t>
    </r>
    <r>
      <rPr>
        <sz val="11"/>
        <color rgb="FFFF0000"/>
        <rFont val="宋体"/>
        <charset val="134"/>
        <scheme val="minor"/>
      </rPr>
      <t>，正唛和背面两面都需印刷，其他2面侧面留空,按照箱唛要求排版。</t>
    </r>
    <r>
      <rPr>
        <sz val="11"/>
        <rFont val="宋体"/>
        <charset val="134"/>
        <scheme val="minor"/>
      </rPr>
      <t xml:space="preserve">
4. 确保展示架在入外箱的时候一定要正面对着有印刷箱唛的那面,不可以装反。</t>
    </r>
  </si>
  <si>
    <t>ZB01564-8.28</t>
  </si>
  <si>
    <t>012030625245</t>
  </si>
  <si>
    <t>4500156323-10</t>
  </si>
  <si>
    <r>
      <rPr>
        <sz val="11"/>
        <rFont val="宋体"/>
        <charset val="134"/>
        <scheme val="minor"/>
      </rPr>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t>
    </r>
    <r>
      <rPr>
        <sz val="11"/>
        <color rgb="FFFF0000"/>
        <rFont val="宋体"/>
        <charset val="134"/>
        <scheme val="minor"/>
      </rPr>
      <t>正唛和背面两面都需印刷，其他2面侧面留空,按照箱唛要求排版。</t>
    </r>
    <r>
      <rPr>
        <sz val="11"/>
        <rFont val="宋体"/>
        <charset val="134"/>
        <scheme val="minor"/>
      </rPr>
      <t>。
4. 确保展示架在入外箱的时候一定要正面对着有印刷箱唛的那面,不可以装反。</t>
    </r>
  </si>
  <si>
    <t>ZB01562-8.28</t>
  </si>
  <si>
    <t>013540625207</t>
  </si>
  <si>
    <t>4500156326-10</t>
  </si>
  <si>
    <r>
      <rPr>
        <sz val="12"/>
        <rFont val="宋体"/>
        <charset val="134"/>
        <scheme val="minor"/>
      </rPr>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t>
    </r>
    <r>
      <rPr>
        <sz val="12"/>
        <color rgb="FFFF0000"/>
        <rFont val="宋体"/>
        <charset val="134"/>
        <scheme val="minor"/>
      </rPr>
      <t>正唛和背面两面都需印刷，其他2面侧面留空,按照箱唛要求排版。</t>
    </r>
    <r>
      <rPr>
        <sz val="12"/>
        <rFont val="宋体"/>
        <charset val="134"/>
        <scheme val="minor"/>
      </rPr>
      <t xml:space="preserve">
4. 确保展示架在入外箱的时候一定要正面对着有印刷箱唛的那面,不可以装反。</t>
    </r>
  </si>
  <si>
    <t>ZB01563-8.28</t>
  </si>
  <si>
    <t>005840625195</t>
  </si>
  <si>
    <t>4500156301-10</t>
  </si>
  <si>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纸箱唛头：纸箱四面，正唛和背面两面都需印刷，其他2面侧面留空,按照箱唛要求排版。
4. 确保展示架在入外箱的时候一定要正面对着有印刷箱唛的那面,不可以装反。</t>
  </si>
  <si>
    <t>ZB01646-9.2</t>
  </si>
  <si>
    <t>4500170560-10</t>
  </si>
  <si>
    <t>9/7截仓</t>
  </si>
  <si>
    <t>日期码格式：ZURU INC(BVI) 标准格式 日期：按实际生产日期
Packaging Info: 77673TQ1:
1.3PCS AG13 BATTERIES(INCLUDED)，有纽扣电池，包装正面和说明书都需要加电池警告语贴纸（法规要求）
2.Filxed Collection
3.加UPC贴纸：193052090164
Remark: 1.MA UPC 英语包装（优先1L英语版本，或者3L/5L含英语都可）
2.此客人不接受易掉落或者剥落或者可直接触碰的闪粉，可降解也不行，但可以接受符合欧洲微塑料标准的珠光粉或者闪片。
3.有纽扣电池，包装正面和说明书都需要加电池警告语贴纸（法规要求）
4.加UPC贴纸</t>
  </si>
  <si>
    <t>96362-9.8</t>
  </si>
  <si>
    <t>4500170563-10</t>
  </si>
  <si>
    <t>96531-9.26</t>
  </si>
  <si>
    <t>0086-7056347-3890</t>
  </si>
  <si>
    <t>4500174008-10</t>
  </si>
  <si>
    <t>新客版收缩膜资料</t>
  </si>
  <si>
    <t>日期码格式：ZURU INC(BVI) 标准格式 日期：按实际生产日期
Packaging Info: 产品包装 客版收缩膜+客版收藏指南+MA说明书+ MA 1L PDQ；客版收缩膜使用新版本；客版收藏指南翻单4500158149；
Remark: 1. 77673TQ1-S001-CC-MINI BRANDS-FILL THE FRIDGE PLAYSET-SERIES 1-SHRINK WRAP,4PCS/PDQ,4PCS/PDQ/CTN
2. 产品包装 客版收缩膜+客版收藏指南+MA说明书+ MA 1L PDQ；客版收缩膜上的UPC显示193052079404；客版收缩膜使用新版本；客版收藏指南翻单4500158149；新
版收缩膜铜板费$157.24 已添加在订单中；
3. 外箱正唛左上角位置粘贴条码箱贴纸，每箱只贴一张，由ZURU订购。来料贴纸上显示的客户DPCI# 086-02-3468， UPC显示10193052079401;
4. 外箱正唛信息右侧空白位置粘贴一张Event label贴纸，贴纸内容显示：Christmas Morning Magic Rear Seasonal Set Date: 11/30/2025 ；由工厂自己订购；
5. 产品和包装上印刷 tracking code信息，格式为ZURU常规格式;
6. 出货方式：货代自提</t>
  </si>
  <si>
    <t>ZB01792(REV1)-9.9</t>
  </si>
  <si>
    <t>0907594710</t>
  </si>
  <si>
    <t>4500174958-10</t>
  </si>
  <si>
    <t>9/11bv自检</t>
  </si>
  <si>
    <t>8/6 寄出</t>
  </si>
  <si>
    <t>ZB01888-9.13</t>
  </si>
  <si>
    <t>0907594734</t>
  </si>
  <si>
    <t>4500174958-20</t>
  </si>
  <si>
    <t>ZB01794-9.9</t>
  </si>
  <si>
    <t>SMYTHS TOYS HQ UC UK</t>
  </si>
  <si>
    <t>4500175570-10</t>
  </si>
  <si>
    <t>日期码格式：ZURU INC(BVI) 标准格式 日期：按实际生产日期
Packaging Info: 77673TQ1:最新MA PDQ(优先3L )+客版收缩膜(英法德callout/英法德意荷警语/法国环保logo---翻订单4500173265)+23L说明书+客版收藏指南(英法德意荷)（ 翻#45
00155594）+WEEE电池通用30L说明书B版（带电池）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</si>
  <si>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96361-9.8</t>
  </si>
  <si>
    <t>客户PO:020853
85/1</t>
  </si>
  <si>
    <t>4500172155-20</t>
  </si>
  <si>
    <t>日期码格式：ZURU INC(BVI) 标准格式 日期：按实际生产日期
Packaging Info: 77673tq1：需要加WEEE_带电池走货 _ 说明书欧洲EN+30L-B版
Remark: 订单对应3个客户PO， 请分开做货， 不要混装。一个PO一个柜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</si>
  <si>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Cora Zhou</t>
  </si>
  <si>
    <t>96433-9.15</t>
  </si>
  <si>
    <t>ZU25060603SG</t>
  </si>
  <si>
    <t>4500174635-20</t>
  </si>
  <si>
    <t>日期码格式：ZURU INC(BVI) 标准格式 日期：按实际生产日期
Packaging Info: MA UPC包装(优先1L)+1张固定进口商贴纸;
整单贴纸资料待提供
Remark:
77673-Filxed Collection</t>
  </si>
  <si>
    <t>96432-9.15</t>
  </si>
  <si>
    <t>4500172408-10</t>
  </si>
  <si>
    <t>日期码格式：ZURU INC(BVI) 标准格式 日期：按实际生产日期
Packaging Info: 77785：MA 3L UPC 彩盒包装 + 箱唛 + 外箱贴纸SSCC Label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</si>
  <si>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96396-9.11</t>
  </si>
  <si>
    <t>4500172407-10</t>
  </si>
  <si>
    <t>96395-9.11</t>
  </si>
  <si>
    <t>4500172730-10</t>
  </si>
  <si>
    <t>日期码格式：ZURU INC(BVI) 标准格式 日期：按实际生产日期
Packaging Info: 77673 MA UPC版包装(1L或3L都可)，出口美国。
Remark: 1.Amazon domestic 订单。出口美国。外箱最长边不能超过25" （超过了，case pack只能为1），不符合要求的大货，一律不接受。
2.无第三方验货/测试要求。
3.日期码使用ZURU标准版本。
4.邮包盒要印刷日期码。</t>
  </si>
  <si>
    <t>SD24</t>
  </si>
  <si>
    <t>ZB02424-10.14</t>
  </si>
  <si>
    <t>AMIC TRADING (PTY) LTD</t>
  </si>
  <si>
    <t>6006-008049</t>
  </si>
  <si>
    <t>4500173266-60</t>
  </si>
  <si>
    <t>7/11 提供UPC贴纸进口商贴纸和位置图翻单4500165848</t>
  </si>
  <si>
    <t>日期码格式：ZURU INC(BVI) 标准格式 日期：按实际生产日期
Packaging Info: MA PKG ， 优先1L +1张进口商贴纸（不得遮挡日期码）
进口商贴纸和位置图翻单4500165848
77711GQ2: MA 3L EAN 收缩膜+1张UPC 条码贴纸（覆盖原条码）+1张进口商贴纸（贴球顶部）+MA 5L 收藏指南， MA说明书
Remark:</t>
  </si>
  <si>
    <t>96582-2-9.30</t>
  </si>
  <si>
    <t>013760625258</t>
  </si>
  <si>
    <t>4500156325-10</t>
  </si>
  <si>
    <t>ZB01645-9.2</t>
  </si>
  <si>
    <t>002670625255</t>
  </si>
  <si>
    <t>4500156324-10</t>
  </si>
  <si>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纸箱唛头：纸箱四面，正唛和背面两面都需印刷，其他2面侧面留空,按照箱唛要求排版。
4. 确保展示架在入外箱的时候一定要正面对着有印刷箱唛的那面,不可以装反</t>
  </si>
  <si>
    <t>ZB01680-9.4</t>
  </si>
  <si>
    <t>002620625280</t>
  </si>
  <si>
    <t>4500156328-10</t>
  </si>
  <si>
    <t>ZB01668-9.3</t>
  </si>
  <si>
    <t>10001368521-3891</t>
  </si>
  <si>
    <t>4500174721-20</t>
  </si>
  <si>
    <t>日期码格式：ZURU INC(BVI) 标准格式 日期：按实际生产日期
Packaging Info: 
77673TQ1: 产品包装 客版收缩膜+客版收藏指南+MA说明书+ MA 1L PDQ；客版收缩膜+客版收藏指南翻单4500174008；
Remark: 
77673TQ1:
1. 77673TQ1-S001-CC-MINI BRANDS-FILL THE FRIDGE PLAYSET-SERIES 1-SHRINK WRAP,4PCS/PDQ,4PCS/PDQ/CTN
2. 产品包装 客版收缩膜+客版收藏指南+MA说明书+ MA 1L PDQ；客版收缩膜上的UPC显示193052079404；客版收缩膜+客版收藏指南翻单4500174008；
3. 外箱正唛左上角位置粘贴条码箱贴纸，每箱只贴一张，由ZURU订购。来料贴纸上显示的客户DPCI# 086-02-3468， UPC显示10193052079401;
以上所有item均：
1. 产品和包装上均要印刷tracking code信息，格式为ZURU常规格式;
2. 出货方式：货代自提</t>
  </si>
  <si>
    <t>ZB01834-9.10</t>
  </si>
  <si>
    <t>10001368607-3890</t>
  </si>
  <si>
    <t>4500175215-10</t>
  </si>
  <si>
    <t>日期码格式：ZURU INC(BVI) 标准格式 日期：按实际生产日期
Packaging Info: 产品包装 客版收缩膜+客版收藏指南+MA说明书+ MA 1L PDQ；客版收缩膜+客版收藏指南翻单4500174008；
Remark: 1. 77673TQ1-S001-CC-MINI BRANDS-FILL THE FRIDGE PLAYSET-SERIES 1-SHRINK WRAP,4PCS/PDQ,4PCS/PDQ/CTN
2. 产品包装 客版收缩膜+客版收藏指南+MA说明书+ MA 1L PDQ；客版收缩膜上的UPC显示193052079404；客版收缩膜+客版收藏指南翻单4500174008；
3. 外箱正唛左上角位置粘贴条码箱贴纸，每箱只贴一张，由ZURU订购。来料贴纸上显示的客户DPCI# 086-02-3468， UPC显示10193052079401;
4. 产品和包装上印刷 tracking code信息，格式为ZURU常规格式;
5. 出货方式：货代自提</t>
  </si>
  <si>
    <t>ZB01969-9.17</t>
  </si>
  <si>
    <t>0907594745</t>
  </si>
  <si>
    <t>4500174959-10</t>
  </si>
  <si>
    <t>9/11 BV自检</t>
  </si>
  <si>
    <t>ZB02031-9.22</t>
  </si>
  <si>
    <t>0907594764</t>
  </si>
  <si>
    <t>4500174959-20</t>
  </si>
  <si>
    <t>ZB02019-9.20</t>
  </si>
  <si>
    <t>BARNES &amp; NOBLE PURCHASING, INC.</t>
  </si>
  <si>
    <t>PO#2948279 to
NJ</t>
  </si>
  <si>
    <t>4500174833-20</t>
  </si>
  <si>
    <r>
      <rPr>
        <sz val="11"/>
        <color rgb="FF3E2CEA"/>
        <rFont val="宋体"/>
        <charset val="134"/>
        <scheme val="minor"/>
      </rPr>
      <t xml:space="preserve">日期码格式：ZURU INC(BVI) 标准格式 日期：按实际生产日期
Packaging Info: 1. 包材：出口美国; 贴纸工厂直接采购；
#77673: ZURU MA 1L UPC 版本+ MA 5L 收藏指南 +价格贴纸（价贴金额 $24.99,价贴位于产品包装上UPC条形码附近），价贴资料跟单提供，工厂采购。
PS： 如果包材有更新，需及时通知跟单看否要更新贴纸资料；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PO#2948279 ship to NJ,
PO#2948280 ship to NV,
5. 出货配比：ZURU 标准配比
6. 测试样板
#77673 和 #77731 需要于8月12日前寄出ZURU MA 版本每款每色2pcs样板做测试（2个#77673 成品 + #77731成品（ 带桶和球） + 散件每款各2整套，每套散件分开
包装） 寄到以下地址做测试：
注： 需打印TRF随样板寄出（TRF由跟单提供）
测试行：BV(必维）
地址：广东省深圳市深圳市龙华区鸿创科技中心4栋1楼
</t>
    </r>
    <r>
      <rPr>
        <sz val="11"/>
        <color rgb="FFFF0000"/>
        <rFont val="宋体"/>
        <charset val="134"/>
        <scheme val="minor"/>
      </rPr>
      <t>收件人：Grace Li
电话: 86 0755 8618 5344| VOIP(Internal): 4344</t>
    </r>
  </si>
  <si>
    <t>ZB02190-9.27</t>
  </si>
  <si>
    <t>PO#2948280 to
NV</t>
  </si>
  <si>
    <t>4500174833-50</t>
  </si>
  <si>
    <r>
      <rPr>
        <sz val="11"/>
        <rFont val="宋体"/>
        <charset val="134"/>
        <scheme val="minor"/>
      </rPr>
      <t xml:space="preserve">日期码格式：ZURU INC(BVI) 标准格式 日期：按实际生产日期
Packaging Info: 1. 包材：出口美国; 贴纸工厂直接采购；
#77673: ZURU MA 1L UPC 版本+ MA 5L 收藏指南 +价格贴纸（价贴金额 $24.99,价贴位于产品包装上UPC条形码附近），价贴资料跟单提供，工厂采购。
PS： 如果包材有更新，需及时通知跟单看否要更新贴纸资料；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PO#2948279 ship to NJ,
PO#2948280 ship to NV,
5. 出货配比：ZURU 标准配比
6. 测试样板
#77673 和 #77731 需要于8月12日前寄出ZURU MA 版本每款每色2pcs样板做测试（2个#77673 成品 + #77731成品（ 带桶和球） + 散件每款各2整套，每套散件分开
包装） 寄到以下地址做测试：
注： 需打印TRF随样板寄出（TRF由跟单提供）
测试行：BV(必维）
地址：广东省深圳市深圳市龙华区鸿创科技中心4栋1楼
</t>
    </r>
    <r>
      <rPr>
        <sz val="11"/>
        <color rgb="FFFF0000"/>
        <rFont val="宋体"/>
        <charset val="134"/>
        <scheme val="minor"/>
      </rPr>
      <t>收件人：Grace Li
电话: 86 0755 8618 5344| VOIP(Internal): 4344</t>
    </r>
  </si>
  <si>
    <t>ZB02058-9.25</t>
  </si>
  <si>
    <t>4500175843-130</t>
  </si>
  <si>
    <t>日期码格式：ZURU INC(BVI) 标准格式 日期：按实际生产日期
Packaging Info:
8. 77673：MA 3L EAN 包装+UPC条码贴纸+MA 多语 说明书+MA 多语 收藏指南+保证书+进口商贴纸+箱唛
除了77673不用加胶袋，剩余款都要按照单个产品入polybag胶袋后再装箱出货，需打孔，胶袋需封口
Remark:
77673：3PCS AG13 BATTERIES(INCLUDED)</t>
  </si>
  <si>
    <t>96585-3-9.30</t>
  </si>
  <si>
    <t>001790625260</t>
  </si>
  <si>
    <t>4500156330-10</t>
  </si>
  <si>
    <t>ZB01835-9.10</t>
  </si>
  <si>
    <t>10001426802-3890</t>
  </si>
  <si>
    <t>4500175217-10</t>
  </si>
  <si>
    <t>ZB02008-9.19</t>
  </si>
  <si>
    <t>001740625260</t>
  </si>
  <si>
    <t>4500156315-10</t>
  </si>
  <si>
    <t>ZB01606-8.30</t>
  </si>
  <si>
    <t>AMBIENTAL PARAGUAY</t>
  </si>
  <si>
    <t>巴拉圭</t>
  </si>
  <si>
    <t>4500173750-50</t>
  </si>
  <si>
    <t xml:space="preserve">无 </t>
  </si>
  <si>
    <t>日期码格式：ZURU INC(BVI) 标准格式 日期：按实际生产日期
Packaging Info: 
77673:MA 多语包装+进口商贴纸+UPC贴纸+箱唛
Remark:</t>
  </si>
  <si>
    <t>96400-2-9.11</t>
  </si>
  <si>
    <t>4500165636-70</t>
  </si>
  <si>
    <t>防窜码贴纸</t>
  </si>
  <si>
    <t>96440-9.16</t>
  </si>
  <si>
    <t>009600625371</t>
  </si>
  <si>
    <t>4500156319-10</t>
  </si>
  <si>
    <t>ZB01890-9.13</t>
  </si>
  <si>
    <t>009600625370</t>
  </si>
  <si>
    <t>4500156318-10</t>
  </si>
  <si>
    <t>ZB01889-9.13</t>
  </si>
  <si>
    <t>001710625321</t>
  </si>
  <si>
    <t>4500156332-10</t>
  </si>
  <si>
    <t>ZB01941-9.16</t>
  </si>
  <si>
    <t>009360625303</t>
  </si>
  <si>
    <t>4500156334-10</t>
  </si>
  <si>
    <t>ZB01971-9.17</t>
  </si>
  <si>
    <t>FYE</t>
  </si>
  <si>
    <t>4500156471-20</t>
  </si>
  <si>
    <t>日期码格式：ZURU INC(BVI) 标准格式 日期：按实际生产日期 
Packaging Info: 1.ZURU MA UPC 包装(优先使用最新版本1L) + 客版可移动价格贴纸+Mother UPC 贴纸覆盖原有的条码(贴纸AWS 跟单提供), 工厂自行订购, 出口美国。
 2.ZURU标准日期码格式,所有产品及包装都必须带有日期码，日期码必须一致(但日期不可为周末)。
Remark: 1.ZURU MA UPC 包装(优先使用最新版本1L) + 客版可移动价格贴纸+Mother UPC 贴纸覆盖原有的条码(贴纸AWS 跟单提供), 工厂自行订购, 出口美国。
 2.ZURU标准日期码格式,所有产品及包装都必须带有日期码，日期码必须一致(但日期不可为周末)。
 3.此单外箱不可有水贴纸。
4.可移价贴需贴在产品包装背面右下角的位置（位置图跟单提供）。
 All Pre Price Tickets should be placed on the back of the product located in the lower right hand corner of the package
 #77673TQ1-S002 $29.99
 5.出货配比：
 #77673TQ1-S002-MINI BRANDS-FILL THE FRIDGE PLAYSET-SERIES 1,4PCS/PDQ,16PCS/4PDQ/CTN
 6. 外箱packing slip:
 按客户最新要求， 每款产品的尾箱上或者内，需要附上packing slip (文件有跟单提供，工厂帮打印)。
 若附在外箱上，需要用信封透明袋装住packing slip， 并贴在外箱一面正唛上。
 若附在尾箱箱内，外箱正唛上需要贴有"packing slip enclosed" 标识。
 工厂可以选择以上任意一种方式。</t>
  </si>
  <si>
    <t>Hailey Yu</t>
  </si>
  <si>
    <t>ZB01970-9.17</t>
  </si>
  <si>
    <t>4400500608-10</t>
  </si>
  <si>
    <t>日期码格式：ZURU INC(BVI) 标准格式 日期：按实际生产日期
Packaging Info: 77673TQ1: 77673TQ1: 最新MA PDQ(优先3L )+客版收缩膜B版(英法德callout/英法德意荷警语/法国环保logo-翻PO#4500173265)+23L说明书+客版收藏指南(英法德意
荷)（翻#450015
5594）+WEEE电池通用30L-B版说明书（带电池）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</si>
  <si>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96501-9.22</t>
  </si>
  <si>
    <t>SMYTHS TOYS EU HQ UC</t>
  </si>
  <si>
    <t>4500175788-10</t>
  </si>
  <si>
    <t>Kinderherz 2025 Logo贴纸(翻单#4500166480)+ 客版收缩膜(英法德callout/英法德意荷警语/法国环保logo)+Kinderherz 2025 Logo贴纸
 (翻单#4500166480)</t>
  </si>
  <si>
    <t>日期码格式：ZURU INC(BVI) 标准格式 日期：按实际生产日期
Packaging Info: 77673TQ1:最新MA 3L PDQ+Kinderherz 2025 Logo贴纸(翻单#4500166480)+ 客版收缩膜(英法德callout/英法德意荷警语/法国环保logo)翻单4500173265+Kinderherz
2025 Logo贴纸
(翻单#4500166480) +客版收藏指南(英法德意荷) 翻单4500155594+MA 23L 说明书+WEEE带电池走货欧洲 30 语通用黑白说明书
EAN: 4894680042773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</si>
  <si>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96511-9.23</t>
  </si>
  <si>
    <t>4500173275-10</t>
  </si>
  <si>
    <t>日期码格式：ZURU INC(BVI) 标准格式 日期：按实际生产日期
Packaging Info: Filxed Collection
3PCS AG13 BATTERIES(INCLUDED)
Remark: MA UPC 英语包装（优先1L英语版本，或者3L/5L含英语都可）
产品有纽扣电池，包装正面和说明书都需要加电池警告语贴纸（法规要求）
此客人不接受易掉落或者剥落或者可直接触碰的闪粉，可降解也不行，但可以接受符合欧洲微塑料标准的珠光粉或者闪片。
加UPC贴纸：193052090164</t>
  </si>
  <si>
    <t>Ivy Li</t>
  </si>
  <si>
    <t>4500173275-20</t>
  </si>
  <si>
    <t>10001435321-3890</t>
  </si>
  <si>
    <t>4500173789-10</t>
  </si>
  <si>
    <t>9/29 出货</t>
  </si>
  <si>
    <t>日期码格式：ZURU INC(BVI) 标准格式 日期：按实际生产日期
Packaging Info: 77673TQ1: 产品包装 客版收缩膜+客版收藏指南+MA说明书+ MA 1L PDQ；客版收缩膜+客版收藏指南翻单4500174008；
Remark: 77673TQ1：
1. 77673TQ1-S001-CC-MINI BRANDS-FILL THE FRIDGE PLAYSET-SERIES 1-SHRINK WRAP,4PCS/PDQ,4PCS/PDQ/CTN
2. 产品包装 客版收缩膜+客版收藏指南+MA说明书+ MA 1L PDQ；客版收缩膜上的UPC显示193052079404；客版收缩膜+客版收藏指南翻单4500174008；
3. 外箱正唛左上角位置粘贴条码箱贴纸，每箱只贴一张，由ZURU订购。来料贴纸上显示的客户DPCI# 086-02-3468， UPC显示10193052079401;
4. 产品和包装上印刷 tracking code信息，格式为ZURU常规格式;
5. 出货方式：货代自提</t>
  </si>
  <si>
    <t>ZB02252(REV1)-9.30</t>
  </si>
  <si>
    <t>0907594770</t>
  </si>
  <si>
    <t>4500176396-10</t>
  </si>
  <si>
    <t>9/17 第三方验货</t>
  </si>
  <si>
    <t xml:space="preserve">8/25 寄出 </t>
  </si>
  <si>
    <t>ZB02137-9.27</t>
  </si>
  <si>
    <t>0907594836</t>
  </si>
  <si>
    <t>4500176396-20</t>
  </si>
  <si>
    <t>ZB02135-9.26</t>
  </si>
  <si>
    <t>0907594841</t>
  </si>
  <si>
    <t>4500176396-30</t>
  </si>
  <si>
    <t>ZB02136-9.26</t>
  </si>
  <si>
    <t>10001463785-3890</t>
  </si>
  <si>
    <t>4500175701-10</t>
  </si>
  <si>
    <t>日期码格式：ZURU INC(BVI) 标准格式 日期：按实际生产日期</t>
  </si>
  <si>
    <t>ZB02251-9.30</t>
  </si>
  <si>
    <t>CUS
PO#4400500610</t>
  </si>
  <si>
    <t>4500175137-10</t>
  </si>
  <si>
    <t>9/22 空运</t>
  </si>
  <si>
    <t>96503-9.22</t>
  </si>
  <si>
    <t>CUS
PO#4400500609</t>
  </si>
  <si>
    <t>4500175136-10</t>
  </si>
  <si>
    <t>96502-9.22</t>
  </si>
  <si>
    <t>4500175793-10</t>
  </si>
  <si>
    <t>96564-9.29</t>
  </si>
  <si>
    <t>4500176886-20</t>
  </si>
  <si>
    <t>日期码格式：ZURU INC(BVI) 标准格式 日期：按实际生产日期
Packaging Info: 
2.77673:MA A 3L 收缩膜含EAN条码+进口商贴纸+MA A5L收藏指南，MA A23L说明书（产品包装和PDQ都需要贴纸）+WEEE带电池走货欧洲30语通用黑白说明书;
Remark: 1. 此单出西班牙，需满足EU测试标准要求，另外微塑料需符合EU法规；
2. 标准配比
3.根据新电池法规（EU） 2023/1542，所有走欧洲市场的电子产品，都需要增加WEEE通用30L说明书（分带电池走货 跟
不带电池走货两种），如工厂没有此文件，可以找我们跟单提供
4. 准时完货，需安排ZURU OQC验货。 另外，包装贴纸上面的警告语不可以覆盖西班牙警告语。</t>
  </si>
  <si>
    <t>96509-9.23</t>
  </si>
  <si>
    <t>4500176886-30</t>
  </si>
  <si>
    <t>日期码格式：ZURU INC(BVI) 标准格式 日期：按实际生产日期
Packaging Info: 
3.77785 :最新客版彩盒+一张EAN条码贴纸+一张客户进口商贴纸；
子件77673：最新MA3LEAN收缩膜+一张空白贴纸+最新MA5L收藏指南+最新MA23L说明书+最新MA纸袋+MA WEEE带电池走货欧洲30语通用黑白说明书 ；"
Remark: 1. 此单出西班牙，需满足EU测试标准要求，另外微塑料需符合EU法规；
2. 标准配比
3.根据新电池法规（EU） 2023/1542，所有走欧洲市场的电子产品，都需要增加WEEE通用30L说明书（分带电池走货 跟
不带电池走货两种），如工厂没有此文件，可以找我们跟单提供
4. 准时完货，需安排ZURU OQC验货。 另外，包装贴纸上面的警告语不可以覆盖西班牙警告语。</t>
  </si>
  <si>
    <t>AEON (CAMBODIA) CO.,LTD</t>
  </si>
  <si>
    <t>柬埔寨</t>
  </si>
  <si>
    <t>4500174903-30</t>
  </si>
  <si>
    <t>日期码格式：ZURU INC(BVI) 标准格式 日期：按实际生产日期
Packaging Info: MA PKG, 优先1L
Remark: 1. 
3. 出柬埔寨</t>
  </si>
  <si>
    <t>96518-9.25</t>
  </si>
  <si>
    <t>AB GEE OF RIPLEY LTD.</t>
  </si>
  <si>
    <t xml:space="preserve"> 777 1OCT</t>
  </si>
  <si>
    <t>4500175085-30</t>
  </si>
  <si>
    <t>9/23
SI</t>
  </si>
  <si>
    <t>日期码格式：ZURU INC(BVI) 标准格式 日期：按实际生产日期
Packaging Info: 
77673TQ1:最新MA UPC包装+B版 WEEE声明带电池走货欧洲 30 语通用黑白说明书，UPC#193052079404 ,配比都跟MA
Remark: 1.产品及包装需要印UKCA图标，包装需要有ZURU UK LTD/ZURU France地址信息，QC同事请核查，如有问题与跟单确认。
2. 需要符合欧洲标准不能含有闪粉和微塑料，否则不合法规会有客诉产生</t>
  </si>
  <si>
    <t>96510-9.23</t>
  </si>
  <si>
    <t>PO# 35261</t>
  </si>
  <si>
    <t>4500176521-30</t>
  </si>
  <si>
    <t>日期码格式：ZURU INC(BVI) 标准格式 日期：按实际生产日期
Packaging Info: 1. 包装方式：MA UPC 优先1L 最新包装，出口美国
Remark: 2. 外箱箱唛红色和黑色双色印刷
3. 产品和包装上印刷tracking code信息，格式为ZURU常规</t>
  </si>
  <si>
    <t>Angel Lin</t>
  </si>
  <si>
    <t>ZB02191-9.27</t>
  </si>
  <si>
    <t>4500176964-10</t>
  </si>
  <si>
    <t>日期码格式：ZURU INC(BVI) 标准格式 日期：按实际生产日期
Packaging Info: 77673TQ1:最新MA 3L PDQ+ 客版收缩膜(英法德callout/英法德意荷警语/法国环保logo)翻单4500173265+客版收藏指南(英法德意荷) 翻单4500155594+MA 23L 说明
书+B版WEEE带电池走货欧洲 30 语通用黑白说明书
EAN: 4894680042773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</si>
  <si>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96546-9.27</t>
  </si>
  <si>
    <t>10001463786-3890</t>
  </si>
  <si>
    <t>4500175702-10</t>
  </si>
  <si>
    <t>ZB02053-9.23</t>
  </si>
  <si>
    <t>AG250140-HK</t>
  </si>
  <si>
    <t>4500174818-10</t>
  </si>
  <si>
    <t>日期码格式：ZURU INC(BVI) 标准格式 日期：按实际生产日期
Packaging Info: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（具体贴纸位置参考HK客供贴纸位置图）
Remark: 此单出HK</t>
  </si>
  <si>
    <t>Chelsea Luo</t>
  </si>
  <si>
    <t>4 KIDZ POLSKA SP. Z O.O.</t>
  </si>
  <si>
    <t>4500173189-10</t>
  </si>
  <si>
    <t>进口商贴纸（翻单4500166548）</t>
  </si>
  <si>
    <t>日期码格式：ZURU INC(BVI) 标准格式 日期：按实际生产日期
Packaging Info: MA B版1L UPC包装+进口商贴纸（翻单4500166548）, MA B版23L警告语，MA A版1L PDQ
Remark: 此单出欧洲需满足EU测试标准要求
3PCS AG13 BATTERIES(INCLUDED)：加B版WEEE带电池走货欧洲30语通用黑白说明书</t>
  </si>
  <si>
    <t>96565-9.29</t>
  </si>
  <si>
    <t>ZHUYU(SHENZHEN)TRADING CO.,LTD.</t>
  </si>
  <si>
    <t>5000001948</t>
  </si>
  <si>
    <t>4500174847-60</t>
  </si>
  <si>
    <t>中文说明书+3C中文贴纸 +收藏指南 翻单： 4500165636</t>
  </si>
  <si>
    <t>日期码格式：ZURU INC(BVI) 标准格式 日期：按实际生产日期
Packaging Info: 物料要求 SKU
5 77673 MA +中文说明书+3C中文贴纸 +收藏指南 翻单： 4500165636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</si>
  <si>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Dona Tang</t>
  </si>
  <si>
    <t>96563-9.29</t>
  </si>
  <si>
    <t>4500174847-70</t>
  </si>
  <si>
    <t>0907594842</t>
  </si>
  <si>
    <t>4500176397-10</t>
  </si>
  <si>
    <t>9/25 第三方验货</t>
  </si>
  <si>
    <r>
      <rPr>
        <sz val="11"/>
        <color rgb="FF3E2CEA"/>
        <rFont val="宋体"/>
        <charset val="134"/>
        <scheme val="minor"/>
      </rPr>
      <t>RFID</t>
    </r>
    <r>
      <rPr>
        <sz val="9"/>
        <color rgb="FF3E2CEA"/>
        <rFont val="宋体"/>
        <charset val="134"/>
      </rPr>
      <t>贴纸</t>
    </r>
  </si>
  <si>
    <t>ZB02192-9.27</t>
  </si>
  <si>
    <t>0907594860</t>
  </si>
  <si>
    <t>4500176397-20</t>
  </si>
  <si>
    <t>ZB02348-10.11</t>
  </si>
  <si>
    <t>10001426803-3890</t>
  </si>
  <si>
    <t>4500176563-10</t>
  </si>
  <si>
    <t>ZB02270-10.8</t>
  </si>
  <si>
    <t>4500176746-10</t>
  </si>
  <si>
    <t>日期码格式：ZURU INC(BVI) 标准格式 日期：按实际生产日期
Packaging Info: 77673TQ1:最新MA 3L PDQ+Kinderherz 2025 Logo贴纸(翻单#4500166480)+ 客版收缩膜(英法德callout/英法德意荷警语/法国环保logo)翻单4500173265+Kinderherz
2025 Logo贴纸(翻单#4500166480) +客版收藏指南(英法德意荷) 翻单4500155594+MA 23L 说明书+B版WEEE带电池走货欧洲 30 语通用黑白说明书
EAN: 4894680042773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</si>
  <si>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96544-9.27</t>
  </si>
  <si>
    <t>0939906435</t>
  </si>
  <si>
    <t>4500177448-10</t>
  </si>
  <si>
    <t>9/29 第三方验货转自检</t>
  </si>
  <si>
    <t>需要空运</t>
  </si>
  <si>
    <t>8/28 寄出</t>
  </si>
  <si>
    <t>ZB02509-10.20</t>
  </si>
  <si>
    <t>0939906429</t>
  </si>
  <si>
    <t>4500177448-20</t>
  </si>
  <si>
    <t>ZB02495-10.18</t>
  </si>
  <si>
    <t>10001483664-3890</t>
  </si>
  <si>
    <t>4500177142-10</t>
  </si>
  <si>
    <t>日期码格式：ZURU INC(BVI) 标准格式 日期：按实际生产日期
Packaging Info: 77673TQ1: 产品包装 客版收缩膜+客版收藏指南+MA说明书+ MA 1L PDQ；客版收缩膜+客版收藏指南翻单4500174008；
Remark: 77673TQ1:
1. 77673TQ1-S001-CC-MINI BRANDS-FILL THE FRIDGE PLAYSET-SERIES 1-SHRINK WRAP,4PCS/PDQ,4PCS/PDQ/CTN
2. 产品包装 客版收缩膜+客版收藏指南+MA说明书+ MA 1L PDQ；客版收缩膜上的UPC显示193052079404；客版收缩膜+客版收藏指南翻单4500174008；
3. 外箱正唛左上角位置粘贴条码箱贴纸，每箱只贴一张，由ZURU订购。来料贴纸上显示的客户DPCI# 086-02-3468， UPC显示10193052079401;
4. 产品和包装上印刷 tracking code信息，格式为ZURU常规格式;
5. 出货方式：货代自提</t>
  </si>
  <si>
    <t>ZB02327(REV1)-10.10</t>
  </si>
  <si>
    <t>0941292559</t>
  </si>
  <si>
    <t>4500178132-10</t>
  </si>
  <si>
    <t>9/29 第三方验货</t>
  </si>
  <si>
    <t>ZB02496-10.18</t>
  </si>
  <si>
    <t>JULIO CEPEDA JUGUETERIAS</t>
  </si>
  <si>
    <t>4500174112-30</t>
  </si>
  <si>
    <t>日期码格式：ZURU INC(BVI) 标准格式 日期：按实际生产日期
Packaging Info: 1.请确保包装上的条形码是UPC，如果是babyUPC，需要用mother UPC覆盖，如有不一致，请及时提出。谢谢!
2. 此订单监柜公司会拆箱验货，每个ITEM 包括盲盒款也均需提前准备 一整套产品(完整包装)所有样品必须与 大货完全一致。
77673,,MA 多语EAN包装+UPC贴纸+MA 多语收藏指南+进口商贴纸+箱唛,,
Remark: 
77673,,Filxed Collection; 3PCS AG13 BATTERIES(INCLUDED),,</t>
  </si>
  <si>
    <t>96517-9.25</t>
  </si>
  <si>
    <t>0907594715</t>
  </si>
  <si>
    <t>4500176398-10</t>
  </si>
  <si>
    <t>ZB02425-10.14</t>
  </si>
  <si>
    <t>AG250123-HK</t>
  </si>
  <si>
    <t>4500172714-10</t>
  </si>
  <si>
    <t>7/14 微信提供</t>
  </si>
  <si>
    <t>7/14 寄出客供警告语贴纸</t>
  </si>
  <si>
    <t>日期码格式：ZURU INC(BVI) 标准格式 日期：按实际生产日期
Packaging Info: 77673TQ1:MA 1L 收缩膜+MA 1L PDQ+MA 5L 收藏指南+MA 说明书+1张客供警语贴纸+1张客供电池警语贴纸+1张客供中文警告说明书）具体请参考HK 客供警语贴纸位
置图=
Remark: 此单出HK</t>
  </si>
  <si>
    <t>96545-9.27</t>
  </si>
  <si>
    <t>4500172411-10</t>
  </si>
  <si>
    <t>4500172409-10</t>
  </si>
  <si>
    <t>日期码格式：ZURU INC(BVI) 标准格式 日期：按实际生产日期
Packaging Info: 77785：MA 3L UPC 彩盒包装 + 箱唛 + 外箱贴纸SSCC Label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</si>
  <si>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ANSALDO CHILE</t>
  </si>
  <si>
    <t>智利</t>
  </si>
  <si>
    <t>2025-HKC216</t>
  </si>
  <si>
    <t>4500177210-20</t>
  </si>
  <si>
    <t>日期码格式：ZURU INC(BVI) 标准格式 日期：按实际生产日期
Packaging Info: MA 3L EAN包装+进口商贴纸+UPC贴纸+箱唛
Remark:</t>
  </si>
  <si>
    <t>96543-9.27</t>
  </si>
  <si>
    <t>4500178210-30</t>
  </si>
  <si>
    <t>进口商贴纸,UPC贴纸/进口商贴纸/保证书翻单PO4500164861</t>
  </si>
  <si>
    <t>日期码格式：ZURU INC(BVI) 标准格式 日期：按实际生产日期
Packaging Info:
77673:MA 3L EAN包装+UPC贴纸+MA 多语说明书+保证书+进口商贴纸+外箱贴纸，产品/包装/说明书都需要贴一张进口商贴纸,UPC贴纸/进口商贴纸/保证书翻单PO4500
164861
Remark: 此单有第三方监柜，需要每款多备1套完整物料</t>
  </si>
  <si>
    <t>96562-9.29</t>
  </si>
  <si>
    <t>10001368526-3890</t>
  </si>
  <si>
    <t>4500176828-10</t>
  </si>
  <si>
    <t>日期码格式：ZURU INC(BVI) 标准格式 日期：按实际生产日期
Packaging Info: 产品包装 客版收缩膜B版+客版收藏指南+MA说明书+ MA 1L PDQ；客版收缩膜+客版收藏指南翻单4500174008；
Remark: 1. 77673TQ1-S001-CC-MINI BRANDS-FILL THE FRIDGE PLAYSET-SERIES 1-SHRINK WRAP,4PCS/PDQ,4PCS/PDQ/CTN
2. 产品包装 客版收缩膜B版+客版收藏指南+MA说明书+ MA 1L PDQ；客版收缩膜上的UPC显示193052079404；客版收缩膜+客版收藏指南翻单4500174008；
3. 外箱正唛左上角位置粘贴条码箱贴纸，每箱只贴一张，由ZURU订购。来料贴纸上显示的客户DPCI# 086-02-3468， UPC显示10193052079401;
4. 产品和包装上印刷 tracking code信息，格式为ZURU常规格式;
5. 出货方式：货代自提</t>
  </si>
  <si>
    <t>ZB02390-10.13</t>
  </si>
  <si>
    <t>Amazon UK:
1GTM92LE</t>
  </si>
  <si>
    <t>4500174199-10</t>
  </si>
  <si>
    <t>2张贴纸(1张UPC#，参考翻单PO#4500158582；1张可折叠警语
贴含德意警告语+IT环保标，参考翻单PO#4500157858)+WEEE电子产品说明书30L(带电池走货B版)+1张贴纸（Spielzeugpreis Alles fürs Kinderherz，仅出DE需要
 ）;,SSCC贴纸由工厂直接跟勤得采购或者工厂自行采购，</t>
  </si>
  <si>
    <t>日期码格式：ZURU INC(BVI) 标准格式 日期：按实际生产日期
Packaging Info: Amazon UK(77785/77673)/DE(77785/77673)/FR(77785)
1. 77785: 1pk 77673 Fill the Fridge PLAYSET S1+ 2pk 77711 INT Capsules S1 into color box, 6color boxes/ctn; 77673:UV GLUE / 7 magnets（6 magne
ts and 1 Refrigerator magnet); 3PCS AG13 BATTERIES(INCLUDED); 77711:UV GLUE/ 1 Refrigerator Magnet; 77673: MA 1L(1L warning UPC)A收缩膜+MA 23L w
arning说明书+MA 5L A收藏指南+1张贴纸（Spielzeugpreis Alles fürs Kinderherz，仅出DE需要&lt;(&gt;,&lt;)&gt;参考翻单PO#4500166480) +77711: MA 1L(1L warning UP
C)A收缩膜+MA 5L(23L warning)A收藏指南+MA 23L警告语说明书+MA 5L A说明书 +客版彩盒+WEEE电子产品说明书30L(带电池走货B版)；
3. 验货时间不迟于2025/10/9.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</si>
  <si>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77785-S001-INT-2-77673</t>
  </si>
  <si>
    <t>Amazon DE:
4P9JQRKP</t>
  </si>
  <si>
    <t>4500174199-20</t>
  </si>
  <si>
    <t>Amazon FR:
71VAQXOF</t>
  </si>
  <si>
    <t>4500174199-40</t>
  </si>
  <si>
    <t>Amazon UK:
8M7HEA9N</t>
  </si>
  <si>
    <t>4500174199-50</t>
  </si>
  <si>
    <t>Amazon DE:
3OCXNP1C</t>
  </si>
  <si>
    <t>4500174199-70</t>
  </si>
  <si>
    <t>4500174199-30</t>
  </si>
  <si>
    <t>SSCC LABEL一张，2张贴纸(1张UPC#，参考翻单PO#4500158582；1张可折叠警语贴含德意警告语+IT环保标，参考翻单PO#4500157858)
贴纸（Spielzeugpreis Alles fürs Kinderherz，仅出DE需要,参考翻单PO#4500166480)</t>
  </si>
  <si>
    <t>日期码格式：ZURU INC(BVI) 标准格式 日期：按实际生产日期
Packaging Info: Amazon UK(77785/77673)/DE(77785/77673)/FR(77785)
2. 77673: 12pcs/ctn; MA 3L(3L warning EAN#)B收缩膜+MA 23L warning B说明书+MA 5L A收藏指南+2张贴纸(1张UPC#，参考翻单PO#4500158582；1张可折叠警语
贴含德意警告语+IT环保标，参考翻单PO#4500157858)+WEEE电子产品说明书30L(带电池走货B版)+1张贴纸（Spielzeugpreis Alles fürs Kinderherz，仅出DE需要,
参考翻单PO#4500166480)
3. 验货时间不迟于2025/10/9.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</si>
  <si>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4500174199-60</t>
  </si>
  <si>
    <t>FB13751</t>
  </si>
  <si>
    <t>4500177765-30</t>
  </si>
  <si>
    <t>9/2提供条码贴纸，带电池版本30语WEEE说明书</t>
  </si>
  <si>
    <t>日期码格式：ZURU INC(BVI) 标准格式 日期：按实际生产日期
Packaging Info:
SKU#77673TQ1:MA-1L 配套包装+客户EAN 条码贴纸，另外产品内包装再加多一张ZURU带电池版本30语WEEE说明书
Remark: "文本备注：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*根据客人最新的包装要求，所有PDQ盒子(TQ,UQ,GQ）都需要在顶部右上角加上数量贴纸标明里面的数量。最小字体：36pts, 字体：Calibri（bold), 具体要求以
及位置见文件.
*订单对应客户1个PO号 ，备注有显示 ，注意分开做货/验货/装柜 ，混装有罚款。
* 大货样： 新款请在CRD前10天寄出每款2整套大货样到罗湖办公室7B Meyya Liu 收，翻单不用寄。"</t>
  </si>
  <si>
    <t>Aaron Xia</t>
  </si>
  <si>
    <t>JUGUETES Y PELUCHES SANCHIS S.A.</t>
  </si>
  <si>
    <t>4500178109-40</t>
  </si>
  <si>
    <t>日期码格式：ZURU INC(BVI) 标准格式 日期：按实际生产日期
Packaging Info:
4.77673:最新MA 3L EAN版本包装+一张客户警语贴纸+MA 23L说明书+最新WEEE带电池走货欧洲30语通用黑白说明书；
Remark: 1.此单出西班牙市场，需满足EU测试标准要求，微塑料需符合EU法规。
2.此单LC条款，延迟出货有罚款；
3.此单每款产品各寄一套大货样到深圳办公室，请注意备料；</t>
  </si>
  <si>
    <t>0941292518</t>
  </si>
  <si>
    <t>4500178136-40</t>
  </si>
  <si>
    <t>ZB02347-10.11</t>
  </si>
  <si>
    <t>0941292532</t>
  </si>
  <si>
    <t>4500178136-50</t>
  </si>
  <si>
    <t>ZB02301-10.9</t>
  </si>
  <si>
    <t>ZURU GERMANY GMBH</t>
  </si>
  <si>
    <t>4500174753-10</t>
  </si>
  <si>
    <t>日期码格式：ZURU INC(BVI) 标准格式 日期：按实际生产日期
Packaging Info: 77673TQ1：最新MA PDQ+Kinderherz 2025 logo（翻单#4500166480）+最新版 MA 3L EAN 收缩膜 + 1*多语折叠警告语贴纸（含环保标） +MA5L收藏指南+ MA 23L
说明书+ MA UV胶黑白警告语+MA纸袋 + 1*B版 WEEE通用带电池走货说明书 .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</si>
  <si>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4500176443-10</t>
  </si>
  <si>
    <t>1*多语折叠警告语贴纸（翻单4500174753）</t>
  </si>
  <si>
    <t>日期码格式：ZURU INC(BVI) 标准格式 日期：按实际生产日期
Packaging Info: 77673TQ1：最新版 MA 3L EAN 收缩膜 + 1*多语折叠警告语贴纸（翻单4500174753） +MA5L收藏指南+ MA 23L说明书+ MA UV胶黑白警告语+MA纸袋 + 1*B版 WEEE 3
0L 通用带电池走货说明书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</si>
  <si>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10001463788-3890</t>
  </si>
  <si>
    <t>4500175703-10</t>
  </si>
  <si>
    <t>ZB02389-10.13</t>
  </si>
  <si>
    <t>777 4OCT</t>
  </si>
  <si>
    <t>4500175112-20</t>
  </si>
  <si>
    <t>消耗手工单MO20250620</t>
  </si>
  <si>
    <t>日期码格式：ZURU INC(BVI) 标准格式 日期：按实际生产日期
Packaging Info:77673TQ1:最新MA UPC包装+B版 WEEE声明带电池走货欧洲 30 语通用黑白说明书，UPC#193052079404 ,配比都跟MA
Remark: 1.产品及包装需要印UKCA图标，包装需要有ZURU UK LTD/ZURU France地址信息，QC同事请核查，如有问题与跟单确认。
2. 需要符合欧洲标准不能含有闪粉和微塑料，否则不合法规会有客诉产生</t>
  </si>
  <si>
    <t>AMAZON EU SARL, NDL DEUTSCHLAND</t>
  </si>
  <si>
    <t>Amazon DE:
61XGBFDM</t>
  </si>
  <si>
    <t>4500177502-10</t>
  </si>
  <si>
    <t>SSCC LABEL一张+2张贴纸(1张UPC#，参考翻单PO#4500158582；1张可折叠警语贴含德意警告语+IT环保标，参考翻单PO#4500157858) SSCC LABEL一张
贴纸（Spielzeugpreis Alles fürs Kinderherz，仅出DE需要,参考翻单PO#4500166480）</t>
  </si>
  <si>
    <t>日期码格式：ZURU INC(BVI) 标准格式 日期：按实际生产日期
Packaging Info: Amazon DE(77673)
1. 77673: 12pcs/ctn; MA 3L(3L warning EAN#)B收缩膜+MA 23L warning B说明书+MA 5L A收藏指南+2张贴纸(1张UPC#，参考翻单PO#4500158582；1张可折叠警语
贴含德意警告语+IT环保标，参考翻单PO#4500157858)+WEEE电子产品说明书30L(带电池走货B版)+1张贴纸（Spielzeugpreis Alles fürs Kinderherz，仅出DE需要,
参考翻单PO#4500166480）
2. 验货时间不迟于2025/10/10.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</si>
  <si>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LEKIA AB</t>
  </si>
  <si>
    <t>4500178337-10</t>
  </si>
  <si>
    <t>警告语/进口商贴纸（翻单4500164226），丹麦/瑞典/芬兰/挪威语警告语贴纸（贴纸袋）</t>
  </si>
  <si>
    <t>日期码格式：ZURU INC(BVI) 标准格式 日期：按实际生产日期
Packaging Info: 77673TQ1-S001:MA 3L EAN B版收缩膜+警告语/进口商贴纸（翻单4500164226）+MA 5L收藏指南+MA （电池+UV胶警告语-23L）说明书+MA 3L PDQ+丹麦/瑞典/芬兰/挪
威语 WEEE 说明书贴纸（贴（电池+UV胶警告语-23L）说明书）+丹麦/瑞典/芬兰/挪威语警告语贴纸（贴纸袋）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t>
  </si>
  <si>
    <t>PO#600-73031</t>
  </si>
  <si>
    <t>4500177678-10</t>
  </si>
  <si>
    <t>ZB02469(REV1)-10.16</t>
  </si>
  <si>
    <t>4400501780</t>
  </si>
  <si>
    <t>4500176570-10</t>
  </si>
  <si>
    <t>日期码格式：ZURU INC(BVI) 标准格式 日期：按实际生产日期
Packaging Info: 77673TQ1:最新MA 3L PDQ+ 客版收缩膜(英法德callout/英法德意荷警语/法国环保logo)翻单4500173265+客版收藏指南(英法德意荷) 翻单4500155594+MA 23L 说明
书+B版WEEE带电池走货欧洲 30 语通用黑白说明书
EAN: 4894680042773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</si>
  <si>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4500178223-20</t>
  </si>
  <si>
    <t>4500177870-10</t>
  </si>
  <si>
    <t>WEEE_带电池走货 _ 说明书欧洲EN+30L-B版（或更新版本)</t>
  </si>
  <si>
    <t>日期码格式：ZURU INC(BVI) 标准格式 日期：按实际生产日期
Packaging Info: *空运订单 ，请务必按期完货*
77673TQ1:最新MA PDQ(优先3L )+客版收缩膜(英法德callout/英法德意荷警语/法国环保logo---翻订单4500173265)+23L说明书+客版收藏指南(英法德意荷)（翻#45
00155594）+WEEE_带电池走货 _ 说明书欧洲EN+30L-B版（或更新版本)
Remark: 1）包装日期码按ZURU格式即可，请确保不迟于外箱日期码，可等于或者早于外箱日期码，必须为法定工作日，印刷前请先检查外箱日期码。
2）订单出爱尔兰，请注意检查产品及包装应带UKCA图标（14+产品除外），包装显示ZURU UK LTD/ZURU France地址信息，QC部门请查核，如有问题与跟单确认
3) 微塑料需符合欧洲标准，否则不合法规会有客诉产生</t>
  </si>
  <si>
    <t>PO# 35250</t>
  </si>
  <si>
    <t>4500177767-40</t>
  </si>
  <si>
    <t>ZB02842-11.7</t>
  </si>
  <si>
    <t>4500178095-10</t>
  </si>
  <si>
    <t>日期码格式： 标准格式 日期：按实际生产日期
Packaging Info: MA UPC包装(优先1L)+1张进口商贴纸,待提供贴纸资料;
5.因为此客人进口商贴纸是通用的（除了那些加了UPC条码的），只可能因为item不同尺寸会有差别，如果发现尺寸一样就请统一订购节省成本。
整单的贴纸图稿及位置图待提供
Remark: 77673-Filxed Collection</t>
  </si>
  <si>
    <t>0941292502</t>
  </si>
  <si>
    <t>4500178138-10</t>
  </si>
  <si>
    <t>10/15 第三方验货</t>
  </si>
  <si>
    <t>ZB02510-10.20</t>
  </si>
  <si>
    <t>Amazon
UK:48ZD1SKD</t>
  </si>
  <si>
    <t>4500176637-20</t>
  </si>
  <si>
    <t>SSCC LABEL一张，2张贴纸(1张UPC#，参考翻单PO#4500158582；1张可折叠警语
贴含德意警告语+IT环保标，参考翻单PO#4500157858)</t>
  </si>
  <si>
    <t>日期码格式：ZURU INC(BVI) 标准格式 日期：按实际生产日期
Packaging Info: Amazon UK(77785/77673)/FR(77673)/DE(77785/77673)
2. 77673：12pcs/ctn; MA 3L(3L warning EAN#)B收缩膜+MA 23L warning B说明书+MA 5L A收藏指南+2张贴纸(1张UPC#，参考翻单PO#4500158582；1张可折叠警语
贴含德意警告语+IT环保标，参考翻单PO#4500157858)+WEEE电子产品说明书30L(带电池走货B版)+1张贴纸（Spielzeugpreis Alles fürs Kinderherz，仅出DE需要
）;
3.最迟验货不得晚于2025/10/16;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</si>
  <si>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DE:5HTDMUYI</t>
  </si>
  <si>
    <t>4500176637-40</t>
  </si>
  <si>
    <t>Amazon
FR:4SMT4XJV</t>
  </si>
  <si>
    <t>4500176637-50</t>
  </si>
  <si>
    <t>7950903135</t>
  </si>
  <si>
    <t>4500178828-10</t>
  </si>
  <si>
    <t>墨西哥订单加一张保证书+墨西哥NOM贴纸，产品/包装/说明书都要加一张NOM贴纸，资料翻PO#4500164462</t>
  </si>
  <si>
    <t>日期码格式：ZURU INC(BVI) 标准格式 日期：按实际生产日期
Packaging Info: 77758SLT: 1.客版彩盒+客版球的收缩膜+客版冰箱收缩膜+客版冰箱收藏指南+客版球的收藏指南+客版Manual for three kinds of mini creates +客版球的黑白说
明书+客版内纸袋 +客版UV glue bottle sticker+客版冰箱电池警告语和说明书：（以上MA客版翻COSTCO UK PO#4500163768）
客版PDQ 翻单COSTCO USPO#4500156301
墨西哥订单加一张保证书+墨西哥NOM贴纸，产品/包装/说明书都要加一张NOM贴纸，资料翻PO#4500164462
Remark: 1.所有日期码印在彩卡上，产品(枪)上也需印日期码.按实际生产日期，ZURU 标准版格式的日期码。
2.纸箱唛头：纸箱四面，印刷两个正面，侧唛不印, 按照箱唛模板要求排版。请注意箱唛印刷效果要我们确认后才可印刷大货的。
3. 确保展示架在入外箱时一定要正面对着有印刷箱唛的那面,不可以装反。
4. 3PK 77711-INT(capsules)+1PK 77673 combo in color box， 3PCS AG13 BATTERIES(INCLUDED)
5.订单需要监柜，需要安排1套大货样板用于监柜。</t>
  </si>
  <si>
    <t>RAMP-S CORPORATION</t>
  </si>
  <si>
    <t>4500179170-20</t>
  </si>
  <si>
    <t>10/17 出货</t>
  </si>
  <si>
    <t>1张进口商贴纸,贴纸图稿及位置图翻4500167360</t>
  </si>
  <si>
    <t>日期码格式：ZURU INC(BVI) 标准格式 日期：按实际生产日期
Packaging Info: MA UPC包装(优先1L)+1张进口商贴纸,贴纸图稿及位置图翻4500167360
Remark:
77673TQ1-Filxed Collection</t>
  </si>
  <si>
    <t>2025ZURU27 2025ZURU28</t>
  </si>
  <si>
    <t>4500181466-10</t>
  </si>
  <si>
    <t>返工箱唛</t>
  </si>
  <si>
    <t>UPC贴纸(UPC:193052079404),UV胶瓶身贴
 (UPC贴纸翻单：4500160504)</t>
  </si>
  <si>
    <t>日期码格式：ZURU INC(BVI) 标准格式 日期：按实际生产日期
Packaging Info: "#77673：消耗4500177985订单
MA3L收缩膜(B)+UPC贴纸(UPC:193052079404)+MA23L说明书(B)+MA5L收藏指南+MA5L,UV胶瓶身贴
(UPC贴纸翻单：4500160504)"
Remark: 出加拿大
Zuru验货.日期跟踪码：产品外包装及产品本身都必须有日期跟踪码，ZURU标准格式日期码。（箱唛日期码按跟单提供格式）</t>
  </si>
  <si>
    <t>Amazon
UK:5Q71UI5P</t>
  </si>
  <si>
    <t>4500176637-10</t>
  </si>
  <si>
    <t>SSCC LABEL一张+1张贴纸（SPIELZEUGPREIS ALLES FÜRS KINDERHERZ，仅出DE需要,参考翻单PO#4500166480)</t>
  </si>
  <si>
    <t>日期码格式：ZURU INC(BVI) 标准格式 日期：按实际生产日期
Packaging Info: Amazon UK(77785/77673)/FR(77673)/DE(77785/77673)
1. 77785：1pk 77673 Fill the Fridge PLAYSET S1+ 2pk 77711 INT Capsules S1 into color box, 6color boxes/ctn; 77673:UV GLUE / 7 magnets（6 magne
ts and 1 Refrigerator magnet); 3PCS AG13 BATTERIES(INCLUDED); 77711:UV GLUE/ 1 Refrigerator Magnet; 77673: MA 1L(1L warning UPC)A收缩膜+MA 23L w
arning说明书+MA 5L A收藏指南+1张贴纸（Spielzeugpreis Alles fürs Kinderherz，仅出DE需要&lt;(&gt;,&lt;)&gt;参考翻单PO#4500166480) +77711: MA 1L(1L warning UP
C)A收缩膜+MA 5L(23L warning)A收藏指南+MA 23L警告语说明书+MA 5L A说明书 +客版彩盒+WEEE电子产品说明书30L(带电池走货B版)；
3.最迟验货不得晚于2025/10/16;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</si>
  <si>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4500176637-30</t>
  </si>
  <si>
    <t>AMAZON FR</t>
  </si>
  <si>
    <t>Amazon UK:
8F5CZR6A</t>
  </si>
  <si>
    <t>4500177504-30</t>
  </si>
  <si>
    <t>1.空白外箱（加印带Zuru字样的最新logo，除了邮包盒直接做外箱的产品） + SSCC LABEL一张, 无箱唛，MADE IN CHINA 外箱只印一正一侧。箱唛资料按照给定的
 标准去做即可，无需发回我方再行审批(新标准将另行通知)。</t>
  </si>
  <si>
    <t>SSCC LABEL一张</t>
  </si>
  <si>
    <t>日期码格式：ZURU INC(BVI) 标准格式 日期：按实际生产日期
Packaging Info: Amazon UK(77785)/FR(77486/9279G)
1. 77785: 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 +77711: MA 3L(3L warning EAN)A收缩膜+MA 5L(23L warning)B收藏指南+MA 23L警告语说明书+MA 5L A说明书 +客版彩盒+WEEE
电子产品说明书30L(带电池走货B版)；
4. 验货时间不迟于2025/10/17.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</si>
  <si>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77785-S001-INT-3</t>
  </si>
  <si>
    <t>10001483679-0581</t>
  </si>
  <si>
    <t>4500177143-10</t>
  </si>
  <si>
    <t>外箱正唛左上角位置粘贴条码箱贴纸，每箱只贴一张，由ZURU订购。来料贴纸上显示的客户DPCI# 086-02-3468， UPC显示1019305207940</t>
  </si>
  <si>
    <t>客版收缩膜+客版收藏指南翻单4500174008</t>
  </si>
  <si>
    <t>ZB02525-10.20</t>
  </si>
  <si>
    <t>4500177486-10</t>
  </si>
  <si>
    <t>Agnes Zheng</t>
  </si>
  <si>
    <t>ZB02664-10.28</t>
  </si>
  <si>
    <t>4500177487-10</t>
  </si>
  <si>
    <t>ZB02665-10.28</t>
  </si>
  <si>
    <t>4500177886-10</t>
  </si>
  <si>
    <t>日期码格式：ZURU INC(BVI) 标准格式 日期：按实际生产日期
Packaging Info: 77673TQ1:最新MA PDQ(优先3L )+客版收缩膜(英法德callout/英法德意荷警语/法国环保logo---翻订单4500173265)+23L说明书+客版收藏指南(英法德意荷)（翻#45
00155594）+WEEE_带电池走货 _ 说明书欧洲EN+30L-B版（或更新版本)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</si>
  <si>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4500177873-10</t>
  </si>
  <si>
    <t>96859-11.3</t>
  </si>
  <si>
    <t>0941292528</t>
  </si>
  <si>
    <t>4500178140-10</t>
  </si>
  <si>
    <t>ZB02553-10.23</t>
  </si>
  <si>
    <t>COOP COOPERATIVE</t>
  </si>
  <si>
    <t>4500178326-10</t>
  </si>
  <si>
    <t>1*警语贴纸+1*客版贴纸（可移动）+1*Kinderherz 贴纸（翻单4500166480）</t>
  </si>
  <si>
    <t>所有电子产品身上需要加字唛，为ZURU FRANCE 地址 (如无电子产品，或者产品布标有此地址，可忽略此信息)</t>
  </si>
  <si>
    <t>日期码格式：ZURU INC(BVI) 标准格式 日期：按实际生产日期
Packaging Info:
77673 :MA 3L B EAN 收缩膜+1*DE+IT 2L警语贴纸（不可移动）+1*客版贴纸（可移动）+1*Kinderherz 贴纸（翻单4500166480）+MA 5L 收藏指南+MA 电池 UV 23L
警语说明书+1*WEEE 30L B 带电电池说明书
Remark: 1. 大货样品3套/item，用于第三方验货签板，请多备料。
2. 客户贴纸需使用可移动并无表面处理。
3. 出口欧洲，微塑料需合规。如含化学品，需要无硼无香。
4.所有电子产品身上需要加字唛，为ZURU FRANCE 地址 (如无电子产品，或者产品布标有此地址，可忽略此信息)
如产品太小，也可忽略。如无法加字唛，可以用贴纸的形式加在产品身上。
ZURU FRANCE 33 rue Paul Meurice 75020 Paris, France.</t>
  </si>
  <si>
    <t>PO-41336047</t>
  </si>
  <si>
    <t>4500178510-20</t>
  </si>
  <si>
    <t>ZB03124-11.27</t>
  </si>
  <si>
    <t>10001483670-0581</t>
  </si>
  <si>
    <t>4500177144-10</t>
  </si>
  <si>
    <t>日期码格式：ZURU INC(BVI) 标准格式 日期：按实际生产日期
Packaging Info: 产品包装 客版收缩膜(B版本)+客版收藏指南+MA说明书+ MA 1L PDQ；客版收缩膜+客版收藏指南翻单4500174008；
Remark: 1. 77673TQ1-S001-CC-MINI BRANDS-FILL THE FRIDGE PLAYSET-SERIES 1-SHRINK WRAP,4PCS/PDQ,4PCS/PDQ/CTN
2. 产品包装 客版收缩膜(B版本)+客版收藏指南+MA说明书+ MA 1L PDQ；客版收缩膜上的UPC显示193052079404；客版收缩膜+客版收藏指南翻单4500174008；
3. 外箱正唛左上角位置粘贴条码箱贴纸，每箱只贴一张，由ZURU订购。来料贴纸上显示的客户DPCI# 086-02-3468， UPC显示10193052079401;
4. 产品和包装上印刷 tracking code信息，格式为ZURU常规格式;
5. 出货方式：货代自提</t>
  </si>
  <si>
    <t>ZB02769-11.3</t>
  </si>
  <si>
    <t>ZU25080702SG</t>
  </si>
  <si>
    <t>4500179037-30</t>
  </si>
  <si>
    <t>1张进口商贴纸,贴纸图稿及位置图翻单如下4500163177</t>
  </si>
  <si>
    <t>日期码格式：ZURU INC(BVI) 标准格式 日期：按实际生产日期
Packaging Info: MA UPC包装(优先1L)+1张进口商贴纸,贴纸图稿及位置图翻单如下
77673-4500163177
Remark:</t>
  </si>
  <si>
    <t>ZURU SPAIN S.L.</t>
  </si>
  <si>
    <t>4500178401-10</t>
  </si>
  <si>
    <t>多语警语折叠贴纸（含包装缺失的法/意/西环保标）+WEEE带电池出货的欧洲30L通知说
明书B版（贴纸翻4500162314）</t>
  </si>
  <si>
    <t>日期码格式：ZURU INC(BVI) 标准格式 日期：按实际生产日期
Packaging Info: 77673:最新MA3LEAN收缩膜+最新MA5L收藏指南+最新MA23L说明书+最新MA纸袋+多语警语折叠贴纸（含包装缺失的法/意/西环保标）+WEEE带电池出货的欧洲30L通知说
明书B版（贴纸翻4500162314）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</si>
  <si>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4500178401-40</t>
  </si>
  <si>
    <t>日期码格式：ZURU INC(BVI) 标准格式 日期：按实际生产日期
Packaging Info: 
"77785:最新客版彩盒+EAN贴纸（翻4500163212）
子件77673：最新MA3LEAN收缩膜+最新MA5L收藏指南+最新MA23L说明书+最新MA纸袋+多语警语折叠贴纸（含包装缺失的法/意/西环保标）+多语版WEEE电池垃圾桶的回
收声明说明书（included）（贴纸和WEEE翻4500162314）"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</si>
  <si>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4500179231-20</t>
  </si>
  <si>
    <t>日期码格式：ZURU INC(BVI) 标准格式 日期：按实际生产日期
Packaging Info: 
2.77673:MA 最新 3L 收缩膜含EAN条码+进口商贴纸+MA 最新5L收藏指南，MA 最新23L说明书（产品包装和PDQ都需要贴纸）+WEEE带电池走货欧洲30语通用黑白说明
书;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以找我们跟单提供
4. 产品及包装需要印CE logo图标，包装需含有西班牙环保标 &lt;(&gt;&amp;&lt;)&gt; ZURU France地址信息， 另外，包装贴纸上面的警告语不可以覆盖西班牙警告语。QC同事请
核查，如有问题需和跟单确认。
5.77673 看是否可以改善CRD10/23，客户要求船期在10月底前</t>
  </si>
  <si>
    <t>020854047</t>
  </si>
  <si>
    <t>4500178273-10</t>
  </si>
  <si>
    <t>10/24 出货</t>
  </si>
  <si>
    <t>日期码格式：ZURU INC(BVI) 标准格式 日期：按实际生产日期
Packaging Info: 1. 包装：ZURU MA 1L 最新UPC版本；出口美国&lt;(&gt;&amp;&lt;)&gt;CA；
Remark: 2. 日期跟踪码：产品包装及产品本身都必须有日期跟踪码，并且确保两者的日期跟踪码要一致；ZURU标准格式日期码(请自行调整具体年月日生产期，但不能为周
末）。
3.. 出货配比: Zuru 标版配比。</t>
  </si>
  <si>
    <t>ZB02666-10.28</t>
  </si>
  <si>
    <t>0941292538</t>
  </si>
  <si>
    <t>4500178142-10</t>
  </si>
  <si>
    <t>ZB02832-11.6</t>
  </si>
  <si>
    <t>0941292561</t>
  </si>
  <si>
    <t>4500178142-20</t>
  </si>
  <si>
    <t>ZB02831-11.6</t>
  </si>
  <si>
    <t>0944785642</t>
  </si>
  <si>
    <t>4500179418-10</t>
  </si>
  <si>
    <t>ZB02772-11.4</t>
  </si>
  <si>
    <t>0944785648</t>
  </si>
  <si>
    <t>4500179418-20</t>
  </si>
  <si>
    <t>ZB02830-11.6</t>
  </si>
  <si>
    <t>0944785668</t>
  </si>
  <si>
    <t>4500179418-30</t>
  </si>
  <si>
    <t>ZB02724-11.1</t>
  </si>
  <si>
    <t>0944785680</t>
  </si>
  <si>
    <t>4500179418-40</t>
  </si>
  <si>
    <t>ZB02703-10.31</t>
  </si>
  <si>
    <t>4500178170-10</t>
  </si>
  <si>
    <t>11/3 第三方验货</t>
  </si>
  <si>
    <t>11/4 出货</t>
  </si>
  <si>
    <t>日期码格式：ZURU INC(BVI) 标准格式 日期：按实际生产日期
Packaging Info: #77673：
MA3L收缩膜(B)+UPC贴纸(UPC:193052079404)+MA23L说明书(B)+MA5L收藏指南+MA5L,UV胶瓶身贴
(UPC贴纸翻单：4500160504)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</si>
  <si>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Fly Song</t>
  </si>
  <si>
    <t>96876-11.5</t>
  </si>
  <si>
    <t>4500176519-10</t>
  </si>
  <si>
    <t>96857-11.3</t>
  </si>
  <si>
    <t>4400501779</t>
  </si>
  <si>
    <t>4500176740-10</t>
  </si>
  <si>
    <t>96858-11.3</t>
  </si>
  <si>
    <t>020643093</t>
  </si>
  <si>
    <t>4500178974-20</t>
  </si>
  <si>
    <t>日期码格式：ZURU INC(BVI) 标准格式 日期：按实际生产日期
Packaging Info: 1. 包装：ZURU MA 最新UPC版本；出口美国，CA；
Remark: 2. 日期跟踪码：产品包装及产品本身都必须有日期跟踪码，并且确保两者的日期跟踪码要一致；ZURU标准格式日期码(请自行调整具体年月日生产期，但不能为周
末）。
3. 此单有3个客户PO， 请见侧边备注；
4. 出货配比: Zuru 标版配比。</t>
  </si>
  <si>
    <t>ZB02912-11.14</t>
  </si>
  <si>
    <t>0944785669</t>
  </si>
  <si>
    <t>4500179419-10</t>
  </si>
  <si>
    <t>11/10 第三方验货</t>
  </si>
  <si>
    <t>ZB02989-11.19</t>
  </si>
  <si>
    <t>0944785677</t>
  </si>
  <si>
    <t>4500179419-20</t>
  </si>
  <si>
    <t>ZB02906-11.13</t>
  </si>
  <si>
    <t>4500179872-20</t>
  </si>
  <si>
    <t>1张小纽扣电池警告语贴纸贴于包装正面 + 2张大纽扣电池警告语贴纸附带进
口商信息分别贴于包装背面以及说明书上（翻单4500159576）</t>
  </si>
  <si>
    <t>日期码格式：ZURU INC(BVI) 标准格式 日期：按实际生产日期
Packaging Info: 
77673: MA_UPC版本包装（MA首选1L，如无1L可用多语且含英语的配套多语UPC包装）+ 1张小纽扣电池警告语贴纸贴于包装正面 + 2张大纽扣电池警告语贴纸附带进
口商信息分别贴于包装背面以及说明书上（翻单4500159576）
Remark: 1.按实际生产日期;
2.出澳大利亚，请按照相应标准生产;</t>
  </si>
  <si>
    <t>96939-11.13</t>
  </si>
  <si>
    <t>Amazon FR:
3YTNJDUD</t>
  </si>
  <si>
    <t>4500179736-400</t>
  </si>
  <si>
    <t>.空白外箱（加印带Zuru字样的最新logo，除了邮包盒直接做外箱的产品）</t>
  </si>
  <si>
    <t>SSCC LABEL一张，2张贴纸(1张UPC#，参考翻单PO#4500158582；1张可折叠警语
贴含德意警告语+IT环保标，参考翻单PO#4500157858)+1张贴纸（Spielzeugpreis Alles fürs Kinderherz，仅出DE需要,
 参考翻单PO#4500166480）</t>
  </si>
  <si>
    <t>日期码格式：ZURU INC(BVI) 标准格式 日期：按实际生产日期
Packaging Info: Amazon UK(15701B/15710B/15714DKMN/15726ABDEJLM/15728AG/71137/71152/77515/77731/9279EH/9543AE)/DE(15726BJLM/15728AG/15762BD/77731/92119EGH/9543E)
/FR(15728E/15763E/77673/77731)
14. 77673: 12pcs/ctn; MA 3L(3L warning EAN#)B收缩膜+MA 23L warning B说明书+MA 5L A收藏指南+2张贴纸(1张UPC#，参考翻单PO#4500158582；1张可折叠警语
贴含德意警告语+IT环保标，参考翻单PO#4500157858)+WEEE电子产品说明书30L(带电池走货B版)+1张贴纸（Spielzeugpreis Alles fürs Kinderherz，仅出DE需要,
参考翻单PO#4500166480）;
16.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</si>
  <si>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96992-11.21</t>
  </si>
  <si>
    <t>4500179170-30</t>
  </si>
  <si>
    <t>96975-11.19</t>
  </si>
  <si>
    <t>BRANDS IN STYLE (PVT) LTD</t>
  </si>
  <si>
    <t>斯里兰卡</t>
  </si>
  <si>
    <t>Zuru July 2025</t>
  </si>
  <si>
    <t>4500180054-10</t>
  </si>
  <si>
    <t>日期码格式：ZURU INC(BVI) 标准格式 日期：按实际生产日期
Packaging Info: 其他items MA UPC包装(优先1L)，无需加贴纸;
77782GQ1是77711国际版的客版item;使用拉美订单的客版收缩膜及PDQ AW
"WITH 4 DEMO; Base on #77711GQ2-S001-INT ver.:Remove Hershey and Kikkoman, Kikkoman-Soy Sauce
Hershey's-Chocolate Syrup 24 oz
Hershey's-Mini Chocolate Syrup 24 oz
Hershey's-Strawberry Syrup 22 oz"
77782GQ1-MA EAN包装（3L)+1张进口商贴纸+1张UPC条码贴纸覆盖原条码(UPC贴纸显示款号77782，条码193052089533）
客版PDQ+收藏指南跟回拉美的订单4500161302;
Remark: 77673-Filxed Collection
92121-7 Assortment. Elephant: Capybara: Mole: Bolb Fish: Kangaroo: Bunny: Panda= 10: 10: 10: 10: 10: 8: 2. Panda is the rare item.</t>
  </si>
  <si>
    <t>客户PO:021757
42/1</t>
  </si>
  <si>
    <t>4500178992-10</t>
  </si>
  <si>
    <t>日期码格式：ZURU INC(BVI) 标准格式 日期：按实际生产日期
Packaging Info: 1L UPC 收缩膜,1L PDQ;MA指南/说明书；WEEE_带电池走货 _ 说明书欧洲EN+30L-B版
Remark: 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</si>
  <si>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96915-11.10</t>
  </si>
  <si>
    <t xml:space="preserve">MEIJER DISTRIBUTION, INC.
</t>
  </si>
  <si>
    <t>4500178515-20</t>
  </si>
  <si>
    <t xml:space="preserve"> Agnes Zheng
</t>
  </si>
  <si>
    <t>ZB03141-11.28</t>
  </si>
  <si>
    <t>4500178517-20</t>
  </si>
  <si>
    <t>ZB03140-11.28</t>
  </si>
  <si>
    <t>AG250208-HK</t>
  </si>
  <si>
    <t>4500179336-10</t>
  </si>
  <si>
    <t>1张客供警语贴纸+1张客供电池警语贴纸+1张客供中文警告说明书）具体请参考HK 客供警语贴纸位
 置</t>
  </si>
  <si>
    <t>日期码格式：ZURU INC(BVI) 标准格式 日期：按实际生产日期
Packaging Info: 此单出HK, 贴纸由客户提供
77673TQ1:MA 1L 收缩膜+MA 1L PDQ+MA 5L 收藏指南+MA 说明书+1张客供警语贴纸+1张客供电池警语贴纸+1张客供中文警告说明书）具体请参考HK 客供警语贴纸位
置
Remark:</t>
  </si>
  <si>
    <t>96958-11.17</t>
  </si>
  <si>
    <t>RURAL KING</t>
  </si>
  <si>
    <t>39B5VH3A</t>
  </si>
  <si>
    <t>TBD</t>
  </si>
  <si>
    <t>手工单</t>
  </si>
  <si>
    <t>空白外箱加印ZURU Logo（四面加印）+MADE IN CHINA（只印一正一侧）+SSCC LABEL(客供贴纸），无shipping mark,日期使用ZURU 标准版本。SSCC Label显示
 的是客人自己的item#</t>
  </si>
  <si>
    <t>Date code format:ZURU INC(BVI) 标准格式                  Date：按实际生产日期MA 3L+进口商贴纸+SSCC LABEL(客供贴纸）+UPC贴纸（如果需要), Fuggler的产品入window box后再加polybag，polybag需印刷warning，polybag size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t>
  </si>
  <si>
    <t>Candy@zuru.com</t>
  </si>
  <si>
    <t>ZMPO250835</t>
  </si>
  <si>
    <t>ZMPO250867</t>
  </si>
  <si>
    <t>4500179336-20</t>
  </si>
  <si>
    <t>日期码格式：ZURU INC(BVI) 标准格式 日期：按实际生产日期
Packaging Info: 此单出HK, 贴纸由客户提供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（具体贴纸位置参考HK客供贴纸位置图）
Remark:</t>
  </si>
  <si>
    <t>0946374433</t>
  </si>
  <si>
    <t>4500179921-10</t>
  </si>
  <si>
    <t>11/17 第三方验货</t>
  </si>
  <si>
    <t>日期码格式：ZURU DGYYYYMMDD CHINA(日期避开周末和法定节假日即可） 日期：按实际生产日期
Packaging Info: 77673TQ1-S001
1.包装要求：
MA 1L B版收缩膜+MA 5L A版收藏指南+MA B版说明书+MA 1L PDQ
每pcs产品上要贴1张RFID贴纸，贴纸由ZURU提供，贴纸位置请严格按照我们签回的签板；
Remark: 77673TQ1-S001
1.包装要求：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carton出货，4pcs/PDQ/CTN
7.此单预计会安排空运</t>
  </si>
  <si>
    <t>ZB03020-11.21</t>
  </si>
  <si>
    <t>0946374458</t>
  </si>
  <si>
    <t>4500179921-20</t>
  </si>
  <si>
    <t>ZB022953-11.18</t>
  </si>
  <si>
    <t>0946374469</t>
  </si>
  <si>
    <t>4500179921-30</t>
  </si>
  <si>
    <t>ZB03037-11.22</t>
  </si>
  <si>
    <t>0946374445</t>
  </si>
  <si>
    <t>4500179921-40</t>
  </si>
  <si>
    <t>ZB02954-11.18</t>
  </si>
  <si>
    <t>0946374456</t>
  </si>
  <si>
    <t>4500179921-50</t>
  </si>
  <si>
    <t>ZB03036-11.22</t>
  </si>
  <si>
    <t>0946374474</t>
  </si>
  <si>
    <t>4500179921-60</t>
  </si>
  <si>
    <t>0946374473</t>
  </si>
  <si>
    <t>4500179921-70</t>
  </si>
  <si>
    <t>ZB03093-11.25</t>
  </si>
  <si>
    <t>777 3JAN26</t>
  </si>
  <si>
    <t>4500180232-50</t>
  </si>
  <si>
    <t>日期码格式：ZURU INC(BVI) 标准格式 日期：按实际生产日期
Packaging Info: MA 最新UPC包装，各款的条码如下，请先检查条码是否正确再安排做货，如有问题请告知,配比跟MA
5. 77673TQ1-S004：MA 最新UPC包装+WEEE带电池走货欧洲30语通用黑白说明书, UPC# 193052079404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</si>
  <si>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97006-11.24</t>
  </si>
  <si>
    <t>4500179424-10</t>
  </si>
  <si>
    <t>9/16 客人白色Cat.label</t>
  </si>
  <si>
    <t>日期码格式：ZURU INC(BVI) 标准格式 日期：按实际生产日期
Packaging Info: 77673-S001
 MA -1L UPC包装+客人白色Cat.label 1张覆盖ZURU条码， 贴纸扫描结果为7624348； MA说明书+B版WEEE带电池走货说明书
 -注意Cat.label (要求易撕类贴纸，但是粘性不能过低），同时此贴纸每个订单都是不相同的(会显示客户对应的订单号），切勿翻旧订单购买，该贴纸由工厂自行
 购买。
Remark: *MA包装最新版本安排*包装日期码按ZURU格式即可，请确保不迟于外箱日期码，可等于或者早于外箱日期码，必须为法定工作日。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t>
  </si>
  <si>
    <t>96974-11.19</t>
  </si>
  <si>
    <t>4500177588-10</t>
  </si>
  <si>
    <t>ZB03142-11.28</t>
  </si>
  <si>
    <t>4500177589-10</t>
  </si>
  <si>
    <t>ZB03123-11.27</t>
  </si>
  <si>
    <t>4500180194-10</t>
  </si>
  <si>
    <t>1张进口商贴纸</t>
  </si>
  <si>
    <t>日期码格式：ZURU INC(BVI) 标准格式 日期：按实际生产日期
Packaging Info: MA UPC包装(优先1L)+1张进口商贴纸
Remark: 77673-Filxed Collection</t>
  </si>
  <si>
    <t>96957-11.17</t>
  </si>
  <si>
    <t>4500180194-30</t>
  </si>
  <si>
    <t>4500179936-10</t>
  </si>
  <si>
    <t>日期码格式：ZURU INC(BVI) 标准格式 日期：按实际生产日期
Packaging Info: 77673： MA 最新 3L 收缩膜含EAN条码+进口商贴纸+MA 最新5L收藏指南，MA 最新23L说明书+WEEE带电池走货欧洲30语通用黑白说明书;
Remark: 1, 此货出西班牙，需满足EU测试标准要求&lt;(&gt;&amp;&lt;)&gt;微塑料需符合法规。另外请确保所有包装都有西班牙环保标。
2，出货前两周需寄2-3套大货样品，请多备料
3, 此单走空运，推期有罚款，请按时完货
4, 需要ZURU OQC 验货，出货前要客户格式的验货报告给客人确认OK后才出货</t>
  </si>
  <si>
    <t>97004-11.24</t>
  </si>
  <si>
    <t>PO# 35441</t>
  </si>
  <si>
    <t>4500177771-20</t>
  </si>
  <si>
    <t>ZB03046-11.22</t>
  </si>
  <si>
    <t>0948877815</t>
  </si>
  <si>
    <t>4500181115-10</t>
  </si>
  <si>
    <t>11/21 第三方验货</t>
  </si>
  <si>
    <t>外箱印刷带条码的RFID箱唛：RFID紫色色带+WM Dept.图标+RFID图标+ITF-14条码，四面右下角印刷ZURU logo, ITFF条码只印刷在正唛一面，在加印的时候确保
 条形码能扫描出来，外箱侧面任一角落加印："MADE IN CHINA" 字样</t>
  </si>
  <si>
    <t>ZB03143-11.28</t>
  </si>
  <si>
    <t>0948877818</t>
  </si>
  <si>
    <t>4500181115-20</t>
  </si>
  <si>
    <t>ZB03153-11.29</t>
  </si>
  <si>
    <t>0948877854</t>
  </si>
  <si>
    <t>4500181115-30</t>
  </si>
  <si>
    <t>ZB03113-11.26</t>
  </si>
  <si>
    <t>4500181255-10</t>
  </si>
  <si>
    <t>日期码格式：ZURU INC(BVI) 标准格式 日期：按实际生产日期
Packaging Info: #77673: MA UPC版包装(1L或3L都可)，出口美国。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</si>
  <si>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ZB03092-11.25</t>
  </si>
  <si>
    <t>FB13927</t>
  </si>
  <si>
    <t>4500183275-50</t>
  </si>
  <si>
    <t>, EAN条码贴纸翻单4500177765，条码请 核对
5056296049488，PQD右后要加数量贴纸，翻单4500177198</t>
  </si>
  <si>
    <t>日期码格式：ZURU INC(BVI) 标准格式 日期：按实际生产日期
Packaging Info: 
77673TQ1:MA-1L 配套包装+客户EAN 条码贴纸，另外产品内包装再加多一张ZURU带电池版本30语WEEE说明书, EAN条码贴纸翻单4500177765，条码请 核对5056296049
488，PQD右后要加数量贴纸，翻单4500177198。
其他：MA+客户EAN条码贴纸，条码贴纸待提供。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</si>
  <si>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Meyya Liu</t>
  </si>
  <si>
    <t>97137-10.3</t>
  </si>
  <si>
    <t>AG250222-HK</t>
  </si>
  <si>
    <t>4500179825-10</t>
  </si>
  <si>
    <t>张客供警语贴纸+1张客供电池警语贴纸+1张客供中文警告说明书）贴纸位置参考HK客供贴纸位置图</t>
  </si>
  <si>
    <t>日期码格式：ZURU INC(BVI) 标准格式 日期：按实际生产日期
Packaging Info: 此单出香港
77673TQ1:MA 1L 收缩膜+MA 1L PDQ+MA 5L 收藏指南+MA 说明书+1张客供警语贴纸+1张客供电池警语贴纸+1张客供中文警告说明书）贴纸位置参考HK客供贴纸位置图
Remark:</t>
  </si>
  <si>
    <t>97069-11.29</t>
  </si>
  <si>
    <t>4500178919-70</t>
  </si>
  <si>
    <t>3C中文贴纸</t>
  </si>
  <si>
    <t>日期码格式：ZURU INC(BVI) 标准格式 日期：按实际生产日期
Packaging Info:
B. 77673 MA +中文说明书+3C中文贴纸 +收藏指南 翻单： 4500174847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</si>
  <si>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97055-11.28</t>
  </si>
  <si>
    <t>77673-S003-中文单</t>
  </si>
  <si>
    <t>4500178919-80</t>
  </si>
  <si>
    <t>IMPORTADORA SUDAMERICANA &amp;</t>
  </si>
  <si>
    <t>阿根廷</t>
  </si>
  <si>
    <t>LEGAJO 4535</t>
  </si>
  <si>
    <t>4500179260-10</t>
  </si>
  <si>
    <t>进口商贴纸+箱唛</t>
  </si>
  <si>
    <t>日期码格式：ZURU INC(BVI) 标准格式 日期：按实际生产日期
Packaging Info: 77673：MA多语UPC+进口商贴纸+箱唛
电池要求：
PILA BOTON ALCALINA
Marca:ONLY
Vodelo:1.5V LR44 (3Pcs Batteries for 77673.3X1.5V=4.5V)
Manufacturer. DONGGUAN GUANTE ELECTRONICS TECHNOLOGY CO.LTD.
Remark: 请确保包装上的条形码是UPC，如果是babyUPC，需要用mother UPC覆盖，如有不一致，请及时提出。谢谢!</t>
  </si>
  <si>
    <t>4500179455-10</t>
  </si>
  <si>
    <t>97136-10.3</t>
  </si>
  <si>
    <t>CUS PO
4400510656</t>
  </si>
  <si>
    <t>4500180792-10</t>
  </si>
  <si>
    <t>WEEE声明(带电池)走货欧洲通用30L-B版说明书+Kinderherz 2025 Logo贴纸(翻单#4500166480)</t>
  </si>
  <si>
    <t>所有电子产品身上需要加字唛，为ZURU FRANCE 地址 (如无电子产品，产品布标有此地址，或产品太小无法增加可忽略此信息)，新地址ZURU FRANCE.33 rue Pa
ul Meurice 75020 Paris, France.</t>
  </si>
  <si>
    <t>日期码格式：ZURU INC(BVI) 标准格式 日期：按实际生产日期
Packaging Info: 77673TQ1: 最新MA PDQ(优先3L )+客版收缩膜B版(英法德callout/英法德意荷警语/法国环保logo-翻PO#4500173265)+23L说明书+客版收藏指南(英法德意荷)（翻#45
00155594）+WEEE声明(带电池)走货欧洲通用30L-B版说明书+Kinderherz 2025 Logo贴纸(翻单#4500166480)
EAN: 4894680042773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</si>
  <si>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97011-11.25</t>
  </si>
  <si>
    <t>5200007779 5200007784</t>
  </si>
  <si>
    <t>4500180519-30</t>
  </si>
  <si>
    <t>日期码格式：ZURU INC(BVI) 标准格式 日期：按实际生产日期
Packaging Info: 
3. 77673:最新MA3LEAN收缩膜+最新MA5L收藏指南+最新MA23L说明书+最新MA纸袋+多语警语折叠贴纸（含包装缺失的法/意/西环保标）+WEEE带电池出货的欧洲30L通
知说明书B版（贴纸翻4500162314）
Remark: 1.西班牙国家内销单，需要通过ZURU 验货结果后才能出货 (工厂需要主动提前同ZURU QC预约验货避免延期出货造成不必要麻烦)；
2.本订单所有 具有 baby items / assorted items 的款式，零售包装上都要用 母 EAN; 外包装警语/说明书都需要有西班牙语+葡萄牙语（简写"PT"或"P"）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货到西班牙被抽检出现问题,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</si>
  <si>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4500178919-10</t>
  </si>
  <si>
    <t>中文3C贴纸+77785 中文收藏指南 +芯片码</t>
  </si>
  <si>
    <t>日期码格式：ZURU INC(BVI) 标准格式 日期：按实际生产日期
Packaging Info: A.77785 ：2部分子件构成 首单：需要申请6套大货样
物料要求：UPC:193052089786 UPC部分：所有子件UPC要求统一或者覆盖
MA+77785 中文3C贴纸+77785 中文收藏指南 +芯片码
子件 A : 77673- 1个：MA+77673 中文收藏指南+77673 中文黑白说明书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</si>
  <si>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77785-S001-INT-中文单</t>
  </si>
  <si>
    <t>4500178919-60</t>
  </si>
  <si>
    <t>0946374461</t>
  </si>
  <si>
    <t>4500182101-10</t>
  </si>
  <si>
    <t>12/1 第三方验货</t>
  </si>
  <si>
    <t>0946374447</t>
  </si>
  <si>
    <t>4500182101-20</t>
  </si>
  <si>
    <t>0946374442</t>
  </si>
  <si>
    <t>4500182101-30</t>
  </si>
  <si>
    <t>0946374440</t>
  </si>
  <si>
    <t>4500182101-40</t>
  </si>
  <si>
    <t>0946374459</t>
  </si>
  <si>
    <t>4500182101-50</t>
  </si>
  <si>
    <t>0946374439</t>
  </si>
  <si>
    <t>4500182101-60</t>
  </si>
  <si>
    <t>0946374464</t>
  </si>
  <si>
    <t>4500182101-70</t>
  </si>
  <si>
    <t>PO#41770392</t>
  </si>
  <si>
    <t>4500180252-20</t>
  </si>
  <si>
    <t>日期码格式：ZURU INC(BVI) 标准格式 日期：按实际生产日期
Packaging Info: 1、包装方式：MA UPC优先1L最新版，出口美国
Remark: 2、无第三方测试&lt;(&gt;&amp;&lt;)&gt;验货要求
3、纸箱4面印ZURU LOGO + 箱唛
4、日期码请按ZURU标准版执行即可
5、ZURU OQC验货</t>
  </si>
  <si>
    <t>TOYS "R" US – JAPAN, LTD</t>
  </si>
  <si>
    <t>46:0003166542 47:0003166543</t>
  </si>
  <si>
    <t>4500180424-10</t>
  </si>
  <si>
    <t>日语警语贴纸，贴纸资料翻单#4500165405（贴纸不要遮挡日期码）</t>
  </si>
  <si>
    <t>日期码格式：ZURU INC(BVI) 标准格式 日期：按实际生产日期
Packaging Info: MA 1L UPC包装+1张日语警语贴纸（贴纸不要遮挡日期码）
Remark: 1.产品品质和内容材质以及包装版本等都需跟到上一单（4500165405）
2. 请多备几个外箱出货，避免外箱到仓库后出现破损情况。</t>
  </si>
  <si>
    <t>97010-11.25</t>
  </si>
  <si>
    <t>4500180424-20</t>
  </si>
  <si>
    <t>4500182434-20</t>
  </si>
  <si>
    <t>1张说明书纽扣电池警告语贴纸+ 1张收缩膜纽扣电池
 警告语贴纸+ 1张防盗贴纸++ 外箱SSCC Label (贴纸以及位置图翻单PO4500165405）</t>
  </si>
  <si>
    <r>
      <rPr>
        <sz val="12"/>
        <color rgb="FF010CDD"/>
        <rFont val="宋体"/>
        <charset val="134"/>
        <scheme val="minor"/>
      </rPr>
      <t xml:space="preserve">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2"/>
        <color rgb="FFFF0000"/>
        <rFont val="宋体"/>
        <charset val="134"/>
        <scheme val="minor"/>
      </rPr>
      <t>请注意此订单与NZ PO#4500182442一起合并计算</t>
    </r>
  </si>
  <si>
    <t>4500182442-20</t>
  </si>
  <si>
    <t>1张说明书纽扣电池警告语贴纸+ 1张收缩膜纽扣电池
 警告语贴纸+ 1张防盗贴纸++ 外箱SSCC Label (贴纸以及位置图翻单PO#4500160026）</t>
  </si>
  <si>
    <r>
      <rPr>
        <sz val="12"/>
        <color rgb="FF010CDD"/>
        <rFont val="宋体"/>
        <charset val="134"/>
        <scheme val="minor"/>
      </rPr>
      <t xml:space="preserve">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2"/>
        <color rgb="FFFF0000"/>
        <rFont val="宋体"/>
        <charset val="134"/>
        <scheme val="minor"/>
      </rPr>
      <t>请注意此订单与AU PO#4500182434一起合并计算</t>
    </r>
  </si>
  <si>
    <t>97139-10.4</t>
  </si>
  <si>
    <t>10001581659-0581</t>
  </si>
  <si>
    <t>4500183607-10</t>
  </si>
  <si>
    <t>新客版收缩膜</t>
  </si>
  <si>
    <t>粘贴条码箱贴纸</t>
  </si>
  <si>
    <t>日期码格式：ZURU INC(BVI) 标准格式 日期：按实际生产日期
Packaging Info: 77673TQ1 产品包装 客版收缩膜(C版)+客版收藏指南+MA说明书+ MA 1L PDQ；客版收藏指南翻单4500174008；
Remark: 77673TQ1
 1. 77673TQ1-S001-CC-MINI BRANDS-FILL THE FRIDGE PLAYSET-SERIES 1-SHRINK WRAP,4PCS/PDQ,4PCS/PDQ/CTN
 2. 产品包装 客版收缩膜(C版)+客版收藏指南+MA说明书+ MA 1L PDQ；客版收缩膜上的UPC显示193052079404；客版收藏指南翻单4500174008；
 3. 外箱正唛左上角位置粘贴条码箱贴纸，每箱只贴一张，由ZURU订购。来料贴纸上显示的客户DPCI# 086-02-3468， UPC显示10193052079401;
 以上所有item均：
 1. 产品和包装上均要印刷tracking code信息，格式为ZURU常规格式;
 2. 出货方式：货代自提</t>
  </si>
  <si>
    <t>4500176686-70</t>
  </si>
  <si>
    <t>瑞典语警告语贴纸+瑞典语纸袋警告语贴纸</t>
  </si>
  <si>
    <t>日期码格式：ZURU INC(BVI) 标准格式 日期：按实际生产日期
Packaging Info: 
77673-S004:77673-S004:MA B 3L EAN 收缩膜+瑞典语警告语贴纸+MA B 23L电池+UV胶警告语说明书+MA其他包装+瑞典语纸袋警告语贴纸+WEEE 带电B版30L 说明书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77673-S004-4894680042773</t>
  </si>
  <si>
    <t>Amazon UK:
4AEDAWET</t>
  </si>
  <si>
    <t>4500180754-10</t>
  </si>
  <si>
    <t>SSCC LABEL一张，2张贴纸(1张UPC#，参考翻单PO#4500158582；1张可折叠警语
贴含德意警告语+IT环保标，参考翻单PO#4500157858)+WEEE电子产品说明书30L(带电池走货B版)</t>
  </si>
  <si>
    <t>日期码格式：ZURU INC(BVI) 标准格式 日期：按实际生产日期
Packaging Info: Amazon UK(77673)
1. 77673: 12pcs/ctn; MA 3L(3L warning EAN#)B收缩膜+MA 23L warning B说明书+MA 5L A收藏指南+2张贴纸(1张UPC#，参考翻单PO#4500158582；1张可折叠警语
贴含德意警告语+IT环保标，参考翻单PO#4500157858)+WEEE电子产品说明书30L(带电池走货B版)；
2. 验货时间不迟于2025/12/5.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</si>
  <si>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4500178919-20</t>
  </si>
  <si>
    <t>97138-10.3</t>
  </si>
  <si>
    <t>JUGUESAL S.A. DE C.V.</t>
  </si>
  <si>
    <t>厄瓜多尔</t>
  </si>
  <si>
    <t>25-1071942JUS</t>
  </si>
  <si>
    <t>4500181141-10</t>
  </si>
  <si>
    <t>进口商贴纸+UPC贴纸+箱唛</t>
  </si>
  <si>
    <t>日期码格式：ZURU INC(BVI) 标准格式 日期：按实际生产日期
Packaging Info: 77673:MA 多语EAN包装+进口商贴纸+UPC贴纸+箱唛
Remark: 进口商贴纸内容会显示日期码为：2025-12，包装/产品/外箱可按ZURU标准日期码，不需要跟回进口商贴纸上的日期码</t>
  </si>
  <si>
    <t>97180-12.10</t>
  </si>
  <si>
    <t>AG250255-HK</t>
  </si>
  <si>
    <t>4500181824-20</t>
  </si>
  <si>
    <t>1张客供警语贴+1张客供电池警语贴纸+SSCC LABEL一张</t>
  </si>
  <si>
    <t>日期码格式：ZURU INC(BVI) 标准格式 日期：按实际生产日期
Packaging Info: 此单出HK,
77673TQ1:MA 1L 收缩膜+MA 1L PDQ+MA 5L 收藏指南+MA 说明书+1张客供警语贴纸+1张客供电池警语贴纸+1张客供中文警告说明书）具体请参考HK 客供警语贴纸位
置
（具体贴纸位置参考HK客供贴纸位置图）
Remark:</t>
  </si>
  <si>
    <t>4500181824-10</t>
  </si>
  <si>
    <t>日期码格式：ZURU INC(BVI) 标准格式 日期：按实际生产日期
Packaging Info: 此单出HK,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Remark:</t>
  </si>
  <si>
    <t>0946374471</t>
  </si>
  <si>
    <t>4500183715-10</t>
  </si>
  <si>
    <t>0946374462</t>
  </si>
  <si>
    <t>4500183715-20</t>
  </si>
  <si>
    <t>0946374437</t>
  </si>
  <si>
    <t>4500183715-30</t>
  </si>
  <si>
    <t>0946374470</t>
  </si>
  <si>
    <t>4500183715-40</t>
  </si>
  <si>
    <t>0946374460</t>
  </si>
  <si>
    <t>4500183715-50</t>
  </si>
  <si>
    <t>4500183185-10</t>
  </si>
  <si>
    <t>1张说明书纽扣电池警告语贴纸+ 1张收缩膜纽扣电池
 警告语贴纸+ 1张防盗贴纸+箱唛 + 外箱SSCC Label (贴纸以及位置图翻单PO#4500160026）</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</si>
  <si>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PO#4500183185一起合并计算</t>
  </si>
  <si>
    <t>4500183184-10</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</si>
  <si>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PO#4500183185一起合并计算</t>
  </si>
  <si>
    <t>ARMY &amp; AIR FORCE EXCHANGE SERVICE</t>
  </si>
  <si>
    <t>0092461721</t>
  </si>
  <si>
    <t>4500183696-160</t>
  </si>
  <si>
    <t>贴4x6"UCC 贴纸，只需贴一面（UCC贴纸为客供贴纸）</t>
  </si>
  <si>
    <t>日期码格式：ZURU INC(BVI) 标准格式 日期：按实际生产日期
Packaging Info: 1. MA+UPC版包裝,优先1L，出口美国
Remark: 2. PO# 0092461722, 0092461723, 0092461724, 这3个订单外箱需要贴4x6"UCC 贴纸，只需贴一面（UCC贴纸为客供贴纸）。PO# 0092461721, 0092461725，这2
个订单外箱不需要UCC贴纸。
3. ZURU QC 验货。
4. 产品和包裝上需印刷tracking code信息，格式为ZURU常规。</t>
  </si>
  <si>
    <t>0092461722</t>
  </si>
  <si>
    <t>4500183696-170</t>
  </si>
  <si>
    <t>0092461723</t>
  </si>
  <si>
    <t>4500183696-180</t>
  </si>
  <si>
    <t>0092461724</t>
  </si>
  <si>
    <t>4500183696-190</t>
  </si>
  <si>
    <t>0092461725</t>
  </si>
  <si>
    <t>4500183696-200</t>
  </si>
  <si>
    <t>4500180297-10</t>
  </si>
  <si>
    <t>一张客户进口商贴纸贴纸资料翻PO#4500179936</t>
  </si>
  <si>
    <t>日期码格式：ZURU INC(BVI) 标准格式 日期：按实际生产日期
Packaging Info: 77673： MA 最新 3L 收缩膜含EAN条码+进口商贴纸+MA 最新5L收藏指南，MA 最新23L说明书+WEEE带电池走货欧洲30语通用黑白说明书;贴纸资料翻PO#4500179936
Remark: 1, 此货出西班牙，需满足EU测试标准要求和微塑料需符合法规。另外请确保所有包装都有西班牙环保标。
2,出货前两周需寄2套大货样品，请多备料
3, 需要ZURU OQC 验货，出货前要客户格式的验货报告给客人确认OK后才出货
4.产品上面确保含有CE logo &lt;(&gt;&amp;&lt;)&gt; ZURU logo,如没有的话请提前告知</t>
  </si>
  <si>
    <t>PO#60X466847</t>
  </si>
  <si>
    <t>4500181122-10</t>
  </si>
  <si>
    <t>验货+ 抽板 （同一天进行）
预约12月11日第三方（利丰）到工厂做100%大货现场验货和抽板，验货需打印EPM出来跟客户回签样板供第三方验货参考。
 PS:EPM是跟单提供。</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</si>
  <si>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77673-S004: 签样同旧单4500169184, 但如果签样超过一年或包材有更新需重新寄样重新签。
4. 验货+ 抽板 （同一天进行）
预约12月11日第三方（利丰）到工厂做100%大货现场验货和抽板，验货需打印EPM出来跟客户回签样板供第三方验货参考。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t>
  </si>
  <si>
    <t>0946374454</t>
  </si>
  <si>
    <t>4500184386-10</t>
  </si>
  <si>
    <t>0946374451</t>
  </si>
  <si>
    <t>4500184386-20</t>
  </si>
  <si>
    <t>4500178919-30</t>
  </si>
  <si>
    <t>10001502368-3890</t>
  </si>
  <si>
    <t>4500182971-10</t>
  </si>
  <si>
    <t>粘贴条码箱贴纸，每箱只贴一张，由ZURU订购</t>
  </si>
  <si>
    <t>日期码格式：ZURU INC(BVI) 标准格式 日期：按实际生产日期
Packaging Info: 77673TQ1 产品包装 客版收缩膜(C版)+客版收藏指南+MA说明书+ MA 1L PDQ；客版收缩膜，客版收藏指南翻单4500183607；
Remark: 77673TQ1
1. 77673TQ1-S001-CC-MINI BRANDS-FILL THE FRIDGE PLAYSET-SERIES 1-SHRINK WRAP,4PCS/PDQ,4PCS/PDQ/CTN
2. 产品包装 客版收缩膜(C版)+客版收藏指南+MA说明书+ MA 1L PDQ；客版收缩膜上的UPC显示193052079404；客版收缩膜，客版收藏指南翻单 4500183607；
3. 外箱正唛左上角位置粘贴条码箱贴纸，每箱只贴一张，由ZURU订购。来料贴纸上显示的客户DPCI# 086-02-3468， UPC显示10193052079401;
1. 产品和包装上均要印刷tracking code信息，格式为ZURU常规格式;
2. 出货方式：货代自提</t>
  </si>
  <si>
    <t>10001581642-0581</t>
  </si>
  <si>
    <t>4500183690-10</t>
  </si>
  <si>
    <t>日期码格式：ZURU INC(BVI) 标准格式 日期：按实际生产日期
Packaging Info: 产品包装 客版收缩膜(C版)+客版收藏指南+MA说明书+ MA 1L PDQ；客版收藏指南翻单4500174008
Remark: 1. 77673TQ1-S001-CC-MINI BRANDS-FILL THE FRIDGE PLAYSET-SERIES 1-SHRINK WRAP,4PCS/PDQ,4PCS/PDQ/CTN
2. 产品包装 客版收缩膜(C版)+客版收藏指南+MA说明书+ MA 1L PDQ；客版收缩膜上的UPC显示193052079404；客版收藏指南翻单4500174008；
3. 外箱正唛左上角位置粘贴条码箱贴纸，每箱只贴一张，由ZURU订购。来料贴纸上显示的客户DPCI# 086-02-3468， UPC显示10193052079401;
4. 产品和包装上均要印刷tracking code信息，格式为ZURU常规格式;
5. 出货方式：货代自提</t>
  </si>
  <si>
    <t>ZMPO250997</t>
  </si>
  <si>
    <t>Remark:大货版本/大货标准箱装箱/箱唛请参照邮件附件
备注：收到样品订单后尽快安排 ，注意样板品质质量要求要高于大货品质要求 ，送货时必须要附带送货单(没有送货单和QC检验合格报告的仓库一律拒绝收货)，请知悉，谢谢！</t>
  </si>
  <si>
    <t>97076-11.29</t>
  </si>
  <si>
    <t>ZMPO251034</t>
  </si>
  <si>
    <t>ZMPO251034-10</t>
  </si>
  <si>
    <t>Remark:大货最新版本包装/大货标准箱装箱/箱唛请参照邮件附件
备注：收到样品订单后尽快安排 ，注意样板品质质量要求要高于大货品质要求 ，送货时必须要附带送货单(没有送货单和QC检验合格报告的仓库一律拒绝收货)，请知悉，谢谢！</t>
  </si>
  <si>
    <t>4500180866-100</t>
  </si>
  <si>
    <t>UPC条码贴纸+进口商贴纸.翻单PO4500167348</t>
  </si>
  <si>
    <t>日期码格式：LOTDGYYYYMMDD 日期：按实际生产日期
Packaging Info:
8. 77673：3L EAN收缩膜+ UPC条码贴纸+ MA多语说明书+MA 5L收藏指南+进口商贴纸+箱唛+保证书，3张不同进口商贴纸分别贴到产品/包装/说明书上，此款所有贴
纸和保证书翻单PO4500167348。
注意所有带电产品所用的保证书是通用的。
Remark: 1. 客版日期码要求：LOT+ZURU标准日期码格式。东莞生产的格式：LOTDGYYYYMMDD, DG是东莞拼音首字母，
YYYYMMDD是实际的年月日，例如(LOTDG20240920)
2.
77673：3PCS AG13 BATTERIES(INCLUDED)
4. 此单有第三方监柜，至少多备一套完整的物料用于监柜，请多备料。
5. WM墨西哥防霉的新要求:货物必须在出货主箱和集装箱中按要求放置干燥剂，干燥剂指定品牌干霸
77673： 需要在每箱放入4小包干燥剂，每包干燥剂重量2g
如走柜货等loading plan 确认后再通知集装箱干燥剂数量
此单会和其他工厂订单合并出4*40HC，每个HC需要放置20包干燥剂，每包干燥剂1KG</t>
  </si>
  <si>
    <t>DISTRIBUIDORA LIVERPOOL S.A DE C.V.</t>
  </si>
  <si>
    <t>62050798</t>
  </si>
  <si>
    <t>4500182578-120</t>
  </si>
  <si>
    <t>UPC贴纸+进口商贴纸+价标贴纸</t>
  </si>
  <si>
    <t>日期码格式：ZURU INC(BVI) 标准格式 日期：按实际生产日期
Packaging Info:77673:MA 多语 EAN 包装+MA 多语说明书+UPC贴纸+进口商贴纸+价标贴纸+保证书+箱唛,包装/说明书都需要贴一张进口商贴纸 （956
1/92108 消耗取消订单PO4500164920,标贴纸后续确认是否直接沿用，请不要报废PO4500164920的价标贴纸)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</si>
  <si>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ok</t>
  </si>
  <si>
    <t>AG250327-HK</t>
  </si>
  <si>
    <t>4500185736-10</t>
  </si>
  <si>
    <t>确认12/23会到贵厂提货</t>
  </si>
  <si>
    <t>1张客供警语贴纸+1张客供电池警语贴纸</t>
  </si>
  <si>
    <t>1张客供中文警告说明书）</t>
  </si>
  <si>
    <r>
      <rPr>
        <sz val="12"/>
        <color rgb="FF010CDD"/>
        <rFont val="宋体"/>
        <charset val="134"/>
        <scheme val="minor"/>
      </rPr>
      <t>日期码格式：ZURU INC(BVI) 标准格式 日期：按实际生产日期
Packaging Info: 此单出HK, 客户确认</t>
    </r>
    <r>
      <rPr>
        <sz val="12"/>
        <color rgb="FFFF0000"/>
        <rFont val="宋体"/>
        <charset val="134"/>
        <scheme val="minor"/>
      </rPr>
      <t>12/17</t>
    </r>
    <r>
      <rPr>
        <sz val="12"/>
        <color rgb="FF010CDD"/>
        <rFont val="宋体"/>
        <charset val="134"/>
        <scheme val="minor"/>
      </rPr>
      <t>会到贵厂提货，请务必按期完货。
77673TQ1:MA 1L 收缩膜+MA 1L PDQ+MA 5L 收藏指南+MA 说明书+1张客供警语贴纸+1张客供电池警语贴纸+1张客供中文警告说明书）具体请参考HK 客供警语贴纸位
置
Remark:</t>
    </r>
  </si>
  <si>
    <t>4500185736-20</t>
  </si>
  <si>
    <r>
      <rPr>
        <sz val="12"/>
        <color rgb="FF010CDD"/>
        <rFont val="宋体"/>
        <charset val="134"/>
        <scheme val="minor"/>
      </rPr>
      <t>日期码格式：ZURU INC(BVI) 标准格式 日期：按实际生产日期
Packaging Info: 此单出HK, 客户确认</t>
    </r>
    <r>
      <rPr>
        <sz val="12"/>
        <color rgb="FFFF0000"/>
        <rFont val="宋体"/>
        <charset val="134"/>
        <scheme val="minor"/>
      </rPr>
      <t>12/17</t>
    </r>
    <r>
      <rPr>
        <sz val="12"/>
        <color rgb="FF010CDD"/>
        <rFont val="宋体"/>
        <charset val="134"/>
        <scheme val="minor"/>
      </rPr>
      <t>会到贵厂提货，请务必按期完货。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（77785里的77711 （INT): MA 3L 收缩膜+1张空白贴纸覆盖条码+MA 收藏指南+ MA 说明书+球底部贴1张客供警语贴纸，收藏指南贴一张客供警语贴纸，说明书贴一
张客供警语贴纸）
Remark:</t>
    </r>
  </si>
  <si>
    <t>4500182619-20</t>
  </si>
  <si>
    <t>日期码格式：ZURU INC(BVI) 标准格式 日期：按实际生产日期
Packaging Info: 
"77673TQ1: 最新MA 3L EAN配套包装+WEEE声明(带电池)走货欧洲通用30L-B版说明书
EAN: 4894680042773"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</si>
  <si>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77673TQ1-S003-3L</t>
  </si>
  <si>
    <t>FB13916</t>
  </si>
  <si>
    <t>4500183596-50</t>
  </si>
  <si>
    <t>日期码格式：ZURU INC(BVI) 标准格式 日期：按实际生产日期
Packaging Info:
 77673TQ1 77673TQ1:MA-1L 配套包装+客户EAN 条码贴纸，另外产品内包装再加多一张ZURU带电池版本30语WEEE说明书, EAN条码贴纸翻单4500177765，条码请 核对
5056296049488，PQD右后要加数量贴纸，翻单4500177198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</si>
  <si>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4500184103-10</t>
  </si>
  <si>
    <t>1张说明书纽扣电池警告语贴纸</t>
  </si>
  <si>
    <r>
      <rPr>
        <sz val="12"/>
        <color rgb="FF010CDD"/>
        <rFont val="宋体"/>
        <charset val="134"/>
        <scheme val="minor"/>
      </rPr>
      <t xml:space="preserve">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2"/>
        <color rgb="FFFF0000"/>
        <rFont val="宋体"/>
        <charset val="134"/>
        <scheme val="minor"/>
      </rPr>
      <t>请注意此订单与NZ PO#4500184105一起合并计算</t>
    </r>
  </si>
  <si>
    <t>4500184105-10</t>
  </si>
  <si>
    <r>
      <rPr>
        <sz val="12"/>
        <color rgb="FF010CDD"/>
        <rFont val="宋体"/>
        <charset val="134"/>
        <scheme val="minor"/>
      </rPr>
      <t xml:space="preserve">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2"/>
        <color rgb="FFFF0000"/>
        <rFont val="宋体"/>
        <charset val="134"/>
        <scheme val="minor"/>
      </rPr>
      <t>请注意此订单与AU PO#4500184103一起合并计算</t>
    </r>
  </si>
  <si>
    <t>BINGO GLOBAL GROUP FOR TRADING SUPP</t>
  </si>
  <si>
    <t>埃及</t>
  </si>
  <si>
    <t>4500178856-20</t>
  </si>
  <si>
    <t>EAN收缩膜+进口商贴纸</t>
  </si>
  <si>
    <t>日期码格式：ZURU INC(BVI) 标准格式 日期：按实际生产日期
Packaging Info:
77673：包装MA EAN收缩膜+进口商贴纸，收缩膜EAN条码显示4894680042773，产品年龄8+；
客人箱唛排版，印4面，条码内容4894680042773;
需要增加一张WEEE声明（带电池走货版本的通用30L说明书）
Remark:</t>
  </si>
  <si>
    <t>Nora Pan</t>
  </si>
  <si>
    <t>0946374475</t>
  </si>
  <si>
    <t>4500184389-10</t>
  </si>
  <si>
    <t>0946374457</t>
  </si>
  <si>
    <t>4500184389-20</t>
  </si>
  <si>
    <t>0946374452</t>
  </si>
  <si>
    <t>4500184389-30</t>
  </si>
  <si>
    <t>0946374446</t>
  </si>
  <si>
    <t>4500184389-40</t>
  </si>
  <si>
    <t>0946374448</t>
  </si>
  <si>
    <t>4500184389-50</t>
  </si>
  <si>
    <t>0946374434</t>
  </si>
  <si>
    <t>4500184389-60</t>
  </si>
  <si>
    <t>0946374476</t>
  </si>
  <si>
    <t>4500184389-70</t>
  </si>
  <si>
    <t>4500178919-40</t>
  </si>
  <si>
    <t>LOBBES SPEELGOED BV</t>
  </si>
  <si>
    <t>4500182863-30</t>
  </si>
  <si>
    <t xml:space="preserve"> MA UV胶贴纸</t>
  </si>
  <si>
    <t>日期码格式：ZURU INC(BVI) 标准格式 日期：按实际生产日期
Packaging Info:
77673：客版EN FR DE IT NL 5L收缩膜（翻单4500155594），客版EN FR DE IT NL 5L收藏指南（翻单4500155594），MA B版23L电池+UV胶警告语说明书，WEE B版带
电池走货30L说明书， MA UV胶贴纸，MA 纸袋
Remark: 1. STD 配比
2. 须符合欧洲微塑料法规</t>
  </si>
  <si>
    <t>Max kong</t>
  </si>
  <si>
    <t>77673-S001-2</t>
  </si>
  <si>
    <t>RED APPLE STORES INC.</t>
  </si>
  <si>
    <t>2916318-00 2916318-00</t>
  </si>
  <si>
    <t>4500183410-50</t>
  </si>
  <si>
    <t>UPC贴纸193052079404</t>
  </si>
  <si>
    <t>日期码格式： 标准格式 日期：按实际生产日期
Packaging Info: 
77673 MA 多语 EAN版本+UPC贴纸193052079404
Remark: 出加拿大
日期跟踪码：产品外包装及产品本身都必须有日期跟踪码，并且确保两者的日期跟踪码要一致；ZURU标准格式日期码(请自行调整具体年月日生产期，但不能为周末
）</t>
  </si>
  <si>
    <t>Amazon UK:
3UVOGHID</t>
  </si>
  <si>
    <t>4500183904-30</t>
  </si>
  <si>
    <t>2张贴纸(1张UPC#，参考翻单PO#4500158582；1张可折叠警语
贴含德意警告语+IT环保标，参考翻单PO#4500157858)</t>
  </si>
  <si>
    <t>日期码格式：ZURU INC(BVI) 标准格式 日期：按实际生产日期
Packaging Info: Amazon UK(77673)/DE(77555/92104H)
1. 77673：12pcs/ctn; MA 3L(3L warning EAN#)B收缩膜+MA 23L warning B说明书+MA 5L A收藏指南+2张贴纸(1张UPC#，参考翻单PO#4500158582；1张可折叠警语
贴含德意警告语+IT环保标，参考翻单PO#4500157858)+WEEE电子产品说明书30L(带电池走货B版);
4. 最迟验货不得晚于2025/12/19;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</si>
  <si>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OUTLET DRIFT AS</t>
  </si>
  <si>
    <t>4500182014-30</t>
  </si>
  <si>
    <t>警语贴纸（翻单4500162375）</t>
  </si>
  <si>
    <t>日期码格式：ZURU INC(BVI) 标准格式 日期：按实际生产日期
Packaging Info: 
 77673: MA EAN 3L + 警语贴纸（翻单4500162375）+WEEE 带电池 30L B 说明书
Remark: 1/配比:
 2/产品和包装要求无硼无香，包装不能含有PVC
3/如有微塑料，必须合规欧洲标准，并增加微塑料合规IFUD声明在说明书上
4/带电池出货的产品，所用到的电池需要符合欧洲电池新规(EU)2023-1542，并增加对应WEEE 说明书</t>
  </si>
  <si>
    <t>4500181257-10</t>
  </si>
  <si>
    <t>4500184164-10</t>
  </si>
  <si>
    <t>产品UPC 贴纸（ 贴胶袋正中间 不能覆盖胶袋上的警告语）+ 客供外箱贴纸</t>
  </si>
  <si>
    <t>日期码格式：ZURU INC(BVI) 标准格式 日期：按实际生产日期
Packaging Info: 1. 此为Kohl's ECOM 订单：
77673-S007 MA UPC 包装(首选1L)+胶袋 + 产品UPC 贴纸（ 贴胶袋正中间 不能覆盖胶袋上的警告语）+ 客供外箱贴纸。UPC 条码和产品上的条码一致。(胶袋，UPC
贴翻4500169101)
Remark:
2. 胶袋要求： 需要开孔，封口热封 （尺寸太大无法热封可用胶封，但运输过程不可散开），印警告语， 跟单提供警告语内容，胶袋尺寸和开孔数量请工厂按实
际产品尺寸来调整做货.
3. 外箱印刷 ZURU LOGO + MADE IN CHINA + 定位框，尺寸4"x6" (用于黏贴外箱贴）
4. 无箱唛但需提供每款实际外箱尺寸排版确认定位框，digital 订单的定位框位置要在：箱子的最大面积朝上后，定位框在最小面的右下角，距离箱子右边3英寸
，距离底部1.25英寸，贴纸要按定位框贴，位置与方向贴不对会有客户罚款需由工厂承担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5. 外箱毛重超过35LB 外箱四面需要加黄标贴
6. 收到外箱贴纸需要扫描上传ICE系统（出货前必须完成），上传的条码信息必须跟实际出货一致，贴纸备品不需要扫描。如有不同产生的罚款由工厂承担。
7. 产品入箱后，外箱的每个面都需要是平整，不能有鼓起
8. 需经ZURU验货通过后才可出货。
9. 客户有严格要求，若由工厂导致的罚款ZURU 都会向工厂收回。</t>
  </si>
  <si>
    <t>4500181556-30</t>
  </si>
  <si>
    <t>UPC 条码贴纸+进口商贴纸</t>
  </si>
  <si>
    <t>日期码格式：ZURU INC(BVI) 标准格式 日期：按实际生产日期
Packaging Info: 
3. 77673：MA 3L EAN PKG+UPC 条码贴纸+MA 3L PDQ+MA 收藏指南+进口商贴纸+箱唛+保证书
Remark: 1. 此单有监柜，每款请多备1pc样板用于监装
3. 77673：3PCS AG13 BATTERIES(INCLUDED)</t>
  </si>
  <si>
    <t>WALMART CENTRAL AMERICA-HN</t>
  </si>
  <si>
    <t>4500184422-120</t>
  </si>
  <si>
    <t>UPC贴纸+进口商贴纸+，贴纸翻单PO4500161302</t>
  </si>
  <si>
    <t>日期码格式：ZURU INC(BVI) 标准格式 日期：按实际生产日期
Packaging Info: 
11. 77673：MA 3L EAN包装+UPC贴纸+进口商贴纸+箱唛，贴纸翻单PO4500161302
Remark: 1.请注意产品包装条形码必须是UPC
2.无第三方验货</t>
  </si>
  <si>
    <t>4500184776-10</t>
  </si>
  <si>
    <r>
      <rPr>
        <sz val="12"/>
        <color rgb="FF010CDD"/>
        <rFont val="宋体"/>
        <charset val="134"/>
        <scheme val="minor"/>
      </rPr>
      <t>日期码格式：ZURU INC(BVI) 标准格式 日期：按实际生产日期
Packaging Info: 77673-S001: MA英语UPC版本包装（收缩膜和说明书, MA首选1L，如无1L可用多语且含英语的配套多语包装)</t>
    </r>
    <r>
      <rPr>
        <sz val="12"/>
        <color rgb="FFFF0000"/>
        <rFont val="宋体"/>
        <charset val="134"/>
        <scheme val="minor"/>
      </rPr>
      <t xml:space="preserve"> + 1张小的警语贴纸贴在收缩膜正面+2张大的纽扣电池
警语贴纸贴在收缩膜背面和说明书上+ 1张防盗贴纸+箱唛 + 外箱SSCC Label (贴纸以及位置图翻单PO#4500160026）</t>
    </r>
    <r>
      <rPr>
        <sz val="12"/>
        <color rgb="FF010CDD"/>
        <rFont val="宋体"/>
        <charset val="134"/>
        <scheme val="minor"/>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2"/>
        <color rgb="FFFF0000"/>
        <rFont val="宋体"/>
        <charset val="134"/>
        <scheme val="minor"/>
      </rPr>
      <t>请注意此订单与NZ PO#4500184779一起合并计算</t>
    </r>
  </si>
  <si>
    <t>4500184779-10</t>
  </si>
  <si>
    <r>
      <rPr>
        <sz val="12"/>
        <color rgb="FF010CDD"/>
        <rFont val="宋体"/>
        <charset val="134"/>
        <scheme val="minor"/>
      </rPr>
      <t xml:space="preserve">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2"/>
        <color rgb="FFFF0000"/>
        <rFont val="宋体"/>
        <charset val="134"/>
        <scheme val="minor"/>
      </rPr>
      <t>请注意此订单与AU PO#4500184776一起合并计算</t>
    </r>
  </si>
  <si>
    <t>WALMART CENTRAL AMERICA-CR</t>
  </si>
  <si>
    <t>4500184316-120</t>
  </si>
  <si>
    <t>UPC贴纸+进口商贴纸，贴纸翻单PO45001613</t>
  </si>
  <si>
    <t>日期码格式：ZURU INC(BVI) 标准格式 日期：按实际生产日期
Packaging Info:
11. 77673：MA 3L EAN包装+UPC贴纸+进口商贴纸+箱唛，贴纸翻单PO4500161302
Remark: 1.请注意产品包装条形码必须是UPC
2.无第三方验货</t>
  </si>
  <si>
    <t>WALMART CENTRAL AMERICA-GT</t>
  </si>
  <si>
    <t>4500184355-120</t>
  </si>
  <si>
    <t>FB13917</t>
  </si>
  <si>
    <t>4500183596-110</t>
  </si>
  <si>
    <t>4500180758-220</t>
  </si>
  <si>
    <t>彩色贴纸+进口商贴纸（贴纸翻单4500162345）；</t>
  </si>
  <si>
    <r>
      <rPr>
        <sz val="12"/>
        <rFont val="宋体"/>
        <charset val="134"/>
        <scheme val="minor"/>
      </rPr>
      <t>日期码格式：ZURU INC(BVI) 标准格式 日期：按实际生产日期
Packaging Info: 77673TQ1：MA PDQ+彩色贴纸+进口商贴纸</t>
    </r>
    <r>
      <rPr>
        <sz val="12"/>
        <color rgb="FFFF0000"/>
        <rFont val="宋体"/>
        <charset val="134"/>
        <scheme val="minor"/>
      </rPr>
      <t>（贴纸翻单4500162345）；收缩膜+进口商贴纸(含G Mark, QR code, 阿拉伯警语) （贴纸翻单4500162345）；贴纸上的QR
code需微信可扫，扫描结果另外通知; MA收藏指南+彩色贴纸（贴纸翻单4500162345）； MA说明书+一张客制黑白说明书纸（书纸翻单4500162345）；</t>
    </r>
    <r>
      <rPr>
        <sz val="12"/>
        <rFont val="宋体"/>
        <charset val="134"/>
        <scheme val="minor"/>
      </rPr>
      <t xml:space="preserve">
客人箱唛排版，印4面，条码内容：193052079404
Remark:</t>
    </r>
  </si>
  <si>
    <t>4500180717-200</t>
  </si>
  <si>
    <t>彩色贴纸+进口商贴纸</t>
  </si>
  <si>
    <r>
      <rPr>
        <sz val="12"/>
        <rFont val="宋体"/>
        <charset val="134"/>
        <scheme val="minor"/>
      </rPr>
      <t>日期码格式：ZURU INC(BVI) 标准格式 日期：按实际生产日期
Packaging Info: 
77673TQ1：MA PDQ+彩色贴纸+进口商贴纸</t>
    </r>
    <r>
      <rPr>
        <sz val="12"/>
        <color rgb="FFFF0000"/>
        <rFont val="宋体"/>
        <charset val="134"/>
        <scheme val="minor"/>
      </rPr>
      <t>（贴纸翻单4500162345）；收缩膜+进口商贴纸(含G Mark, QR code, 阿拉伯警语) （贴纸翻单4500162345）；贴纸上的QR
code需微信可扫，扫描结果另外通知; MA收藏指南+彩色贴纸（贴纸翻单4500162345）； MA说明书+一张客制黑白说明书纸（书纸翻单4500162345）；</t>
    </r>
    <r>
      <rPr>
        <sz val="12"/>
        <rFont val="宋体"/>
        <charset val="134"/>
        <scheme val="minor"/>
      </rPr>
      <t xml:space="preserve">
客人箱唛排版，印4面，条码内容：193052079404
Remark:</t>
    </r>
  </si>
  <si>
    <t>QAT</t>
  </si>
  <si>
    <t>4500180735-70</t>
  </si>
  <si>
    <r>
      <rPr>
        <sz val="11"/>
        <rFont val="宋体"/>
        <charset val="134"/>
        <scheme val="minor"/>
      </rPr>
      <t>日期码格式：ZURU INC(BVI) 标准格式 日期：按实际生产日期
Packaging Info: 
77673TQ1：MA PDQ+彩色贴纸+进口商贴纸</t>
    </r>
    <r>
      <rPr>
        <sz val="11"/>
        <color rgb="FFFF0000"/>
        <rFont val="宋体"/>
        <charset val="134"/>
        <scheme val="minor"/>
      </rPr>
      <t>（贴纸翻单4500162345）；收缩膜+进口商贴纸(含G Mark, QR code, 阿拉伯警语) （贴纸翻单4500162345）；贴纸上的QR
code需微信可扫，扫描结果另外通知; MA收藏指南+彩色贴纸（贴纸翻单4500162345）； MA说明书+一张客制黑白说明书纸（书纸翻单4500162345）；</t>
    </r>
    <r>
      <rPr>
        <sz val="11"/>
        <rFont val="宋体"/>
        <charset val="134"/>
        <scheme val="minor"/>
      </rPr>
      <t xml:space="preserve">
客人箱唛排版，印4面，条码内容：193052079404
Qatar的订单需要寄样品给客户进行slime测试（产品含slime的每个item分别准备完整的4套样品）（此单#92125/92129TQ1/9283/92104TQ1/9298TQ1/92119需要寄样
）
Remark:</t>
    </r>
  </si>
  <si>
    <t>TOYNOVA GMBH</t>
  </si>
  <si>
    <t>BEZUR05</t>
  </si>
  <si>
    <t>4500181926-10</t>
  </si>
  <si>
    <t>客户款号EAN条码贴纸+Kinderherz 2025 Logo贴纸（翻单：4500166480）+德语警告语贴纸（ 翻单：4500161168）</t>
  </si>
  <si>
    <t>日期码格式：ZURU INC(BVI) 标准格式 日期：按实际生产日期
Packaging Info: 77673:：MA 收缩膜3L-A版本+客户款号EAN条码贴纸+Kinderherz 2025 Logo贴纸（翻单：4500166480）+德语警告语贴纸（ 翻单：4500161168） +MA电池+UV胶警告
语23L说明书+MA纸袋+MA收藏指南5L-A版本+WEEE 带电池走货 通用30L 说明书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QC验货,验货ok才能出货
5. 需准时完成生产，推期出货会有罚款。"</t>
  </si>
  <si>
    <t>Winnie Zhong</t>
  </si>
  <si>
    <t xml:space="preserve"> ARGOS LIMITED</t>
  </si>
  <si>
    <t>4500183436-10</t>
  </si>
  <si>
    <t>客人白色Cat.label 1张覆盖ZURU条码</t>
  </si>
  <si>
    <t>日期码格式：ZURU INC(BVI) 标准格式 日期：按实际生产日期
Packaging Info: MA -1L UPC包装+客人白色Cat.label 1张覆盖ZURU条码+B版通用30L WEEE带电池走货说明书
 -注意Cat.label (要求易撕类贴纸，但是粘性不能过低），同时此贴纸每个订单都是不相同的(会显示客户对应的订单号），切勿翻旧订单购买，该贴纸由工厂自行
 购买。
Remark: *MA包装最新版本安排*包装日期码按ZURU格式即可，请确保不迟于外箱日期码，可等于或者早于外箱日期码，必须为法定工作日。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t>
  </si>
  <si>
    <t>4500184162-10</t>
  </si>
  <si>
    <t>价格贴纸 （不能覆盖mad in China 字样）+ 客供外箱贴纸
 77673 &lt;(&gt;&amp;&lt;)&gt; 77711 价格贴纸和位置图翻#450016908</t>
  </si>
  <si>
    <t>日期码格式：ZURU INC(BVI) 标准格式 日期：按实际生产日期
Packaging Info: 1. 此为Kohl's store 订单, MA UPC包装(首选1L) + 价格贴纸 （不能覆盖mad in China 字样）+ 客供外箱贴纸
77673 价格贴纸和位置图翻#4500169087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
英寸，距离底部1.25英寸, 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 外箱四面需要加黄标贴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</si>
  <si>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t>ROFU KINDERLAND SPIELWARENHANDELSGE</t>
  </si>
  <si>
    <t>4500181932-10</t>
  </si>
  <si>
    <t>*客供价格贴纸+Kinderherz 2025 Logo贴纸（翻单：4500166480）+德语警告语贴纸（ 翻单：4500161168）</t>
  </si>
  <si>
    <t>日期码格式：ZURU INC(BVI) 标准格式 日期：按实际生产日期
Packaging Info: 77673：MA B版3L EAN 收缩膜+1*客供价格贴纸+Kinderherz 2025 Logo贴纸（翻单：4500166480）+德语警告语贴纸（ 翻单：4500161168） +MA电池+UV胶警告语23L
说明书+MA纸袋+MA收藏指南5L-A版本+WEEE 带电池走货 通用30L 说明书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B版通用30L 说明书)和不带电池版本(WEEE 不带电池走货 B版通用
30L 说明书)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</si>
  <si>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ZURU DENMARK APS</t>
  </si>
  <si>
    <t>4500183178-10</t>
  </si>
  <si>
    <t>日期码格式：ZURU INC(BVI) 标准格式 日期：按实际生产日期
Packaging Info: 77673TQ1：最新版 MA 3L EAN 收缩膜 + 1*多语折叠警告语贴纸+MA5L收藏指南+ MA 23L说明书+ MA UV胶黑白警告语+MA纸袋 + 1*B版 WEEE通用带电池走货说明书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10.所有电子产品身上需要加字唛，为ZURU FRANCE 地址 (如无电子产品，或者产品布标有此地址，可忽略此信息)
ZURU FRANCE 33 rue Paul Meurice 75020 Paris, France.；</t>
  </si>
  <si>
    <t>4500184791-20</t>
  </si>
  <si>
    <t>外箱贴纸+保证书+进口商贴纸+UPC贴纸</t>
  </si>
  <si>
    <t>日期码格式：ZURU INC(BVI) 标准格式 日期：按实际生产日期
Packaging Info: 
77673:MA 多语包装+MA 多语说明书+外箱贴纸+保证书+进口商贴纸+UPC贴纸，产品/包装/说明书都要贴1张进口商贴纸
Remark: 此单有第三方监柜，需要每款多备1套完整物料</t>
  </si>
  <si>
    <t>客户PO;021893
11/1</t>
  </si>
  <si>
    <t>4500179611-20</t>
  </si>
  <si>
    <t>日期码格式：ZURU INC(BVI) 标准格式 日期：按实际生产日期
Packaging Info: 
77673tq1:MA 1L UPC版本；带电池出货加：WEEE_带电池走货 _ 说明书欧洲EN+30L-B版
Remark: *订单出英国，请注意检查产品及包装应带UKCA图标，包装显示ZURU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</si>
  <si>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客户PO:021893
12/1</t>
  </si>
  <si>
    <t>4500179611-40</t>
  </si>
  <si>
    <t>4500185573-20</t>
  </si>
  <si>
    <t>日期码格式：ZURU INC(BVI) 标准格式 日期：按实际生产日期
Packaging Info: 1.MA UPC(优先1L) package+SNI label;
SNI label无需贴在产品上,但是需采购贴纸;届时跟大货一起出货,请在外箱备注好"SNI LABEL"
以防万一,请备多2%的贴纸给客人,贴纸文档见邮件;
2.此单是交SZ 普通仓库跟客人其他货一起拼柜,无散货进仓费,是按照整柜的本地费收费标准;
PO先开出厂价, 发发票前请同我确认价格类型
3.可能会需样板做测试, 也有可能有第三方验货,请等我们进一步通知;
Remark:
77673TQ1-Filxed Collection</t>
  </si>
  <si>
    <t>4500178919-50</t>
  </si>
  <si>
    <t>4500178919-120</t>
  </si>
  <si>
    <t>4500178919-130</t>
  </si>
  <si>
    <t>PL HANDELSGESELLSCHAFT MBH</t>
  </si>
  <si>
    <t>奥地利</t>
  </si>
  <si>
    <t>PL 301909-01-26 EVD+EAS</t>
  </si>
  <si>
    <t>4500182689-50</t>
  </si>
  <si>
    <t>客供价格贴纸+Kinderherz 2025 Logo贴纸（翻单：4500166480）+德语警告语贴纸（ 翻单：4500161168）</t>
  </si>
  <si>
    <t>日期码格式：ZURU INC(BVI) 标准格式 日期：按实际生产日期
Packaging Info:
"77673：MA B版3L EAN 收缩膜+Kinderherz 2025 Logo贴纸（翻单：4500166480）+德语警告语贴纸（ 翻单：4500161168） +MA电池+UV胶警告语23L说明书+MA纸袋+
MA收藏指南5L-A版本+WEEE 带电池走货 通用 B版 30L 说明书"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B版通用30L 说明书)和不带电池版本(WEEE 不带电池走货 B版通用
30L 说明书)
4. 此单需要在CRD前一天预约ZURU QC验货提供验货图片给客户确认才能出货
5. 需准时完成生产，推期出货会有罚款。"</t>
  </si>
  <si>
    <t>Winnie zhong</t>
  </si>
  <si>
    <t>4500186484-10</t>
  </si>
  <si>
    <t>MEC305-P-S002-INT</t>
  </si>
  <si>
    <t>空展示架+Demo</t>
  </si>
  <si>
    <t>客户贴纸</t>
  </si>
  <si>
    <t>日期码格式：ZURU INC(BVI) 标准格式 日期：按实际生产日期
Packaging Info: MA 包装+客户贴纸+箱唛，打平包出
MEC345 需要用通用头卡，消耗PO4500175893的客版MA
Remark:</t>
  </si>
  <si>
    <t>WONDERLAND TOYS, INC.</t>
  </si>
  <si>
    <t>4500183330-20</t>
  </si>
  <si>
    <t>日期码格式：ZURU INC(BVI) 标准格式 日期：按实际生产日期
Packaging Info: 1. 出口美国，MA UPC 版本包装，优先1L。
#77673: 3PCS AG13 BATTERIES(INCLUDED)
Remark: 2. Zuru QC 验货即可</t>
  </si>
  <si>
    <t>Abby Mai</t>
  </si>
  <si>
    <t>CORPORACION FAVORITA C.A.</t>
  </si>
  <si>
    <t>25-1071591JEC</t>
  </si>
  <si>
    <t>4500179359-20</t>
  </si>
  <si>
    <t>日期码格式：ZURU INC(BVI) 标准格式 日期：按实际生产日期
Packaging Info: MA 多语EAN包装+进口商贴纸+UPC贴纸+箱唛
Remark: 进口商贴纸内容会显示日期码为：2025-12，包装/产品/外箱可按ZURU标准日期码，不需要跟回进口商贴纸上的日期码</t>
  </si>
  <si>
    <t>BJ'S WHOLESALE CLUB, INC.</t>
  </si>
  <si>
    <t>4500182502-10</t>
  </si>
  <si>
    <t>77785TQ1-S001-77673-NA</t>
  </si>
  <si>
    <t>日期码格式：ZURU INC(BVI) 标准格式 日期：按实际生产日期
Packaging Info: 客版1L UPC版本包装+客版PDQ，彩盒AW有更新。
此款是组合装，2PK 77711-NA(capsules) + 1PK 77673 combo in color box。
请注意一个彩盒中的两个球不允许重复，且一个彩盒不能拆出2个即以上的重复散件。
Remark: 1. 此单大概12月5日需寄6套左右大货样+干油办0.5g/color（如有）给UL实验室做测试，具体的后面邮件会再通知。另外，还需要再备多4套左右的大货样板到时候
寄给客户。
2. 此单需一个45HQ装完，但需超过客户要求的最少立方数，45HQ最少要70CBM。箱唛上体积数和实际要相符，如体积数和PO上有不一致，客人会有罚款。
3. 产品和包装上的日期按照ZURU标准格式。
4.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</si>
  <si>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Emily Wu</t>
  </si>
  <si>
    <t>77785TQ1-S001-NA</t>
  </si>
  <si>
    <t>ZMPO251087</t>
  </si>
  <si>
    <t>ZMPO251087-10</t>
  </si>
  <si>
    <t>4500185851-20</t>
  </si>
  <si>
    <t>日期码格式：ZURU INC(BVI) 标准格式 日期：按实际生产日期
Packaging Info: 1.
77673:MA -1L UPC包装+客人白色Cat.label 1张覆盖ZURU条码+B版WEEE带电池走货说明书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77673条码扫描结果应为7624348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</si>
  <si>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4500185865-10</t>
  </si>
  <si>
    <t>1张说明书纽扣电池警告语贴纸+ 1张收缩膜纽扣电池
 警告语贴纸+ 1张防盗贴纸+箱唛 + 外箱SSCC Label (贴纸以及位置图翻单PO#4500160026</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</si>
  <si>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PO#4500185863一起合并计算</t>
  </si>
  <si>
    <t>4500185863-10</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</si>
  <si>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PO#4500185865一起合并计算</t>
  </si>
  <si>
    <t>ZU25092601SG</t>
  </si>
  <si>
    <t>4500184690-20</t>
  </si>
  <si>
    <t>进口商贴纸,整单的贴纸图稿和位置图翻
 4500163177</t>
  </si>
  <si>
    <t xml:space="preserve">日期码格式：ZURU INC(BVI) 标准格式 日期：按实际生产日期
Packaging Info: MA UPC包装(优先1L)+进口商贴纸,整单的贴纸图稿和位置图翻
77673-4500163177
Remark: </t>
  </si>
  <si>
    <t>NAVY EXCHANGE SERVICE COMMAND</t>
  </si>
  <si>
    <t>PO#0037751207</t>
  </si>
  <si>
    <t>4500182775-10</t>
  </si>
  <si>
    <t>角处贴上Packing Slip（跟单提供资料；工厂用A4纸打印</t>
  </si>
  <si>
    <t>日期码格式：ZURU INC(BVI) 标准格式 日期：按实际生产日期
Packaging Info: 1.包材：ZURU MA UPC 最新版本；出口美国
Remark: 2. 日期跟踪码：产品外包装及产品本身都必须有日期跟踪码；ZURU标准格式日期码 (请自行调整具体年月日生产期，但不能为周末）
3. 外箱贴纸：
外箱除了需要印刷箱唛外，还需额外加贴Packing Slip一张
Packing Slip: 每款产品第一箱的外箱都需在1面正唛右上角处贴上Packing Slip（跟单提供资料；工厂用A4纸打印）,见箱唛资料详细内容。
4. 出货配比：ZURU 标版配比</t>
  </si>
  <si>
    <t>0948877810</t>
  </si>
  <si>
    <t>4500181327-10</t>
  </si>
  <si>
    <t>.</t>
  </si>
  <si>
    <t>0948877812</t>
  </si>
  <si>
    <t>4500181327-20</t>
  </si>
  <si>
    <t>0948877861</t>
  </si>
  <si>
    <t>4500181327-30</t>
  </si>
  <si>
    <t>Amazon UK:
4RHMF6XI</t>
  </si>
  <si>
    <t>4500184581-10</t>
  </si>
  <si>
    <t>1/9 交仓</t>
  </si>
  <si>
    <t>日期码格式：ZURU INC(BVI) 标准格式 日期：按实际生产日期
Packaging Info: Amazon UK(77673)
1. 77673：12pcs/ctn; MA 3L(3L warning EAN#)B收缩膜+MA 23L warning B说明书+MA 5L A收藏指南+2张贴纸(1张UPC#，参考翻单PO#4500158582；1张可折叠警语
贴含德意警告语+IT环保标，参考翻单PO#4500157858)+WEEE电子产品说明书30L(带电池走货B版);
2. 最迟验货不得晚于2025/12/31;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</si>
  <si>
    <t>SUCKOT SAC</t>
  </si>
  <si>
    <t>秘鲁</t>
  </si>
  <si>
    <t>4500183983-30</t>
  </si>
  <si>
    <t>日期码格式：ZURU INC(BVI) 标准格式 日期：按实际生产日期
Packaging Info:77673:MA 多语 EAN包装+进口商贴纸+UPC贴纸+箱唛
Remark:</t>
  </si>
  <si>
    <t>4500184256-30</t>
  </si>
  <si>
    <t>一张进口商贴纸</t>
  </si>
  <si>
    <t>日期码格式：ZURU INC(BVI) 标准格式 日期：按实际生产日期
Packaging Info:
3.77673：最新【MA 3L 收缩膜含EAN条码+进口商贴纸】+MA 最新5L收藏指南，MA 最新23L说明书（产品包装和PDQ都需要贴纸）+WEEE带电池走货欧洲30语通用黑白
说明书;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</si>
  <si>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0948877862</t>
  </si>
  <si>
    <t>4500181327-40</t>
  </si>
  <si>
    <t>4500184204-30</t>
  </si>
  <si>
    <t>一张进口商贴纸+一张PDQ贴纸含EAN条码】</t>
  </si>
  <si>
    <t>日期码格式：ZURU INC(BVI) 标准格式 日期：按实际生产日期
Packaging Info: 
3.77673：最新【MA 3L 收缩膜含EAN条码+一张进口商贴纸】+MA 最新5L收藏指南+MA 最新23L说明书+WEEE带电池走货欧洲30L通用黑白说明书;
注意： 有关PDQ的贴纸位置图，客户要求我们贴在PDQ的底部，这样客户在打开外箱的 时候不需要取出产品，即可以扫描PDQ条码，在做大货前需帮忙复查下设计提
供的贴纸位置图是否都贴到了底部，避免后续客诉发生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</si>
  <si>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0950689034</t>
  </si>
  <si>
    <t>4500181327-50</t>
  </si>
  <si>
    <t>0950689049</t>
  </si>
  <si>
    <t>4500181327-60</t>
  </si>
  <si>
    <t>0950689050</t>
  </si>
  <si>
    <t>4500181327-70</t>
  </si>
  <si>
    <t>4500185790-20</t>
  </si>
  <si>
    <t>日期码格式：ZURU INC(BVI) 标准格式 日期：按实际生产日期
Packaging Info: 
77673TQ1: 77673TQ1: 最新MA 3L EAN配套包装+WEEE声明(带电池)走货欧洲通用30L-B版说明书
EAN: 4894680042773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</si>
  <si>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4500185868-10</t>
  </si>
  <si>
    <t>日期码格式：ZURU INC(BVI) 标准格式 日期：按实际生产日期
Packaging Info: 77673TQ1: 最新MA 3L EAN配套包装+WEEE声明(带电池)走货欧洲通用30L-B版说明书
EAN: 4894680042773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</si>
  <si>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MICHAELS GLOBAL SOURCING LLC</t>
  </si>
  <si>
    <t>4500186184-10</t>
  </si>
  <si>
    <t>77673TQ2-S001</t>
  </si>
  <si>
    <t>迷你冰箱 8pcs/TQ/箱</t>
  </si>
  <si>
    <t>UPC贴纸</t>
  </si>
  <si>
    <t>日期码格式：ZURUDG20251210 日期：
Packaging Info: 1. 指定tracking code: ZURUDG20251210; 产品、彩盒、外箱的日期码需要按照我们提供的Tracking code做。
2.
#77673TQ2: MA 3L EAN_B版彩膜+UPC贴纸; 客版PDQ; UPC#193052079404; 3PCS AG13 BATTERIES(INCLUDED);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</si>
  <si>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77673TQ2-S001-3L</t>
  </si>
  <si>
    <t>没</t>
  </si>
  <si>
    <t>4500188579-10</t>
  </si>
  <si>
    <r>
      <rPr>
        <sz val="9"/>
        <color rgb="FF010CDD"/>
        <rFont val="Tahoma"/>
        <charset val="134"/>
      </rPr>
      <t>4500186184 </t>
    </r>
    <r>
      <rPr>
        <sz val="9"/>
        <color rgb="FF010CDD"/>
        <rFont val="宋体"/>
        <charset val="134"/>
      </rPr>
      <t>拆单</t>
    </r>
  </si>
  <si>
    <t>UPC贴纸+，DC运输贴纸（所有产品均需要），PDQ 标识贴纸（带PDQ的item需要此贴纸，如果不带PDQ则不需要）贴纸尺寸以提供的箱唛资料为准，每个贴
 纸一箱一张。</t>
  </si>
  <si>
    <t>日期码格式：ZURUDG20251210 日期：
Packaging Info: 1. 指定tracking code: ZURUDG20251210; 产品、彩盒、外箱的日期码需要按照我们提供的Tracking code做。
2.
#77673TQ2: MA 3L EAN_B版彩膜+UPC贴纸; 客版PDQ翻单PO#4500186184; UPC#193052079404; 3PCS AG13 BATTERIES(INCLUDED);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</si>
  <si>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4500188596-10</t>
  </si>
  <si>
    <t>INTERTOYS B.V.</t>
  </si>
  <si>
    <t>4500185039-20</t>
  </si>
  <si>
    <t>可折叠贴纸+款号条码贴纸</t>
  </si>
  <si>
    <t>日期码格式：ZURU INC(BVI) 标准格式 日期：按实际生产日期
Packaging Info: 
77673:3L MA EAN包装+可折叠贴纸+款号条码贴纸; MA 最新说明书（含IFUD声明）+B版WEEE带电池走货说明书;
Remark: 1. STD配比
2. 出欧洲，微塑料需合规（如item本身不含微塑料 则忽略此要求）</t>
  </si>
  <si>
    <t>4500186877-50</t>
  </si>
  <si>
    <t>进口商贴纸(翻单4500164331)</t>
  </si>
  <si>
    <t>日期码格式：ZURU INC(BVI) 标准格式 日期：按实际生产日期
Packaging Info: 
77673: MA A版 1L UPC收缩膜+ 进口商贴纸(翻单4500164331);MA收藏指南
Remark: 此单出欧洲斯洛文尼亚， 需满足EU测试标准要求，不能含微塑料，需出无闪粉版本
-77673: 3PCS AG13 BATTERIES(INCLUDED): 加WEEE带电池走货欧洲30语通用黑白说明书 B版</t>
  </si>
  <si>
    <t>FB13938</t>
  </si>
  <si>
    <t>4500185474-40</t>
  </si>
  <si>
    <t>数量贴纸+EAN条码贴纸翻单4500177765</t>
  </si>
  <si>
    <t>日期码格式：ZURU INC(BVI) 标准格式 日期：按实际生产日期
Packaging Info:
77673TQ1:MA-1L 配套包装+客户EAN 条码贴纸，另外产品内包装再加多一张ZURU带电池版本30语WEEE说明书, EAN条码贴纸翻单4500177765，条码请 核对5056296049
488，PQD右后要加数量贴纸，翻单4500177198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</si>
  <si>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ZURU FRANCE</t>
  </si>
  <si>
    <t>4500182683-10</t>
  </si>
  <si>
    <t>日期码格式：ZURU INC(BVI) 标准格式 日期：按实际生产日期
Packaging Info: 77673TQ1:最新MA3LEAN收缩膜+最新MA5L收藏指南+最新MA23L说明书+最新MA纸袋+最新MA 3L PDQ+多语警语折叠贴纸（含包装缺失的法/意/西环保标）+WEEE带电池
出货的欧洲30L通知说明书B版（贴纸翻4500162314）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</si>
  <si>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ESAL TRADING LLC</t>
  </si>
  <si>
    <t>约旦</t>
  </si>
  <si>
    <t>4500189510-80</t>
  </si>
  <si>
    <t>4500180735/4500180758拆分</t>
  </si>
  <si>
    <t>彩色贴纸+进口商贴纸（贴纸翻单4500162345）+进口商贴纸(含G Mark, QR code, 阿拉伯警语) （贴纸翻单4500162345）；贴纸上的QR
 code需微信可扫，扫描结果另外通知; MA收藏指南+彩色贴纸（贴纸翻单4500162345）</t>
  </si>
  <si>
    <t>日期码格式：ZURU INC(BVI) 标准格式 日期：按实际生产日期
Packaging Info:
77673TQ1：MA PDQ+彩色贴纸+进口商贴纸（贴纸翻单4500162345）；收缩膜+进口商贴纸(含G Mark, QR code, 阿拉伯警语) （贴纸翻单4500162345）；贴纸上的QR
code需微信可扫，扫描结果另外通知; MA收藏指南+彩色贴纸（贴纸翻单4500162345）； MA说明书+一张客制黑白说明书纸（书纸翻单4500162345）；
客人箱唛排版，印4面，条码内容：193052079404
Remark:</t>
  </si>
  <si>
    <t>4500184293-20</t>
  </si>
  <si>
    <t>UPC 条码贴纸+进口商贴纸+1个小的红色logo贴纸</t>
  </si>
  <si>
    <t>日期码格式：ZURU INC(BVI) 标准格式 日期：按实际生产日期
Packaging Info:
2. 77673：MA 3L EAN PKG+UPC 条码贴纸+MA 3L PDQ+MA 收藏指南+1个小的红色logo贴纸+保证书+进口商贴纸+箱唛，3张不同的进口商贴纸分别是贴在彩卡/产品/说
明书上
Remark: 1. 集装箱及装柜要求：集装箱不能有破洞；不能太脏
2. 每个item需要放1整箱在每个集装箱门口
3. 装柜的时候要前、中、后拍照
4. 此单有监柜要求，每款需要准备1pc监柜样板用于监装
6. 77673：3PCS AG13 BATTERIES(INCLUDED); Filxed Collection</t>
  </si>
  <si>
    <t>001711216693</t>
  </si>
  <si>
    <t>4500185916-10</t>
  </si>
  <si>
    <t>77721SLT-77673-S001</t>
  </si>
  <si>
    <t>翻单4500156322</t>
  </si>
  <si>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纸箱唛头：纸箱四面，正唛和背面两面都需印刷，其他2面侧面留空,按照箱唛要求排版。
4. 确保展示架在入外箱的时候一定要正面对着有印刷箱唛的那面,不可以装反。
5. 此单是首单出货数量5400pcs, 无需抽版测试，需要2026/1/7完成100%大货安排第三方验货
6. 第三方验货：当天ITS会在大货直接验货，需要1pc寄给客户，由工厂寄到深圳office, 由ZURU跟单再转寄美国客户，以及还需要再寄1pc我们留底</t>
  </si>
  <si>
    <t>10001581643-0581</t>
  </si>
  <si>
    <t>4500183692-10</t>
  </si>
  <si>
    <t>CRACKER BARREL</t>
  </si>
  <si>
    <t>4500186227-10</t>
  </si>
  <si>
    <t>每款一箱大货满箱样（产品须带客版贴纸+外箱贴纸，并带大货外箱）+ 每款每色各4套大货样（带客版贴纸包装）寄给深圳跟单Blanche， 大货样需在12/28日前寄
 出，客户确认后方可出货</t>
  </si>
  <si>
    <t>客版产品条码贴纸+外箱贴</t>
  </si>
  <si>
    <t>日期码格式：ZURU INC(BVI) 标准格式 日期：按实际生产日期
Packaging Info: 1. 出口美国，ZURU标准UPC MA包装( 优先1L） + 客版产品条码贴纸+外箱贴, AW请使用最新artwork，跟单提供AW，工厂自行订购。
2. 产品及包装上都要有日期码，日期码是一致的（但不能为周末)，格式为ZURU标准格式
Remark: 3.配比：
#77673-S001-MINI BRANDS-FILL THE FRIDGE PLAYSET-SERIES 1-SHRINK WRAP,12PCS/CTN
4.#77673-S001 需在2025年12月27日前完成25%大货，12月28日早上进行ITS的25%大货抽样验货。100%大货可以在2026年1月8日前完成。收到PASS的测试报告后，才
可安排入仓出货。
25%抽样由客人指定的第三方ITS进行，现场在大货中抽样，具体要求如下面A,B,C,D所列：
A.样板抽取12pcs/色（带包装，大货中抽取）。
B.产品上有涂层的，每种涂层需要提供两张A4大小喷满同种油漆的底材（油漆喷厚一些避免用料不够，否则需客批才能另外补料给实验室）。
C.如有液体材料，每种需提供50ml。
D.抽样前一天会将测式申请表发出，需打印出来随抽样一起寄给ITS。
5. 大货样板需求：
每款一箱大货满箱样（产品须带客版贴纸+外箱贴纸，并带大货外箱）+ 每款每色各4套大货样（带客版贴纸包装）寄给深圳跟单Blanche， 大货样需在12/28日前寄
出，客户确认后方可出货。
Remark：满箱样/大货样以及测试样板数量不包含在订单数量里，做货需预备所有样板数量。</t>
  </si>
  <si>
    <t>Sharon Yang</t>
  </si>
  <si>
    <t>AG250336-HK</t>
  </si>
  <si>
    <t>4500187090-30</t>
  </si>
  <si>
    <t>日期码格式：ZURU INC(BVI) 标准格式 日期：按实际生产日期
Packaging Info:
77673TQ1:MA 1L 收缩膜+MA 1L PDQ+MA 5L 收藏指南+MA 说明书+1张客供警语贴纸+1张客供电池警语贴纸+1张客供中文警告说明书）具体请参考HK 客供警语贴纸位
置
Remark: 此单出HK</t>
  </si>
  <si>
    <t>4500187090-50</t>
  </si>
  <si>
    <t>1张客供警语贴+1张客供电池警语贴纸</t>
  </si>
  <si>
    <t>日期码格式：ZURU INC(BVI) 标准格式 日期：按实际生产日期
Packaging Info: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（77785里的77711 （INT): MA 3L 收缩膜+1张空白贴纸覆盖条码+MA 收藏指南+ MA 说明书+球底部贴1张客供警语贴纸，收藏指南贴一张客供警语贴纸，说明书贴一
张客供警语贴纸）
Remark: 此单出HK</t>
  </si>
  <si>
    <t>PO# 35565</t>
  </si>
  <si>
    <t>4500182145-10</t>
  </si>
  <si>
    <t>Amazon FR:
894NWJKW</t>
  </si>
  <si>
    <t>4500182290-10</t>
  </si>
  <si>
    <t>1张贴纸（Spielzeugpreis Alles fürs Kinderherz，仅出DE需要,参考翻单PO#4500166480++SSCC LABEL一张</t>
  </si>
  <si>
    <t>日期码格式：ZURU INC(BVI) 标准格式 日期：按实际生产日期
Packaging Info: Amazon FR(77785)
1. 77785: 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A收藏指南+1张贴纸（Spielzeugpreis Alles fürs Kinderherz，仅出DE需要,参考翻单PO#4500166480)+77711: MA 3L(3L warning EAN)A收
缩膜+MA 5L(23L warning)B收藏指南+MA 23L警告语说明书+MA 5L A说明书 +客版彩盒+WEEE电子产品说明书30L(带电池走货B版)；
2. 验货时间不迟于2026/1/12.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</si>
  <si>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4500182822-10</t>
  </si>
  <si>
    <t>价格贴纸（价贴金额 $24.99&lt;(&gt;,&lt;)&gt;价贴位于产品包装上UPC条形码附近），价贴资料翻单4500174833，工厂采
 购。</t>
  </si>
  <si>
    <t>日期码格式：ZURU INC(BVI) 标准格式 日期：按实际生产日期
Packaging Info: 1. 包材：出口美国; 贴纸工厂直接采购；
#77673: ZURU MA 1L UPC 版本+ MA 5L 收藏指南 +价格贴纸（价贴金额 $24.99&lt;(&gt;,&lt;)&gt;价贴位于产品包装上UPC条形码附近），价贴资料翻单4500174833，工厂采
购。
PS： 如果包材有更新，需及时通知跟单看否要更新贴纸资料；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 2052407 ship to NJ&lt;(&gt;,&lt;)&gt;
PO# 2052408 ship to NV&lt;(&gt;,&lt;)&gt;
5. 出货配比：ZURU 标准配比</t>
  </si>
  <si>
    <t>4500182822-20</t>
  </si>
  <si>
    <t xml:space="preserve"> TJX CANADA</t>
  </si>
  <si>
    <t xml:space="preserve"> 45152387 45152401</t>
  </si>
  <si>
    <t>4500183001-190</t>
  </si>
  <si>
    <t>77785-S001-77673-NA</t>
  </si>
  <si>
    <t>1pcs迷你冰箱+2pcs迷你球混装-NA</t>
  </si>
  <si>
    <t>日期码格式：ZURU INC(BVI) 标准格式 日期：按实际生产日期
Packaging Info: 
 77785 客版英法彩盒包装，UPC 193052104984，球-MA 2L 收缩膜，冰箱-MA3L 收缩膜， 多语多明书
Remark: 出加拿大
 有客供价格贴
 每行对应不同的客户PO，唛头要一一对应， 放唛头时跟单会提供清单
 Zuru验货.日期跟踪码：产品外包装及产品本身都必须有日期跟踪码，ZURU标准格式
 日期码</t>
  </si>
  <si>
    <t>77785-S001-NA-3L</t>
  </si>
  <si>
    <t>4500183001-250</t>
  </si>
  <si>
    <t>TJX CANADA</t>
  </si>
  <si>
    <t xml:space="preserve"> 40059009 40059370</t>
  </si>
  <si>
    <t>4500183043-330</t>
  </si>
  <si>
    <t>日期码格式：ZURU INC(BVI) 标准格式 日期：按实际生产日期
Packaging Info:
 77785 客版英法彩盒包装，UPC 193052104984，球-MA 2L 收缩膜，冰箱-MA3L 收缩膜， 多语多明书
Remark: 出加拿大
 有客供价格贴
 每行对应不同的客户PO，唛头要一一对应， 放唛头时跟单会提供清单
 Zuru验货.日期跟踪码：产品外包装及产品本身都必须有日期跟踪码，ZURU标准格式
 日期码</t>
  </si>
  <si>
    <t xml:space="preserve"> 40059747 40059835</t>
  </si>
  <si>
    <t>4500183051-70</t>
  </si>
  <si>
    <t>4500183051-160</t>
  </si>
  <si>
    <t>4500183051-210</t>
  </si>
  <si>
    <t>ZU02-26</t>
  </si>
  <si>
    <t>4500183616-180</t>
  </si>
  <si>
    <t>进口商贴纸+箱唛+UPC贴纸</t>
  </si>
  <si>
    <t xml:space="preserve">日期码格式：ZURU INC(BVI) 标准格式 日期：按实际生产日期
Packaging Info: 
其余item：MA 多语EAN包装+进口商贴纸+UPC贴纸+箱唛
Remark: </t>
  </si>
  <si>
    <t>AG250322-TW</t>
  </si>
  <si>
    <t>4500185972-10</t>
  </si>
  <si>
    <t>1张警语贴纸</t>
  </si>
  <si>
    <t>日期码格式：ZURU INC(BVI) 标准格式 日期：按实际生产日期
Packaging Info: 此单出TW
77673TQ1：MA 1L 收缩膜+MA 1L PDQ+MA 5L 收藏指南+MA 说明书+1张警语贴纸
Remark:</t>
  </si>
  <si>
    <t>4500187023-10</t>
  </si>
  <si>
    <t>1*多语折叠警告语贴纸（含环保标） +</t>
  </si>
  <si>
    <t>日期码格式：ZURU INC(BVI) 标准格式 日期：按实际生产日期
Packaging Info: 77673TQ1：最新MA PDQ+Kinderherz 2025 logo（翻单#4500166480）+最新版 MA 3L EAN 收缩膜 + 1*多语折叠警告语贴纸（含环保标） +MA5L收藏指南+ MA 23L
说明书+ MA UV胶黑白警告语+MA纸袋 + 1*B版 WEEE通用带电池走货说明书（全部翻单4500178223）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如产品太小，也可忽略。如无法加字唛，可以用贴纸的形式加在产品身上。（需与包装上的法国地址一致）
ZURU FRANCE 33 rue Paul Meurice 75020 Paris,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</si>
  <si>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4500187430-10</t>
  </si>
  <si>
    <t>日期码格式：ZURU INC(BVI) 标准格式 日期：按实际生产日期
Packaging Info: "77673TQ1: 最新MA 3L EAN配套包装+WEEE声明(带电池)走货欧洲通用30L-B版说明书
EAN: 4894680042773"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</si>
  <si>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4500187445-10</t>
  </si>
  <si>
    <r>
      <rPr>
        <sz val="12"/>
        <rFont val="宋体"/>
        <charset val="134"/>
        <scheme val="minor"/>
      </rPr>
      <t xml:space="preserve">日期码格式：ZURU INC(BVI) 标准格式 日期：按实际生产日期
Packaging Info: </t>
    </r>
    <r>
      <rPr>
        <sz val="12"/>
        <color rgb="FFFF0000"/>
        <rFont val="宋体"/>
        <charset val="134"/>
        <scheme val="minor"/>
      </rPr>
      <t>77673TQ1: 最新MA 3L EAN配套包装+WEEE声明(带电池)走货欧洲通用30L-B版说明书
EAN: 4894680042773</t>
    </r>
    <r>
      <rPr>
        <sz val="12"/>
        <rFont val="宋体"/>
        <charset val="134"/>
        <scheme val="minor"/>
      </rPr>
      <t xml:space="preserve">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r>
  </si>
  <si>
    <t>ROSS PROCUREMENT.INC</t>
  </si>
  <si>
    <t>4500186676-10</t>
  </si>
  <si>
    <t>77785-S002-77673-NA</t>
  </si>
  <si>
    <t>1pcs迷你冰箱+2pcs迷你球混装8pcs/箱</t>
  </si>
  <si>
    <t>客供价格贴纸</t>
  </si>
  <si>
    <r>
      <rPr>
        <sz val="12"/>
        <rFont val="宋体"/>
        <charset val="134"/>
        <scheme val="minor"/>
      </rPr>
      <t>日期码格式：ZURU INC(BVI) 标准格式 日期：按实际生产日期
Packaging Info: 1. Cus Item
#77785：MA UPC +</t>
    </r>
    <r>
      <rPr>
        <sz val="12"/>
        <color rgb="FFFF0000"/>
        <rFont val="宋体"/>
        <charset val="134"/>
        <scheme val="minor"/>
      </rPr>
      <t xml:space="preserve"> 客版3L 彩盒 + 客供贴纸, 优先使用MA 1L最新版本</t>
    </r>
    <r>
      <rPr>
        <sz val="12"/>
        <rFont val="宋体"/>
        <charset val="134"/>
        <scheme val="minor"/>
      </rPr>
      <t xml:space="preserve">
Remark: 1. Cus Item
#77785：MA UPC + </t>
    </r>
    <r>
      <rPr>
        <sz val="12"/>
        <color rgb="FFFF0000"/>
        <rFont val="宋体"/>
        <charset val="134"/>
        <scheme val="minor"/>
      </rPr>
      <t>客版3L 彩盒 + 客供贴纸, 优先使用MA 1L最新版本</t>
    </r>
    <r>
      <rPr>
        <sz val="12"/>
        <rFont val="宋体"/>
        <charset val="134"/>
        <scheme val="minor"/>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r>
  </si>
  <si>
    <t>77785-S002-NA-1L</t>
  </si>
  <si>
    <t>4500186676-20</t>
  </si>
  <si>
    <t>0952702344</t>
  </si>
  <si>
    <t>4500187244-10</t>
  </si>
  <si>
    <t>1/14第三方</t>
  </si>
  <si>
    <t>0952702353</t>
  </si>
  <si>
    <t>4500187244-20</t>
  </si>
  <si>
    <t>0952702445</t>
  </si>
  <si>
    <t>4500187244-30</t>
  </si>
  <si>
    <t>0952702527</t>
  </si>
  <si>
    <t>4500187244-40</t>
  </si>
  <si>
    <t>1/26第三方</t>
  </si>
  <si>
    <t>0952702550</t>
  </si>
  <si>
    <t>4500187244-50</t>
  </si>
  <si>
    <t>TOYZOONA LIMITED</t>
  </si>
  <si>
    <t>肯尼亚</t>
  </si>
  <si>
    <t>4500187931-20</t>
  </si>
  <si>
    <t>日期码格式：ZURU INC(BVI) 标准格式 日期：按实际生产日期
Packaging Info: MA PKG ， 优先1L
Remark:</t>
  </si>
  <si>
    <t>THE NORTH WEST COMPANY LP</t>
  </si>
  <si>
    <t>4500182548-100</t>
  </si>
  <si>
    <t>日期码格式： 标准格式 日期：按实际生产日期
Packaging Info: 
77673TQ1 MA 3L B EAN版本+UPC贴纸193052079404，MA 5L A 收藏指南， MA 23L说明书， MA 3L A PDQ
Remark: 出加拿大
Zuru验货.日期跟踪码：产品外包装及产品本身都必须有日期跟踪码，ZURU标准格式日期码</t>
  </si>
  <si>
    <t>10001620488-0
581</t>
  </si>
  <si>
    <t>4500187335-10</t>
  </si>
  <si>
    <t>日期码格式：ZURU INC(BVI) 标准格式 日期：按实际生产日期
Packaging Info: 产品包装 客版收缩膜(C版)+客版收藏指南+MA说明书+ MA 1L PDQ；客版收缩膜(C版）翻单4500183607；客版收藏指南翻单4500174008
Remark: 1. 77673TQ1-S001-CC-MINI BRANDS-FILL THE FRIDGE PLAYSET-SERIES 1-SHRINK WRAP,4PCS/PDQ,4PCS/PDQ/CTN
2. 产品包装 客版收缩膜(C版)+客版收藏指南+MA说明书+ MA 1L PDQ；客版收缩膜上的UPC显示193052079404；客版收缩膜(C版）翻单4500183607；客版收藏指南
翻单4500174008；
3. 外箱正唛左上角位置粘贴条码箱贴纸，每箱只贴一张，由ZURU订购。来料贴纸上显示的客户DPCI# 086-02-3468， UPC显示10193052079401;
4. 产品和包装上均要印刷tracking code信息，格式为ZURU常规格式;
5. 出货方式：货代自提</t>
  </si>
  <si>
    <t>PO#60X483306</t>
  </si>
  <si>
    <t>4500184978-10</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</si>
  <si>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#77673：签样同旧单 4500181122 , 但如果签样超过一年或包材有更新需重新寄样重新签。
样板一套我们将给到美国HEB，两套寄到以下深圳利丰地址，到时利丰会回签一套用于第三方100%大货验货。
回签的样板工厂需要长期保存好，只要产品物料没更新样板有效期一年，一年内每次的第三方验货都是用这套样板做参考不再走客户签样流程。
* 4pcs 成品球+1个空PDQ，寄到以下地址
深圳雨禾伟业实业有限公司
地址：广东省深圳市罗湖区东门南路1006号文锦渡口岸大厦B栋7楼
收件人：Elsa
电话：0755 6688 1988 Ext3337
*4pcs成品+2个空PDQ+2套散件（如果产品涉及散件的话））寄到以下地址：
Li Fung　
深圳市福田区绒花路8号深福保大厦附楼3楼。
收件人： Yoland Dai　电话：+0755 8825 3756
4. 验货+ 抽板 （同一天进行）
预约1月15日第三方（利丰）到工厂做100%大货现场验货和抽板，验货需打印EPM出来跟客户回签样板供第三方验货参考。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</si>
  <si>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4500182177-10</t>
  </si>
  <si>
    <t>多语警语折叠贴纸翻(4500162314）</t>
  </si>
  <si>
    <t>日期码格式：ZURU INC(BVI) 标准格式 日期：按实际生产日期
Packaging Info: 77673TQ1:最新MA 3L EAN收缩膜+最新MA 5L收藏指南+最新MA 23L说明书+最新MA纸袋+最新MA 3L PDQ+多语警语折叠贴纸（含包装缺失的法/意/西环保标）+ 多语版W
EEE电池垃圾桶的回收声明说明书（ included）（贴纸和WEEE翻4500162314）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</si>
  <si>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4500178919-140</t>
  </si>
  <si>
    <t>4500178919-150</t>
  </si>
  <si>
    <t>4500178919-160</t>
  </si>
  <si>
    <t xml:space="preserve"> SMYK S.A.</t>
  </si>
  <si>
    <t>56360/2025/1</t>
  </si>
  <si>
    <t>4500183488-10</t>
  </si>
  <si>
    <r>
      <rPr>
        <sz val="9"/>
        <color rgb="FF000000"/>
        <rFont val="宋体"/>
        <charset val="134"/>
      </rPr>
      <t>进口商贴纸</t>
    </r>
    <r>
      <rPr>
        <sz val="9"/>
        <color rgb="FF000000"/>
        <rFont val="STSong-Light-Identity-H"/>
        <charset val="134"/>
      </rPr>
      <t>+EAN</t>
    </r>
    <r>
      <rPr>
        <sz val="9"/>
        <color rgb="FF000000"/>
        <rFont val="宋体"/>
        <charset val="134"/>
      </rPr>
      <t>条码贴纸覆盖原条码</t>
    </r>
  </si>
  <si>
    <r>
      <rPr>
        <sz val="12"/>
        <rFont val="宋体"/>
        <charset val="134"/>
        <scheme val="minor"/>
      </rPr>
      <t>日期码格式：ZURU INC(BVI) 标准格式 日期：按实际生产日期
Packaging Info: 77673：B版 3L MA EAN 收缩膜+进口商贴纸</t>
    </r>
    <r>
      <rPr>
        <sz val="12"/>
        <color rgb="FFFF0000"/>
        <rFont val="宋体"/>
        <charset val="134"/>
        <scheme val="minor"/>
      </rPr>
      <t>+EAN条码贴纸覆盖原条码</t>
    </r>
    <r>
      <rPr>
        <sz val="12"/>
        <rFont val="宋体"/>
        <charset val="134"/>
        <scheme val="minor"/>
      </rPr>
      <t>；A 版 5L MA 收藏指南/B 版 23L MA警告语说明书
Remark: 1、若产品有比例使用ZURU STD 比例
2、所有item 均用MA EAN条码，若包装上的EAN 条码与PO 不一致的请告知
3、此单出欧洲需满足EU测试标准要求
4、此单LC 货期不可延</t>
    </r>
  </si>
  <si>
    <t xml:space="preserve"> Snowy Wu</t>
  </si>
  <si>
    <t>4500178919-190</t>
  </si>
  <si>
    <t>4500184304-10</t>
  </si>
  <si>
    <t>日期码格式：ZURU INC(BVI) 标准格式 日期：按实际生产日期
Packaging Info: 77673TQ1：B 版 1L MA 收缩膜+进口商贴纸；B 版23 L 电池+UV胶警告语说明书/B 版30L 带电池走货通用说明书/A 版 3L MA PDQ
Remark: 1、若产品有比例使用ZURU STD 比例
2、所有item 均用MA UPC 条码，若包装不是UPC 条码的请告知
3、此单出欧洲需满足EU测试标准要求</t>
  </si>
  <si>
    <t>4500178919-200</t>
  </si>
  <si>
    <t>日期码格式：ZURU INC(BVI) 标准格式 日期：按实际生产日期
Packaging Info: A.77785 ：2部分子件构成 首单：需要申请6套大货样
物料要求：UPC:193052089786 UPC部分：所有子件UPC要求统一或者覆盖
MA+77785 中文3C贴纸+77785 中文收藏指南 +芯片码
子件 B : 77711- 2个 ： MA+77711 中文DIY 说明书+77711 中文黑白说明书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</si>
  <si>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4500186234-50</t>
  </si>
  <si>
    <t>UPC条码贴纸+ 进口商贴纸</t>
  </si>
  <si>
    <r>
      <rPr>
        <sz val="12"/>
        <rFont val="宋体"/>
        <charset val="134"/>
        <scheme val="minor"/>
      </rPr>
      <t xml:space="preserve">日期码格式：ZURU INC(BVI) 标准格式 日期：按实际生产日期
Packaging Info: 
5. 77673：3L EAN收缩膜+ UPC条码贴纸+ 进口商贴纸+箱唛
Remark: 
5. 77673：3PCS AG13 BATTERIES(INCLUDED)
</t>
    </r>
    <r>
      <rPr>
        <sz val="12"/>
        <color rgb="FFFF0000"/>
        <rFont val="宋体"/>
        <charset val="134"/>
        <scheme val="minor"/>
      </rPr>
      <t>10. 客户有监装要求，每款需要备1pc监装样板</t>
    </r>
  </si>
  <si>
    <t>IMPORTADORA CHICOCOS</t>
  </si>
  <si>
    <t>玻利维亚</t>
  </si>
  <si>
    <t>4500185120-100</t>
  </si>
  <si>
    <t>日期码格式：ZURU INC(BVI) 标准格式 日期：按实际生产日期
Packaging Info: 
其余item：MA 多语包装+ UPC贴纸+箱唛，无客户贴纸
Remark:</t>
  </si>
  <si>
    <t>10001627879-0
581</t>
  </si>
  <si>
    <t>4500188344-10</t>
  </si>
  <si>
    <t>4500186008-40</t>
  </si>
  <si>
    <t>此单需要准备每款两套大货样，请注意备料；</t>
  </si>
  <si>
    <t>日期码格式：ZURU INC(BVI) 标准格式 日期：按实际生产日期
Packaging Info: 
4.77673：最新MA 3L包装+MA 5L收藏指南+MA 23L说明书+WEEE带电池走货欧洲30语通用黑白说明书 ;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5.此单需要准备每款两套大货样，请注意备料；</t>
  </si>
  <si>
    <t>4500186008-50</t>
  </si>
  <si>
    <t>日期码格式：ZURU INC(BVI) 标准格式 日期：按实际生产日期
Packaging Info: 
5.77785：最新客版彩盒+EAN贴纸；(条码贴纸翻单4500166563）；
子件77673：最新MA3LEAN收缩膜+最新MA5L收藏指南+最新MA23L说明书+最新MA纸袋+MA WEEE带电池走货欧洲30语通用黑白说明书 ；"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5.此单需要准备每款两套大货样，请注意备料；</t>
  </si>
  <si>
    <t>DD'S DISCOUNTS</t>
  </si>
  <si>
    <t>4500186566-30</t>
  </si>
  <si>
    <r>
      <rPr>
        <sz val="12"/>
        <rFont val="宋体"/>
        <charset val="134"/>
        <scheme val="minor"/>
      </rPr>
      <t xml:space="preserve">日期码格式：ZURU INC(BVI) 标准格式 日期：按实际生产日期
Packaging Info: 1. STD Items: ZURU MA UPC 现有包装+客供价格贴纸，优先使用MA 1L最新版本（可接受多语）,出口美国
Remark: 1. Cus Item
#77785：MA UPC + </t>
    </r>
    <r>
      <rPr>
        <sz val="12"/>
        <color rgb="FFFF0000"/>
        <rFont val="宋体"/>
        <charset val="134"/>
        <scheme val="minor"/>
      </rPr>
      <t>客版3L 彩盒 + 客供贴纸, 优先使用MA 1L最新版本</t>
    </r>
    <r>
      <rPr>
        <sz val="12"/>
        <rFont val="宋体"/>
        <charset val="134"/>
        <scheme val="minor"/>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r>
  </si>
  <si>
    <t>Blanche Huang</t>
  </si>
  <si>
    <t>10001581644-0
581</t>
  </si>
  <si>
    <t>4500187337-10</t>
  </si>
  <si>
    <t>AMSLER SPIELWAREN AG</t>
  </si>
  <si>
    <t>4500187921-50</t>
  </si>
  <si>
    <t>DE IT警语贴纸</t>
  </si>
  <si>
    <t>日期码格式：ZURU INC(BVI) 标准格式 日期：按实际生产日期
Packaging Info:
77673：MA B版 3L EAN收缩膜+DE IT警语贴纸，MA 5L收藏指南，MA配件袋，B版带电池走货EU通用30L WEEE说明书
Remark: 1.此单出瑞士，走整柜。
2.出口欧洲，微塑料需符合法规；化学品无硼无香；电池符合欧洲法规要求(如有)。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5.STD配比</t>
  </si>
  <si>
    <t>001711216695</t>
  </si>
  <si>
    <t>4500185933-10</t>
  </si>
  <si>
    <t>日期码格式：ZURU INC(BVI) 标准格式 日期：按实际生产日期
Packaging Info: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纸箱唛头：纸箱四面，正唛和背面两面都需印刷，其他2面侧面留空,按照箱唛要求排版。
4. 确保展示架在入外箱的时候一定要正面对着有印刷箱唛的那面,不可以装反。</t>
  </si>
  <si>
    <t>BURLINGTON STORES, INC.</t>
  </si>
  <si>
    <t>4500186887-10</t>
  </si>
  <si>
    <t>加价格贴+外箱贴纸</t>
  </si>
  <si>
    <r>
      <rPr>
        <sz val="12"/>
        <rFont val="宋体"/>
        <charset val="134"/>
        <scheme val="minor"/>
      </rPr>
      <t xml:space="preserve">日期码格式：ZURU INC(BVI) 标准格式 日期：按实际生产日期
Packaging Info: 1. </t>
    </r>
    <r>
      <rPr>
        <sz val="12"/>
        <color rgb="FFFF0000"/>
        <rFont val="宋体"/>
        <charset val="134"/>
        <scheme val="minor"/>
      </rPr>
      <t xml:space="preserve">ZURU </t>
    </r>
    <r>
      <rPr>
        <sz val="12"/>
        <rFont val="宋体"/>
        <charset val="134"/>
        <scheme val="minor"/>
      </rPr>
      <t>MA （首选1L）UPC版本+加价格贴+外箱贴纸 （为方便进行装柜区分，请按照后续提供的外箱贴纸文档去粘贴外箱），出口美国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
会显示在贴纸上，在贴纸资料文档上命名上）去区分 ，也就是同个item line 但是SHIPMENT ID 不一样不可以混在一起，贴纸和大货需要区分开，最后装柜会在不
同的柜子里面。
5，每个产品有一个价格贴纸， 价格贴纸覆盖UPC条码上 （若UPC 条码太大，可以露出ITEM#, 覆盖条码即可），价格贴纸覆盖UPC 会挡住文字/图案，需用空白贴覆
盖UPC，价格贴纸移到空白处。贴的时候要是会覆盖包装上重要的信息和图案，需要告知跟单。</t>
    </r>
  </si>
  <si>
    <t>4500186887-20</t>
  </si>
  <si>
    <t>4500188246-10</t>
  </si>
  <si>
    <t>4500188245-10</t>
  </si>
  <si>
    <t>4500188597-10</t>
  </si>
  <si>
    <r>
      <rPr>
        <sz val="9"/>
        <color theme="1"/>
        <rFont val="Tahoma"/>
        <charset val="134"/>
      </rPr>
      <t>4500186184 </t>
    </r>
    <r>
      <rPr>
        <sz val="9"/>
        <color theme="1"/>
        <rFont val="宋体"/>
        <charset val="134"/>
      </rPr>
      <t>拆单</t>
    </r>
  </si>
  <si>
    <t>4500189894-10</t>
  </si>
  <si>
    <t>4500187320转单</t>
  </si>
  <si>
    <t>*多语折叠警告语贴纸（翻单4500174753）</t>
  </si>
  <si>
    <t>日期码格式：ZURU INC(BVI) 标准格式 日期：按实际生产日期
Packaging Info: 77673TQ1：最新版 MA 3L EAN 收缩膜 + 1*多语折叠警告语贴纸（翻单4500174753） +MA5L收藏指南+ MA 23L说明书+ MA UV胶黑白警告语+MA纸袋 + 1*B版 WEEE通
用带电池走货说明书（翻单4500174753）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所有出往波兰订单的电子产品需增加一张欧洲通用WEEE声明说明书，区分带电池和不带电池版本, 如已做客版说明书可忽略此要求。</t>
  </si>
  <si>
    <t>4500187355-10</t>
  </si>
  <si>
    <t>(英法德callout/英法德意荷警语/法国环保logo-翻PO#4500173265)</t>
  </si>
  <si>
    <r>
      <rPr>
        <sz val="12"/>
        <rFont val="宋体"/>
        <charset val="134"/>
        <scheme val="minor"/>
      </rPr>
      <t>日期码格式：ZURU INC(BVI) 标准格式 日期：按实际生产日期
Packaging Info: "77673TQ1: 最新MA PDQ(优先3L )+客版收缩膜B版(英法德callout/英法德意荷警语/法国环保logo-翻PO#4500173265)+23L说明书+客版收藏指南(英法德意荷)（翻#
4500155594）+WEEE声明(带电池)走货欧洲通用30L-B版说明书+Kinderherz 2025 Logo贴纸(</t>
    </r>
    <r>
      <rPr>
        <sz val="12"/>
        <color rgb="FFFF0000"/>
        <rFont val="宋体"/>
        <charset val="134"/>
        <scheme val="minor"/>
      </rPr>
      <t>1张贴于收缩膜，1张贴于PDQ；</t>
    </r>
    <r>
      <rPr>
        <sz val="12"/>
        <rFont val="宋体"/>
        <charset val="134"/>
        <scheme val="minor"/>
      </rPr>
      <t>翻单#4500166480)
EAN: 4894680042773"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r>
  </si>
  <si>
    <t>4500187458-10</t>
  </si>
  <si>
    <t>日期码格式：ZURU INC(BVI) 标准格式 日期：按实际生产日期
Packaging Info: "77673TQ1: 最新MA 3L EAN配套包装+WEEE声明(带电池)走货欧洲通用30L-B版说明书
EAN: 4894680042773"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</si>
  <si>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4500187433-10</t>
  </si>
  <si>
    <t>4500181289-20</t>
  </si>
  <si>
    <t>日期码格式：ZURU INC(BVI) 标准格式 日期：按实际生产日期
Packaging Info:
77673:MA 多语包装+UPC贴纸+箱唛，无客户贴纸
Remark: 订单需提交自检报告，客户审核通过才可以出货。
外箱上的箱唛资料会显示日期06-FEB-2026,产品/包装/外箱可以按ZURU 标准日期码打，也可以跟回外箱日期码，工厂自行选择,两者均可接受</t>
  </si>
  <si>
    <t>5AR2H9VU</t>
  </si>
  <si>
    <t>4500186500-10</t>
  </si>
  <si>
    <t>SSCC LABEL一张+1张贴纸（Spielzeugpreis Alles fürs Kinderherz，仅出DE需要&lt;(&gt;,&lt;)&gt;参考翻单PO#4500166480)</t>
  </si>
  <si>
    <t>日期码格式：ZURU INC(BVI) 标准格式 日期：按实际生产日期
Packaging Info: Amazon DE(77785)
1. 77785：1pk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A收藏指南+1张贴纸（Spielzeugpreis Alles fürs Kinderherz，仅出DE需要&lt;(&gt;,&lt;)&gt;参考翻单PO#4500166480)+77711: MA 3L(3L warning E
AN)A收缩膜+MA 5L(23L warning)B收藏指南+MA 23L警告语说明书+MA 5L A说明书 +客版彩盒（新FR&lt;(&gt;&amp;&lt;)&gt;DK地址）+WEEE电子产品说明书30L(带电池走货B版)；
2. 最迟验货不得晚于2026/1/23;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</si>
  <si>
    <t>Mia Xing</t>
  </si>
  <si>
    <t xml:space="preserve">爱尔兰 </t>
  </si>
  <si>
    <t>4500187442-10</t>
  </si>
  <si>
    <t>KAUFHAUS MARTIN STOLZ GMBH</t>
  </si>
  <si>
    <t>26-128</t>
  </si>
  <si>
    <t>4500189254-50</t>
  </si>
  <si>
    <t>DE IT警语贴纸，所有出往德国订单的电子产品需增加一张客版WEEE声明说明书，区分带电池和不带电池版本, 如已做客版说明书可忽略此要求</t>
  </si>
  <si>
    <t>大货样品一套</t>
  </si>
  <si>
    <t>日期码格式：ZURU INC(BVI) 标准格式 日期：按实际生产日期
Packaging Info:
此单有客供价格贴纸，预计1/2前提供
77673TQ1：MA B版 3L EAN收缩膜+DE IT警语贴纸（翻4500187921），MA 5L收藏指南，MA配件袋，B版带电池走货EU通用30L WEEE说明书，MA 3L PDQ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5.大货样品一套
6.STD配比</t>
  </si>
  <si>
    <t>F126348-1</t>
  </si>
  <si>
    <t>4500186456-20</t>
  </si>
  <si>
    <t>日期码格式：ZURU INC(BVI) 标准格式 日期：按实际生产日期
Packaging Info: 1. 包材：ZURU MA UPC最新包装；出口美国
Remark: 2. 日期跟踪码：产品外包装及产品本身都必须有日期跟踪码；ZURU标准格式日期码(请自行调整具体年月日生产期，但不能为周末）。
3. 出货配比：ZURU MA 配比</t>
  </si>
  <si>
    <t>0952702566</t>
  </si>
  <si>
    <t>4500187246-10</t>
  </si>
  <si>
    <t>1/20第三方</t>
  </si>
  <si>
    <t>0952702614</t>
  </si>
  <si>
    <t>4500187246-20</t>
  </si>
  <si>
    <t>COL-15-26-SPR</t>
  </si>
  <si>
    <t>4500187640-130</t>
  </si>
  <si>
    <t>进口商贴纸+UPC贴纸</t>
  </si>
  <si>
    <t>日期码格式：DG20260120 日期：按实际生产日期
Packaging Info: 其余item：MA 多语包装+进口商贴纸+UPC贴纸+箱唛
Remark: 外箱/产品/包装-指定日期码：DG20260120</t>
  </si>
  <si>
    <t>BOL.COM</t>
  </si>
  <si>
    <t>BOL.COM:
P2516799D</t>
  </si>
  <si>
    <t>4500186268-10</t>
  </si>
  <si>
    <t>1张贴纸(1张可折叠警
语贴含NL警告语，参考翻单PO#4500157858</t>
  </si>
  <si>
    <t>日期码格式：ZURU INC(BVI) 标准格式 日期：按实际生产日期
Packaging Info: BOL.COM(77673)
1. 77673: 12pcs/ctn; 3PCS AG13 BATTERIES(INCLUDED); MA 3L(3L warning EAN#)B收缩膜+MA 5L(23L warning)B 说明书+MA 5L A收藏指南+1张贴纸(1张可折叠警
语贴含NL警告语，参考翻单PO#4500157858)+WEEE_带电池走货说明书欧洲EN+30L-B版;
2. 验货时间不迟于2026/1/23.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</si>
  <si>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4500186392-30</t>
  </si>
  <si>
    <r>
      <rPr>
        <sz val="12"/>
        <rFont val="宋体"/>
        <charset val="134"/>
        <scheme val="minor"/>
      </rPr>
      <t>日期码格式：ZURU INC(BVI) 标准格式 日期：按实际生产日期
Packaging Info: 1. STD Items: ZURU MA UPC 现有包装+客供价格贴纸，优先使用MA 1L最新版本（可接受多语）,出口美国
Remark: 1. Cus Item
#77785：MA UPC +</t>
    </r>
    <r>
      <rPr>
        <sz val="12"/>
        <color rgb="FFFF0000"/>
        <rFont val="宋体"/>
        <charset val="134"/>
        <scheme val="minor"/>
      </rPr>
      <t xml:space="preserve"> 客版3L 彩盒 + 客供贴纸, 优先使用MA 1L最新版本</t>
    </r>
    <r>
      <rPr>
        <sz val="12"/>
        <rFont val="宋体"/>
        <charset val="134"/>
        <scheme val="minor"/>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r>
  </si>
  <si>
    <t>777 1FEB26</t>
  </si>
  <si>
    <t>4500185077-20</t>
  </si>
  <si>
    <t>日期码格式：ZURU INC(BVI) 标准格式 日期：按实际生产日期
Packaging Info: MA 1L UPC最新包装+ MA PDQ（如果有的话)+其他MA 包装，MA 指南/说明书（如果有的话），请先核对条码无误后安排，配比按MA
77673TQ1：193052079404+WEEE 30L带电池出货说明书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
黑
白说明书</t>
  </si>
  <si>
    <t>ZOE ZHOU</t>
  </si>
  <si>
    <t>10001581646-0
581</t>
  </si>
  <si>
    <t>4500187340-10</t>
  </si>
  <si>
    <t>ZU25111901SG</t>
  </si>
  <si>
    <t>4500187990-60</t>
  </si>
  <si>
    <t>1张固定的进口商贴纸</t>
  </si>
  <si>
    <t>日期码格式：ZURU INC(BVI) 标准格式 日期：按实际生产日期
Packaging Info: MA UPC包装(优先1L)+1张固定的进口商贴纸,贴纸图稿及位置图翻单如下
77673-4500163177
如此单使用新风格的包材(粉色+黄色)请帮忙提前告知
Remark: 
77673-Filxed Collection</t>
  </si>
  <si>
    <t>199-9469796</t>
  </si>
  <si>
    <t>4500188369-10</t>
  </si>
  <si>
    <t>日期码格式：ZURU INC(BVI) 标准格式 日期：按实际生产日期
Packaging Info: 1. 77758SLT: 客版彩盒(英法西瑞典冰岛语言-此单放新稿)+客版球的收缩膜(英法西瑞典冰岛语言)+客版冰箱收缩膜(英法西瑞典冰岛语言)+客版冰箱收藏指南(英法
西瑞典冰岛语言)+客版球的收藏指南(英法西瑞典冰岛语言)+客版Manual for three kinds of mini creates(英法西瑞典冰岛语言) +客版球的黑白说明书(英法西瑞
典冰岛语言)+客版内纸袋(英法西瑞典冰岛语言) +客版UV glue bottle sticker(英法西瑞典冰岛语言) +客版冰箱电池警告语和说明书(英法西瑞典冰岛语言-此单
放新稿) + 客版PDQ（翻Costco US PO#4500156301）
除了放新稿的两个 和客版PDQ翻显示订单外，剩下的客版包装都翻Costco Spain PO#4500163768
3PK 77711-INT(capsules)+1PK 77673 combo in color box
#77673( Fridge with extra 5 exclusive mini,But "pizza" in different versions of packaging for INT market)
77673:UV GLUE / 7 magnets（6 magnets and 1 Refrigerator magnet）
77711:UV GLUE/ 1 Refrigerator Magnet
77673:3PCS AG13 BATTERIES(INCLUDED)
1F*5D=5PCS/PDQ, 5PDQ/LAYER=25PCS/LAYER, 25PDQ/Tray*3=75PCS/PALLET
Remark: 1. 所有日期码印在彩卡上，产品(枪)上也需印日期码，按实际生产日期，ZURU 标准版格式的日期码。
2. 纸箱唛头：纸箱四面，印刷2个正面，侧唛不印, 按照箱唛模板要求排版。
3. 确保展示架在入外箱的时候一定要正面对着有印刷箱唛的那面,不可以装反。
4.出英国/冰岛/瑞典三个国家，产品需要打UKCA Mark，包装也需要有UKCA，否则不符合法规客人会退货有罚款产生</t>
  </si>
  <si>
    <t>6XNHKJOX</t>
  </si>
  <si>
    <t>4500186739-120</t>
  </si>
  <si>
    <r>
      <rPr>
        <sz val="12"/>
        <rFont val="宋体"/>
        <charset val="134"/>
        <scheme val="minor"/>
      </rPr>
      <t>日期码格式：ZURU INC(BVI) 标准格式 日期：按实际生产日期
Packaging Info: Amazon UK(9565ABDE/15752B/15754B/15755ABDE/77731/77785/77809)/DE(9565ABDE/77673/15728ABG)/ES(77785/92119D/15710A/15728ABG)/</t>
    </r>
    <r>
      <rPr>
        <sz val="12"/>
        <color rgb="FFFF0000"/>
        <rFont val="宋体"/>
        <charset val="134"/>
        <scheme val="minor"/>
      </rPr>
      <t>-PO:4ILCYXLX/4GW1TX1I/21CQRD5P/3DJTQAQP
ES(77785/92119D/15710A/15728ABE)/-PO:2ND8X5VU/1A7PV2ZC
IT(71152/15710B/15728AG/15763E)-PO:2H7MF2MP/2NZ4JX5R</t>
    </r>
    <r>
      <rPr>
        <sz val="12"/>
        <rFont val="宋体"/>
        <charset val="134"/>
        <scheme val="minor"/>
      </rPr>
      <t xml:space="preserve">
4. 77785：1pk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A收藏指南+1张贴纸（Spielzeugpreis Alles fürs Kinderherz，仅出DE需要&lt;(&gt;,&lt;)&gt;参考翻单PO#4500166480)+77711: MA 3L(3L warning E
AN)A收缩膜+MA 5L(23L warning)B收藏指南+MA 23L警告语说明书+MA 5L A说明书 +客版彩盒（新FR&lt;(&gt;&amp;&lt;)&gt;DK地址，参考翻单PO#4500186500）+WEEE电子产品说明
书30L(带电池走货B版)；
14.最迟验货不得晚于2026/1/27;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r>
  </si>
  <si>
    <t>2ND8X5VU</t>
  </si>
  <si>
    <t>4500186739-220</t>
  </si>
  <si>
    <t>3DJTQAQP</t>
  </si>
  <si>
    <t>4500186739-360</t>
  </si>
  <si>
    <t>SSCC LABEL一张+2张贴纸(1张UPC#，参考翻单PO#4500158582；1张可折叠警语
贴含德意警告语+IT环保标，参考翻单PO#4500157858)+1张贴纸（Spielzeugpreis Alles fürs Kinderherz，仅出DE需要,
 参考翻单PO#4500166480</t>
  </si>
  <si>
    <t>4500188118-10</t>
  </si>
  <si>
    <t>1张小的警语贴纸贴+1张防盗贴纸+箱唛 + 外箱SSCC Label (贴纸以及位置图翻单PO#4500160026）</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</si>
  <si>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PO#4500187429一起合并计算</t>
  </si>
  <si>
    <t>4500187429-20</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</si>
  <si>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PO#4500188118一起合并计算</t>
  </si>
  <si>
    <t>0952702441</t>
  </si>
  <si>
    <t>4500188488-10</t>
  </si>
  <si>
    <t>1/28第三方</t>
  </si>
  <si>
    <t>0952702460</t>
  </si>
  <si>
    <t>4500188488-20</t>
  </si>
  <si>
    <t>0952702476</t>
  </si>
  <si>
    <t>4500188488-30</t>
  </si>
  <si>
    <t>1/30 自检</t>
  </si>
  <si>
    <t>0952702487</t>
  </si>
  <si>
    <t>4500188488-40</t>
  </si>
  <si>
    <t>0952702501</t>
  </si>
  <si>
    <t>4500188488-50</t>
  </si>
  <si>
    <t>0952702530</t>
  </si>
  <si>
    <t>4500188488-60</t>
  </si>
  <si>
    <t>0952702547</t>
  </si>
  <si>
    <t>4500188488-70</t>
  </si>
  <si>
    <t>4500188598-10</t>
  </si>
  <si>
    <t>4500188599-10</t>
  </si>
  <si>
    <t>4500188600-10</t>
  </si>
  <si>
    <t>日期码格式：ZURUDG20251210 日期：
Packaging Info: 1. 指定tracking code: ZURUDG20251210; 产品、彩盒、外箱的日期码需要按照我们提供的Tracking code做。
2.
#77673TQ2: MA 3L EAN_B版彩膜+UPC贴纸; 客版PDQ翻单PO#4500186184; UPC#193052079404; 3PCS AG13 BATTERIES(INCLUDED);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</si>
  <si>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立陶宛</t>
  </si>
  <si>
    <t>4500189595-10</t>
  </si>
  <si>
    <t>日期码格式：ZURU INC(BVI) 标准格式 日期：按实际生产日期
Packaging Info: 77673TQ1: B 版 1L MA 收缩膜+进口商贴纸；A 版 5L MA 收藏指南/B 版 23L MA 说明书/A 版 MA PDQ/B 版 30L 带电池走货通用说明书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</si>
  <si>
    <t>4500187657-150</t>
  </si>
  <si>
    <t>日期码格式：ZURU INC(BVI) 标准格式 日期：按实际生产日期
Packaging Info: 其余item:MA 多语包装+进口商贴纸+箱唛
77782GQ1:客版 收缩膜+客版收藏指南+客版PDQ+进口商贴纸+箱唛，客版物料翻单PO4500161
Remark:</t>
  </si>
  <si>
    <t>4500188145-30</t>
  </si>
  <si>
    <t>UPC条码贴纸+ 进口商贴纸+说明书贴纸</t>
  </si>
  <si>
    <r>
      <rPr>
        <sz val="12"/>
        <rFont val="宋体"/>
        <charset val="134"/>
        <scheme val="minor"/>
      </rPr>
      <t xml:space="preserve">日期码格式：ZURU INC(BVI) 标准格式 日期：按实际生产日期
Packaging Info: 
3. 77673：3L EAN收缩膜+ UPC条码贴纸+ 进口商贴纸+箱唛
Remark: 77673：3PCS AG13 BATTERIES(INCLUDED)
</t>
    </r>
    <r>
      <rPr>
        <sz val="12"/>
        <color rgb="FFFF0000"/>
        <rFont val="宋体"/>
        <charset val="134"/>
        <scheme val="minor"/>
      </rPr>
      <t>客户有监装要求，每款需要多备1pc监柜样板用于监装，监柜样板要和大货一致</t>
    </r>
  </si>
  <si>
    <t>MCD BRANDS SAS</t>
  </si>
  <si>
    <t>4500188881-90</t>
  </si>
  <si>
    <t>进口商贴纸+条码贴纸</t>
  </si>
  <si>
    <t>日期码格式：ZURU INC(BVI) 标准格式 日期：按实际生产日期
Packaging Info: 
其余item：MA 多语包装+进口商贴纸+条码贴纸+箱唛
Remark: 进口商贴纸请多备料5pcs,出货后需要寄给客户</t>
  </si>
  <si>
    <t>4500189691-40</t>
  </si>
  <si>
    <t>欠UPC贴纸</t>
  </si>
  <si>
    <t>日期码格式：ZURU INC(BVI) 标准格式 日期：按实际生产日期
Packaging Info: 请确保包装上的条形码是UPC，如果是babyUPC，需要用mother UPC覆盖，如有不一致，请及时提出。谢谢!
77673,,MA 多语EAN包装+UPC贴纸+MA 多语收藏指南+箱唛,,
Remark: 
Common: Equal ratio,,</t>
  </si>
  <si>
    <t>4500188309-10</t>
  </si>
  <si>
    <t>日期码格式：ZURU INC(BVI) 标准格式 日期：按实际生产日期
Packaging Info: 请确保包装上的条形码是UPC，如果是babyUPC，需要用mother UPC覆盖，如有不一致，请及时提出。谢谢!
77673 MA 多语EAN包装+UPC贴纸+MA 多语收藏指南+箱唛
Remark: 77673 Filxed Collection; 3PCS AG13 BATTERIES(INCLUDED)</t>
  </si>
  <si>
    <t>4500188307-10</t>
  </si>
  <si>
    <r>
      <rPr>
        <sz val="12"/>
        <rFont val="宋体"/>
        <charset val="134"/>
        <scheme val="minor"/>
      </rPr>
      <t xml:space="preserve">日期码格式：ZURU INC(BVI) 标准格式 日期：按实际生产日期
Packaging Info: 1.请确保包装上的条形码是UPC，如果是babyUPC，需要用mother UPC覆盖，如有不一致，请及时提出。谢谢!
</t>
    </r>
    <r>
      <rPr>
        <sz val="12"/>
        <color rgb="FFFF0000"/>
        <rFont val="宋体"/>
        <charset val="134"/>
        <scheme val="minor"/>
      </rPr>
      <t>2. 包材请按照ZURU MA 生产 +语言必须含有西语+箱唛
3. 如果是EAN条码请用UPC 贴纸覆盖</t>
    </r>
    <r>
      <rPr>
        <sz val="12"/>
        <rFont val="宋体"/>
        <charset val="134"/>
        <scheme val="minor"/>
      </rPr>
      <t xml:space="preserve">
Remark: 77673 Filxed Collection; 3PCS AG13 BATTERIES(INCLUDED)
</t>
    </r>
    <r>
      <rPr>
        <sz val="12"/>
        <color rgb="FFFF0000"/>
        <rFont val="宋体"/>
        <charset val="134"/>
        <scheme val="minor"/>
      </rPr>
      <t>Common: Equal ratio</t>
    </r>
  </si>
  <si>
    <t>4500188248-10</t>
  </si>
  <si>
    <t>4500187980-20</t>
  </si>
  <si>
    <t>一张进口商内容贴纸</t>
  </si>
  <si>
    <t>日期码格式：ZURU INC(BVI) 标准格式 日期：按实际生产日期
Packaging Info:
2.77673:最新MA 3L EAN版本包装+一张进口商内容贴纸+MA 23L说明书+最新WEEE带电池走货欧洲30语通用黑白说明书；
Remark: 1.此单出西班牙市场，需满足EU测试标准要求，微塑料需符合EU法规。
2.包装必须要含西班牙环保标和 care@zuru.com 邮箱地址以及CE LOGO；
3.毛绒玩具需要西班牙语言的洗涤说明；
4.电子产品需要WEEE说明书；</t>
  </si>
  <si>
    <t>PC25224</t>
  </si>
  <si>
    <t>4500188053-10</t>
  </si>
  <si>
    <t>2/2 出货</t>
  </si>
  <si>
    <t>日期码格式：ZURU INC(BVI) 标准格式 日期：按实际生产日期
Packaging Info: 77673： MA 最新 3L 收缩膜含EAN条码+MA 最新5L收藏指南，MA 最新23L说明书+WEEE带电池走货欧洲30语通用黑白说明书;
Remark: 1. 此单出西班牙市场，需满足EU测试标准要求，微塑料需符合EU法规。
2. 需ZURU OQC验货后才可以安排出货，需要给到客户验货图片审批才可以放货
3. 客户要求提供3套大货样板&lt;(&gt;&amp;&lt;)&gt; 3个折叠好的空盒子(如含有PDQ的话要寄PDQ)， 在1/30前到深圳办公室 ，需备料</t>
  </si>
  <si>
    <t>4500188846-120</t>
  </si>
  <si>
    <t>1/27 出货</t>
  </si>
  <si>
    <t>日期码格式：ZURU INC(BVI) 标准格式 日期：按实际生产日期
Packaging Info: MA UPC包装(优先1L)+进口商贴纸,Fuggler的items需mother UPC barcode 信息,会跟进口商贴纸做在一起
贴纸图稿及位置图翻单如下,其他items待提供
77673-4500180194
Remark:
77673-Filxed Collection</t>
  </si>
  <si>
    <t>4500188288-10</t>
  </si>
  <si>
    <t>日期码格式：ZURU INC(BVI) 标准格式 日期：按实际生产日期
Packaging Info: 77673：MA 多语EAN包装+UPC贴纸+MA 多语收藏指南+箱唛
Remark:</t>
  </si>
  <si>
    <t>4500188302-40</t>
  </si>
  <si>
    <t>日期码格式：ZURU INC(BVI) 标准格式 日期：按实际生产日期
Packaging Info: 请确保包装上的条形码是UPC，如果是babyUPC，需要用mother UPC覆盖，如有不一致，请及时提出。谢谢! 77673 MA 多语EAN包装+UPC贴纸+MA 多语收藏指南+箱唛
Remark: 77673 Filxed Collection; 3PCS AG13 BATTERIES(INCLUDED)</t>
  </si>
  <si>
    <t>4500188991-10</t>
  </si>
  <si>
    <t>Kinderherz 2025 Logo贴纸(翻单#4500166480)</t>
  </si>
  <si>
    <t>日期码格式：ZURU INC(BVI) 标准格式 日期：按实际生产日期
Packaging Info: "77673TQ1: 最新MA PDQ(优先3L )+客版收缩膜C版[含英法德callout/英法德意荷警语/法国环保logo-本单放新稿(移除
”Conforms to EN71“描述和更新法国丹麦地址信息)]+MA-23L说明书+客版收藏指南(英法德意荷)（翻#4500155594）+WEEE声明(带电池)走货欧洲通用30L-B版说明
书+Kinderherz 2025 Logo贴纸(翻单#4500166480)
EAN: 4894680042773"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</si>
  <si>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AG250362-HK</t>
  </si>
  <si>
    <t>4500189099-10</t>
  </si>
  <si>
    <t>日期码格式：ZURU INC(BVI) 标准格式 日期：按实际生产日期
Packaging Info: 77673TQ1:MA 1L 收缩膜+MA 1L PDQ+MA 5L 收藏指南+MA 说明书+1张客供警语贴纸+1张客供电池警语贴纸+1张客供中文警告说明书）具体请参考HK 客供警语贴纸位
置
Remark: 此单出HK , EXW+送货运费实报实销。
客户自提，请按船务出货通知及时送货</t>
  </si>
  <si>
    <t>6006-011414</t>
  </si>
  <si>
    <t>4500189943-20</t>
  </si>
  <si>
    <t>外箱需加水贴纸更正信息</t>
  </si>
  <si>
    <t>1张进口商贴纸（贴背面，不得遮挡日期码）</t>
  </si>
  <si>
    <r>
      <rPr>
        <sz val="12"/>
        <rFont val="宋体"/>
        <charset val="134"/>
        <scheme val="minor"/>
      </rPr>
      <t xml:space="preserve">日期码格式：ZURU INC(BVI) 标准格式 日期：按实际生产日期
Packaging Info: 
77673TQ1：MA PDQ，MA PKG , 1L 收缩膜+1张进口商贴纸（贴背面处，不得遮挡日期码）
贴纸不得遮挡日期码
Remark: </t>
    </r>
    <r>
      <rPr>
        <sz val="12"/>
        <color rgb="FFFF0000"/>
        <rFont val="宋体"/>
        <charset val="134"/>
        <scheme val="minor"/>
      </rPr>
      <t>此单77711GQ1 和77673TQ1 可直接挪用canceled PO# 4500185103 : 77711GQ1(780PCS) ,77673TQ1 (400PCS) , 但外箱需加水贴纸更正信息，剩余77711GQ1 (780PCS
)和77673TQ1 (560PCS) 数量可正常走生产流程完货。</t>
    </r>
  </si>
  <si>
    <t>005841216380</t>
  </si>
  <si>
    <t>4500185934-10</t>
  </si>
  <si>
    <t>GABRIEL BROTHERS, INC.</t>
  </si>
  <si>
    <t>4500183158-30</t>
  </si>
  <si>
    <t>日期码格式：ZURU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</si>
  <si>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4500183158-50</t>
  </si>
  <si>
    <t>4500189267-10</t>
  </si>
  <si>
    <t>一张进口商内容贴纸（贴纸翻单4500187980）+最新WEEE带电池走货欧洲30语通用黑白说明书；（贴纸翻单4500187980）</t>
  </si>
  <si>
    <t>日期码格式：ZURU INC(BVI) 标准格式 日期：按实际生产日期
Packaging Info: 77673：最新MA 3L EAN版本包装+一张进口商内容贴纸+MA 23L说明书+最新WEEE带电池走货欧洲30语通用黑白说明书；（贴纸翻单4500187980）；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</si>
  <si>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PO0001591</t>
  </si>
  <si>
    <t>4500189941-80</t>
  </si>
  <si>
    <t>日期码格式：ZURU INC(BVI) 标准格式 日期：按实际生产日期
Packaging Info: 出加拿大
每款产品都需要加进口商贴纸
Zuru验货.日期跟踪码：产品外包装及产品本身都必须有日期跟踪码，ZURU标准格式日期码
Remark: 
77673： MA 3L 加UPC贴纸</t>
  </si>
  <si>
    <t>4500188692-10</t>
  </si>
  <si>
    <t>MEC305-S001-NA-77673</t>
  </si>
  <si>
    <t>日期码格式：ZURU INC(BVI) 标准格式 日期：按实际生产日期
Packaging Info: 1. 包装：ZURU MA UPC版本最新包装；出口美国；
Remark: 2. 日期跟踪码：产品包装及产品本身都必须有日期跟踪码，并且确保两者的日期跟踪码要一致；ZURU标准格式日期码(请自行调整具体年月日生产期，但不能为周
末）。
3. 出货配比: Zuru 标准 配比</t>
  </si>
  <si>
    <t>MEC305-S001-NA</t>
  </si>
  <si>
    <t>HOBBY LOBBY STORES, INC.</t>
  </si>
  <si>
    <t>W0747887</t>
  </si>
  <si>
    <t>4500186641-30</t>
  </si>
  <si>
    <t>贴价格贴纸+条码贴纸各贴1张(即1面1张共2张)</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</si>
  <si>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
4. 新单， 要求出货前寄三款各一箱大货样到深圳办公室以便寄客留样,所有要求跟大货一致。</t>
  </si>
  <si>
    <t>4500188053-20</t>
  </si>
  <si>
    <r>
      <rPr>
        <sz val="12"/>
        <rFont val="宋体"/>
        <charset val="134"/>
        <scheme val="minor"/>
      </rPr>
      <t xml:space="preserve">日期码格式：ZURU INC(BVI) 标准格式 日期：按实际生产日期
Packaging Info: 
77785： </t>
    </r>
    <r>
      <rPr>
        <sz val="12"/>
        <color rgb="FFFF0000"/>
        <rFont val="宋体"/>
        <charset val="134"/>
        <scheme val="minor"/>
      </rPr>
      <t>最新客版彩盒翻单4500186500</t>
    </r>
    <r>
      <rPr>
        <sz val="12"/>
        <rFont val="宋体"/>
        <charset val="134"/>
        <scheme val="minor"/>
      </rPr>
      <t>+1张EAN条码贴纸+（77673 &lt;(&gt;&amp;&lt;)&gt; 77711：最新【MA 3L EAN INT版本包装+空白贴纸覆盖球上面的条码（77711）+MA 23L 警告语
说明书+MA 5L 收藏指南+WEEE带电池走货欧洲30语通用黑白说明书 ）
Remark: 1. 此单出西班牙市场，需满足EU测试标准要求，微塑料需符合EU法规。
2. 需ZURU OQC验货后才可以安排出货，需要给到客户验货图片审批才可以放货
3. 客户要求提供3套大货样板&lt;(&gt;&amp;&lt;)&gt; 3个折叠好的空盒子(如含有PDQ的话要寄PDQ)， 在1/30前到深圳办公室 ，需备料</t>
    </r>
  </si>
  <si>
    <t>4500189099-30</t>
  </si>
  <si>
    <t xml:space="preserve">1张客供警语贴纸+1张客供电池警语贴纸 </t>
  </si>
  <si>
    <t>日期码格式：ZURU INC(BVI) 标准格式 日期：按实际生产日期
Packaging Info: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（77785里的77711 （INT): MA 3L 收缩膜+1张空白贴纸覆盖条码+MA 收藏指南+ MA 说明书+球底部贴1张客供警语贴纸，收藏指南贴一张客供警语贴纸，说明书贴一
张客供警语贴纸）
Remark: 此单出HK , EXW+送货运费实报实销。
客户自提，请按船务出货通知及时送货</t>
  </si>
  <si>
    <t>4500188053-30</t>
  </si>
  <si>
    <t>10001637700-0581</t>
  </si>
  <si>
    <t>4500189432-10</t>
  </si>
  <si>
    <t>条码箱贴纸</t>
  </si>
  <si>
    <t>10001641338-0581</t>
  </si>
  <si>
    <t>4500187341-10</t>
  </si>
  <si>
    <t>4500188895-70</t>
  </si>
  <si>
    <t>3C中文贴纸+防窜码贴纸</t>
  </si>
  <si>
    <t>日期码格式：ZURU INC(BVI) 标准格式 日期：按实际生产日期
Packaging Info: 物料要求 SKU
5 77673 MA +中文说明书+3C中文贴纸 +收藏指南 翻单： 4500178919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</si>
  <si>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4500188895-60</t>
  </si>
  <si>
    <t>中文3C贴纸+芯片码</t>
  </si>
  <si>
    <t>日期码格式：ZURU INC(BVI) 标准格式 日期：按实际生产日期
Packaging Info: 物料要求 SKU
6.77785 ：2部分子件构成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翻单：4500178919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</si>
  <si>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4500188895-90</t>
  </si>
  <si>
    <t>日期码格式：ZURU INC(BVI) 标准格式 日期：按实际生产日期
Packaging Info: 物料要求 SKU
5 77673 MA +中文说明书+3C中文贴纸 +收藏指南 翻单： 4500178919
6.77785 ：2部分子件构成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翻单：4500178919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</si>
  <si>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4500188895-100</t>
  </si>
  <si>
    <t>4500188895-110</t>
  </si>
  <si>
    <t>4500190045-230</t>
  </si>
  <si>
    <t>日期码格式：ZURU INC(BVI) 标准格式 日期：按实际生产日期
Packaging Info:
23. 77673：3L EAN收缩膜+ UPC条码贴纸+ 进口商贴纸+保证书+箱唛
所有带电产品的保证书是通用的
Remark:
18. 77673：3PCS AG13 BATTERIES(INCLUDED)</t>
  </si>
  <si>
    <t>COSTCO WHOLESALE SPAIN, S.L.U.</t>
  </si>
  <si>
    <t>4500188370-10</t>
  </si>
  <si>
    <r>
      <rPr>
        <sz val="12"/>
        <color theme="1"/>
        <rFont val="宋体"/>
        <charset val="134"/>
        <scheme val="minor"/>
      </rPr>
      <t>日期码格式：ZURU INC(BVI) 标准格式 日期：按实际生产日期
Packaging Info: 1. 77758SLT: 客版彩盒(英法西瑞典冰岛语言-</t>
    </r>
    <r>
      <rPr>
        <sz val="12"/>
        <color rgb="FFFF0000"/>
        <rFont val="宋体"/>
        <charset val="134"/>
        <scheme val="minor"/>
      </rPr>
      <t>翻订单4500188369</t>
    </r>
    <r>
      <rPr>
        <sz val="12"/>
        <color theme="1"/>
        <rFont val="宋体"/>
        <charset val="134"/>
        <scheme val="minor"/>
      </rPr>
      <t>)+客版球的收缩膜(英法西瑞典冰岛语言)+客版冰箱收缩膜(英法西瑞典冰岛语言)+客版冰箱收藏指
南(英法西瑞典冰岛语言)+客版球的收藏指南(英法西瑞典冰岛语言)+客版Manual for three kinds of mini creates(英法西瑞典冰岛语言) +客版球的黑白说明书(
英法西瑞典冰岛语言)+客版内纸袋(英法西瑞典冰岛语言) +客版UV glue bottle sticker(英法西瑞典冰岛语言) +客版冰箱电池警告语和说明书(英法西瑞典冰岛语
言-</t>
    </r>
    <r>
      <rPr>
        <sz val="12"/>
        <color rgb="FFFF0000"/>
        <rFont val="宋体"/>
        <charset val="134"/>
        <scheme val="minor"/>
      </rPr>
      <t>翻订单4500188369</t>
    </r>
    <r>
      <rPr>
        <sz val="12"/>
        <color theme="1"/>
        <rFont val="宋体"/>
        <charset val="134"/>
        <scheme val="minor"/>
      </rPr>
      <t>) + 客版PDQ（翻Costco US PO#4500156301）
除了放新稿的两个和客版PDQ翻显示订单外，剩下的客版包装都翻Costco Spain PO#4500163768
3PK 77711-INT(capsules)+1PK 77673 combo in color box
#77673( Fridge with extra 5 exclusive mini,But "pizza" in different versions of packaging for INT market)
77673:UV GLUE / 7 magnets（6 magnets and 1 Refrigerator magnet）
77711:UV GLUE/ 1 Refrigerator Magnet
77673:3PCS AG13 BATTERIES(INCLUDED)
1F*5D=5PCS/PDQ, 5PDQ/LAYER=25PCS/LAYER, 25PDQ/Tray*3=75PCS/PALLET
Remark: 1. 所有日期码印在彩卡上，产品(枪)上也需印日期码，按实际生产日期，ZURU 标准版格式的日期码。
2. 纸箱唛头：纸箱四面，印刷2个正面，侧唛不印, 按照箱唛模板要求排版。
3. 确保展示架在入外箱的时候一定要正面对着有印刷箱唛的那面,不可以装反。
4.出英国/冰岛/瑞典三个国家，产品需要打UKCA Mark，包装也需要有UKCA，否则不符合法规客人会退货有罚款产生</t>
    </r>
  </si>
  <si>
    <t>没boom</t>
  </si>
  <si>
    <t>4500189088-50</t>
  </si>
  <si>
    <t>WEEE带电池走货欧洲30语通用黑白说明书 ;</t>
  </si>
  <si>
    <t>日期码格式：ZURU INC(BVI) 标准格式 日期：按实际生产日期
Packaging Info: 
77673：最新MA 3L包装+MA 5L收藏指南+MA 23L说明书+WEEE带电池走货欧洲30语通用黑白说明书 ;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</si>
  <si>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10001627721-0
581</t>
  </si>
  <si>
    <t>4500188278-10</t>
  </si>
  <si>
    <t>4500188835-20</t>
  </si>
  <si>
    <t>电池警告语贴纸</t>
  </si>
  <si>
    <t>日期码格式：ZURU INC(BVI) 标准格式 日期：按实际生产日期
Packaging Info: 􏁬 MA UPC 英语包装（优先1L英语版本，或者3L/5L含英语都可）
#77673:􏁬 产品有纽扣电池，包装正面和说明书都需要加电池警告语贴纸（法规要求），如包装正面位置不够，则在正面贴一张小的，再在其背面加上大的警语贴纸
，详细参考贴纸位置图。
Remark: #77693:3PCS AG13 BATTERIES(INCLUDED)</t>
  </si>
  <si>
    <t>4500189535-10</t>
  </si>
  <si>
    <t>1*多语折叠警告语贴纸（翻单4500178223）</t>
  </si>
  <si>
    <t>日期码格式：ZURU INC(BVI) 标准格式 日期：按实际生产日期
Packaging Info: 77673TQ1：最新MA PDQ+Kinderherz 2025 logo（翻单#4500166480）+最新版 MA 3L EAN 收缩膜 + 1*多语折叠警告语贴纸（翻单4500178223） +MA5L收藏指南+ M
A 23L说明书+ MA UV胶黑白警告语+MA纸袋 + 1*B版 WEEE通用带电池走货说明书（全部翻单4500178223）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如产品太小，也可忽略。如无法加字唛，可以用贴纸的形式加在产品身上。（需与包装上的法国地址一致）
ZURU FRANCE 33 rue Paul Meurice 75020 Paris,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</si>
  <si>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FB13925</t>
  </si>
  <si>
    <t>4500188247-10</t>
  </si>
  <si>
    <t>客户EAN 条码贴纸+EAN条码贴纸翻单4500177765+数量贴纸，翻单4500177198</t>
  </si>
  <si>
    <t>日期码格式：ZURU INC(BVI) 标准格式 日期：按实际生产日期
Packaging Info: 77673TQ1:77673TQ1:MA-1L 配套包装+客户EAN 条码贴纸，另外产品内包装再加多一张ZURU带电池版本30语WEEE说明书, EAN条码贴纸翻单4500177765，条码请 核对
5056296049488，PQD右后要加数量贴纸，翻单4500177198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</si>
  <si>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4500187941-10</t>
  </si>
  <si>
    <r>
      <rPr>
        <sz val="12"/>
        <rFont val="宋体"/>
        <charset val="134"/>
        <scheme val="minor"/>
      </rPr>
      <t>日期码格式：ZURU INC(BVI) 标准格式 日期：按实际生产日期
Packaging Info: 1. Cus Item
#77785：MA UPC +</t>
    </r>
    <r>
      <rPr>
        <sz val="12"/>
        <color rgb="FFFF0000"/>
        <rFont val="宋体"/>
        <charset val="134"/>
        <scheme val="minor"/>
      </rPr>
      <t xml:space="preserve"> 客版3L 彩盒 + 客供贴纸, 优先使用MA 1L最新版本</t>
    </r>
    <r>
      <rPr>
        <sz val="12"/>
        <rFont val="宋体"/>
        <charset val="134"/>
        <scheme val="minor"/>
      </rPr>
      <t xml:space="preserve">
Remark: 1. Cus Item
#77785：MA UPC +</t>
    </r>
    <r>
      <rPr>
        <sz val="12"/>
        <color rgb="FFFF0000"/>
        <rFont val="宋体"/>
        <charset val="134"/>
        <scheme val="minor"/>
      </rPr>
      <t xml:space="preserve"> 客版3L 彩盒 + 客供贴纸, 优先使用MA 1L最新版本</t>
    </r>
    <r>
      <rPr>
        <sz val="12"/>
        <rFont val="宋体"/>
        <charset val="134"/>
        <scheme val="minor"/>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请注意#77785一个彩盒中的两个球不允许重复，且一个彩盒不能拆出2个即以上的重复散件。</t>
    </r>
  </si>
  <si>
    <t>Blanche</t>
  </si>
  <si>
    <t>0952702364</t>
  </si>
  <si>
    <t>4500189961-10</t>
  </si>
  <si>
    <t>2/24 第三方</t>
  </si>
  <si>
    <t>外箱印刷带条码的RFID箱唛：RFID紫色色带+WM Dept.图标+RFID图标+ITF-14条码，四面右下角印刷ZURU logo, ITFF条码只印刷在正唛一面，在加印的时候确保
 条形码能扫描出来，外箱侧面任一角落加印："MADE IN CHINA" 字样；</t>
  </si>
  <si>
    <t>贴1张RFID贴纸</t>
  </si>
  <si>
    <t>0952702410</t>
  </si>
  <si>
    <t>4500189961-20</t>
  </si>
  <si>
    <t>0952702454</t>
  </si>
  <si>
    <t>4500189961-30</t>
  </si>
  <si>
    <t>0952702485</t>
  </si>
  <si>
    <t>4500189961-40</t>
  </si>
  <si>
    <t>0952702539</t>
  </si>
  <si>
    <t>4500189961-50</t>
  </si>
  <si>
    <t>0952702575</t>
  </si>
  <si>
    <t>4500189961-60</t>
  </si>
  <si>
    <t>3/2 第三方</t>
  </si>
  <si>
    <t>0952702584</t>
  </si>
  <si>
    <t>4500189961-70</t>
  </si>
  <si>
    <t>4500187827-20</t>
  </si>
  <si>
    <t>客人白色Cat.label</t>
  </si>
  <si>
    <t>日期码格式：ZURU INC(BVI) 标准格式 日期：按实际生产日期
Packaging Info:
77673:MA -1L UPC包装+客人白色Cat.label 1张覆盖ZURU条码+B版WEEE带电池走货说明书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77673扫描结果为7624348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</si>
  <si>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4500186623-30</t>
  </si>
  <si>
    <r>
      <rPr>
        <sz val="12"/>
        <rFont val="宋体"/>
        <charset val="134"/>
        <scheme val="minor"/>
      </rPr>
      <t>日期码格式：ZURU INC(BVI) 标准格式 日期：按实际生产日期
Packaging Info: 1. Cus Item
#77785：MA UPC +</t>
    </r>
    <r>
      <rPr>
        <sz val="12"/>
        <color rgb="FFFF0000"/>
        <rFont val="宋体"/>
        <charset val="134"/>
        <scheme val="minor"/>
      </rPr>
      <t xml:space="preserve"> 客版3L 彩盒 + 客供贴纸, 优先使用MA 1L最新版本</t>
    </r>
    <r>
      <rPr>
        <sz val="12"/>
        <rFont val="宋体"/>
        <charset val="134"/>
        <scheme val="minor"/>
      </rPr>
      <t xml:space="preserve">
Remark: 1. Cus Item
#77785：MA UPC +</t>
    </r>
    <r>
      <rPr>
        <sz val="12"/>
        <color rgb="FFFF0000"/>
        <rFont val="宋体"/>
        <charset val="134"/>
        <scheme val="minor"/>
      </rPr>
      <t xml:space="preserve"> 客版3L 彩盒 + 客供贴纸, 优先使用MA 1L最新版本</t>
    </r>
    <r>
      <rPr>
        <sz val="12"/>
        <rFont val="宋体"/>
        <charset val="134"/>
        <scheme val="minor"/>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r>
  </si>
  <si>
    <t>Amazon UK:
5UDAXT8V</t>
  </si>
  <si>
    <t>4500187223-10</t>
  </si>
  <si>
    <t>日期码格式：ZURU INC(BVI) 标准格式 日期：按实际生产日期
Packaging Info: Amazon UK(77785)/DE(77785)
1.77785:1pk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A收藏指南+1张贴纸（Spielzeugpreis Alles fürs Kinderherz，仅出DE需要,参考翻单PO#4500166480)+77711: MA 3L(3L warning EAN)A收缩
膜+MA 5L(23L warning)B收藏指南+MA 23L警告语说明书+MA 5L A说明书 +客版彩盒（新FR&lt;(&gt;&amp;&lt;)&gt;DK地址，参考翻单PO#4500186500）+WEEE电子产品说明书30L(带
电池走货B版)；
2.最晚出货不得迟于2026/2/27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9.无论是工厂自检还是ZURU验货，验货报告中必须有产品6面图(正面/背面/左面/右面/顶部/底部，不带包装);</t>
  </si>
  <si>
    <t>Amazon DE:
2KMU7RQH</t>
  </si>
  <si>
    <t>4500187223-20</t>
  </si>
  <si>
    <t>4500190102-60</t>
  </si>
  <si>
    <t>日期码格式：ZURU INC(BVI) 标准格式 日期：按实际生产日期
Packaging Info: 物料要求 SKU
5 77673 MA +中文说明书+3C中文贴纸 +收藏指南 翻单： 4500188895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</si>
  <si>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4500190102-70</t>
  </si>
  <si>
    <t>4500190678-60</t>
  </si>
  <si>
    <r>
      <rPr>
        <sz val="12"/>
        <rFont val="宋体"/>
        <charset val="134"/>
        <scheme val="minor"/>
      </rPr>
      <t xml:space="preserve">日期码格式：ZURU INC(BVI) 标准格式 日期：按实际生产日期
Packaging Info:
6.77673：最新【MA 3L 收缩膜含EAN条码+一张进口商贴纸】+MA 最新5L收藏指南+MA 最新23L说明书+WEEE带电池走货欧洲30L通用黑白说明书;
</t>
    </r>
    <r>
      <rPr>
        <sz val="12"/>
        <color rgb="FFFF0000"/>
        <rFont val="宋体"/>
        <charset val="134"/>
        <scheme val="minor"/>
      </rPr>
      <t>此单资料都翻4500184256</t>
    </r>
    <r>
      <rPr>
        <sz val="12"/>
        <rFont val="宋体"/>
        <charset val="134"/>
        <scheme val="minor"/>
      </rPr>
      <t xml:space="preserve">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r>
  </si>
  <si>
    <t>009601216986</t>
  </si>
  <si>
    <t>4500185935-10</t>
  </si>
  <si>
    <t>009601216987</t>
  </si>
  <si>
    <t>4500185936-10</t>
  </si>
  <si>
    <t>SUBURBIA S DE R. L. DE C. V.</t>
  </si>
  <si>
    <t>4500186204-60</t>
  </si>
  <si>
    <t>1.外箱只需四面印Zurulogo，再加2张贴纸，1张mu贴纸(条码贴)，1张ASN贴纸(尺寸6.5cm*6.3cm
潘通色号2597C)，都贴于侧唛，只需贴1面(HU贴纸和ASN贴纸客供</t>
  </si>
  <si>
    <t>UPC贴纸+MA 多语收藏指南+进口商贴纸+价标贴纸</t>
  </si>
  <si>
    <t>日期码格式：ZURU INC(BVI) 标准格式 日期：按实际生产日期
Packaging Info: 
77673,,MA 3L EAN 包装+UPC贴纸+MA 多语收藏指南+进口商贴纸+价标贴纸,,
Remark: 1.外箱只需四面印Zurulogo，再加2张贴纸，1张mu贴纸(条码贴)，1张ASN贴纸(尺寸6.5cm*6.3cm
潘通色号2597C)，都贴于侧唛，只需贴1面(HU贴纸和ASN贴纸客供)
2.一个外箱对应一个H’S(条形码)不可以混条码包装
3.含有说明书需要增加说明书贴纸
4.价格贴纸覆盖原有包装的条形码
5. 此单有监柜要求，需要每款多准备一套完整物料，用于监柜，不可以随大货走
6. 请确保包装上的条形码是UPC，如果是babyUPC，需要用mother UPC覆盖，如有不一致，请及时提出。谢谢</t>
  </si>
  <si>
    <t>Zuru Poland Sp. Z o.o.</t>
  </si>
  <si>
    <t>4500191102-30</t>
  </si>
  <si>
    <t>1*多语折叠警告语贴纸（翻单4500174753） +MA5L收藏指南+ MA 23L说明书+ MA UV胶黑白警告语+MA纸袋 + 1*B
版 WEEE通用带电池走货说明书（翻单4500174753）.</t>
  </si>
  <si>
    <t>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t>
  </si>
  <si>
    <t>日期码格式：ZURU INC(BVI) 标准格式 日期：按实际生产日期
Packaging Info:
77673TQ1：最新MA PDQ+最新 MA 3L EAN 收缩膜 + 1*多语折叠警告语贴纸（翻单4500174753） +MA5L收藏指南+ MA 23L说明书+ MA UV胶黑白警告语+MA纸袋 + 1*B
版 WEEE通用带电池走货说明书（翻单4500174753）.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所有出往波兰订单的电子产品需增加一张欧洲通用WEEE声明说明书，区分带电池和不带电池版本, 如已做客版说明书可忽略此要求。</t>
  </si>
  <si>
    <t>FB13947</t>
  </si>
  <si>
    <t>4500188247-50</t>
  </si>
  <si>
    <t>FB13948</t>
  </si>
  <si>
    <t>4500188247-120</t>
  </si>
  <si>
    <t>FB13926</t>
  </si>
  <si>
    <t>4500188247-160</t>
  </si>
  <si>
    <t>VM INTERNATIONAL</t>
  </si>
  <si>
    <t>4500191213-50</t>
  </si>
  <si>
    <t>77673TQ1-S005</t>
  </si>
  <si>
    <t>迷你冰箱 12pcs/3TQ/箱</t>
  </si>
  <si>
    <t>日期码格式：ZURU INC(BVI) 标准格式 日期：按实际生产日期
Packaging Info: 1. ZURU 标准日期码格式，
2. 无第三方测试和验货，ZURU 内部QC验货即可出货
Remark: 3. 优先 MA 1L UPC包装;
4. 纸箱印ZURU LOGO，出口美国；</t>
  </si>
  <si>
    <t>没入</t>
  </si>
  <si>
    <t>4500190510-20</t>
  </si>
  <si>
    <t>一张客户警语进口商内容贴纸（贴纸翻单4500178109）；</t>
  </si>
  <si>
    <t>日期码格式：ZURU INC(BVI) 标准格式 日期：按实际生产日期
Packaging Info: 
2.77673：最新MA 3L包装+一张客户警语进口商内容贴纸+MA 5L收藏指南+MA 23L说明书+WEEE带电池走货欧洲30语通用黑白说明书 ;（贴纸翻单4500178109）；
备注：整单CRD为2/6，因价格有效期维护限制，9296暂开到12月底，后续更新PO；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
6.此单LC条款，延迟出货有罚款；
7.需要准备每款1套大货样，请注意备料。</t>
  </si>
  <si>
    <t>009601216988</t>
  </si>
  <si>
    <t>4500185938-10</t>
  </si>
  <si>
    <t>4500189585-40</t>
  </si>
  <si>
    <t>日期码格式：ZURU INC(BVI) 标准格式 日期：按实际生产日期
Packaging Info:
77673: MA EAN 3L + 警语贴纸（翻单4500162375）+WEEE 带电池 30L B 说明书
Remark: 1. 产品配比：
77673: Filxed Collection
2. 产品和包装要求无硼无香，包装不能含有PVC
3. 如有微塑料，必须合规欧洲标准，并增加微塑料合规IFUD声明在说明书上
4. 带电池出货的产品，所用到的电池需要符合欧洲电池新规(EU)2023-1542，并增加对应WEEE 说明书</t>
  </si>
  <si>
    <t>ZU25121801SG</t>
  </si>
  <si>
    <t>4500190283-10</t>
  </si>
  <si>
    <t>1张固定进口商贴纸,2款的贴纸图稿及位置图翻
 4500163177</t>
  </si>
  <si>
    <r>
      <rPr>
        <sz val="12"/>
        <rFont val="宋体"/>
        <charset val="134"/>
        <scheme val="minor"/>
      </rPr>
      <t xml:space="preserve">日期码格式：ZURU INC(BVI) 标准格式 日期：按实际生产日期
Packaging Info: 
</t>
    </r>
    <r>
      <rPr>
        <sz val="12"/>
        <color rgb="FFFF0000"/>
        <rFont val="宋体"/>
        <charset val="134"/>
        <scheme val="minor"/>
      </rPr>
      <t>77673-MA UPC包装(优先1L)+1张固定进口商贴纸;</t>
    </r>
    <r>
      <rPr>
        <sz val="12"/>
        <rFont val="宋体"/>
        <charset val="134"/>
        <scheme val="minor"/>
      </rPr>
      <t xml:space="preserve">
2款的贴纸图稿及位置图翻4500163177
因系统问题, 77711GQ1 的交期暂开到2/1,待更新为3/6
Remark: 77673-Filxed Collection
77711GQ1-2.3692%The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t>
    </r>
  </si>
  <si>
    <t>10001581650-3
890</t>
  </si>
  <si>
    <t>4500189636-20</t>
  </si>
  <si>
    <t>欠条码箱贴纸</t>
  </si>
  <si>
    <t>日期码格式：ZURU INC(BVI) 标准格式 日期：按实际生产日期
Packaging Info: 
77673TQ1: 产品包装 客版收缩膜(C版)+客版收藏指南+MA说明书+ MA 1L PDQ；客版收缩膜(C版）翻单4500183607；客版收藏指南翻单4500174008
Remark:
77673TQ1:
1. 77673TQ1-S001-CC-MINI BRANDS-FILL THE FRIDGE PLAYSET-SERIES 1-SHRINK WRAP,4PCS/PDQ,4PCS/PDQ/CTN
2. 产品包装 客版收缩膜(C版)+客版收藏指南+MA说明书+ MA 1L PDQ；客版收缩膜上的UPC显示193052079404；客版收缩膜(C版）翻单4500183607；客版收藏指南翻
单4500174008；
3. 外箱正唛左上角位置粘贴条码箱贴纸，每箱只贴一张，由ZURU订购。来料贴纸上显示的客户DPCI# 086-02-3468， UPC显示10193052079401;
4. 产品和包装上均要印刷tracking code信息，格式为ZURU常规格式;
5. 出货方式：货代自提</t>
  </si>
  <si>
    <t>009361218280</t>
  </si>
  <si>
    <t>4500185940-10</t>
  </si>
  <si>
    <t>1627461 ALBERTA LTD C/O SHOPVILLE</t>
  </si>
  <si>
    <t>6733 Zuru Dec 5</t>
  </si>
  <si>
    <t>4500191116-50</t>
  </si>
  <si>
    <t>日期码格式：ZURU INC(BVI) 标准格式 日期：按实际生产日期
Packaging Info:
77673 MA 多语加UPC贴纸
Remark: 出加拿大
Zuru验货.日期跟踪码：产品外包装及产品本身都必须有日期跟踪码，ZURU标准格式日期码</t>
  </si>
  <si>
    <t>PO 777 1MAR26</t>
  </si>
  <si>
    <t>4500187028-30</t>
  </si>
  <si>
    <t>日期码格式：ZURU INC(BVI) 标准格式 日期：按实际生产日期
Packaging Info: MA 1L UPC最新包装+ MA PDQ（如果有的话)+其他MA 包装，MA 指南/说明书（如果有的话），请先核对条码无误后安排，配比按MA
77673TQ1-S004：193052079404+WEEE带电池走货欧洲30语通用黑白说明书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
黑白说明书</t>
  </si>
  <si>
    <t>BIG IDEAS MARKETING</t>
  </si>
  <si>
    <t>mDDP122325</t>
  </si>
  <si>
    <t>4500190742-20</t>
  </si>
  <si>
    <t>日期码格式：ZURU INC(BVI) 标准格式 日期：按实际生产日期
Packaging Info: 1、包装方式：MA UPC优先1L最新版，出口美国
Remark: 2、无第三方测试与验货要求
3、纸箱4面印ZURU LOGO + 箱唛
4、日期码请按ZURU标准版执行即可
5、ZURU QC验货</t>
  </si>
  <si>
    <t>MINISO DEPOT CA INC.</t>
  </si>
  <si>
    <t>4354219567</t>
  </si>
  <si>
    <t>4500191055-110</t>
  </si>
  <si>
    <t>欠PDQ上需要贴一张UPC 条码贴纸,</t>
  </si>
  <si>
    <t>日期码格式：ZURU INC(BVI) 标准格式 日期：按实际生产日期
Packaging Info: 1. 包装方式：MA UPC优先1L最新包装，出口美国；
2. 产品和包装上印刷tracking code信息，格式为ZURU常规；
3. ZURU QC 验货合格后即可出货.
Remark: 
10. 77673TQ1-S001 PDQ上需要贴一张UPC 条码贴纸,UPC显示：193052079404，贴纸AW跟单提供，工厂自行采购;</t>
  </si>
  <si>
    <t>Iris Yuan</t>
  </si>
  <si>
    <t>4500191070-110</t>
  </si>
  <si>
    <t>日期码格式：ZURU INC(BVI) 标准格式 日期：按实际生产日期
Packaging Info: 1. 包装方式：MA UPC优先1L最新包装，出口美国；
2. 产品和包装上印刷tracking code信息，格式为ZURU常规；
3. ZURU QC 验货合格后即可出货.
Remark:
10. 77673TQ1-S001 PDQ上需要贴一张UPC 条码贴纸,UPC显示：193052079404，贴纸AW跟单提供，工厂自行采购;</t>
  </si>
  <si>
    <t>10001641341-0
581</t>
  </si>
  <si>
    <t>4500190514-10</t>
  </si>
  <si>
    <t>4500184338-20</t>
  </si>
  <si>
    <r>
      <rPr>
        <sz val="12"/>
        <rFont val="宋体"/>
        <charset val="134"/>
        <scheme val="minor"/>
      </rPr>
      <t>日期码格式：ZURU INC(BVI) 标准格式 日期：按实际生产日期
Packaging Info: 1.
#77785：MA UPC +</t>
    </r>
    <r>
      <rPr>
        <sz val="12"/>
        <color rgb="FFFF0000"/>
        <rFont val="宋体"/>
        <charset val="134"/>
        <scheme val="minor"/>
      </rPr>
      <t xml:space="preserve"> 客版3L 彩盒 + 客供贴纸, 优先使用MA 1L最新版本</t>
    </r>
    <r>
      <rPr>
        <sz val="12"/>
        <rFont val="宋体"/>
        <charset val="134"/>
        <scheme val="minor"/>
      </rPr>
      <t xml:space="preserve">
Remark: 1.#77731, MA UPC 最新版本（优先1L）+客制包材（PVC 桶）+客供贴纸
#77785：MA UPC + </t>
    </r>
    <r>
      <rPr>
        <sz val="12"/>
        <color rgb="FFFF0000"/>
        <rFont val="宋体"/>
        <charset val="134"/>
        <scheme val="minor"/>
      </rPr>
      <t>客版3L 彩盒 + 客供贴纸, 优先使用MA 1L最新版本</t>
    </r>
    <r>
      <rPr>
        <sz val="12"/>
        <rFont val="宋体"/>
        <charset val="134"/>
        <scheme val="minor"/>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8.请注意#77785一个彩盒中的两个球不允许重复，且一个彩盒不能拆出2个即以上的重复散件。</t>
    </r>
  </si>
  <si>
    <t>4500190902-10</t>
  </si>
  <si>
    <t>日期码格式：ZURU INC(BVI) 标准格式 日期：按实际生产日期
Packaging Info: 1. 77758SLT: 客版彩盒(英法西瑞典冰岛语言-翻订单4500188369)+客版球的收缩膜(英法西瑞典冰岛语言)+客版冰箱收缩膜(英法西瑞典冰岛语言)+客版冰箱收藏指
南(英法西瑞典冰岛语言)+客版球的收藏指南(英法西瑞典冰岛语言)+客版Manual for three kinds of mini creates(英法西瑞典冰岛语言) +客版球的黑白说明书(
英法西瑞典冰岛语言)+客版内纸袋(英法西瑞典冰岛语言) +客版UV glue bottle sticker(英法西瑞典冰岛语言) +客版冰箱电池警告语和说明书(英法西瑞典冰岛语
言-翻订单4500188369) + 客版PDQ（翻Costco US PO#4500156301）
除了放新稿的两个和客版PDQ翻显示订单外，剩下的客版包装都翻Costco Spain PO#4500163768
3PK 77711-INT(capsules)+1PK 77673 combo in color box
#77673( Fridge with extra 5 exclusive mini,But "pizza" in different versions of packaging for INT market)
77673:UV GLUE / 7 magnets（6 magnets and 1 Refrigerator magnet）
77711:UV GLUE/ 1 Refrigerator Magnet
77673:3PCS AG13 BATTERIES(INCLUDED)
1F*5D=5PCS/PDQ, 5PDQ/LAYER=25PCS/LAYER, 25PDQ/Tray*3=75PCS/PALLET
UPC#193052086990
Remark: 1. 所有日期码印在彩卡上，产品(枪)上也需印日期码，按实际生产日期，ZURU 标准版格式的日期码。
2. 纸箱唛头：纸箱四面，印刷2个正面，侧唛不印, 按照箱唛模板要求排版。
3. 确保展示架在入外箱的时候一定要正面对着有印刷箱唛的那面,不可以装反。
4.出英国/冰岛/瑞典三个国家，产品需要打UKCA Mark，包装也需要有UKCA，否则不符合法规客人会退货有罚款产生</t>
  </si>
  <si>
    <t>KANDYTOYS LIMITED</t>
  </si>
  <si>
    <t>AS191225ZUR15274</t>
  </si>
  <si>
    <t>4500190991-100</t>
  </si>
  <si>
    <t>欠PDQ底部贴一张带条码35063389172306并可扫描的贴纸(ZURU 跟单提供模板），含电池的需要增加WEEE说明书。</t>
  </si>
  <si>
    <t>日期码格式：ZURU INC(BVI) 标准格式 日期：按实际生产日期
Packaging Info:
77673TQ1: MA UPC 1L+WEEE 30L B 带电池说明书+PDQ底部贴一张带条码35063389172306并可扫描的贴纸(ZURU 跟单提供模板）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4.产品条码以订单显示为准 ，请安排生产前先核对再生产。
5.外箱上的条码请确保清晰可扫描，有PDQ， 需要在PDQ底部贴一张带条码并可扫描的贴纸(ZURU 跟单提供模板）。
6.所有产品按符合欧洲标准走货，微塑料需合规并增加IFUD声明，含电池的需要增加WEEE说明书。
7.涉及到硼的，需要符合欧洲标准
8.包装不能用PVC材质</t>
  </si>
  <si>
    <t>001791216730</t>
  </si>
  <si>
    <t>4500185942-10</t>
  </si>
  <si>
    <t>001791216731</t>
  </si>
  <si>
    <t>4500185943-10</t>
  </si>
  <si>
    <t>4500191037-10</t>
  </si>
  <si>
    <t>价格贴纸（价贴金额 $24.99,价贴位于产品包装上UPC条形码附近），价贴资料翻单4500182822</t>
  </si>
  <si>
    <t>日期码格式：ZURU INC(BVI) 标准格式 日期：按实际生产日期
Packaging Info: 1. 包材：
#77673: ZURU MA 1L UPC 版本+ MA 5L 收藏指南 +价格贴纸（价贴金额 $24.99,价贴位于产品包装上UPC条形码附近），价贴资料翻单4500182822，工厂直接采购,
出口美国; 。
PS： 如果包材语言版本有更新，需及时通知跟单看否要更新贴纸资料；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PO#2105687 SHIP TO NJ,
PO#2105689 SHIP TO NV,
5. 出货配比：ZURU 标准配比</t>
  </si>
  <si>
    <t>4500191037-20</t>
  </si>
  <si>
    <t>4500190626-30</t>
  </si>
  <si>
    <t>1张小的警语贴纸贴在收缩膜正面+2张大的纽扣电池
 警语贴纸贴在收缩膜背面和说明书上+ 1张防盗贴纸 + 外箱SSCC Label (贴纸以及位置图翻单PO#4500160026）</t>
  </si>
  <si>
    <r>
      <rPr>
        <sz val="12"/>
        <rFont val="宋体"/>
        <charset val="134"/>
        <scheme val="minor"/>
      </rPr>
      <t xml:space="preserve">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2"/>
        <color rgb="FFFF0000"/>
        <rFont val="宋体"/>
        <charset val="134"/>
        <scheme val="minor"/>
      </rPr>
      <t>此订单与NZ PO4500190629一起合并计算</t>
    </r>
  </si>
  <si>
    <t>Louise Lu</t>
  </si>
  <si>
    <t>2026-HKC066</t>
  </si>
  <si>
    <t>4500190606-10</t>
  </si>
  <si>
    <t xml:space="preserve">  </t>
  </si>
  <si>
    <t>欠进口商贴纸+UPC贴纸</t>
  </si>
  <si>
    <t>日期码格式：ZURU INC(BVI) 标准格式 日期：按实际生产日期
Packaging Info: MA 多语包装+进口商贴纸+UPC贴纸+箱唛
Remark:</t>
  </si>
  <si>
    <t>4500191234-230</t>
  </si>
  <si>
    <t>进口商贴纸和UPC条码贴纸翻单PO4500190045</t>
  </si>
  <si>
    <t>日期码格式：ZURU INC(BVI) 标准格式 日期：按实际生产日期
Packaging Info:
14. 77673：3L EAN收缩膜+ UPC条码贴纸+ 进口商贴纸+保证书+箱唛，进口商贴纸和UPC条码贴纸翻单PO4500190045
Remark:
77673：3PCS AG13 BATTERIES(INCLUDED)</t>
  </si>
  <si>
    <t>4500191663-30</t>
  </si>
  <si>
    <t>外箱/产品/包装-指定日期码：DG20260316</t>
  </si>
  <si>
    <t>日期码格式：DG20260316 日期：
Packaging Info:
其余item：MA 多语UPC包装+进口商贴纸+UPC贴纸+箱唛
Remark: 外箱/产品/包装-指定日期码：DG20260316</t>
  </si>
  <si>
    <t>4500191819-30</t>
  </si>
  <si>
    <t>贴纸资料翻单PO#4500159886</t>
  </si>
  <si>
    <t>日期码格式：ZURU INC(BVI) 标准格式 日期：按实际生产日期
Packaging Info: MA UPC 英语包装（优先1L英语版本，或者3L/5L含英语都可）
#77673-􏁬产品有纽扣电池，包装正面和说明书都需要加电池警告语贴纸（法规要求），如包装正面位置不够，则在正面贴一张小的，再在其背面加上大的警语贴纸
，详细参考贴纸位置图。贴纸资料翻单PO#4500159886
Remark:
#77673:3PCS AG13 BATTERIES(INCLUDED)
此客人不接受易掉落或者剥落或者可直接触碰的闪粉，可降解也不行，但可以接受符合欧洲微塑料标准的珠光粉或者闪片</t>
  </si>
  <si>
    <t>4500191819-40</t>
  </si>
  <si>
    <t>009601218346</t>
  </si>
  <si>
    <t>4500185945-10</t>
  </si>
  <si>
    <t>002881218254</t>
  </si>
  <si>
    <t>4500185946-10</t>
  </si>
  <si>
    <t>001741218415</t>
  </si>
  <si>
    <t>4500185948-10</t>
  </si>
  <si>
    <t>4500187942-10</t>
  </si>
  <si>
    <t>10001637705-0
581</t>
  </si>
  <si>
    <t>4500190515-10</t>
  </si>
  <si>
    <t>3M5BD5OL</t>
  </si>
  <si>
    <t>4500191480-50</t>
  </si>
  <si>
    <t>日期码格式：ZURU INC(BVI) 标准格式 日期：按实际生产日期
Packaging Info:
#77673: MA UPC版包装(1L或3L都可)，出口美国。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</si>
  <si>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692RWFFT</t>
  </si>
  <si>
    <t>4500191499-10</t>
  </si>
  <si>
    <t>日期码格式：ZURU INC(BVI) 标准格式 日期：按实际生产日期
Packaging Info: #77673: MA UPC版包装(1L或3L都可)，出口美国。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</si>
  <si>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CARLOS FEDERSPIEL &amp; CIA. - UNIVERSA</t>
  </si>
  <si>
    <t>4500191577-120</t>
  </si>
  <si>
    <t>日期码格式：ZURU INC(BVI) 标准格式 日期：按实际生产日期
Packaging Info:
其余item：MA 多语 包装+进口商贴纸+UPC贴纸+箱唛
Remark:</t>
  </si>
  <si>
    <t>8ZI9QOAC</t>
  </si>
  <si>
    <t>4500191560-60</t>
  </si>
  <si>
    <t>1SXGI83R</t>
  </si>
  <si>
    <t>4500191547-70</t>
  </si>
  <si>
    <t>8TXYXCPJ</t>
  </si>
  <si>
    <t>450191531-50</t>
  </si>
  <si>
    <t>192BGVEL</t>
  </si>
  <si>
    <t>4500191511-60</t>
  </si>
  <si>
    <t>4500191531-50</t>
  </si>
  <si>
    <t>ZMPO260078</t>
  </si>
  <si>
    <t>ZMPO260078-20</t>
  </si>
  <si>
    <t>Remark：大货最新版本包装/大货标准箱装箱/箱唛请参照邮件附件
备注：收到样品订单后尽快安排 ，注意样板品质质量要求要高于大货品质要求 ，送货时必须要附带送货单(没有送货单和QC检验合格报告的仓库一律拒绝收货)，请知悉，谢谢！</t>
  </si>
  <si>
    <t xml:space="preserve"> 
sally Li</t>
  </si>
  <si>
    <t>ZMPO260078-30</t>
  </si>
  <si>
    <t>Remark：大货版本/大货标准箱装箱/箱唛请参照邮件附件
备注：收到样品订单后尽快安排 ，注意样板品质质量要求要高于大货品质要求 ，送货时必须要附带送货单(没有送货单和QC检验合格报告的仓库一律拒绝收货)，请知悉，谢谢！</t>
  </si>
  <si>
    <t>sally Li</t>
  </si>
  <si>
    <t>4500192284-10</t>
  </si>
  <si>
    <t>消耗手工单4500191621</t>
  </si>
  <si>
    <t>4500192091-30</t>
  </si>
  <si>
    <t>日期码格式：ZURU INC(BVI) 标准格式 日期：按实际生产日期
Packaging Info: 1.优先多语 MA UPC或者3L/5L MA EAN 包装
2.请确保包装上的条形码是UPC，如果是babyUPC、需要用mother UPC覆盖，如有不一致，请及时提出。谢谢!
3,带电产品取决于客户测试机构以及产品，有可能只有一张贴纸，也有可能会有2-3张贴纸，具体按客人做完测试后提供的资料。（我司会提供图稿安排做货）
77673 MA 多语 EAN 包装+UPC 贴纸+MA 多语收藏指南+进口商贴纸+箱唛
Remark: 
Common: Equal ratio" 3PCS AG13 BATTERIES(INCLUDED)
77673 Filxed Collection 3PCS AG13 BATTERIES(INCLUDED)</t>
  </si>
  <si>
    <t>4500192106-10</t>
  </si>
  <si>
    <t>4500192818-10</t>
  </si>
  <si>
    <t>走空运</t>
  </si>
  <si>
    <t>日期码格式：ZURU INC(BVI) 标准格式 日期：按实际生产日期
Packaging Info: #77673: MA UPC版包装(1L或3L都可)，出口美国。
注意: 这单走空运，需要提前准备好空运运输危险性鉴定报告。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</si>
  <si>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4500191722-30</t>
  </si>
  <si>
    <r>
      <rPr>
        <sz val="12"/>
        <rFont val="宋体"/>
        <charset val="134"/>
        <scheme val="minor"/>
      </rPr>
      <t>日期码格式：ZURU INC(BVI) 标准格式 日期：按实际生产日期
Packaging Info:</t>
    </r>
    <r>
      <rPr>
        <sz val="12"/>
        <color rgb="FFFF0000"/>
        <rFont val="宋体"/>
        <charset val="134"/>
        <scheme val="minor"/>
      </rPr>
      <t xml:space="preserve"> 注意此单出：EL SALVADOR 萨尔瓦多</t>
    </r>
    <r>
      <rPr>
        <sz val="12"/>
        <rFont val="宋体"/>
        <charset val="134"/>
        <scheme val="minor"/>
      </rPr>
      <t xml:space="preserve">
1.优先多语 MA UPC或者3L/5L MA EAN 包装
2.请确保包装上的条形码是UPC，如果是babyUPC、需要用mother UPC覆盖，如有不一致，请及时提出。谢谢!
</t>
    </r>
    <r>
      <rPr>
        <sz val="12"/>
        <color rgb="FFFF0000"/>
        <rFont val="宋体"/>
        <charset val="134"/>
        <scheme val="minor"/>
      </rPr>
      <t>3.确定要贴进口商贴纸</t>
    </r>
    <r>
      <rPr>
        <sz val="12"/>
        <rFont val="宋体"/>
        <charset val="134"/>
        <scheme val="minor"/>
      </rPr>
      <t xml:space="preserve">
77673:MA 多语 EAN 包装+UPC 贴纸+MA 多语收藏指南+箱唛
Remark:</t>
    </r>
  </si>
  <si>
    <t>4500192740-30</t>
  </si>
  <si>
    <t>日期码格式：ZURU INC(BVI) 标准格式 日期：按实际生产日期
Packaging Info: 注意此单出：GUATEMALA 危地马拉
1.优先多语 MA UPC或者3L/5L MA EAN 包装
2.请确保包装上的条形码是UPC，如果是babyUPC、需要用mother UPC覆盖，如有不一致，请及时提出。谢谢!
77673 MA 多语 EAN 包装+UPC 贴纸+MA 多语收藏指南+箱唛+进口商贴纸
Remark: 
77673 3PCS AG13 BATTERIES(INCLUDED) Filxed Collection</t>
  </si>
  <si>
    <t>4500192757-30</t>
  </si>
  <si>
    <t>日期码格式：ZURU INC(BVI) 标准格式 日期：按实际生产日期
Packaging Info: 注意此单出： NICARAGUA 尼加拉瓜
1.优先多语 MA UPC或者3L/5L MA EAN 包装
2.请确保包装上的条形码是UPC，如果是babyUPC、需要用mother UPC覆盖，如有不一致，请及时提出。谢谢!
77673 MA 多语 EAN 包装+UPC 贴纸+MA 多语收藏指南+箱唛+进口商贴纸
Remark:
77673 3PCS AG13 BATTERIES(INCLUDED) Filxed Collection</t>
  </si>
  <si>
    <t xml:space="preserve"> </t>
  </si>
  <si>
    <t>4500192767-30</t>
  </si>
  <si>
    <t>日期码格式：ZURU INC(BVI) 标准格式 日期：按实际生产日期
Packaging Info: 注意此单出： COSTA RICA 哥斯达黎加
1.优先多语 MA UPC或者3L/5L MA EAN 包装
2.请确保包装上的条形码是UPC，如果是babyUPC、需要用mother UPC覆盖，如有不一致，请及时提出。谢谢!
77673 MA 多语 EAN 包装+UPC 贴纸+MA 多语收藏指南+箱唛+进口商贴纸
Remark: 
77673 3PCS AG13 BATTERIES(INCLUDED) Filxed Collection</t>
  </si>
  <si>
    <t>4500186326-40</t>
  </si>
  <si>
    <r>
      <rPr>
        <sz val="12"/>
        <rFont val="宋体"/>
        <charset val="134"/>
        <scheme val="minor"/>
      </rPr>
      <t>日期码格式：ZURU INC(BVI) 标准格式 日期：按实际生产日期
Packaging Info: 1. STD Items: ZURU MA UPC 现有包装+客供价格贴纸，优先使用MA 1L最新版本（可接受多语）,出口美国
Remark: 1. Cus Item
#77785：MA UPC +</t>
    </r>
    <r>
      <rPr>
        <sz val="12"/>
        <color rgb="FFFF0000"/>
        <rFont val="宋体"/>
        <charset val="134"/>
        <scheme val="minor"/>
      </rPr>
      <t xml:space="preserve"> 客版3L 彩盒 + 客供贴纸, 优先使用MA 1L最新版本</t>
    </r>
    <r>
      <rPr>
        <sz val="12"/>
        <rFont val="宋体"/>
        <charset val="134"/>
        <scheme val="minor"/>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r>
  </si>
  <si>
    <t>4500190343-20</t>
  </si>
  <si>
    <t>日期码格式：ZURU INC(BVI) 标准格式 日期：按实际生产日期
Packaging Info: 1. 进口商贴纸贴的位置不可以挡住西语信息
2. 带电产品会有两个贴纸，分别贴到产品电池门+包装，外加客版说明书+一张保证书，若MA说明书上有跟进口商贴纸上的信息，一般不需要说明书贴纸,具
体以客人测试完成后提供为准.
3. 请确保包装上的条形码是UPC，如果是babyUPC、需要用mother UPC覆盖，如有不一致，请及时提出。谢谢
77673：3PCS AG13 BATTERIES(INCLUDED)，Filxed Collection
Remark:
77673：MA 多语 EAN 包装+UPC 贴纸+MA 多语收藏指南+包装进口商贴纸+电池门进口商贴纸+客版说明书+一张保证书+箱唛</t>
  </si>
  <si>
    <t>7I1NFURX</t>
  </si>
  <si>
    <t>4500191865-10</t>
  </si>
  <si>
    <t>欠SSCC贴纸</t>
  </si>
  <si>
    <t>日期码格式：ZURU INC(BVI) 标准格式 日期：按实际生产日期
Packaging Info: Amazon DE: 7I1NFURX
Amazon DE(77785)
2. 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A收藏指南+1张贴纸（Spielzeugpreis Alles fürs Kinderherz，仅出DE需要,参考翻单PO#4500166480)+77711: MA 3L(3L warning EAN)A收缩
膜+MA 5L(23L warning)B收藏指南+MA 23L警告语说明书+MA 5L A说明书 +客版彩盒（含英法西警告语+UPC#+GPSR邮箱care@zuru.com+FR/ES/IT环保标+新FR/DK地址
）+WEEE电子产品说明书30L(带电池走货B版)；
3. 验货时间不迟于2026/3/26.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</si>
  <si>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6PNQPMMD</t>
  </si>
  <si>
    <t>4500191865-40</t>
  </si>
  <si>
    <t>日期码格式：ZURU INC(BVI) 标准格式 日期：按实际生产日期
Packaging Info:
Amazon FR: 6PNQPMMD
AmazonFR(77785)
2. 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A收藏指南+1张贴纸（Spielzeugpreis Alles fürs Kinderherz，仅出DE需要,参考翻单PO#4500166480)+77711: MA 3L(3L warning EAN)A收缩
膜+MA 5L(23L warning)B收藏指南+MA 23L警告语说明书+MA 5L A说明书 +客版彩盒（含英法西警告语+UPC#+GPSR邮箱care@zuru.com+FR/ES/IT环保标+新FR/DK地址
）+WEEE电子产品说明书30L(带电池走货B版)；
3. 验货时间不迟于2026/3/26.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</si>
  <si>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123HAR4N</t>
  </si>
  <si>
    <t>4500191865-60</t>
  </si>
  <si>
    <t>日期码格式：ZURU INC(BVI) 标准格式 日期：按实际生产日期
Packaging Info:
Amazon IT: 123HAR4N
Amazon IT(77785)
2. 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A收藏指南+1张贴纸（Spielzeugpreis Alles fürs Kinderherz，仅出DE需要,参考翻单PO#4500166480)+77711: MA 3L(3L warning EAN)A收缩
膜+MA 5L(23L warning)B收藏指南+MA 23L警告语说明书+MA 5L A说明书 +客版彩盒（含英法西警告语+UPC#+GPSR邮箱care@zuru.com+FR/ES/IT环保标+新FR/DK地址
）+WEEE电子产品说明书30L(带电池走货B版)；
3. 验货时间不迟于2026/3/26.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</si>
  <si>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4500191865-20</t>
  </si>
  <si>
    <t>日期码格式：ZURU INC(BVI) 标准格式 日期：按实际生产日期
Packaging Info: Amazon DE: 7I1NFURX
Amazon DE(77673)
1. 77673:12pcs/ctn; MA 3L(3L warning EAN#)B收缩膜+MA 23L warning B说明书+MA 5L A收藏指南+2张贴纸(1张UPC#，参考翻单PO#4500158582；1张可折叠警语贴
含德意警告语+IT环保标，参考翻单PO#4500157858)+WEEE电子产品说明书30L(带电池走货B版)+1张贴纸（Spielzeugpreis Alles fürs Kinderherz，仅出DE需要,
参考翻单PO#4500166480）;
3. 验货时间不迟于2026/3/26.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</si>
  <si>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46EOUVFO</t>
  </si>
  <si>
    <t>4500191865-30</t>
  </si>
  <si>
    <t>日期码格式：ZURU INC(BVI) 标准格式 日期：按实际生产日期
Packaging Info: Amazon 
Amazon ES: 46EOUVFO
Amazon ES(77673)
1. 77673:12pcs/ctn; MA 3L(3L warning EAN#)B收缩膜+MA 23L warning B说明书+MA 5L A收藏指南+2张贴纸(1张UPC#，参考翻单PO#4500158582；1张可折叠警语贴
含德意警告语+IT环保标，参考翻单PO#4500157858)+WEEE电子产品说明书30L(带电池走货B版)+1张贴纸（Spielzeugpreis Alles fürs Kinderherz，仅出DE需要,
参考翻单PO#4500166480）;
3. 验货时间不迟于2026/3/26.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</si>
  <si>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4500191865-50</t>
  </si>
  <si>
    <t>日期码格式：ZURU INC(BVI) 标准格式 日期：按实际生产日期
Packaging Info:
Amazon FR: 6PNQPMMD
Amazon FR(77673)
1. 77673:12pcs/ctn; MA 3L(3L warning EAN#)B收缩膜+MA 23L warning B说明书+MA 5L A收藏指南+2张贴纸(1张UPC#，参考翻单PO#4500158582；1张可折叠警语贴
含德意警告语+IT环保标，参考翻单PO#4500157858)+WEEE电子产品说明书30L(带电池走货B版)+1张贴纸（Spielzeugpreis Alles fürs Kinderherz，仅出DE需要,
参考翻单PO#4500166480）;
3. 验货时间不迟于2026/3/26.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</si>
  <si>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5153</t>
  </si>
  <si>
    <t>4500192425-140</t>
  </si>
  <si>
    <t>日期码格式：ZURU INC(BVI) 标准格式 日期：按实际生产日期
Packaging Info: 1. 出口美国，MA UPC 版本包装，优先1L。
#77673: 3PCS AG13 BATTERIES(INCLUDED);
Remark: 2. ZURU QC 验货即可。</t>
  </si>
  <si>
    <t>4500192252-90</t>
  </si>
  <si>
    <t>翻单：4500185221</t>
  </si>
  <si>
    <t>日期码格式：ZURU INC(BVI) 标准格式 日期：按实际生产日期
Packaging Info: 物料要求 SKU
6.77785 ：2部分子件构成 翻单：4500185221
物料要求：UPC:193052089786 UPC部分：所有子件UPC要求统一或者覆盖
MA+77785 中文3C贴纸+77785 中文收藏指南 +芯片码
子件 A : 77673- 1个：MA+77673 中文收藏指南+77673 中文黑白说明书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</si>
  <si>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2-26-0002</t>
  </si>
  <si>
    <t>4500192550-20</t>
  </si>
  <si>
    <t>贴纸图稿跟位置图均翻单4500167360</t>
  </si>
  <si>
    <t>日期码格式：ZURU INC(BVI) 标准格式 日期：按实际生产日期
Packaging Info: MA UPC包装(优先1L)+1张固定的进口商贴纸,可统一订购;
2单的贴纸图稿跟位置图均翻单4500167360
Remark:
77673TQ1-Filxed Collection</t>
  </si>
  <si>
    <t>10001643442-0
581</t>
  </si>
  <si>
    <t>4500190516-10</t>
  </si>
  <si>
    <t>4500192220-30</t>
  </si>
  <si>
    <r>
      <rPr>
        <sz val="12"/>
        <rFont val="宋体"/>
        <charset val="134"/>
        <scheme val="minor"/>
      </rPr>
      <t>日期码格式：ZURU INC(BVI) 标准格式 日期：按实际生产日期
Packaging Info: 
77785：</t>
    </r>
    <r>
      <rPr>
        <sz val="12"/>
        <color rgb="FFFF0000"/>
        <rFont val="宋体"/>
        <charset val="134"/>
        <scheme val="minor"/>
      </rPr>
      <t>客版 3L UPC</t>
    </r>
    <r>
      <rPr>
        <sz val="12"/>
        <rFont val="宋体"/>
        <charset val="134"/>
        <scheme val="minor"/>
      </rPr>
      <t xml:space="preserve"> 彩盒包装 + 箱唛 + 外箱贴纸SSCC Label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PO#4500192221一起合并计算</t>
    </r>
  </si>
  <si>
    <t>4500192221-30</t>
  </si>
  <si>
    <r>
      <rPr>
        <sz val="12"/>
        <rFont val="宋体"/>
        <charset val="134"/>
        <scheme val="minor"/>
      </rPr>
      <t xml:space="preserve">日期码格式：ZURU INC(BVI) 标准格式 日期：按实际生产日期
Packaging Info: 
77785：MA </t>
    </r>
    <r>
      <rPr>
        <sz val="12"/>
        <color rgb="FFFF0000"/>
        <rFont val="宋体"/>
        <charset val="134"/>
        <scheme val="minor"/>
      </rPr>
      <t>客版</t>
    </r>
    <r>
      <rPr>
        <sz val="12"/>
        <rFont val="宋体"/>
        <charset val="134"/>
        <scheme val="minor"/>
      </rPr>
      <t xml:space="preserve"> 3L UPC 彩盒包装 + 箱唛 + 外箱贴纸SSCC Label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PO#4500192220一起合并计算</t>
    </r>
  </si>
  <si>
    <t>001791216732</t>
  </si>
  <si>
    <t>4500185949-10</t>
  </si>
  <si>
    <t>013861218210</t>
  </si>
  <si>
    <t>4500185956-10</t>
  </si>
  <si>
    <t>4500191607-10</t>
  </si>
  <si>
    <t>8. 此客户需要第三方验货，请在约三方验货前必须PASS ZURU验货。</t>
  </si>
  <si>
    <t>一张EAN:4894680050945条码贴纸（贴彩盒）+两张空白贴纸（贴在球的条码上）+一张进口商贴纸+一张产品贴纸+一张WEEE说明书纸,都翻4500163211</t>
  </si>
  <si>
    <t>客版日期码LOT2613, 包装（含收缩膜等）/产品/外箱 请保持一致</t>
  </si>
  <si>
    <t>日期码格式：LOT2613 日期：
Packaging Info: 最新MA 3L EAN包装+最新MA 3L 彩盒+最新MA 23L说明书+最新MA 5L收藏指南+最新MA 5L包装+一张EAN:4894680050945条码贴纸（贴彩盒）+两张空白贴纸（贴在球的
条码上）+一张进口商贴纸+一张产品贴纸+一张WEEE说明书纸,都翻4500163211
Remark: 1. 翻单产品无需寄样。验货后还会抽办1套/item，请多备料；
2. 客版日期码LOT2613,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所有带电产品需复核跟单是否有提供客人指定内容的WEEE说明书（非通用30L版本）
8. 此客户需要第三方验货，请在约三方验货前必须PASS ZURU验货。</t>
  </si>
  <si>
    <t>SMYTHS TOYS EU HQ UNLIMITED COMPANY</t>
  </si>
  <si>
    <t>4500192944-120</t>
  </si>
  <si>
    <t>日期码格式：ZURU INC(BVI) 标准格式 日期：按实际生产日期
Packaging Info:
"77673TQ1: 最新MA 3L EAN配套包装+WEEE声明(带电池)走货欧洲通用30L-B版说明书
EAN: 4894680042773"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</si>
  <si>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4500192944-140</t>
  </si>
  <si>
    <t>02116349</t>
  </si>
  <si>
    <t>4500192140-30</t>
  </si>
  <si>
    <t>价贴资料翻单4500191037</t>
  </si>
  <si>
    <t>日期码格式：ZURU INC(BVI) 标准格式 日期：按实际生产日期
Packaging Info: 1. 包材：；
#77673: ZURU MA 1L UPC 版本+ MA 5L 收藏指南 +价格贴纸（价贴金额 $24.99&lt;(&gt;,&lt;)&gt;价贴位于产品包装上UPC条形码附近），价贴资料翻单4500191037，工厂直
接采购&lt;(&gt;,&lt;)&gt;出口美国; 。
PS: 如包材语言版本有更新，需要联系跟单确认是否需要修改贴纸资料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PO#02116349 SHIP TO NJ,
PO#02116350 SHIP TO NV,
5. 出货配比：ZURU 标准配比</t>
  </si>
  <si>
    <t>4500192140-70</t>
  </si>
  <si>
    <t>10001702798-0581</t>
  </si>
  <si>
    <t>4500192285-10</t>
  </si>
  <si>
    <t>4500186385-10</t>
  </si>
  <si>
    <r>
      <rPr>
        <sz val="12"/>
        <rFont val="宋体"/>
        <charset val="134"/>
        <scheme val="minor"/>
      </rPr>
      <t xml:space="preserve">日期码格式：ZURU INC(BVI) 标准格式 日期：按实际生产日期
Packaging Info: 1. STD Items: ZURU MA UPC 现有包装+客供价格贴纸，优先使用MA 1L最新版本（可接受多语）,出口美国
Remark: 1. Cus Item
#77785：MA UPC </t>
    </r>
    <r>
      <rPr>
        <sz val="12"/>
        <color rgb="FFFF0000"/>
        <rFont val="宋体"/>
        <charset val="134"/>
        <scheme val="minor"/>
      </rPr>
      <t>+ 客版3L 彩盒 + 客供贴纸, 优先使用MA 1L最新版本</t>
    </r>
    <r>
      <rPr>
        <sz val="12"/>
        <rFont val="宋体"/>
        <charset val="134"/>
        <scheme val="minor"/>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r>
  </si>
  <si>
    <t>013541218272</t>
  </si>
  <si>
    <t>4500185958-10</t>
  </si>
  <si>
    <t>001751218316</t>
  </si>
  <si>
    <t>4500185959-10</t>
  </si>
  <si>
    <t>4500192252-20</t>
  </si>
  <si>
    <t>翻单： 4500190102</t>
  </si>
  <si>
    <t>日期码格式：ZURU INC(BVI) 标准格式 日期：按实际生产日期
Packaging Info: 物料要求 SKU
2 77673 MA +中文说明书+3C中文贴纸 +收藏指南 翻单： 4500190102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
Order Modifiable Records</t>
  </si>
  <si>
    <t>4500192252-30</t>
  </si>
  <si>
    <t>4500192252-100</t>
  </si>
  <si>
    <t>CANDIDE IND E COM LTDA</t>
  </si>
  <si>
    <t>巴西</t>
  </si>
  <si>
    <t>BR26093</t>
  </si>
  <si>
    <t>4500193066-30</t>
  </si>
  <si>
    <t>日期码格式：ZURU INC(BVI) 标准格式 日期：按实际生产日期
Packaging Info: 
77673:MA 1L包装+进口商贴纸+条码贴纸+箱唛
Remark: 封箱胶带要用客版CANDIDE版本</t>
  </si>
  <si>
    <t>4500192252-130</t>
  </si>
  <si>
    <t>4500192252-150</t>
  </si>
  <si>
    <t>4500192711-40</t>
  </si>
  <si>
    <t>2/6 提供丹麦瑞典芬兰挪威警告语贴纸，丹麦/挪威/瑞典/芬兰语警告语贴在纸袋子上(贴纸和位置图翻PO#4500183825</t>
  </si>
  <si>
    <t>日期码格式：ZURU INC(BVI) 标准格式 日期：按实际生产日期
Packaging Info:
4.77673TQ1:MA 3L EAN B版收缩膜+丹麦瑞典芬兰挪威警告语贴纸+MA paper bag+丹麦/挪威/瑞典/芬兰语警告语贴在纸袋子上(贴纸和位置图翻PO#4500183825-共用
#77111袋子的贴纸文档)+MA 5L收藏指南+MA B23L（电池+UV胶警告语-23L）说明书+MA 3L PDQ+WEEE_带电池走货 _ 说明书欧洲EN+30L-B版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
7.产品条码如下: 请先检查条码是否正确再安排做货，如有问题请告知
ZURU ITEM#&lt;(&gt;&amp;&lt;)&gt;EAN
77673TQ1-S001:4894680042773</t>
  </si>
  <si>
    <t>4500193186-40</t>
  </si>
  <si>
    <t>WEEE声明(带电池)走货欧洲通用30L-B版说明书+Kinderherz 2025 Logo贴纸(1张贴于收缩膜，1张贴于PDQ；翻单#4500166480)</t>
  </si>
  <si>
    <t>日期码格式：ZURU INC(BVI) 标准格式 日期：按实际生产日期
Packaging Info: 
77673TQ1: 最新MA PDQ(优先3L)+客版收缩膜C版[含英法德callout/英法德意荷警语/法国环保logo(翻PO#4500188991)+MA-23L说明书+客版收藏指南(英法德意荷)（
翻#4500155594）+WEEE声明(带电池)走货欧洲通用30L-B版说明书+Kinderherz 2025 Logo贴纸(1张贴于收缩膜，1张贴于PDQ；翻单#4500166480)
EAN: 4894680042773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9.包装必须含法国回收标(Sorting Label)，如没有，请提醒跟单提供贴纸资料。</t>
  </si>
  <si>
    <t>10001620523-0581</t>
  </si>
  <si>
    <t>4500190665-10</t>
  </si>
  <si>
    <t>10001661694-3891</t>
  </si>
  <si>
    <t>4500190738-10</t>
  </si>
  <si>
    <r>
      <rPr>
        <sz val="12"/>
        <rFont val="宋体"/>
        <charset val="134"/>
        <scheme val="minor"/>
      </rPr>
      <t>日期码格式：ZURU INC(BVI) 标准格式 日期：按实际生产日期
Packaging Info:</t>
    </r>
    <r>
      <rPr>
        <sz val="12"/>
        <color rgb="FFFF0000"/>
        <rFont val="宋体"/>
        <charset val="134"/>
        <scheme val="minor"/>
      </rPr>
      <t xml:space="preserve"> 77673TQ1：产品包装 客版收缩膜(C版)+客版收藏指南+MA说明书+ MA 1L PDQ；客版收缩膜上的UPC显示193052079404；客版收缩膜(C版）翻单4500183607；客版收
藏指南翻单4500174008;</t>
    </r>
    <r>
      <rPr>
        <sz val="12"/>
        <rFont val="宋体"/>
        <charset val="134"/>
        <scheme val="minor"/>
      </rPr>
      <t xml:space="preserve">
Remark: 77673TQ1：
1. 77673TQ1-S001-CC-MINI BRANDS-FILL THE FRIDGE PLAYSET-SERIES 1-SHRINK WRAP,4PCS/PDQ,4PCS/PDQ/CTN
2. 产品包装 客版收缩膜(C版)+客版收藏指南+MA说明书+ MA 1L PDQ；客版收缩膜上的UPC显示193052079404；客版收缩膜(C版）翻单4500183607；客版收藏指南翻
单4500174008；
3. 外箱正唛左上角位置粘贴条码箱贴纸，每箱只贴一张，由ZURU订购。来料贴纸上显示的客户DPCI# 086-02-3468， UPC显示10193052079401;
</t>
    </r>
    <r>
      <rPr>
        <sz val="12"/>
        <color rgb="FFFF0000"/>
        <rFont val="宋体"/>
        <charset val="134"/>
        <scheme val="minor"/>
      </rPr>
      <t>以上Items：
1. 产品和包装上均要印刷tracking code信息，格式为ZURU常规格式；
2. 需要我司QC验货之后才能安排出货
3. 出货方式： 货代自提</t>
    </r>
  </si>
  <si>
    <t>002621218577</t>
  </si>
  <si>
    <t>4500185960-10</t>
  </si>
  <si>
    <t>001751218318</t>
  </si>
  <si>
    <t>4500185961-10</t>
  </si>
  <si>
    <t>010521218450</t>
  </si>
  <si>
    <t>4500185964-10</t>
  </si>
  <si>
    <t>4500191650-60</t>
  </si>
  <si>
    <t>欠客供价格贴</t>
  </si>
  <si>
    <t>日期码格式：ZURU INC(BVI) 标准格式 日期：按实际生产日期
Packaging Info: 1. ZURU MA （首选1L）UPC版本+客供价格贴+外箱贴纸（为方便进行装柜区分，请按照后续提供的外箱贴纸文档去粘贴外箱），出口美国
价格贴参考4500186619 和4500186887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覆盖条码即可），价格贴纸覆盖UPC 会挡住文字/图案，需用空白贴覆
盖UPC，价格贴纸移到空白处。贴的时候要是会覆盖包装上重要的信息和图案，需要告知跟单。</t>
  </si>
  <si>
    <t>4500191650-150</t>
  </si>
  <si>
    <t>MIGROS-GENOSSENSCHAFTS-BUND</t>
  </si>
  <si>
    <t>4500193051-20</t>
  </si>
  <si>
    <t>日期码格式：ZURU INC(BVI) 标准格式 日期：按实际生产日期
Packaging Info:
77785：客版彩盒+价格贴纸
77711： MA EAN 收缩膜3L-A版本（+德语意大利警告语贴纸）+空白贴纸覆盖EAN+MA纸袋+MA GLOBUS 5L-B版本收藏指南+MA警告语说明书23L+MA CREATIVE 5L-A版本+
MA UV GLUE lable贴纸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</si>
  <si>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002671218409</t>
  </si>
  <si>
    <t>4500185965-10</t>
  </si>
  <si>
    <t>002621218578</t>
  </si>
  <si>
    <t>4500185966-10</t>
  </si>
  <si>
    <t>010521218451</t>
  </si>
  <si>
    <t>4500185968-10</t>
  </si>
  <si>
    <t>4500192264-30</t>
  </si>
  <si>
    <t>无箱唛但需提供每款实际外箱尺寸排版确认定位框，store 订单的定位框位置要在：箱子的最大面朝上后，定位框在箱子的第二大面的右下角，距离箱子右边3英寸，距离底部1.25英寸, 贴纸要按定位框贴，位置与方向贴不对会有客户罚款需由工厂承担</t>
  </si>
  <si>
    <t>日期码格式：ZURU INC(BVI) 标准格式 日期：按实际生产日期
Packaging Info: 1. 此为Kohl's store 订单, MA UPC包装(首选1L) + 价格贴纸 （覆盖产品UPC 条码，不能覆盖到made in China 字样）+ 客供外箱贴纸
77673TQ1-S001 价格贴和位置翻4500169087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
英寸，距离底部1.25英寸, 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外箱毛重超过35LB/15.88KG 外箱四面需要加黄标贴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</si>
  <si>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t>012031218345</t>
  </si>
  <si>
    <t>4500185970-10</t>
  </si>
  <si>
    <t>4500186354-40</t>
  </si>
  <si>
    <r>
      <rPr>
        <sz val="12"/>
        <rFont val="宋体"/>
        <charset val="134"/>
        <scheme val="minor"/>
      </rPr>
      <t xml:space="preserve">日期码格式：ZURU INC(BVI) 标准格式 日期：按实际生产日期
Packaging Info: 1. Cus Item
#77785：MA UPC + </t>
    </r>
    <r>
      <rPr>
        <sz val="12"/>
        <color rgb="FFFF0000"/>
        <rFont val="宋体"/>
        <charset val="134"/>
        <scheme val="minor"/>
      </rPr>
      <t>客版3L 彩盒 + 客供贴纸, 优先使用MA 1L最新版本</t>
    </r>
    <r>
      <rPr>
        <sz val="12"/>
        <rFont val="宋体"/>
        <charset val="134"/>
        <scheme val="minor"/>
      </rPr>
      <t xml:space="preserve">
Remark: 1. Cus Item
#77785：MA UPC + </t>
    </r>
    <r>
      <rPr>
        <sz val="12"/>
        <color rgb="FFFF0000"/>
        <rFont val="宋体"/>
        <charset val="134"/>
        <scheme val="minor"/>
      </rPr>
      <t>客版3L 彩盒 + 客供贴纸, 优先使用MA 1L最新版本</t>
    </r>
    <r>
      <rPr>
        <sz val="12"/>
        <rFont val="宋体"/>
        <charset val="134"/>
        <scheme val="minor"/>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r>
  </si>
  <si>
    <t>013761218305</t>
  </si>
  <si>
    <t>4500185971-10</t>
  </si>
  <si>
    <t>002671218410</t>
  </si>
  <si>
    <t>4500185973-10</t>
  </si>
  <si>
    <t>4500186369-20</t>
  </si>
  <si>
    <r>
      <rPr>
        <sz val="12"/>
        <rFont val="宋体"/>
        <charset val="134"/>
        <scheme val="minor"/>
      </rPr>
      <t xml:space="preserve">日期码格式：ZURU INC(BVI) 标准格式 日期：按实际生产日期
Packaging Info: 1. Cus Item
#77785：MA UPC + 客版3L 彩盒 （设计放稿）+ 客供贴纸
Remark: 1. Cus Item
#77785：MA UPC + 客版3L 彩盒 </t>
    </r>
    <r>
      <rPr>
        <sz val="12"/>
        <color rgb="FFFF0000"/>
        <rFont val="宋体"/>
        <charset val="134"/>
        <scheme val="minor"/>
      </rPr>
      <t>+ 客供贴纸, 优先使用MA 1L最新版本</t>
    </r>
    <r>
      <rPr>
        <sz val="12"/>
        <rFont val="宋体"/>
        <charset val="134"/>
        <scheme val="minor"/>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r>
  </si>
  <si>
    <t>4500186375-40</t>
  </si>
  <si>
    <t>·</t>
  </si>
  <si>
    <t>接单汇总</t>
  </si>
  <si>
    <t>其他物料</t>
  </si>
  <si>
    <t>77711 NA
球数</t>
  </si>
  <si>
    <t>77711 INT
球数</t>
  </si>
  <si>
    <t>MA 1L A收缩膜</t>
  </si>
  <si>
    <t>MA 2L 收缩膜 无条码</t>
  </si>
  <si>
    <t>MA 3L 收缩膜 无条码</t>
  </si>
  <si>
    <t>MA 2L 收缩膜</t>
  </si>
  <si>
    <t>MA 3L 收缩膜</t>
  </si>
  <si>
    <t>MA 2L 收藏指南（NA）</t>
  </si>
  <si>
    <t>MA 5L 收藏指南（INT）</t>
  </si>
  <si>
    <t>中文单专用客版收缩膜</t>
  </si>
  <si>
    <t>中文吊牌/收藏指南</t>
  </si>
  <si>
    <t>77803收缩膜</t>
  </si>
  <si>
    <t>77803客版收藏指南</t>
  </si>
  <si>
    <t>UV胶黑白说明书</t>
  </si>
  <si>
    <t>客版收缩膜</t>
  </si>
  <si>
    <t>BJ'S WHOLESALE CLUB, INC.客版收缩膜及收藏指南</t>
  </si>
  <si>
    <t>Smyths 客版收缩膜</t>
  </si>
  <si>
    <t>COSTCO 客版收缩膜</t>
  </si>
  <si>
    <t>COSTCO 客版收藏指南</t>
  </si>
  <si>
    <t>COSTCO 客版彩盒</t>
  </si>
  <si>
    <t>COSTCO 客版PDQ</t>
  </si>
  <si>
    <t>GQ1 1L 13pcs</t>
  </si>
  <si>
    <t>GQ1 2L 13PCS</t>
  </si>
  <si>
    <t>GQ1 3L 13PCS</t>
  </si>
  <si>
    <t>GQ2 1L 25pcs</t>
  </si>
  <si>
    <t>GQ2 2L 25pcs</t>
  </si>
  <si>
    <t>GQ2 3L 25pcs</t>
  </si>
  <si>
    <t>1L 16PCS GQ4</t>
  </si>
  <si>
    <t>3L 16PCS GQ4</t>
  </si>
  <si>
    <t>客版 8PCS GQ5</t>
  </si>
  <si>
    <t>客版 6PCS GQ6</t>
  </si>
  <si>
    <t>77782收缩膜</t>
  </si>
  <si>
    <t>77782收藏指南</t>
  </si>
  <si>
    <t>77782 PDQ</t>
  </si>
  <si>
    <t>77785 1L 彩盒</t>
  </si>
  <si>
    <t>77785 3L INT彩盒</t>
  </si>
  <si>
    <t>77785 3L NA彩盒</t>
  </si>
  <si>
    <t>77758彩盒</t>
  </si>
  <si>
    <t>77758托盘</t>
  </si>
  <si>
    <t>MEC356</t>
  </si>
  <si>
    <t>MEC305</t>
  </si>
  <si>
    <t>1L SK-S002 含底座 60pcs</t>
  </si>
  <si>
    <t>2L SK-S002 含底座 60pcs</t>
  </si>
  <si>
    <t>3L SK-S002 含底座 60pcs</t>
  </si>
  <si>
    <t>2L SK-S001 无底座 60pcs</t>
  </si>
  <si>
    <t>2L 
SK1-S001 30pcs</t>
  </si>
  <si>
    <t>3L 
SK1-S002 30pcs</t>
  </si>
  <si>
    <t>客版
77803SK1-S002
30pcs</t>
  </si>
  <si>
    <t>77731圆筒</t>
  </si>
  <si>
    <t>77731彩纸</t>
  </si>
  <si>
    <t>77731贴纸</t>
  </si>
  <si>
    <t>GQ2/4展示小产品</t>
  </si>
  <si>
    <t>SK展示小产品</t>
  </si>
  <si>
    <t>MEC305展示小产品</t>
  </si>
  <si>
    <t>库有</t>
  </si>
  <si>
    <t>ZMPO24991</t>
  </si>
  <si>
    <t>77711-S001-NA</t>
  </si>
  <si>
    <t>冰箱迷你球24pcs/箱</t>
  </si>
  <si>
    <t>Remark：跟PP单一起安排                   备注：  此板单为TVC 拍摄样板单，PM 有提供让工厂备料，请与PP一起交货，谢谢</t>
  </si>
  <si>
    <t>25套散件</t>
  </si>
  <si>
    <t>Remark：跟PP单一起安排/只需要齐套散件/麻烦用胶袋分装好一套为一袋   备注：  此板单为TVC 拍摄样板单，PM 有提供让工厂备料，请与PP一起交货，谢谢</t>
  </si>
  <si>
    <t>77711-S001-INT</t>
  </si>
  <si>
    <t>冰箱迷你球pcs24/箱</t>
  </si>
  <si>
    <t>Remark：跟PP单一起安排                    备注：  此板单为TVC 拍摄样板单，PM 有提供让工厂备料，请与PP一起交货，谢谢</t>
  </si>
  <si>
    <t>ZMPO24995</t>
  </si>
  <si>
    <t>Remark：跟PP单一起安排/大货标准箱装箱/箱唛参照邮件附件  备注：  请跟PP订单一起安排，谢谢</t>
  </si>
  <si>
    <t>5套散件</t>
  </si>
  <si>
    <t xml:space="preserve">Remark：跟PP单一起安排/只需要齐套散件/麻烦用胶袋分装好一套为一袋   备注：  请跟PP订单一起安排，谢谢 </t>
  </si>
  <si>
    <t>77711GQ1-S001-NA</t>
  </si>
  <si>
    <t>冰箱迷你球</t>
  </si>
  <si>
    <t>20个空PDQ</t>
  </si>
  <si>
    <t>Remark：跟PP单一起安排/只需要空PDQ/请配齐PDQ上应有的物料如展示公仔/吸塑等   备注：  请跟PP订单一起安排，谢谢</t>
  </si>
  <si>
    <t>77711GQ2-S001-NA</t>
  </si>
  <si>
    <t>Remark：跟PP单一起安排/只需要空PDQ/请配齐PDQ上应有的物料如展示公仔/吸塑等      备注：  请跟PP订单一起安排，谢谢</t>
  </si>
  <si>
    <t>Remark：跟PP单一起安排/大货标准箱装箱/箱唛参照邮件附件 备注：请跟PP订单一起安排，谢谢</t>
  </si>
  <si>
    <t>Remark：跟PP单一起安排/只需要齐套散件/麻烦用胶袋分装好一套为一袋  备注：  请跟PP订单一起安排，谢谢</t>
  </si>
  <si>
    <t>77711GQ1-S001-INT</t>
  </si>
  <si>
    <t>冰箱迷你球pcs52/箱</t>
  </si>
  <si>
    <t>Remark：跟PP单一起安排/只需要空PDQ/请配齐PDQ上应有的物料如展示公仔/吸塑等    备注：  请跟PP订单一起安排，谢谢</t>
  </si>
  <si>
    <t>77711GQ2-S001-INT</t>
  </si>
  <si>
    <t>PP</t>
  </si>
  <si>
    <t>ZPO2412010</t>
  </si>
  <si>
    <t>4500157534-40</t>
  </si>
  <si>
    <t>77711GQ2-S002-INT</t>
  </si>
  <si>
    <t>冰箱迷你球pcs25/箱</t>
  </si>
  <si>
    <r>
      <rPr>
        <sz val="11"/>
        <rFont val="宋体"/>
        <charset val="134"/>
        <scheme val="minor"/>
      </rPr>
      <t xml:space="preserve">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t>
    </r>
    <r>
      <rPr>
        <sz val="11"/>
        <color rgb="FFFF0000"/>
        <rFont val="宋体"/>
        <charset val="134"/>
        <scheme val="minor"/>
      </rPr>
      <t>所有外箱上都要贴一张大黄贴："ZURU Product for NZ test "</t>
    </r>
    <r>
      <rPr>
        <sz val="11"/>
        <rFont val="宋体"/>
        <charset val="134"/>
        <scheme val="minor"/>
      </rPr>
      <t xml:space="preserve">
Remark:</t>
    </r>
  </si>
  <si>
    <t>Remark：大货最新版本包装/大货标准箱装箱/箱唛请参照邮件附件；备注：收到样品订单后尽快安排 ，注意样板品质质量要求要高于大货品质要求 ，送货时必须要附带送货单(没有送货单和QC检验合格报告的仓库一律拒绝收货)，请知悉，谢谢！</t>
  </si>
  <si>
    <t>77711-S001（北美）</t>
  </si>
  <si>
    <t>20套散件</t>
  </si>
  <si>
    <r>
      <rPr>
        <sz val="12"/>
        <color rgb="FF000000"/>
        <rFont val="宋体"/>
        <charset val="134"/>
        <scheme val="minor"/>
      </rPr>
      <t>Remark：大货版本/只需要左图中3款散件每款各20PCS,共60PCS；</t>
    </r>
    <r>
      <rPr>
        <b/>
        <sz val="12"/>
        <color rgb="FF000000"/>
        <rFont val="宋体"/>
        <charset val="134"/>
        <scheme val="minor"/>
      </rPr>
      <t>备注：  收到订单后请尽快安排，谢谢</t>
    </r>
  </si>
  <si>
    <t>1100套散件</t>
  </si>
  <si>
    <t>Remark：大货版本/只需要左图中2款散件每款各1100PCS,共2200PCS；备注：  收到订单后请尽快安排，谢谢</t>
  </si>
  <si>
    <t>30套散件</t>
  </si>
  <si>
    <t>ZMPO250247</t>
  </si>
  <si>
    <t>Remark：大货最新版本/大货标准箱装箱/箱唛参照邮件附件；备注：  收到订单后请尽快安排，谢谢</t>
  </si>
  <si>
    <t>Remark：大货最新版本/只需要齐套散件/麻烦用胶袋分装好一套为一袋；备注：  收到订单后请尽快安排，谢谢</t>
  </si>
  <si>
    <t>0902763064</t>
  </si>
  <si>
    <t>4500159672-10</t>
  </si>
  <si>
    <t>77711GQ4-S001-NA</t>
  </si>
  <si>
    <t>冰箱迷你球16pcs/箱</t>
  </si>
  <si>
    <r>
      <rPr>
        <sz val="12"/>
        <rFont val="宋体"/>
        <charset val="134"/>
        <scheme val="minor"/>
      </rPr>
      <t>日期码格式：ZURU DGYYYYMMDD CHINA(日期避开周末和法定节假日即可） 日期：按实际生产日期
Packaging Info: 77711GQ4-S001-NA
1.包装要求：
MA 1L A版收缩膜+MA 5L A版收藏指南+MA 说明书+客版1L PDQ
每pcs产品上要贴1张RFID贴纸，贴纸由ZURU提供，贴纸位置请严格按照我们签回的签板；
Remark: 77711GQ4-S001-NA
1.包装要求：
MA 1L A版收缩膜+MA 5L A版收藏指南+MA 说明书+客版1L PDQ
每pcs产品上要贴1张RFID贴纸，贴纸由ZURU提供，贴纸位置请严格按照我们签回的签板；
2. 外箱印刷带条码的RFID箱唛：RFID紫色色带+WM Dept.图标+RFID图标+ITF-14条码，</t>
    </r>
    <r>
      <rPr>
        <sz val="12"/>
        <color rgb="FFFF0000"/>
        <rFont val="宋体"/>
        <charset val="134"/>
        <scheme val="minor"/>
      </rPr>
      <t>四面右下角印刷ZURU logo, ITFF条码只印刷在正唛一面，在加印的时候确保
条形码能扫描出来，外箱侧面任一角落加印："MADE IN CHINA" 字样；</t>
    </r>
    <r>
      <rPr>
        <sz val="12"/>
        <rFont val="宋体"/>
        <charset val="134"/>
        <scheme val="minor"/>
      </rPr>
      <t xml:space="preserve">
3. 在产品上和包装上要有日期码、以及要有MADE IN CHINA和ZURU字样；
4. 产品如有扎带口要剪平，不能刮手。
5. 此单需要抽板和验货，抽板时间预计4/23，请多备料
6. 此单以loose carton出货，16pcs/PDQ/CTN</t>
    </r>
  </si>
  <si>
    <t>Remark:大货最新版本包装/大货标准箱装箱/箱唛请参照邮件附件;备注：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</si>
  <si>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PO4400460299</t>
  </si>
  <si>
    <t>4500155601-10</t>
  </si>
  <si>
    <t>所有资料翻#4500155592</t>
  </si>
  <si>
    <r>
      <rPr>
        <sz val="12"/>
        <rFont val="宋体"/>
        <charset val="134"/>
        <scheme val="minor"/>
      </rPr>
      <t>日期码格式：ZURU INC(BVI) 标准格式 日期：按实际生产日期 
Packaging Info: 77711GQ2：</t>
    </r>
    <r>
      <rPr>
        <sz val="12"/>
        <color rgb="FFFF0000"/>
        <rFont val="宋体"/>
        <charset val="134"/>
        <scheme val="minor"/>
      </rPr>
      <t>最新MA PDQ(优先3L)+客版收缩膜+23L说明书+5-23L警语收藏指南+MA 5L creative说明书+creative说明书荷兰语贴纸（所有资料翻#4500155592）</t>
    </r>
    <r>
      <rPr>
        <sz val="12"/>
        <rFont val="宋体"/>
        <charset val="134"/>
        <scheme val="minor"/>
      </rPr>
      <t xml:space="preserve">
</t>
    </r>
    <r>
      <rPr>
        <sz val="12"/>
        <color rgb="FFFF0000"/>
        <rFont val="宋体"/>
        <charset val="134"/>
        <scheme val="minor"/>
      </rPr>
      <t xml:space="preserve"> 客户PO号码请参考remark</t>
    </r>
    <r>
      <rPr>
        <sz val="12"/>
        <rFont val="宋体"/>
        <charset val="134"/>
        <scheme val="minor"/>
      </rPr>
      <t xml:space="preserve">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需要完全符合欧洲标准(符合微塑料法规)，否则不合法规会有客诉产生</t>
    </r>
  </si>
  <si>
    <t>77711GQ2-S002-INT-客版Smyths</t>
  </si>
  <si>
    <t>PO4400460305</t>
  </si>
  <si>
    <t>4500155601-20</t>
  </si>
  <si>
    <t>4/28 出货</t>
  </si>
  <si>
    <t>4500159882-10</t>
  </si>
  <si>
    <t>77711SK-S002-INT</t>
  </si>
  <si>
    <t>冰箱迷你球展示架（带底座）</t>
  </si>
  <si>
    <r>
      <rPr>
        <sz val="12"/>
        <rFont val="宋体"/>
        <charset val="134"/>
        <scheme val="minor"/>
      </rPr>
      <t xml:space="preserve">日期码格式：ZURU INC(BVI) 标准格式 日期：按实际生产日期 
Packaging Info: #77673TQ1:
 1.3PCS AG13 BATTERIES(INCLUDED)，有纽扣电池，包装正面和说明书都需要加电池警告语贴纸（法规要求）
 2.Filxed Collection
</t>
    </r>
    <r>
      <rPr>
        <sz val="12"/>
        <color rgb="FFFF0000"/>
        <rFont val="宋体"/>
        <charset val="134"/>
        <scheme val="minor"/>
      </rPr>
      <t xml:space="preserve"> #77711需要加UPC贴纸</t>
    </r>
    <r>
      <rPr>
        <sz val="12"/>
        <rFont val="宋体"/>
        <charset val="134"/>
        <scheme val="minor"/>
      </rPr>
      <t xml:space="preserve">
Remark: 1.MA UPC 英语包装（优先1L英语版本，或者3L/5L含英语都可）
 2.此客人不接受易掉落或者剥落或者可直接触碰的闪粉，可降解也不行，但可以接受符合欧洲微塑料标准的珠光粉或者闪片。</t>
    </r>
  </si>
  <si>
    <t>4500159886-10</t>
  </si>
  <si>
    <t>4500160504-70</t>
  </si>
  <si>
    <t>77711GQ2-S002-NA</t>
  </si>
  <si>
    <t>冰箱迷你球  25pcs/箱</t>
  </si>
  <si>
    <t>5/19 第三方验货，3. 此单有第三方验货，烦请多备包装物料；
6. #77711需于2025/4/18安排签版, 签样数量：大货样各4PCS+散件3套;
7. #77711 需于2025/4/28安排抽办测试, 抽办数量：大货各4 SETS;</t>
  </si>
  <si>
    <r>
      <rPr>
        <sz val="12"/>
        <rFont val="宋体"/>
        <charset val="134"/>
        <scheme val="minor"/>
      </rPr>
      <t xml:space="preserve">日期码格式：ZURU INC(BVI) 标准格式 日期：按实际生产日期
Packaging Info:
#77711：
MA2L,PDQ(NA版,25装)+MA2L收缩膜(NA版,UPC:193052080127)+MA5L收藏指南((NA版)+MA配件袋+MA5L说明书+MA23L警告语说明书
产品配比：
7 Assortment, Polar bear: Penguin: Walrus: Mammoth: Owl: Seal: Snow man=10:10:10:10:10:8:2. Snow man is the rare item.
Remark: 1. 此单有箱唛；
3. 此单有第三方验货，烦请多备包装物料；
</t>
    </r>
    <r>
      <rPr>
        <sz val="12"/>
        <color rgb="FFFF0000"/>
        <rFont val="宋体"/>
        <charset val="134"/>
        <scheme val="minor"/>
      </rPr>
      <t>6. #77711需于2025/4/18安排签版, 签样数量：大货样各4PCS+齐套散件3套;
9. #77711 需于2025/4/28安排抽办测试, 抽办数量：大货4 pcs+齐套散件4SETS;</t>
    </r>
    <r>
      <rPr>
        <sz val="12"/>
        <rFont val="宋体"/>
        <charset val="134"/>
        <scheme val="minor"/>
      </rPr>
      <t xml:space="preserve">
11. UPC贴纸：必须在原来错误的条码上用黑色粗头笔涂黑直至不能扫描，再贴上正确的UPC;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</si>
  <si>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77711GQ2-S002-NA-2L</t>
  </si>
  <si>
    <t>THE FARMERS' TRADING COMPANY LIMITE</t>
  </si>
  <si>
    <t>SSF792</t>
  </si>
  <si>
    <t>4500160427-10</t>
  </si>
  <si>
    <t>77711GQ1-S002-INT</t>
  </si>
  <si>
    <t>冰箱迷你球13pcs/箱</t>
  </si>
  <si>
    <r>
      <rPr>
        <sz val="12"/>
        <rFont val="宋体"/>
        <charset val="134"/>
        <scheme val="minor"/>
      </rPr>
      <t xml:space="preserve">日期码格式：ZURU INC(BVI) 标准格式 日期：按实际生产日期
Packaging Info:
Remark: MA UPC英语包装（优先1L英语版本,或者3L/L含英语即可);
可移动材质的价格贴纸（价格贴纸要切易撕线）
</t>
    </r>
    <r>
      <rPr>
        <sz val="12"/>
        <color rgb="FFFF0000"/>
        <rFont val="宋体"/>
        <charset val="134"/>
        <scheme val="minor"/>
      </rPr>
      <t>新增upc贴纸覆盖原EAN条码</t>
    </r>
  </si>
  <si>
    <t>Kido he</t>
  </si>
  <si>
    <t>COLES SUPERMARKETS</t>
  </si>
  <si>
    <t>港口：SYD
PO#46423734</t>
  </si>
  <si>
    <t>4500160492-10</t>
  </si>
  <si>
    <t>77711GQ6-S001-INT</t>
  </si>
  <si>
    <t>冰箱迷你球6pcs/箱</t>
  </si>
  <si>
    <t>日期码格式：ZURU INC(BVI) 标准格式 日期：按实际生产日期
Packaging Info: MA UPC 包装+客版PDQ+箱唛
Remark: 1.此单出口澳大利亚，请按相应的澳新标准生产；
2.产品和包装上生产批号请按我司标准
3.当同一PO或item有多个批次代码时，每个批次代码的纸箱必须分组在一起，且明显分开</t>
  </si>
  <si>
    <t>港口：MEL
PO#46423735</t>
  </si>
  <si>
    <t>4500160492-20</t>
  </si>
  <si>
    <t>港口：BNE
PO#46423736</t>
  </si>
  <si>
    <t>4500160492-30</t>
  </si>
  <si>
    <t>4500159576-10</t>
  </si>
  <si>
    <t>冰箱迷你球50pcs/箱</t>
  </si>
  <si>
    <r>
      <rPr>
        <sz val="12"/>
        <rFont val="宋体"/>
        <charset val="134"/>
        <scheme val="minor"/>
      </rPr>
      <t xml:space="preserve">日期码格式：ZURU INC(BVI) 标准格式 日期：按实际生产日期
Packaging Info: 1. 77711GQ2: </t>
    </r>
    <r>
      <rPr>
        <sz val="12"/>
        <color rgb="FFFF0000"/>
        <rFont val="宋体"/>
        <charset val="134"/>
        <scheme val="minor"/>
      </rPr>
      <t>MA INT 3L包装（MA收缩膜和说明书） + 一张UPC条码贴纸 （UPC#193052080134）+ 1张客人通用进口商贴纸;</t>
    </r>
    <r>
      <rPr>
        <sz val="12"/>
        <rFont val="宋体"/>
        <charset val="134"/>
        <scheme val="minor"/>
      </rPr>
      <t xml:space="preserve">
Remark: 1.按实际生产日期;
2.出澳大利亚，请按照相应标准生产;</t>
    </r>
  </si>
  <si>
    <t>4500159576-50</t>
  </si>
  <si>
    <r>
      <rPr>
        <sz val="12"/>
        <rFont val="宋体"/>
        <charset val="134"/>
        <scheme val="minor"/>
      </rPr>
      <t xml:space="preserve">日期码格式：ZURU INC(BVI) 标准格式 日期：按实际生产日期
Packaging Info: 
5. 77711SK: MA </t>
    </r>
    <r>
      <rPr>
        <sz val="12"/>
        <color rgb="FFFF0000"/>
        <rFont val="宋体"/>
        <charset val="134"/>
        <scheme val="minor"/>
      </rPr>
      <t>INT 3L包装（MA收缩膜和说明书） + 一张UPC条码贴纸 （UPC#193052080134）+ 1张客人通用进口商贴纸</t>
    </r>
    <r>
      <rPr>
        <sz val="12"/>
        <rFont val="宋体"/>
        <charset val="134"/>
        <scheme val="minor"/>
      </rPr>
      <t xml:space="preserve">
Remark: 1.按实际生产日期;
2.出澳大利亚，请按照相应标准生产;</t>
    </r>
  </si>
  <si>
    <t>4500160026-10</t>
  </si>
  <si>
    <t>防盗贴纸+ 外箱贴纸SSCC Label</t>
  </si>
  <si>
    <r>
      <rPr>
        <sz val="12"/>
        <rFont val="宋体"/>
        <charset val="134"/>
        <scheme val="minor"/>
      </rPr>
      <t xml:space="preserve">日期码格式：ZURU INC(BVI) 标准格式 日期：按实际生产日期
Packaging Info: 77711GQ1-S002-INT: </t>
    </r>
    <r>
      <rPr>
        <sz val="12"/>
        <color rgb="FFFF0000"/>
        <rFont val="宋体"/>
        <charset val="134"/>
        <scheme val="minor"/>
      </rPr>
      <t>MA 3L包装 + 一张UPC条码贴（收缩膜和说明书）+ 防盗贴纸+ 箱唛 + 外箱贴纸SSCC Label</t>
    </r>
    <r>
      <rPr>
        <sz val="12"/>
        <rFont val="宋体"/>
        <charset val="134"/>
        <scheme val="minor"/>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</si>
  <si>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4500160027-10</t>
  </si>
  <si>
    <r>
      <rPr>
        <sz val="12"/>
        <rFont val="宋体"/>
        <charset val="134"/>
        <scheme val="minor"/>
      </rPr>
      <t xml:space="preserve">日期码格式：ZURU INC(BVI) 标准格式 日期：按实际生产日期
Packaging Info: </t>
    </r>
    <r>
      <rPr>
        <sz val="12"/>
        <color rgb="FFFF0000"/>
        <rFont val="宋体"/>
        <charset val="134"/>
        <scheme val="minor"/>
      </rPr>
      <t>77711GQ1-S002-INT: MA 3L包装（MA收缩膜和说明书） + 一张UPC条码贴+ 防盗贴纸（贴纸以及位置图翻单PO#4500160026）+ 箱唛 + 外箱贴纸SSCC Label</t>
    </r>
    <r>
      <rPr>
        <sz val="12"/>
        <rFont val="宋体"/>
        <charset val="134"/>
        <scheme val="minor"/>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</si>
  <si>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4500160634-10</t>
  </si>
  <si>
    <t>77711GQ1-S002-INT-MTS</t>
  </si>
  <si>
    <t>多语折叠警告语贴纸（翻单4500157858）</t>
  </si>
  <si>
    <t>日期码格式：ZURU INC(BVI) 标准格式 日期：按实际生产日期 
Packaging Info: 77711GQ1: MA_3L_13PCS_A PDQ + MA 3L EAN 收缩膜 +多语折叠警告语贴纸（翻单4500157858） + MA5L收藏指南+ MA 23L说明书+ UV胶黑白警告语 + MA纸袋 EAN #
 4894680043350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</si>
  <si>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B0DR3SZ2QP</t>
  </si>
  <si>
    <t>4500160498-10</t>
  </si>
  <si>
    <t>77731-NA-S001-MTS</t>
  </si>
  <si>
    <t>冰箱迷你球 PVC圆筒两个装</t>
  </si>
  <si>
    <t>日期码格式：ZURU INC(BVI) 标准格式 日期：按实际生产日期 
Packaging Info:
#77731：2PK STD #77711入PVC桶，3L 2PK铜版纸，客版无UPC版本收缩膜跟单提供。收藏指南，说明书均为MA 1L标版。（两个球的配比不能重复）。
Remark: 1.Amazon domestic 订单。出口美国。外箱最长边不能超过25" （超过了，case pack只能为1），不符合要求的大货，一律不接受。
 2.无第三方验货/测试要求。
 3.日期码使用ZURU标准版本。
 4.邮包盒要印刷日期码。</t>
  </si>
  <si>
    <t>客户PO;019235
84/1</t>
  </si>
  <si>
    <t>4500159525-10</t>
  </si>
  <si>
    <r>
      <rPr>
        <sz val="12"/>
        <rFont val="宋体"/>
        <charset val="134"/>
        <scheme val="minor"/>
      </rPr>
      <t xml:space="preserve">日期码格式：ZURU INC(BVI) 标准格式 日期：按实际生产日期
Packaging Info: 标准配比
Remark: 订单对应4个客户PO，请不要混装， 不同PO分开装柜
</t>
    </r>
    <r>
      <rPr>
        <sz val="12"/>
        <color rgb="FFFF0000"/>
        <rFont val="宋体"/>
        <charset val="134"/>
        <scheme val="minor"/>
      </rPr>
      <t>收缩膜需要加贴UPC条码</t>
    </r>
    <r>
      <rPr>
        <sz val="12"/>
        <rFont val="宋体"/>
        <charset val="134"/>
        <scheme val="minor"/>
      </rPr>
      <t xml:space="preserve">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r>
  </si>
  <si>
    <t>客户PO:019235
87/1</t>
  </si>
  <si>
    <t>4500159525-20</t>
  </si>
  <si>
    <t>4500159818-10</t>
  </si>
  <si>
    <t>77711GQ1-S003-INT</t>
  </si>
  <si>
    <t>冰箱迷你球104pcs/箱</t>
  </si>
  <si>
    <t>日期码格式：ZURU INC(BVI) 标准格式 日期：按实际生产日期
Packaging Info: 77711GQ1-S003-INT：MA 3L收缩膜+一张UPC条码贴纸（UPC#193052080134）+MA 3L PDQ+其他最新MA包装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</si>
  <si>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0904512435
STATESBORO</t>
  </si>
  <si>
    <t>4500162160-10</t>
  </si>
  <si>
    <t>4/11 寄出</t>
  </si>
  <si>
    <t>日期码格式：ZURU DGYYYYMMDD CHINA(日期避开周末和法定节假日即可） 日期：按实际生产日期
Packaging Info: 77711GQ4-S001-NA
1.包装要求：
MA 1L A版收缩膜+MA 5L A版收藏指南+MA 说明书+客版1L PDQ，翻单：4500159672
每pcs产品上要贴1张RFID贴纸，贴纸由ZURU提供，贴纸位置请严格按照我们签回的签板；
Remark: 77711GQ4-S001-NA
1.包装要求：
MA 1L A版收缩膜+MA 5L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carton出货，16pcs/PDQ/CTN</t>
  </si>
  <si>
    <t>0904512480
SUFFOLK</t>
  </si>
  <si>
    <t>4500162160-20</t>
  </si>
  <si>
    <t>Smyths Toys HQ UC</t>
  </si>
  <si>
    <t>4500156860-10</t>
  </si>
  <si>
    <r>
      <rPr>
        <sz val="11"/>
        <rFont val="宋体"/>
        <charset val="134"/>
        <scheme val="minor"/>
      </rPr>
      <t>日期码格式：ZURU INC(BVI) 标准格式 日期：按实际生产日期 
Packaging Info: 77711GQ2：</t>
    </r>
    <r>
      <rPr>
        <sz val="11"/>
        <color rgb="FFFF0000"/>
        <rFont val="宋体"/>
        <charset val="134"/>
        <scheme val="minor"/>
      </rPr>
      <t>最新MA PDQ(优先3L)+客版收缩膜(英法德callout/英法德意荷警语/法国环保logo) +23L 说明书+ 5+23L警语收藏指南+ MA 5L creative说明书 + crea
tive说明书荷兰语贴纸（所有资料翻单#4500155592）</t>
    </r>
    <r>
      <rPr>
        <sz val="11"/>
        <rFont val="宋体"/>
        <charset val="134"/>
        <scheme val="minor"/>
      </rPr>
      <t xml:space="preserve">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供应商需要对此负责;国被抽检出现问题 ，供应商需要对此负责;</t>
    </r>
  </si>
  <si>
    <t>4500155592-10</t>
  </si>
  <si>
    <r>
      <rPr>
        <sz val="12"/>
        <rFont val="宋体"/>
        <charset val="134"/>
        <scheme val="minor"/>
      </rPr>
      <t>日期码格式：ZURU INC(BVI) 标准格式 日期：按实际生产日期 
Packaging Info: 最新MA PDQ(优先3L)+客版收缩膜</t>
    </r>
    <r>
      <rPr>
        <sz val="12"/>
        <color rgb="FFFF0000"/>
        <rFont val="宋体"/>
        <charset val="134"/>
        <scheme val="minor"/>
      </rPr>
      <t>(英法德callout/英法德意荷警语/法国环保logo) +23L 说明书+ 5+23L警语收藏指南+ MA 5L creative说明书 + creative说明书
 荷兰语贴纸
 EAN: 4894680043350</t>
    </r>
    <r>
      <rPr>
        <sz val="12"/>
        <rFont val="宋体"/>
        <charset val="134"/>
        <scheme val="minor"/>
      </rPr>
      <t xml:space="preserve">
Remark: 1. 此单出德国，需要满足Zuru Standard欧洲标准测试要求；
 2. 请准时出货，推期会有罚款；
 3. 出口欧洲，微塑料需符合法规;
 4. 所有电子产品身上需要加字唛，为ZURU FRANCE 地址 (如无电子产品，或者产品布标有此地址，可忽略此信息)
 ZURU France 1/3, Rue d'Argenteuil 95210 SAINT-GRATIEN, FRANCE
 5. 标准配比</t>
    </r>
  </si>
  <si>
    <t>4500157858-80</t>
  </si>
  <si>
    <r>
      <rPr>
        <sz val="12"/>
        <rFont val="宋体"/>
        <charset val="134"/>
        <scheme val="minor"/>
      </rPr>
      <t xml:space="preserve">日期码格式：ZURU INC(BVI) 标准格式 日期：按实际生产日期
Packaging Info: 
</t>
    </r>
    <r>
      <rPr>
        <sz val="12"/>
        <color rgb="FFFF0000"/>
        <rFont val="宋体"/>
        <charset val="134"/>
        <scheme val="minor"/>
      </rPr>
      <t>77711GQ1：MA_3L_13PCS_A PDQ + MA 3L EAN 收缩膜 +多语折叠警告语贴纸（含环保标） + MA5L收藏指南+ MA 23L说明书+ UV胶黑白警告语 + MA纸袋 EAN #489468
0043350</t>
    </r>
    <r>
      <rPr>
        <sz val="12"/>
        <rFont val="宋体"/>
        <charset val="134"/>
        <scheme val="minor"/>
      </rPr>
      <t xml:space="preserve">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r>
  </si>
  <si>
    <t>SD82</t>
  </si>
  <si>
    <t>4500161426-10</t>
  </si>
  <si>
    <t>日期码格式：ZURU INC(BVI) 标准格式 日期：按实际生产日期
Packaging Info: 77711GQ1 （INT): MA 3L 收缩膜+1张UPC 条码贴纸+ MA 3L PDQ+MA 5L 收藏指南+1张警语贴纸 （贴球底部）
Remark: 此单出TW</t>
  </si>
  <si>
    <t>4500158149-20</t>
  </si>
  <si>
    <t>日期码格式：ZURU INC(BVI) 标准格式 日期：按实际生产日期
Packaging Info: 
 77711GQ2： 产品包装(UPC版) MA 1L 收缩膜 + MA1L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4. 外箱正唛箱唛内容右侧需贴一张Event label，内容显示Toys Set Date：7/20/2025，工厂自行订购；
 此订单所有item：
 1. 产品和包装上印刷 tracking code信息，格式为ZURU常规格式;
 2. 出货方式：货代自提</t>
  </si>
  <si>
    <t>4500159315-40</t>
  </si>
  <si>
    <t>日期码格式：ZURU INC(BVI) 标准格式 日期：按实际生产日期
Packaging Info:
77711GQ2：产品包装(UPC版) MA 1L 收缩膜 + MA1L PDQ；
Remark: 
5. 外箱正唛箱唛左上方位置粘贴条码箱贴纸，每箱贴一张由ZURU 订购，来料显示DPCI:086-02-7025,UPC# 10193052075106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此订单所有item：
1. 产品和包装上印刷 tracking code信息，格式为ZURU常规格式;
2. 出货方式：货代自提</t>
  </si>
  <si>
    <t>4500159604-20</t>
  </si>
  <si>
    <t>日期码格式：ZURU INC(BVI) 标准格式 日期：按实际生产日期
Packaging Info: 
77711GQ2： 产品包装(UPC版) MA 1L 收缩膜 + MA1L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此订单所有item：
1. 产品和包装上印刷 tracking code信息，格式为ZURU常规格式;
2. 出货方式：货代自提</t>
  </si>
  <si>
    <t xml:space="preserve"> 2025ZURU11</t>
  </si>
  <si>
    <t>4500159666-10</t>
  </si>
  <si>
    <t>77711GQ1-S002-NA</t>
  </si>
  <si>
    <r>
      <rPr>
        <sz val="12"/>
        <rFont val="宋体"/>
        <charset val="134"/>
        <scheme val="minor"/>
      </rPr>
      <t>日期码格式： 标准格式 日期：按实际生产日期
Packaging Info: 77711GQ1</t>
    </r>
    <r>
      <rPr>
        <sz val="12"/>
        <color rgb="FFFF0000"/>
        <rFont val="宋体"/>
        <charset val="134"/>
        <scheme val="minor"/>
      </rPr>
      <t xml:space="preserve"> MA 多语（含英法）EAN包装+UPC贴纸， UPC号码193052080127</t>
    </r>
    <r>
      <rPr>
        <sz val="12"/>
        <rFont val="宋体"/>
        <charset val="134"/>
        <scheme val="minor"/>
      </rPr>
      <t xml:space="preserve">
Remark: 出加拿大
Zuru验货.日期跟踪码：产品外包装及产品本身都必须有日期跟踪码，ZURU标准格式日期码。（箱唛日期码按跟单提供格式）</t>
    </r>
  </si>
  <si>
    <t>0902421332
SAVANNAH</t>
  </si>
  <si>
    <t>4500159673-10</t>
  </si>
  <si>
    <t>RFID+粉色艾利贴纸</t>
  </si>
  <si>
    <t>日期码格式：ZURU DGYYYYMMDD CHINA(日期避开周末和法定节假日即可） 日期：按实际生产日期
Packaging Info: 77711GQ4-S001-NA
1.包装要求：
MA 1L A版收缩膜+MA 5L A版收藏指南+MA 说明书+客版1L PDQ
每pcs产品上要贴1张RFID贴纸，贴纸由ZURU提供，贴纸位置请严格按照我们签回的签板；
Remark: 77711GQ4-S001-NA
1.包装要求：
MA 1L A版收缩膜+MA 5L A版收藏指南+MA 说明书+客版1L PDQ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carton出货，16pcs/PDQ/CTN</t>
  </si>
  <si>
    <t>0902421357
SUFFOLK</t>
  </si>
  <si>
    <t>4500159673-20</t>
  </si>
  <si>
    <t>预计4/13完成</t>
  </si>
  <si>
    <t>0902421335
RIDGEVILLE SC</t>
  </si>
  <si>
    <t>4500159673-30</t>
  </si>
  <si>
    <t>0904512396</t>
  </si>
  <si>
    <t>4500162161-10</t>
  </si>
  <si>
    <t>4500162134-50</t>
  </si>
  <si>
    <t>出货前两周需寄2-3套大货样品</t>
  </si>
  <si>
    <t>5/16 出货</t>
  </si>
  <si>
    <t>客户指定日期码码20250202，包装/产品/外箱需保持一致</t>
  </si>
  <si>
    <r>
      <rPr>
        <sz val="12"/>
        <rFont val="宋体"/>
        <charset val="134"/>
        <scheme val="minor"/>
      </rPr>
      <t xml:space="preserve">日期码格式：20250202 日期：
Packaging Info: 
77711GQ2:MA 3L PDQ+MA A 3L 收缩膜+MA5L收藏指南+进口商贴纸
Remark: 1, 此货出西班牙，需满足EU测试标准要求&lt;(&gt;&amp;&lt;)&gt; 微塑料需符合法规。另外请确保所有包装都有西班牙环保标。
2，出货前两周需寄2-3套大货样品，请多备料
3, 此客人推期有罚款，请按时完货
4, 出货前要验货图片给客人确认OK后才出货
6. 其他款，若产品有比例使用ZURU STD 比例
7，77711GQ2 外箱跟77711SK1 不能用同一个条码， 77711GQ2此款改为4894680053465， 77711SK1外箱条码为4894680053571
</t>
    </r>
    <r>
      <rPr>
        <sz val="12"/>
        <color rgb="FFFF0000"/>
        <rFont val="宋体"/>
        <charset val="134"/>
        <scheme val="minor"/>
      </rPr>
      <t>8. 客户指定日期码码20250202，包装/产品/外箱需保持一致</t>
    </r>
  </si>
  <si>
    <t>4500162820-10</t>
  </si>
  <si>
    <t>日期码格式：ZURU INC(BVI) 标准格式 日期：按实际生产日期
Packaging Info: 77711 MA 3L EAN 版本收缩膜+1*多语警告语贴纸+MA 5L 收藏指南+MA 23L 警告语说明书+MA 5L 装配说明书+MA PDQ （语言不限）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</si>
  <si>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4500160943-10</t>
  </si>
  <si>
    <t>4/8寄出</t>
  </si>
  <si>
    <r>
      <rPr>
        <sz val="12"/>
        <rFont val="宋体"/>
        <charset val="134"/>
        <scheme val="minor"/>
      </rPr>
      <t xml:space="preserve">日期码格式：ZURU INC(BVI) 标准格式 日期：按实际生产日期
Packaging Info: 77711GQ1 （INT): MA 3L 收缩膜+1张UPC 条码贴纸+ MA 3L PDQ+MA 5L 收藏指南+客供警语贴纸
</t>
    </r>
    <r>
      <rPr>
        <sz val="12"/>
        <color rgb="FFFF0000"/>
        <rFont val="宋体"/>
        <charset val="134"/>
        <scheme val="minor"/>
      </rPr>
      <t>（1张贴球底部，1张贴说明书，1张贴收藏指南）</t>
    </r>
    <r>
      <rPr>
        <sz val="12"/>
        <rFont val="宋体"/>
        <charset val="134"/>
        <scheme val="minor"/>
      </rPr>
      <t xml:space="preserve">
Remark: 此单出香港</t>
    </r>
  </si>
  <si>
    <t>4500163177-10</t>
  </si>
  <si>
    <t>日期码格式：ZURU INC(BVI) 标准格式 日期：按实际生产日期
Packaging Info: 1. 77711GQ1因系统问题，暂时开40GP，待系统维护后会改成20GP发过来。
77711GQ1-MA EAN包装（3L)+1张进口商贴纸+1张UPC条码贴纸覆盖原EAN条码，UPC条码贴纸见邮件附件。
77711GQ1进口商贴纸资料待提供。
Remark:</t>
  </si>
  <si>
    <t>4500160504-80</t>
  </si>
  <si>
    <t>5/19 第三方验货 3. 此单有第三方验货，烦请多备包装物料；
6. #77711需于2025/4/18安排签版, 签样数量：大货样各4PCS+散件3套;
7. #77711 需于2025/4/28安排抽办测试, 抽办数量：大货各4 SETS;</t>
  </si>
  <si>
    <r>
      <rPr>
        <sz val="12"/>
        <rFont val="宋体"/>
        <charset val="134"/>
        <scheme val="minor"/>
      </rPr>
      <t xml:space="preserve">日期码格式：ZURU INC(BVI) 标准格式 日期：按实际生产日期
Packaging Info:
#77711：
MA2L,PDQ(NA版,25装)+MA2L收缩膜(NA版,UPC:193052080127)+MA5L收藏指南((NA版)+MA配件袋+MA5L说明书+MA23L警告语说明书
产品配比：
7 Assortment, Polar bear: Penguin: Walrus: Mammoth: Owl: Seal: Snow man=10:10:10:10:10:8:2. Snow man is the rare item.
Remark: 1. 此单有箱唛；
2. 9900923470单为ECOM订单，外箱四面须加一张黄色贴纸；
3. 此单有第三方验货，烦请多备包装物料；
</t>
    </r>
    <r>
      <rPr>
        <sz val="12"/>
        <color rgb="FFFF0000"/>
        <rFont val="宋体"/>
        <charset val="134"/>
        <scheme val="minor"/>
      </rPr>
      <t>6. #77711需于2025/4/18安排签版, 签样数量：大货样各4PCS+齐套散件3套;
9. #77711 需于2025/4/28安排抽办测试, 抽办数量：大货4 pcs+齐套散件4SETS;</t>
    </r>
    <r>
      <rPr>
        <sz val="12"/>
        <rFont val="宋体"/>
        <charset val="134"/>
        <scheme val="minor"/>
      </rPr>
      <t xml:space="preserve">
11. UPC贴纸：必须在原来错误的条码上用黑色粗头笔涂黑直至不能扫描，再贴上正确的UPC;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</si>
  <si>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4500160504-90</t>
  </si>
  <si>
    <t>OSIRIS INC</t>
  </si>
  <si>
    <t>4500158159-20</t>
  </si>
  <si>
    <t>冰箱迷你球25pcs/箱</t>
  </si>
  <si>
    <t>日期码格式： 标准格式 日期：按实际生产日期
Packaging Info: 
 77711GQ2 MA 多语 UPC版本，193052080127
Remark: 出加拿大
Zuru验货.日期跟踪码：产品外包装及产品本身都必须有日期跟踪码，ZURU标准格式日期码</t>
  </si>
  <si>
    <t>0904512416</t>
  </si>
  <si>
    <t>4500162162-10</t>
  </si>
  <si>
    <t>客户PO:019235
88/1</t>
  </si>
  <si>
    <t>4500159525-30</t>
  </si>
  <si>
    <t>客户PO:019235
89/1</t>
  </si>
  <si>
    <t>4500159525-40</t>
  </si>
  <si>
    <t>4500162690-10</t>
  </si>
  <si>
    <t>两款贴纸以及防盗贴纸位置图翻单PO#4500160026</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</si>
  <si>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</si>
  <si>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4500163403-20</t>
  </si>
  <si>
    <t>多语折叠警语贴纸（翻单4500162820）</t>
  </si>
  <si>
    <t>日期码格式：ZURU INC(BVI) 标准格式 日期：按实际生产日期
Packaging Info: 
2. 77711GQ1：MA 3L A版PDQ + 3L EAN B版收缩膜 +1*多语折叠警语贴纸（翻单4500162820） + MA 5L A版收藏指南 +MA 23L 说明书 +MA 5L creative说明书
EAN#4894680043350；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</si>
  <si>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AMY XIAO</t>
  </si>
  <si>
    <t>0904512442
EASTVALE</t>
  </si>
  <si>
    <t>4500162168-10</t>
  </si>
  <si>
    <t>0904512293
STATESBORO</t>
  </si>
  <si>
    <t>4500162168-30</t>
  </si>
  <si>
    <t>0904512275
SUFFOLK</t>
  </si>
  <si>
    <t>4500162168-40</t>
  </si>
  <si>
    <t>ZB00387-6.2</t>
  </si>
  <si>
    <t>4500162375-30</t>
  </si>
  <si>
    <t>日期码格式：ZURU INC(BVI) 标准格式 日期：按实际生产日期
Packaging Info:
77711GQ2: 收缩膜MA EAN 3L A+收藏指南5L A+使用说明23L+1张警示语贴纸
2/产品和包装要求无硼无香，包装不能含有PVC
3/如有微塑料，必须合规欧洲标准，闪粉也是微塑料的一种，目前仅接受三张方式1.去除，2.用可降解材料，和3.永久封印在固体。
4/带电池出货的产品，所用到的电池需要符合欧洲电池新规(EU)2023-1542</t>
  </si>
  <si>
    <t>4500162134-60</t>
  </si>
  <si>
    <t>77711SK1-S002-INT</t>
  </si>
  <si>
    <r>
      <rPr>
        <sz val="12"/>
        <rFont val="宋体"/>
        <charset val="134"/>
        <scheme val="minor"/>
      </rPr>
      <t xml:space="preserve">日期码格式：20250202 日期：
Packaging Info:
77711SK1:MA 3L 展示架+MA A 3L 收缩膜+MA5L收藏指南+进口商贴纸
Remark: 1, 此货出西班牙，需满足EU测试标准要求&lt;(&gt;&amp;&lt;)&gt; 微塑料需符合法规。另外请确保所有包装都有西班牙环保标。
2，出货前两周需寄2-3套大货样品，请多备料
3, 此客人推期有罚款，请按时完货
4, 出货前要验货图片给客人确认OK后才出货
另外，15701 &lt;(&gt;&amp;&lt;)&gt; 15727 &lt;(&gt;&amp;&lt;)&gt; 15726 按MA配比
6. 其他款，若产品有比例使用ZURU STD 比例
7，77711GQ2 外箱跟77711SK1 不能用同一个条码， 77711GQ2此款改为4894680053465， 77711SK1外箱条码为4894680053571
</t>
    </r>
    <r>
      <rPr>
        <sz val="12"/>
        <color rgb="FFFF0000"/>
        <rFont val="宋体"/>
        <charset val="134"/>
        <scheme val="minor"/>
      </rPr>
      <t>8. 客户指定日期码码20250202，包装/产品/外箱需保持一致</t>
    </r>
  </si>
  <si>
    <t>4500162027-10</t>
  </si>
  <si>
    <t>日期码格式：ZURU INC(BVI) 标准格式 日期：按实际生产日期
Packaging Info: 77711：Refer Packing Ratio
Remark: MA UPC 英语包装（优先1L英语版本，或者3L/5L含英语都可）
要加UPC贴纸
此客人不接受易掉落或者剥落或者可直接触碰的闪粉，可降解也不行，但可以接受符合欧洲微塑料标准的珠光粉或者闪片。</t>
  </si>
  <si>
    <t>4500162028-10</t>
  </si>
  <si>
    <t>American Eagle</t>
  </si>
  <si>
    <t>Customer PO#
1247640</t>
  </si>
  <si>
    <t>4500163327-10</t>
  </si>
  <si>
    <t>日期码格式：ZURU INC(BVI) 标准格式 日期：按实际生产日期
Packaging Info: MA 1L UPC 包装+客供价格贴+外箱贴（跟单提供资料，工厂自行安排）
Remark: 1. MA 1L UPC 包装+客供价格贴+外箱贴（跟单提供资料，工厂自行安排）
2. 产品和包装上印刷tracking code信息，格式为ZURU常规
3. 箱子最小的尺寸要求： 30.48 x 22.86 x 10.16cm, 最大的尺寸为 66. 04 X 45.72 X 43.18cm, 外箱的高不能大于宽，否则会有罚款，如外箱达不到要求请告知
跟单，需要调整。
4. 外箱贴纸尺寸4x6英寸，贴纸居中贴在侧面，且距离外箱底部1.5英寸，外箱胶纸不可以覆盖住贴纸上的条形码，不可以有褶皱/刮花导致扫描不出信息，否则会
有罚款.
5. 需ZURU QC 验货合格后方可出货
6. 价格贴的位置为球的顶部或者底部的空白处，不可以覆盖住重要文字以及图案.</t>
  </si>
  <si>
    <t>4500163438-30</t>
  </si>
  <si>
    <t>日期码格式：ZURU INC(BVI) 标准格式 日期：按实际生产日期
Packaging Info: 1. 出口加拿大市场，MA UPC版本包装。
#77711GQ2: MA 2L UPC版本；
2. 产品、包装、外箱上面tracking code的时间格式需要一致
Remark: 3. 需要第三方SGS验货，验货时间2025/05/19，每款每色请备1PC完整带包装样品供验货人员参考。用完后若无损坏可以放回大货里。</t>
  </si>
  <si>
    <t>0902421336
HOUSTON</t>
  </si>
  <si>
    <t>4500159675-10</t>
  </si>
  <si>
    <t>0902421337
MOBILE</t>
  </si>
  <si>
    <t>4500159675-20</t>
  </si>
  <si>
    <t>0904512455
ELWOOD</t>
  </si>
  <si>
    <t>4500162168-20</t>
  </si>
  <si>
    <t>0904512277
RIDGEVILLE SC</t>
  </si>
  <si>
    <t>4500162168-50</t>
  </si>
  <si>
    <t>4500160573-20</t>
  </si>
  <si>
    <t xml:space="preserve"> 客版日期码要求：LOT+ZURU标准日期码格式。东莞生产的格式：LOTDGYYYYMMDD, DG是东莞拼音首字母，
YYYYMMDD是实际的年月日，例如(LOTDG20240920)</t>
  </si>
  <si>
    <t>W5.WM墨西哥防霉的新要求:货物必须在出货主箱和集装箱中按要求放置干燥剂，干燥剂指定品牌干霸
77711GQ2：需要在每箱放入6小包干燥剂，每包干燥剂重量2g
 如走柜货等loading plan 确认后再通知集装箱干燥剂数量
 此单兴信将安排8*40HC柜子，每个HC需要放置10包干燥剂，每包干燥剂1KG</t>
  </si>
  <si>
    <r>
      <rPr>
        <sz val="12"/>
        <rFont val="宋体"/>
        <charset val="134"/>
        <scheme val="minor"/>
      </rPr>
      <t xml:space="preserve">日期码格式：LOTDGYYYYMMDD 日期：按实际生产日期
Packaging Info:
 2. 77711GQ2：3L MA EAN 收缩膜+UPC条码贴纸+进口商贴纸+MA 5L 收藏指南+MA 3L PDQ+箱唛；
Remark: 1. 客版日期码要求：LOT+ZURU标准日期码格式。东莞生产的格式：LOTDGYYYYMMDD, DG是东莞拼音首字母，
YYYYMMDD是实际的年月日，例如(LOTDG20240920)
 4. 此单有第三方监柜，至少多备一套完整的物料用于监柜，请多备料。
 5.WM墨西哥防霉的新要求:货物必须在出货主箱和集装箱中按要求放置干燥剂，干燥剂指定品牌干霸
77711GQ2：需要在每箱放入6小包干燥剂，每包干燥剂重量2g
 如走柜货等loading plan 确认后再通知集装箱干燥剂数量
</t>
    </r>
    <r>
      <rPr>
        <sz val="12"/>
        <color rgb="FFFF0000"/>
        <rFont val="宋体"/>
        <charset val="134"/>
        <scheme val="minor"/>
      </rPr>
      <t xml:space="preserve"> 此单兴信将安排8*40HC柜子，每个HC需要放置10包干燥剂，每包干燥剂1KG</t>
    </r>
  </si>
  <si>
    <t>4500162314-70</t>
  </si>
  <si>
    <t>客人告知下周会出货</t>
  </si>
  <si>
    <r>
      <rPr>
        <sz val="12"/>
        <rFont val="宋体"/>
        <charset val="134"/>
        <scheme val="minor"/>
      </rPr>
      <t xml:space="preserve">日期码格式：ZURU INC(BVI) 标准格式 日期：按实际生产日期
Packaging Info:
</t>
    </r>
    <r>
      <rPr>
        <sz val="12"/>
        <color rgb="FFFF0000"/>
        <rFont val="宋体"/>
        <charset val="134"/>
        <scheme val="minor"/>
      </rPr>
      <t>77711GQ1:</t>
    </r>
    <r>
      <rPr>
        <sz val="12"/>
        <rFont val="宋体"/>
        <charset val="134"/>
        <scheme val="minor"/>
      </rPr>
      <t>最新MA 3L EAN收缩膜+最新MA 5L收藏指南+最新MA 23L说明书+最新MA 5L creative+最新MA纸袋+最新MA 3L PDQ+多语警语折叠贴纸（含包装缺失的法/意/
西环保标）,,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r>
  </si>
  <si>
    <t>4500159575-30</t>
  </si>
  <si>
    <t>大货样： 请在5/10 前寄出每款1整套大货样到罗湖办公室7B Sandy Shao 收</t>
  </si>
  <si>
    <r>
      <rPr>
        <sz val="12"/>
        <rFont val="宋体"/>
        <charset val="134"/>
        <scheme val="minor"/>
      </rPr>
      <t xml:space="preserve">日期码格式：ZURU INC(BVI) 标准格式 日期：按实际生产日期
Packaging Info: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*条码如下，请核查
77711GQ1-S001-INT </t>
    </r>
    <r>
      <rPr>
        <sz val="12"/>
        <color rgb="FFFF0000"/>
        <rFont val="宋体"/>
        <charset val="134"/>
        <scheme val="minor"/>
      </rPr>
      <t>193052080134</t>
    </r>
    <r>
      <rPr>
        <sz val="12"/>
        <rFont val="宋体"/>
        <charset val="134"/>
        <scheme val="minor"/>
      </rPr>
      <t xml:space="preserve">
* 大货样： 请在5/10 前寄出每款1整套大货样到罗湖办公室7B Sandy Shao 收。
Remark: 
77711GQ1-S001-INT MA-1L 配套包装</t>
    </r>
    <r>
      <rPr>
        <sz val="12"/>
        <color rgb="FFFF0000"/>
        <rFont val="宋体"/>
        <charset val="134"/>
        <scheme val="minor"/>
      </rPr>
      <t>+ INT UPC 条码覆盖原条码位置</t>
    </r>
  </si>
  <si>
    <t>77711GQ1-S001-INT-1</t>
  </si>
  <si>
    <t>4500161407-10</t>
  </si>
  <si>
    <t>77711GQ1-S002-NA-1L</t>
  </si>
  <si>
    <t>4500161408-10</t>
  </si>
  <si>
    <t>PO#019848185</t>
  </si>
  <si>
    <t>4500159089-40</t>
  </si>
  <si>
    <t>PO#2735217-Cu
stomer
SKU#146638234</t>
  </si>
  <si>
    <t>4500163316-10</t>
  </si>
  <si>
    <t>6/3出货</t>
  </si>
  <si>
    <t>日期码格式：ZURU INC(BVI) 标准格式 日期：按实际生产日期
Packaging Info: 77711GQ1：MA 3L+UPC贴纸（UPC#193052080134）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</si>
  <si>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0902421339
EASTVALE</t>
  </si>
  <si>
    <t>4500159676-10</t>
  </si>
  <si>
    <t>0902421366
ELWOOD</t>
  </si>
  <si>
    <t>4500159676-20</t>
  </si>
  <si>
    <t>0904512276</t>
  </si>
  <si>
    <t>4500162169-10</t>
  </si>
  <si>
    <t>4500162231-10</t>
  </si>
  <si>
    <t>日期码格式：ZURU INC(BVI) 标准格式 日期：按实际生产日期
Packaging Info: 77711GQ2:MA-A EAN 3L收缩膜+MA 5L+23 L guide book+MA 3L A 展示盒+挪威语警语贴纸;
Remark: 1/产品和包装要求无硼无香，包装不能含有PVC；
2/如有微塑料，必须合规欧洲标准，闪粉也是微塑料的一种，目前仅接受三张方式1.去除，2.用可降解材料，和3.永久封印在固体；
3/此订单有第三方验货，请准备三套大货样并不迟于5-14寄出给ZURU 深圳办公室；
4/带电池出货的产品所用到的电池需要符合欧洲电池新规(EU)2023-1542；
5/工厂货号-客户货号彩盒条码-外箱条码
77711GQ2-7254555-4894680043350-10193052080131
6/配比:
77711GQ2:TBC</t>
  </si>
  <si>
    <t>4500163428-50</t>
  </si>
  <si>
    <t>4500163428-80</t>
  </si>
  <si>
    <t>4500161312-10</t>
  </si>
  <si>
    <t>77782GQ1-S001-INT</t>
  </si>
  <si>
    <t>冰箱迷你球(客版）</t>
  </si>
  <si>
    <t>4/21 提供箱唛资料，使用双坑外箱</t>
  </si>
  <si>
    <t>进口商贴纸翻单PO4500161302</t>
  </si>
  <si>
    <t>日期码格式：ZURU INC(BVI) 标准格式 日期：按实际生产日期
Packaging Info: 1. 77782GQ1：客版3L UPC包装+ 客版3L PDQ包装+客版收藏指南+进口商贴纸+箱唛，客版收缩膜包装/客版PDQ包装/客版收藏指南/进口商贴纸翻单PO4500161302
Remark: 1.使用双坑外箱
2.请注意产品包装条形码必须是UPC
3.无第三方验货
15. 77782GQ1:WITH 4 DEMO; Base on #77711GQ2-S001-INT ver.:Remove Kikkoman-Soy Sauce
Hershey's-Chocolate Syrup 24 oz
Hershey's-Mini Chocolate Syrup 24 oz
Hershey's-Strawberry Syrup 22 oz</t>
  </si>
  <si>
    <t>4500161302-10</t>
  </si>
  <si>
    <t>日期码格式：ZURU INC(BVI) 标准格式 日期：按实际生产日期
Packaging Info: 1. 77782GQ1：客版3L UPC包装+ 客版3L PDQ包装+客版收藏指南+进口商贴纸+箱唛
Remark: 1.使用双坑外箱
2.请注意产品包装条形码必须是UPC
3.无第三方验货
7. 77782GQ1:WITH 4 DEMO; Base on #77711GQ2-S001-INT ver.:Remove Kikkoman-Soy Sauce
Hershey's-Chocolate Syrup 24 oz
Hershey's-Mini Chocolate Syrup 24 oz
Hershey's-Strawberry Syrup 22 oz</t>
  </si>
  <si>
    <t>4500161306-10</t>
  </si>
  <si>
    <t>日期码格式：ZURU INC(BVI) 标准格式 日期：按实际生产日期
Packaging Info: 1. 77782GQ1：客版3L UPC包装+ 客版3L PDQ包装+客版收藏指南+进口商贴纸+箱唛，客版收缩膜包装/客版PDQ包装/客版收藏指南/进口商贴纸翻单PO4500161302
Remark: 1.使用双坑外箱
2.请注意产品包装条形码必须是UPC
3.无第三方验货
6. 77782GQ1:WITH 4 DEMO; Base on #77711GQ2-S001-INT ver.:Remove Kikkoman-Soy Sauce
Hershey's-Chocolate Syrup 24 oz
Hershey's-Mini Chocolate Syrup 24 oz
Hershey's-Strawberry Syrup 22 oz</t>
  </si>
  <si>
    <t>4500161573-170</t>
  </si>
  <si>
    <t>日期码格式：ZURU INC(BVI) 标准格式 日期：按实际生产日期
Packaging Info: 
17. 77711GQ2: MA 3L EAN版收缩膜+瑞典芬兰爱沙尼亚语警告语/MADE IN CHINA翻译成瑞典芬兰爱沙尼亚语言做成一张贴纸++MA 3L PDQ+MA 5L(23L warning)收藏指
南+MA 23L说明书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77711GQ2:4894680043350</t>
  </si>
  <si>
    <t>4500162968-80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</si>
  <si>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</si>
  <si>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4500164375-20</t>
  </si>
  <si>
    <t>4500164783-40</t>
  </si>
  <si>
    <t>日期码格式：ZURU INC(BVI) 标准格式 日期：按实际生产日期
Packaging Info: 
4. 77711GQ1：MA 3L EAN 最新版收缩膜+1张多语警告语贴纸+MA 23L说明书+其它MA包装+MA PDQ；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</si>
  <si>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4500161168-80</t>
  </si>
  <si>
    <t>日期码格式：ZURU INC(BVI) 标准格式 日期：按实际生产日期
Packaging Info:
"77711GQ1: MA EAN 收缩膜3L-A版本（+德语警告语贴纸）+MA纸袋+MA GLOBUS 5L-A版本+MA警告语说明书23L+MA CREATIVE 5L-A版本+MA UV GLUE lable贴纸+MAPDQ3
L-A版本
EAN:4894680043350"
Remark: "1. 此单出德国，需准时出货。无须客户第三方验货但是需要在6-2 提供验货图片(含不良图）。待客人放货后才能安排走货。
2. 外箱正唛需要贴产品图片贴纸，（外箱印4面-2*正唛+2*侧唛）
3. 外箱正唛需要印GTIN, 请保证GTIN条码能扫描。
4. 需要在货期前一个月安排2套样品给客户评估（非测试，包装无要求）"</t>
  </si>
  <si>
    <t>4500162170-10</t>
  </si>
  <si>
    <t>4500163040-20</t>
  </si>
  <si>
    <t>日期码格式：ZURU INC(BVI) 标准格式 日期：按实际生产日期
Packaging Info: 1.77711GQ2:最新MA 3L EAN INT版本包装+一张西班牙环保标&lt;(&gt;&amp;&lt;)&gt;邮箱贴纸+MA 23L 警告语说明书+MA 5L 收藏指南+MA 3L PDQ；
Remark:</t>
  </si>
  <si>
    <t>PO#239953--Cu
stomer
SKU#7678363</t>
  </si>
  <si>
    <t>4500163405-10</t>
  </si>
  <si>
    <t>日期码格式：ZURU INC(BVI) 标准格式 日期：按实际生产日期
Packaging Info: 77711-S001-INT
MA -3L 包装+客人白色Cat.label 1张覆盖ZURU条码
-注意Cat.label (要求易撕类贴纸，但是粘性不能过低），同时此贴纸每个订单都是不相同的(会显示客户对应的订单号），切勿翻旧订单购买，该贴纸由工厂自行
购买。
-订单对应客户PO号备注有显示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t>
  </si>
  <si>
    <t>4500163205-140</t>
  </si>
  <si>
    <t>日期码格式：ZURU
77711GQ2：MA-A EAN 3L收缩膜+MA 5L+23 L guide book+MA 3L A 展示盒+进口商贴纸
Remark: 配比：
产品和包装要求无硼无香，包装不能含有PVC;
如有微塑料，必须合规欧洲标准，闪粉也是微塑料的一种，目前仅接受三张方式1.去除，2.用可降解材料，和3. 永久封印在固体。
带电池出货的产品,电池需要符合欧洲电池新规(EU) 2023-1542.</t>
  </si>
  <si>
    <t>4500163205-200</t>
  </si>
  <si>
    <t>日期码格式：ZURU INC(BVI) 标准格式 日期：按实际生产日期
Packaging Info:
77711SK1：MA-A EAN 3L收缩膜+MA 5L说明书+MA 23L warning instruction+MA creativ +MA 3L展示架+进口商贴纸
Remark: 配比：
产品和包装要求无硼无香，包装不能含有PVC;
如有微塑料，必须合规欧洲标准，闪粉也是微塑料的一种，目前仅接受三张方式1.去除，2.用可降解材料，和3. 永久封印在固体。
带电池出货的产品,电池需要符合欧洲电池新规(EU) 2023-1542.</t>
  </si>
  <si>
    <t>0904512302EAS
TVALE</t>
  </si>
  <si>
    <t>4500162791-10</t>
  </si>
  <si>
    <t>翻单：4500159672</t>
  </si>
  <si>
    <t>日期码格式：ZURU DGYYYYMMDD CHINA(日期避开周末和法定节假日即可） 日期：按实际生产日期
Packaging Info: 77711GQ4-S001-NA
1.包装要求：
MA 1L A版收缩膜+MA 5L A版收藏指南+MA 说明书+客版1L PDQ，翻单：4500159672
每pcs产品上要贴1张RFID贴纸，贴纸由ZURU提供，贴纸位置请严格按照我们签回的签板；
Remark: 77711GQ4-S001-NA
1.包装要求：
MA 1L A版收缩膜+MA 5L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
保
条形码能扫描出来，外箱侧面任一角落加印："MADE IN CHINA" 字样；
3. 在产品上和包装上要有日期码、以及要有MADE IN CHINA和ZURU字样；
4. 产品如有扎带口要剪平，不能刮手。
5.loose carton出货，16pcs/PDQ/CTN</t>
  </si>
  <si>
    <t>0904512273ELW
OOD</t>
  </si>
  <si>
    <t>4500162791-20</t>
  </si>
  <si>
    <t>0904512274STA
TESBORO</t>
  </si>
  <si>
    <t>4500162791-30</t>
  </si>
  <si>
    <t>0904512287SUF
FOLK</t>
  </si>
  <si>
    <t>4500162791-40</t>
  </si>
  <si>
    <t>0904512452RID
GEVILLE SC</t>
  </si>
  <si>
    <t>4500162791-50</t>
  </si>
  <si>
    <t>4500164759-130</t>
  </si>
  <si>
    <t>77711GQ2-S003-INT</t>
  </si>
  <si>
    <t>日期码格式：ZURU INC(BVI) 标准格式 日期：按实际生产日期
Packaging Info:
13. 77711GQ2-S003-INT: MA 3L INT版本收缩膜+1张UPC贴纸（UPC#193052080134）+ MA INT版本5L收藏指南+MA INT 版本 3L PDQ+其他MA最新包装
Remark: 1.产品及包装需要印UKCA图标，包装需要有ZURU UK LTD/ZURU France地址信息，QC同事请核查，如有问题与跟单确认。
2. 需要符合欧洲标准不能含有闪粉和微塑料，否则不合法规会有客诉产生</t>
  </si>
  <si>
    <t>ALBERTSONS LLC</t>
  </si>
  <si>
    <t>PO: 409376</t>
  </si>
  <si>
    <t>4500165031-170</t>
  </si>
  <si>
    <t xml:space="preserve"> 6/18 第三方验货  05/28 4款分别寄出3套大货样（带PDQ包装的大货样3套（每套PDQ里面随机附4个球）款式本身无PPQ则不用寄PDQ,只寄大货带包装的大货样4个
05/28抽板测试（要求订单每一行货好入箱50%以上方可抽板），需要拿到测试报告才可以出货</t>
  </si>
  <si>
    <t>日期码格式：ZURU INC(BVI) 标准格式 日期：按实际生产日期
Packaging Info: 1. MA UPC 包装(优先1L)，出口美国。
2. 产品和包装上面要有ZURU格式tracking code。
3. ZURU标准日期码格式。
Remark: 1. 05/28 4款分别寄出3套大货样（带PDQ包装的大货样3套（每套PDQ里面随机附4个球）款式本身无PPQ则不用寄PDQ,只寄大货带包装的大货样4个
05/28抽板测试（要求订单每一行货好入箱50%以上方可抽板），需要拿到测试报告才可以出货
这4款有多个PO会分期出货，但请按订单要求交期生产做好大货，以便一次性抽板去测试，节省工厂样品和ITS抽板费用。
2. ZURU QC验货OK + 客户QC验货OK + 抽板测试报告OK后方可出货。客户QC去验货时，注意多个PO同一款大货放置一堆或者二堆，不要四处货架堆放，避免点数问题
导致客户QC无法验货。
3. 产品和包装不能含有PFAS物质。
4. 产品和包装须符合俄勒冈州HPCCCH测试要求。
5.产品和包装不能含有1,4-二氧六环。
6. 不得从新疆维吾尔自治区采购任何物品或材料。</t>
  </si>
  <si>
    <t>Annie Huang</t>
  </si>
  <si>
    <t>ZB00695-7.9</t>
  </si>
  <si>
    <t>PO: 899729</t>
  </si>
  <si>
    <t>4500165031-180</t>
  </si>
  <si>
    <t>ZB00855-7.24</t>
  </si>
  <si>
    <t>POl: 647219</t>
  </si>
  <si>
    <t>4500165031-190</t>
  </si>
  <si>
    <t>ZB00856-7.24</t>
  </si>
  <si>
    <t>4500163518-10</t>
  </si>
  <si>
    <r>
      <rPr>
        <sz val="12"/>
        <rFont val="宋体"/>
        <charset val="134"/>
        <scheme val="minor"/>
      </rPr>
      <t xml:space="preserve">日期码格式：ZURU INC(BVI) 标准格式 日期：按实际生产日期
Packaging Info: 
Remark: MA UPC 英语包装（优先1L英语版本,或者3L/L含英语即可
</t>
    </r>
    <r>
      <rPr>
        <sz val="12"/>
        <color rgb="FFFF0000"/>
        <rFont val="宋体"/>
        <charset val="134"/>
        <scheme val="minor"/>
      </rPr>
      <t>#77711 UPC:193052080134</t>
    </r>
  </si>
  <si>
    <t>77785-S001-77711-INT</t>
  </si>
  <si>
    <t>大货样品2套/item，用于客人验货签板。验货后还会抽办1套/item，请多备料；</t>
  </si>
  <si>
    <t>客版日期码LOT2522, 产品（蛋壳等）/包装（收缩膜等）/外箱 请保持一致。</t>
  </si>
  <si>
    <t>客人日期码：LOT2522，产品（蛋壳等）/包装（收缩膜等）/外箱 请保持一致</t>
  </si>
  <si>
    <t>4500163334-60</t>
  </si>
  <si>
    <t>多语警语折叠贴纸（含包装缺失的法/意/
西环保标）（翻4500162314）</t>
  </si>
  <si>
    <t>日期码格式：ZURU INC(BVI) 标准格式 日期：按实际生产日期
Packaging Info:
77711GQ1:最新MA 3L EAN收缩膜+最新MA 5L收藏指南+最新MA 23L说明书+最新MA 5L creative+最新MA纸袋+最新MA 3L PDQ+多语警语折叠贴纸（含包装缺失的法/意/
西环保标）（翻4500162314）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</si>
  <si>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4500163950-20</t>
  </si>
  <si>
    <r>
      <rPr>
        <sz val="12"/>
        <rFont val="宋体"/>
        <charset val="134"/>
        <scheme val="minor"/>
      </rPr>
      <t>日期码格式：ZURU INC(BVI) 标准格式 日期：按实际生产日期
Packaging Info:
 77711GQ2:</t>
    </r>
    <r>
      <rPr>
        <sz val="12"/>
        <color rgb="FFFF0000"/>
        <rFont val="宋体"/>
        <charset val="134"/>
        <scheme val="minor"/>
      </rPr>
      <t>（MA 3L PDQ+1张PDQITF14条码贴纸）+MA A 3L</t>
    </r>
    <r>
      <rPr>
        <sz val="12"/>
        <rFont val="宋体"/>
        <charset val="134"/>
        <scheme val="minor"/>
      </rPr>
      <t xml:space="preserve"> 收缩膜含EAN条码+MA5L收藏指南+进口商含意大利环保标贴纸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r>
  </si>
  <si>
    <t>4500164781-10</t>
  </si>
  <si>
    <t>多语警语折叠贴纸（含包装缺失的法/
意/西环保标），翻4500162314</t>
  </si>
  <si>
    <r>
      <rPr>
        <sz val="12"/>
        <rFont val="宋体"/>
        <charset val="134"/>
        <scheme val="minor"/>
      </rPr>
      <t>日期码格式：ZURU INC(BVI) 标准格式 日期：按实际生产日期
Packaging Info:</t>
    </r>
    <r>
      <rPr>
        <sz val="12"/>
        <color rgb="FFFF0000"/>
        <rFont val="宋体"/>
        <charset val="134"/>
        <scheme val="minor"/>
      </rPr>
      <t xml:space="preserve"> 1.77711GQ1:客版MA 3L EAN收缩膜（翻4500164017）+最新MA 5L收藏指南+最新MA 23L说明书+最新MA 5L creative+最新MA纸袋+最新MA 3L PDQ+一张意大利环保贴
纸</t>
    </r>
    <r>
      <rPr>
        <sz val="12"/>
        <rFont val="宋体"/>
        <charset val="134"/>
        <scheme val="minor"/>
      </rPr>
      <t xml:space="preserve">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t>
    </r>
  </si>
  <si>
    <t>4500164226-60</t>
  </si>
  <si>
    <r>
      <rPr>
        <sz val="11"/>
        <rFont val="宋体"/>
        <charset val="134"/>
        <scheme val="minor"/>
      </rPr>
      <t xml:space="preserve">日期码格式：ZURU INC(BVI) 标准格式 日期：按实际生产日期
Packaging Info:
 77711GQ2-S002-INT:MA 3L EAN版收缩膜+MA 3L PDQ+MA 5L(23L warning)收藏指南+MA 23L说明书+警告语/进口商贴纸
</t>
    </r>
    <r>
      <rPr>
        <sz val="11"/>
        <color rgb="FFFF0000"/>
        <rFont val="宋体"/>
        <charset val="134"/>
        <scheme val="minor"/>
      </rPr>
      <t xml:space="preserve"> 北欧五语通用Slime黑白说明书
 带纽扣电池走货北欧六语通用黑白电池说明书
 不带电池走货北欧六语通用黑白电池说明书
上述说明书翻单4500162375,之前已通知按照MA采购，不要重复订购</t>
    </r>
    <r>
      <rPr>
        <sz val="11"/>
        <rFont val="宋体"/>
        <charset val="134"/>
        <scheme val="minor"/>
      </rPr>
      <t xml:space="preserve">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77711GQ2-S002-INT//100-223011471//4894680043350</t>
    </r>
  </si>
  <si>
    <t>4500164226-130</t>
  </si>
  <si>
    <r>
      <rPr>
        <sz val="11"/>
        <rFont val="宋体"/>
        <charset val="134"/>
        <scheme val="minor"/>
      </rPr>
      <t xml:space="preserve">日期码格式：ZURU INC(BVI) 标准格式 日期：按实际生产日期
Packaging Info: 
 77711SK1-S002-INT:MA 3L EAN版收缩膜+MA 展示架+MA 5L(23L warning)收藏指南+MA 23L说明书+警告语/进口商贴纸+EAN贴纸
</t>
    </r>
    <r>
      <rPr>
        <sz val="11"/>
        <color rgb="FFFF0000"/>
        <rFont val="宋体"/>
        <charset val="134"/>
        <scheme val="minor"/>
      </rPr>
      <t xml:space="preserve"> 北欧五语通用Slime黑白说明书
 带纽扣电池走货北欧六语通用黑白电池说明书
 不带电池走货北欧六语通用黑白电池说明书
上述说明书翻单4500162375,之前已通知按照MA采购，不要重复订购</t>
    </r>
    <r>
      <rPr>
        <sz val="11"/>
        <rFont val="宋体"/>
        <charset val="134"/>
        <scheme val="minor"/>
      </rPr>
      <t xml:space="preserve">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77711SK1-S002-INT//100-223011472//4894680054356</t>
    </r>
  </si>
  <si>
    <t>4500163874-40</t>
  </si>
  <si>
    <t>客户日期码格式 LOTE：39-工厂城市名缩写 20250602 ，客户日期码格式需显示在包装上，否则会有客诉。不用重复显示在产品上面，产品&lt;(&gt;&amp;&lt;)&gt; 外箱格式可
以用回ZURU格式。</t>
  </si>
  <si>
    <t>客户日期码格式 LOTE：39-工厂城市名缩写 20250602 ，客户日期码格式需显示在包装上，否则会有客诉。不用重复显示在产品上面，产品&lt;(&gt;&amp;&lt;)&gt; 外箱格式可
以用回ZURU格式</t>
  </si>
  <si>
    <r>
      <rPr>
        <sz val="11"/>
        <rFont val="宋体"/>
        <charset val="134"/>
        <scheme val="minor"/>
      </rPr>
      <t xml:space="preserve">日期码格式：LOTE：39-工厂城市名缩写 </t>
    </r>
    <r>
      <rPr>
        <sz val="11"/>
        <color rgb="FFFF0000"/>
        <rFont val="宋体"/>
        <charset val="134"/>
        <scheme val="minor"/>
      </rPr>
      <t>20250603,</t>
    </r>
    <r>
      <rPr>
        <sz val="11"/>
        <rFont val="宋体"/>
        <charset val="134"/>
        <scheme val="minor"/>
      </rPr>
      <t>只显示在包装上面即可 日期：
Packaging Info: 
 77711GQ1:（MA 3L PDQ+1张进口商EAN条码贴纸）+MA A 3L 收缩膜+MA5L收藏指南+进口商贴纸（产品包装和PDQ都需要贴纸）
Remark: 1. 此单出西班牙，需满足EU测试标准要求，另外微塑料需符合EU法规；
 2. 标准配比
 3. 客户日期码格式 LOTE：39-工厂城市名缩写 20250603 ，客户日期码格式需显示在包装上，否则会有客诉。不用重复显示在产品上面，产品&lt;(&gt;&amp;&lt;)&gt; 外箱格式可
 以用回ZURU格式。
 4.根据新电池法规（EU） 2023/1542， 所有走欧洲市场的电子产品，都需要增加WEEE通用30L说明书（分带电池走货 跟 不带电池走货两种），如工厂没有此文件，
 可以找我们跟单提供
 5. 准时完货，需安排ZURU OQC验货。 另外， 包装贴纸上面的警告语不可以覆盖西班牙警告语。</t>
    </r>
  </si>
  <si>
    <t>日期码格式：ZURU INC(BVI) 标准格式 日期：按实际生产日期
Packaging Info: 77711GQ1: A 版 3L MA 收缩膜+进口商贴纸；A 版 5L MA 收藏指南/A 版 3L MA PDQ/23L MA 说明书/ A 版 5L MA creative
Remark: 1、若产品有比例使用ZURU STD 比例
2、所有item 均用MA UPC 条码，若包装不是UPC 条码的请告知
3、此单出欧洲需满足EU测试标准要求</t>
  </si>
  <si>
    <t>4500164402-30</t>
  </si>
  <si>
    <t>日期码格式：ZURU INC(BVI) 标准格式 日期：按实际生产日期
Packaging Info: 
77711GQ2: MA-A EAN 3L收缩膜+MA 5L+23 L guide book+MA 3L A 展示盒+进口商贴纸
Remark: 1/产品和包装要求无硼无香，包装不能含有PVC
2/如有微塑料，必须合规欧洲标准，闪粉也是微塑料的一种，目前仅接受三张方式1.去除，2.用可降解材料，和3.永久封印在固体。
3/带电池出货的产品，所用到的电池需要符合欧洲电池新规(EU)2023-1542
4/产品配比</t>
  </si>
  <si>
    <t>77785-S001-77711-INT-MTS</t>
  </si>
  <si>
    <t>6/14 出货</t>
  </si>
  <si>
    <t>球底部贴1张警语贴纸，收藏指南贴一张警语贴纸，说明书贴一张警语贴纸</t>
  </si>
  <si>
    <t>日期码格式：ZURU INC(BVI) 标准格式 日期：按实际生产日期
Packaging Info:77785 =2pcs 77711+1pcs 77673
 77785：1张客供警语贴+1张客供电池警语贴纸
 （77785里的77711 （INT): MA 3L 收缩膜+1张空白贴纸覆盖条码+MA 收藏指南+ MA 说明书+球底部贴1张客供警语贴纸，收藏指南贴一张客供警语贴纸，说明书贴一
 张客供警语贴纸）
 （具体贴纸位置参考HK客供贴纸位置图）
Remark: 此单出HK</t>
  </si>
  <si>
    <t>4500158623-30</t>
  </si>
  <si>
    <t>77731-INT-S001</t>
  </si>
  <si>
    <t>空白贴纸(覆盖在条码位置，尺寸由工厂自行测量)，IT环保标贴纸(参考提供的位置图;参考翻单PO#4500158623）</t>
  </si>
  <si>
    <r>
      <rPr>
        <sz val="11"/>
        <color theme="1"/>
        <rFont val="宋体"/>
        <charset val="134"/>
        <scheme val="minor"/>
      </rPr>
      <t>日期码格式：ZURU INC(BVI) 标准格式 日期：按实际生产日期
Packaging Info: Amazon ES(77673, 77731)/IT(77673, 77731)
2. 77731：2PK#77711-INT In PVC Tube，12tubes/ctn; UV GLUE/ 1 Refrigerator Magnet;</t>
    </r>
    <r>
      <rPr>
        <sz val="11"/>
        <color rgb="FFFF0000"/>
        <rFont val="宋体"/>
        <charset val="134"/>
        <scheme val="minor"/>
      </rPr>
      <t xml:space="preserve"> MA 3L(3L warning EAN</t>
    </r>
    <r>
      <rPr>
        <sz val="11"/>
        <color theme="1"/>
        <rFont val="宋体"/>
        <charset val="134"/>
        <scheme val="minor"/>
      </rPr>
      <t>)A收缩膜+1张空白贴纸(覆盖在条码位置，尺寸
由工厂自行测量)+MA 5L(23L warning)A收藏指南+MA 23L警告语说明书+MA 5L A说明书 +客版3L(5L warning UPC) INT PVC筒铜版纸+1张IT环保标贴纸(参考提供的
位置图）；
3. 最迟验货不得晚于2025/6/6;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r>
  </si>
  <si>
    <t>4500158623-40</t>
  </si>
  <si>
    <t>Amazon UK:
5QK1UKHE</t>
  </si>
  <si>
    <t>4500158582-40</t>
  </si>
  <si>
    <r>
      <rPr>
        <sz val="11"/>
        <color theme="1"/>
        <rFont val="宋体"/>
        <charset val="134"/>
        <scheme val="minor"/>
      </rPr>
      <t>日期码格式：ZURU INC(BVI) 标准格式 日期：按实际生产日期
Packaging Info: Amazon UK(77673, 77731)/DE(77673, 77731)/FR(77673, 77731)
1. 77673: 12pcs/ctn; MA 1L(1L warning UPC)A收缩膜+MA 23L warning说明书+MA 5L A收藏指南+1张贴纸(含法德意西警告语+FR/ES/IT环保标);
2. 77731: 2PK#77711-INT In PVC Tube，12tubes/ctn; UV GLUE/ 1 Refrigerator Magnet; MA 1L(1L warning UPC)A收缩膜</t>
    </r>
    <r>
      <rPr>
        <sz val="11"/>
        <color rgb="FFFF0000"/>
        <rFont val="宋体"/>
        <charset val="134"/>
        <scheme val="minor"/>
      </rPr>
      <t>+1张空白贴纸(覆盖在条码位置，尺寸
由工厂自行测量)</t>
    </r>
    <r>
      <rPr>
        <sz val="11"/>
        <color theme="1"/>
        <rFont val="宋体"/>
        <charset val="134"/>
        <scheme val="minor"/>
      </rPr>
      <t>+MA 5L(23L warning)A收藏指南+MA 23L警告语说明书+MA 5L A说明书 +客版3L(5L warning UPC) INT PVC筒彩卡(参考翻单PO#4500158623)+1张IT
环保标贴纸(参考提供的位置图;参考翻单PO#4500158623）；
3. 验货时间不迟于2025/6/6.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r>
  </si>
  <si>
    <t>4500158582-50</t>
  </si>
  <si>
    <t>4500158582-60</t>
  </si>
  <si>
    <t>4500164861-100</t>
  </si>
  <si>
    <t xml:space="preserve"> 此单有第三方监柜，需要每款多备1套完整物料</t>
  </si>
  <si>
    <t>6/9 出货</t>
  </si>
  <si>
    <t>日期码格式：ZURU INC(BVI) 标准格式 日期：按实际生产日期
Packaging Info: 
77711GQ2:MA 3LEAN包装+UPC贴纸+进口商贴纸+外箱贴纸+箱唛
Remark: 此单有第三方监柜，需要每款多备1套完整物料</t>
  </si>
  <si>
    <t>Amazon
DE:689ANHEQ</t>
  </si>
  <si>
    <t>4500164250-140</t>
  </si>
  <si>
    <t>空白贴纸(覆盖在条码位置，尺寸由工厂自行测量)，ZURU邮箱care@zuru.com，参考翻单PO#4500158623)+1张IT环保标贴纸(参考提供的位置图;参考翻单PO#4500158623）</t>
  </si>
  <si>
    <t>日期码格式：ZURU INC(BVI) 标准格式 日期：按实际生产日期
Packaging Info: Amazon UK(15714K/7150B/77673/77723/92119AH/9279B/9561)/FR(9543D)/DE(71126/77555/77731/92104G/9543E)
10. 77731: 2PK#77711-INT In PVC Tube，12tubes/ctn; UV GLUE/ 1 Refrigerator Magnet; MA 1L(1L warning UPC)A收缩膜+1张空白贴纸(覆盖在条码位置，尺寸
由工厂自行测量)+MA 5L(23L warning)A收藏指南+MA 23L警告语说明书+MA 5L A说明书 +客版3L(5L warning UPC) INT PVC筒彩卡(UPC#+英法德意西5L警示语+FR/ES
环保标+ZURU邮箱care@zuru.com，参考翻单PO#4500158623)+1张IT环保标贴纸(参考提供的位置图;参考翻单PO#4500158623）；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</si>
  <si>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Amazon
DE:41BAL22L</t>
  </si>
  <si>
    <t>4500164250-170</t>
  </si>
  <si>
    <t>47:0003132609</t>
  </si>
  <si>
    <t>4500162966-10</t>
  </si>
  <si>
    <t>翻单PO4500161302，出日本首单，大货产品品质和内容需跟到寄出的测试版。</t>
  </si>
  <si>
    <r>
      <rPr>
        <sz val="12"/>
        <rFont val="宋体"/>
        <charset val="134"/>
        <scheme val="minor"/>
      </rPr>
      <t>日期码格式：ZURU INC(BVI) 标准格式 日期：按实际生产日期
Packaging Info: 客版包装+1张日语警语贴纸</t>
    </r>
    <r>
      <rPr>
        <sz val="12"/>
        <color rgb="FFFF0000"/>
        <rFont val="宋体"/>
        <charset val="134"/>
        <scheme val="minor"/>
      </rPr>
      <t>(贴在收缩膜上）+1张日语警告贴纸（贴在说明书上）</t>
    </r>
    <r>
      <rPr>
        <sz val="12"/>
        <rFont val="宋体"/>
        <charset val="134"/>
        <scheme val="minor"/>
      </rPr>
      <t xml:space="preserve">
贴纸AW、位置图已于20250516提供
Remark: 77782GQ1:WITH 4 DEMO; Base on #77711GQ2-S001-INT ver.:Remove Kikkoman-Soy Sauce
Hershey's-Chocolate Syrup 24 oz
Hershey's-Mini Chocolate Syrup 24 oz
Hershey's-Strawberry Syrup 22 oz
翻单PO4500161302，出日本首单，大货产品品质和内容需跟到寄出的测试版。</t>
    </r>
  </si>
  <si>
    <t>4500164557-10</t>
  </si>
  <si>
    <t>L贴纸（翻单450015
 5592）</t>
  </si>
  <si>
    <r>
      <rPr>
        <sz val="12"/>
        <rFont val="宋体"/>
        <charset val="134"/>
        <scheme val="minor"/>
      </rPr>
      <t xml:space="preserve">日期码格式：ZURU INC(BVI) 标准格式 日期：按实际生产日期
Packaging Info:
</t>
    </r>
    <r>
      <rPr>
        <sz val="12"/>
        <color rgb="FFFF0000"/>
        <rFont val="宋体"/>
        <charset val="134"/>
        <scheme val="minor"/>
      </rPr>
      <t xml:space="preserve"> 77711: 客版EN FR DE IT NL 5L收缩膜（翻单4500155592），MA5L收藏指南，MA 5L配件袋，（如有 Create，还需要放入MA 5L制作过程说明书+NL贴纸（翻单450015
 5592），MA 23L UV胶警告语）</t>
    </r>
    <r>
      <rPr>
        <sz val="12"/>
        <rFont val="宋体"/>
        <charset val="134"/>
        <scheme val="minor"/>
      </rPr>
      <t xml:space="preserve">
Remark: 1. STD配比
 2.EAN条码
 77711: 4894680043350
 3.须符合欧洲微塑料法规</t>
    </r>
  </si>
  <si>
    <t>4500164995-50</t>
  </si>
  <si>
    <r>
      <rPr>
        <sz val="12"/>
        <rFont val="宋体"/>
        <charset val="134"/>
        <scheme val="minor"/>
      </rPr>
      <t>日期码格式：ZURU INC(BVI) 标准格式 日期：按实际生产日期
Packaging Info:
 77711GQ2：A 版 3L MA 收缩膜+进口商贴纸+</t>
    </r>
    <r>
      <rPr>
        <sz val="12"/>
        <color rgb="FFFF0000"/>
        <rFont val="宋体"/>
        <charset val="134"/>
        <scheme val="minor"/>
      </rPr>
      <t>UPC条码贴纸</t>
    </r>
    <r>
      <rPr>
        <sz val="12"/>
        <rFont val="宋体"/>
        <charset val="134"/>
        <scheme val="minor"/>
      </rPr>
      <t>；A 版 5L MA 收藏指南/ A 版 3L MA PDQ/A 版 5L MA 收藏指南
Remark: "1、若产品有比例使用ZURU STD 比例
 2、所有item 均用MA UPC 条码，若包装不是UPC 条码的请告知
 3、此单出欧洲需满足EU测试标准要求"</t>
    </r>
  </si>
  <si>
    <r>
      <rPr>
        <sz val="12"/>
        <rFont val="宋体"/>
        <charset val="134"/>
        <scheme val="minor"/>
      </rPr>
      <t xml:space="preserve">日期码格式：ZURU INC(BVI) 标准格式 日期：按实际生产日期
Packaging Info:
 77711GQ2-S002-INT_MA 3L EAN版收缩膜+MA 3L PDQ+MA 5L(23L warning)收藏指南+MA 23L说明书+警告语/进口商贴纸
</t>
    </r>
    <r>
      <rPr>
        <sz val="12"/>
        <color rgb="FFFF0000"/>
        <rFont val="宋体"/>
        <charset val="134"/>
        <scheme val="minor"/>
      </rPr>
      <t xml:space="preserve"> 北欧五语通用Slime黑白说明书
 带纽扣电池走货北欧六语通用黑白电池说明书
 上述贴纸翻单4500162375，之前已经安排MA 采购，请不要重复采购</t>
    </r>
    <r>
      <rPr>
        <sz val="12"/>
        <rFont val="宋体"/>
        <charset val="134"/>
        <scheme val="minor"/>
      </rPr>
      <t xml:space="preserve">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77711GQ2-S002-INT-4894680043350</t>
    </r>
  </si>
  <si>
    <t>4500165209-20</t>
  </si>
  <si>
    <t>4500165209-70</t>
  </si>
  <si>
    <t>4500165209-120</t>
  </si>
  <si>
    <t>4500165215-60</t>
  </si>
  <si>
    <t>WEEE带电池走货欧洲30语通用黑白说明书整个欧洲市场都是共用</t>
  </si>
  <si>
    <t>ZMPO250393</t>
  </si>
  <si>
    <t>Remark:大货最新版本/大货标准箱装箱/箱唛参照邮件附件;备注：收到样品订单后尽快安排 ，注意样板品质质量要求要高于大货品质要求 ，送货时必须要附带送货单(没有送货单和QC检验合格报告的仓库一律拒绝收货)，请知悉，谢谢！</t>
  </si>
  <si>
    <t>95869-7.31</t>
  </si>
  <si>
    <t>4500162850-40</t>
  </si>
  <si>
    <t>此单有监柜要求，需要每款多准备一套完整物料，用于监柜，不可以随大货走</t>
  </si>
  <si>
    <t>外箱只需四面印Zuru logo，再加2张贴纸，1张Hu贴纸（条码贴），1张ASN贴纸（尺寸6.5cm*6.3cm,潘通色号2597C），都贴于侧唛，只需贴1面(HU贴纸和ASN贴
纸客供）</t>
  </si>
  <si>
    <t>5/23 寄出</t>
  </si>
  <si>
    <t>日期码格式：ZURU INC(BVI) 标准格式 日期：按实际生产日期
Packaging Info:
77711GQ2：MA 3L EAN 包装+MA 多语PDQ+进口商贴纸+价标贴纸
1. 外箱只需四面印Zuru logo，再加2张贴纸，1张Hu贴纸（条码贴），1张ASN贴纸（尺寸6.5cm*6.3cm,潘通色号2597C），都贴于侧唛，只需贴1面(HU贴纸和ASN贴
纸客供）
2. 一个外箱对应一个HU’S(条形码),不可以混条码包装
3.含有说明书需要增加说明书贴纸
4.价格贴纸覆盖原有包装的条形码
Remark: 
此单有监柜要求，需要每款多准备一套完整物料，用于监柜，不可以随大货走</t>
  </si>
  <si>
    <t>MEC305-S001-INT-77711</t>
  </si>
  <si>
    <r>
      <rPr>
        <sz val="12"/>
        <rFont val="宋体"/>
        <charset val="134"/>
        <scheme val="minor"/>
      </rPr>
      <t>日期码格式：ZURU INC(BVI) 标准格式 日期：按实际生产日期
Packaging Info:
 MEC305:MA 展示架（如有MA3L则不用MA1L）</t>
    </r>
    <r>
      <rPr>
        <sz val="12"/>
        <color rgb="FFFF0000"/>
        <rFont val="宋体"/>
        <charset val="134"/>
        <scheme val="minor"/>
      </rPr>
      <t>+1张展示架ITF14条码贴纸，77711:（MA 3L PDQ+1张PDQITF14条码贴纸）+MA A 3L 收缩膜含EAN条码+MA5L收藏指南+进口商含意大利环保标贴纸</t>
    </r>
    <r>
      <rPr>
        <sz val="12"/>
        <rFont val="宋体"/>
        <charset val="134"/>
        <scheme val="minor"/>
      </rPr>
      <t xml:space="preserve">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r>
  </si>
  <si>
    <t>MEC356-S001-INT-77711</t>
  </si>
  <si>
    <t>外箱上的箱唛资料会显示日期15/06/2025,产品/包装/外箱可以按ZURU 标准日期码打，也可以跟回外箱日期码，工厂自行选择,两者均可接受</t>
  </si>
  <si>
    <r>
      <rPr>
        <sz val="12"/>
        <rFont val="宋体"/>
        <charset val="134"/>
        <scheme val="minor"/>
      </rPr>
      <t>日期码格式：ZURU INC(BVI) 标准格式 日期：按实际生产日期
Packaging Info: MEC356:MA 展架+箱唛，无客户贴纸</t>
    </r>
    <r>
      <rPr>
        <sz val="12"/>
        <color rgb="FFFF0000"/>
        <rFont val="宋体"/>
        <charset val="134"/>
        <scheme val="minor"/>
      </rPr>
      <t>+展示架贴纸</t>
    </r>
    <r>
      <rPr>
        <sz val="12"/>
        <rFont val="宋体"/>
        <charset val="134"/>
        <scheme val="minor"/>
      </rPr>
      <t xml:space="preserve">
77782：客版收缩膜+客版收藏指南 同PO 4500161302一起订购，其余物料用MA
Remark: 订单需提交自检报告，客户审核通过才可以出货。
外箱上的箱唛资料会显示日期15/06/2025,产品/包装/外箱可以按ZURU 标准日期码打，也可以跟回外箱日期码，工厂自行选择,两者均可接受
77782 is base on #77711GQ2-S001-INT ver.:Remove Kikkoman-Soy Sauce
Hershey's-Chocolate Syrup 24 oz
Hershey's-Mini Chocolate Syrup 24 oz
Hershey's-Strawberry Syrup 22 oz
MEC256 条码：
77782:193052089533(2520pcs）</t>
    </r>
  </si>
  <si>
    <t>4500164946-10</t>
  </si>
  <si>
    <t>1张空白贴纸(覆盖在条码位置，尺寸由工厂自行测量)+FR/ES环保标+ZURU邮箱care@zuru.com，参考翻单PO#4500158623)+2张贴纸(1张EAN#，1张NL警告语，贴在彩卡)</t>
  </si>
  <si>
    <r>
      <rPr>
        <sz val="12"/>
        <rFont val="宋体"/>
        <charset val="134"/>
        <scheme val="minor"/>
      </rPr>
      <t xml:space="preserve">日期码格式：ZURU INC(BVI) 标准格式 日期：按实际生产日期
Packaging Info: BOL NL(77731/77673)
 1. 77731：2PK#77711-INT In PVC Tube，12tubes/ctn; UV GLUE/ 1 Refrigerator Magnet; </t>
    </r>
    <r>
      <rPr>
        <sz val="12"/>
        <color rgb="FFFF0000"/>
        <rFont val="宋体"/>
        <charset val="134"/>
        <scheme val="minor"/>
      </rPr>
      <t>MA 3L(3L warning EAN)</t>
    </r>
    <r>
      <rPr>
        <sz val="12"/>
        <rFont val="宋体"/>
        <charset val="134"/>
        <scheme val="minor"/>
      </rPr>
      <t>A收缩膜+1张空白贴纸(覆盖在条码位置，尺寸
 由工厂自行测量)+MA 5L(23L warning)A收藏指南+MA 23L警告语说明书+MA 5L A说明书 +客版3L(5L warning UPC) INT PVC筒彩卡(UPC#+英法德意西5L警示语+FR/ES
环保标+ZURU邮箱care@zuru.com，参考翻单PO#4500158623)+2张贴纸(1张EAN#，1张NL警告语，贴在彩卡)；
 3.最迟验货不得晚于2025/6/6;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r>
  </si>
  <si>
    <r>
      <rPr>
        <sz val="12"/>
        <rFont val="宋体"/>
        <charset val="134"/>
        <scheme val="minor"/>
      </rPr>
      <t xml:space="preserve">日期码格式：ZURU INC(BVI) 标准格式 日期：按实际生产日期
Packaging Info: 
</t>
    </r>
    <r>
      <rPr>
        <sz val="12"/>
        <color rgb="FFFF0000"/>
        <rFont val="宋体"/>
        <charset val="134"/>
        <scheme val="minor"/>
      </rPr>
      <t>MEC305：MA展示架</t>
    </r>
    <r>
      <rPr>
        <sz val="12"/>
        <rFont val="宋体"/>
        <charset val="134"/>
        <scheme val="minor"/>
      </rPr>
      <t xml:space="preserve">
</t>
    </r>
    <r>
      <rPr>
        <sz val="12"/>
        <color rgb="FFFF0000"/>
        <rFont val="宋体"/>
        <charset val="134"/>
        <scheme val="minor"/>
      </rPr>
      <t>子件</t>
    </r>
    <r>
      <rPr>
        <sz val="12"/>
        <rFont val="宋体"/>
        <charset val="134"/>
        <scheme val="minor"/>
      </rPr>
      <t>77711:最新MA3LEAN收缩膜+最新MA5L收藏指南+最新MA23L说明书+最新MA5Lcreative+最新MA纸袋+意大利环保标通用地址贴(含意大利警语)
Remark: 1. 此单出意大利，需要满足EU标准，通过ZURU验货即可；
2. 产品均符合EU微塑料法规要求：不能含有微塑料/闪粉
3, SMASHERS 或含Slime产品，所有化合物使用无硼版本出意大利。</t>
    </r>
  </si>
  <si>
    <t>DOLLAR GENERAL CORPORATION</t>
  </si>
  <si>
    <t>24R7H6</t>
  </si>
  <si>
    <t>4500160244-10</t>
  </si>
  <si>
    <t>77711GQ5-S002-NA-PKC</t>
  </si>
  <si>
    <t>冰箱迷你球48pcs/箱（胶袋装）</t>
  </si>
  <si>
    <t>6月10早上进行客人指定TUV的100%验货+抽测试样.</t>
  </si>
  <si>
    <t>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#77711GQ5：31328202F25
(2)产品日期码：
#77711GQ5：DOLGEN31328202F25（打在球壳上）
后三位E25代表25年5月，F25代表25年6月的ETD 。</t>
  </si>
  <si>
    <r>
      <rPr>
        <sz val="11"/>
        <color theme="1"/>
        <rFont val="宋体"/>
        <charset val="134"/>
        <scheme val="minor"/>
      </rPr>
      <t>日期码格式：DOLLAR GENERAL 格式日期码 日期：
Packaging Info: 1.包装：
 #77711GQ5-S002-NA-PKC 客版PDQ + 内袋警示语AWS + 客版收缩膜，请有说明书收藏指南等，请优先使用MA 1L。
Remark: 1.包装：
 #77711GQ5-S002-NA-PKC 客版PDQ + 内袋警示语AWS + 客版收缩膜，请有说明书收藏指南等，请优先使用MA 1L。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#77711GQ5：31328202F25
 (2)产品日期码：
#77711GQ5：DOLGEN31328202F25（打在球壳上）
 后三位E25代表25年5月，F25代表25年6月的ETD 。
 （3）UPC条形码：
 #77711GQ5:193052080127
 3. 无价贴。
 4. #77711GQ5样板：请尽力在</t>
    </r>
    <r>
      <rPr>
        <sz val="11"/>
        <color rgb="FFFF0000"/>
        <rFont val="宋体"/>
        <charset val="134"/>
        <scheme val="minor"/>
      </rPr>
      <t>5月15日</t>
    </r>
    <r>
      <rPr>
        <sz val="11"/>
        <color theme="1"/>
        <rFont val="宋体"/>
        <charset val="134"/>
        <scheme val="minor"/>
      </rPr>
      <t>前提供5 FULL PDQ产前确认样 + 2套光身板，（确保产前样所有信息及质量务必同大货） .寄给ZURU深圳跟单Minny /hailey
 转寄客人签样。（跟单确认样板无误后才可开始大货）。
 5. 验货抽样事宜：
 #77711GQ5: 6月10早上进行客人指定TUV的100%验货+抽测试样.
 随机抽取每款每色各12pcs + 足量干漆给实验室MTS 5套散件光身样（如适用），2-3套封样。
 请在6月9前完成ZURU QC验货，并当天14点前提供验货报告+大货图片给跟单。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下述数据，材积只接受3%的变小；重量正负不得超过以下列出数据的5%，接受外箱以印章方式印上实际毛重。大货外箱尺寸请保持：
 #77711GQ5大货外箱材积必须不能大于2.18Cube Feet(0.062cbm);外箱毛重12.94LBS。如有变化，请收单后2周内告知跟单评估是否可行。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r>
  </si>
  <si>
    <t>4500160253-20</t>
  </si>
  <si>
    <t>6月10早上进行客人指定TUV的100%验货+CT抽样测试</t>
  </si>
  <si>
    <r>
      <rPr>
        <sz val="11"/>
        <color theme="1"/>
        <rFont val="宋体"/>
        <charset val="134"/>
        <scheme val="minor"/>
      </rPr>
      <t>日期码格式：DOLLAR GENERAL 格式日期码 日期：
Packaging Info: 1.包装：
 #77711GQ5-S002-NA-PKC 客版PDQ + 内袋警示语AWS + 客版收缩膜，请有说明书收藏指南等，请优先使用MA 1L
 （客版aw跟单邮件提供）
Remark: 1.包装：
 #77711GQ5-S002-NA-PKC 客版PDQ + 内袋警示语AWS + 客版收缩膜，请有说明书收藏指南等，请优先使用MA 1L
 （客版aw跟单邮件提供）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包装日期码（已印在包装UPC码旁边竖排那里，无需额外添加），内容如下
 #77711GQ5：31328202F25
 (2)产品日期码：
#77711GQ5：DOLGEN31328202F25（打在球壳上）
 后三位F25代表25年6月的ETD 。
 （3）UPC条形码：
 #77711GQ5:193052080127
 3. 无价贴。
 4. 样板：无样板需求。
 5. 验货抽样事宜：
 #77711GQ5：</t>
    </r>
    <r>
      <rPr>
        <sz val="11"/>
        <color rgb="FFFF0000"/>
        <rFont val="宋体"/>
        <charset val="134"/>
        <scheme val="minor"/>
      </rPr>
      <t>6月10早上进行客人指定TUV的100%验货+CT抽样测试.</t>
    </r>
    <r>
      <rPr>
        <sz val="11"/>
        <color theme="1"/>
        <rFont val="宋体"/>
        <charset val="134"/>
        <scheme val="minor"/>
      </rPr>
      <t xml:space="preserve">
 抽样数量:随机抽取每款每色各12pcs + </t>
    </r>
    <r>
      <rPr>
        <sz val="11"/>
        <color rgb="FFFF0000"/>
        <rFont val="宋体"/>
        <charset val="134"/>
        <scheme val="minor"/>
      </rPr>
      <t>足量干漆给实验室MTS 5套散件光身样（如适用）。</t>
    </r>
    <r>
      <rPr>
        <sz val="11"/>
        <color theme="1"/>
        <rFont val="宋体"/>
        <charset val="134"/>
        <scheme val="minor"/>
      </rPr>
      <t xml:space="preserve">
</t>
    </r>
    <r>
      <rPr>
        <sz val="11"/>
        <color rgb="FFFF0000"/>
        <rFont val="宋体"/>
        <charset val="134"/>
        <scheme val="minor"/>
      </rPr>
      <t xml:space="preserve"> 请在6月9前完成ZURU QC验货</t>
    </r>
    <r>
      <rPr>
        <sz val="11"/>
        <color theme="1"/>
        <rFont val="宋体"/>
        <charset val="134"/>
        <scheme val="minor"/>
      </rPr>
      <t>，并当天14点前提供验货报告+大货图片给跟单。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下述数据，材积只接受3%的变小；重量正负不得超过以下列出数据的5%，接受外箱以印章方式印上实际毛重。大货外箱尺寸请保持：
 #77711GQ5大货外箱材积必须不能大于2.18Cube Feet(0.062cbm);外箱毛重12.94LBS。如有变化，请收单后2周内告知跟单评估是否可行。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#77711GQ5内袋可通用77555GQ3的4500156595</t>
    </r>
  </si>
  <si>
    <t>DOLGENCORP, LLC</t>
  </si>
  <si>
    <t>252G50</t>
  </si>
  <si>
    <t>4500162695-30</t>
  </si>
  <si>
    <t>箱唛：
 翻4500160244。</t>
  </si>
  <si>
    <t>客版包装AWs上已印有客版日期码和客版UPC#，大货前需核对好这些信息，包装无需额外打ZURU日期码了。但是产品上需打客版日期码。
 (1) 包装日期码（已印在包装UPC码旁边竖排那里，无需额外添加），内容如
 #77711GQ5：31328202F25
 (2)产品日期码：
#77711GQ5：DOLGEN31328202F25（打在球壳上）
 后三位F25代表25年6月的ETD 。</t>
  </si>
  <si>
    <r>
      <rPr>
        <sz val="12"/>
        <color theme="1"/>
        <rFont val="宋体"/>
        <charset val="134"/>
        <scheme val="minor"/>
      </rPr>
      <t xml:space="preserve">日期码格式：DOLLAR GENERAL 格式日期码 日期：
Packaging Info: 1.包装：
 #77711GQ5-S002-NA-PKC 客版PDQ + 内袋警示语AWS + 客版收缩膜，请有说明书收藏指南等，请优先使用MA 1L。（客版AWs翻4500160244）
Remark: 1.包装：
</t>
    </r>
    <r>
      <rPr>
        <sz val="12"/>
        <color rgb="FFFF0000"/>
        <rFont val="宋体"/>
        <charset val="134"/>
        <scheme val="minor"/>
      </rPr>
      <t xml:space="preserve"> #77711GQ5-S002-NA-PKC 客版PDQ + 内袋警示语AWS + 客版收缩膜，请有说明书收藏指南等，请优先使用MA 1L。（客版AWs翻4500160244）
 客户要求： "产品和包装不能含有PFAS 物质以及1,4 dioxane" 客户指定实验室做测试，请确保产品可以过美国标准ASTM F963-23测试。
77111GQ5 必须是双坑外箱</t>
    </r>
    <r>
      <rPr>
        <sz val="12"/>
        <color theme="1"/>
        <rFont val="宋体"/>
        <charset val="134"/>
        <scheme val="minor"/>
      </rPr>
      <t xml:space="preserve">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#77711GQ5：31328202F25
 (2)产品日期码：
#77711GQ5：DOLGEN31328202F25（打在球壳上）
 后三位F25代表25年6月的ETD 。
 （3）UPC条形码：
 #77711GQ5:193052080127
 3. 无价贴。
 4. 无样板需求
 5. 验货抽样事宜：
</t>
    </r>
    <r>
      <rPr>
        <sz val="12"/>
        <color rgb="FFFF0000"/>
        <rFont val="宋体"/>
        <charset val="134"/>
        <scheme val="minor"/>
      </rPr>
      <t xml:space="preserve"> #77711GQ5：6月10早上进行客人知道TUV的100%验货+CT抽测试样
 抽样数量：</t>
    </r>
    <r>
      <rPr>
        <sz val="12"/>
        <color theme="1"/>
        <rFont val="宋体"/>
        <charset val="134"/>
        <scheme val="minor"/>
      </rPr>
      <t xml:space="preserve">
</t>
    </r>
    <r>
      <rPr>
        <sz val="12"/>
        <color rgb="FFFF0000"/>
        <rFont val="宋体"/>
        <charset val="134"/>
        <scheme val="minor"/>
      </rPr>
      <t xml:space="preserve"> #77711GQ5:随机抽取每款每色各12pcs + 足量干漆给实验室MT&lt;(&gt;&lt;&lt;)&gt;(&gt;&lt;(&gt;&lt;&lt;)&gt;&lt;(&gt;&lt;&lt;)&gt;)&gt;(&gt;&lt;(&gt;&lt;&lt;)&gt;(&gt;&lt;(&gt;&lt;&lt;)&gt;&lt;(&gt;&lt;&lt;)&gt;)&gt;&lt;(&gt;&lt;&lt;)&gt;(&gt;&lt;(&gt;&lt;&lt;)&gt;&lt;(&gt;&lt;&lt;)&gt;)&gt;)&gt; 5套散件
 光身样（如适用）
 请在6月9前完成ZURU QC验货，并当天14点前提供验货报告+大货图片给跟单。</t>
    </r>
    <r>
      <rPr>
        <sz val="12"/>
        <color theme="1"/>
        <rFont val="宋体"/>
        <charset val="134"/>
        <scheme val="minor"/>
      </rPr>
      <t xml:space="preserve">
 6. 箱唛：
 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r>
  </si>
  <si>
    <t>252GD5</t>
  </si>
  <si>
    <t>4500162695-70</t>
  </si>
  <si>
    <t>4500162695-100</t>
  </si>
  <si>
    <t>日期码格式：DOLLAR GENERAL 格式日期码 日期：
Packaging Info: 1.包装：
 #77711GQ5-S002-NA-PKC 客版PDQ + 内袋警示语AWS + 客版收缩膜，请有说明书收藏指南等，请优先使用MA 1L。（客版AWs翻4500160244）
Remark: 1.包装：
 #77711GQ5-S002-NA-PKC 客版PDQ + 内袋警示语AWS + 客版收缩膜，请有说明书收藏指南等，请优先使用MA 1L。（客版AWs翻4500160244）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#77711GQ5：31328202F25
 (2)产品日期码：
#77711GQ5：DOLGEN31328202F25（打在球壳上）
 后三位F25代表25年6月的ETD 。
 （3）UPC条形码：
 #77711GQ5:193052080127
 3. 无价贴。
 4. 无样板需求
 5. 验货抽样事宜：
 #77711GQ5：6月10早上进行客人知道TUV的100%验货+CT抽测试样
 抽样数量：
 #77711GQ5:随机抽取每款每色各12pcs + 足量干漆给实验室MT&lt;(&gt;&lt;&lt;)&gt;(&gt;&lt;(&gt;&lt;&lt;)&gt;&lt;(&gt;&lt;&lt;)&gt;)&gt;(&gt;&lt;(&gt;&lt;&lt;)&gt;(&gt;&lt;(&gt;&lt;&lt;)&gt;&lt;(&gt;&lt;&lt;)&gt;)&gt;&lt;(&gt;&lt;&lt;)&gt;(&gt;&lt;(&gt;&lt;&lt;)&gt;&lt;(&gt;&lt;&lt;)&gt;)&gt;)&gt; 5套散件
 光身样（如适用）
 请在6月9前完成ZURU QC验货，并当天14点前提供验货报告+大货图片给跟单。
 6. 箱唛：
 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</si>
  <si>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4500162695-110</t>
  </si>
  <si>
    <t>4500160378-20</t>
  </si>
  <si>
    <t>瑞典芬兰爱沙尼亚语警告语/MADE IN CHINA翻译成瑞典芬兰爱沙尼亚语言做成一张贴纸(贴纸和位置图翻K􀃤rkk􀃤inen PO#4500161
573)</t>
  </si>
  <si>
    <r>
      <rPr>
        <sz val="12"/>
        <rFont val="宋体"/>
        <charset val="134"/>
        <scheme val="minor"/>
      </rPr>
      <t>日期码格式：ZURU INC(BVI) 标准格式 日期：按实际生产日期
Packaging Info:
2. 77711GQ2: MA 3L EAN版收缩膜+</t>
    </r>
    <r>
      <rPr>
        <sz val="12"/>
        <color rgb="FFFF0000"/>
        <rFont val="宋体"/>
        <charset val="134"/>
        <scheme val="minor"/>
      </rPr>
      <t>瑞典芬兰爱沙尼亚语警告语/MADE IN CHINA翻译成瑞典芬兰爱沙尼亚语言做成一张贴纸(贴纸和位置图翻K􀃤rkk􀃤inen PO#4500161
573)</t>
    </r>
    <r>
      <rPr>
        <sz val="12"/>
        <rFont val="宋体"/>
        <charset val="134"/>
        <scheme val="minor"/>
      </rPr>
      <t>+MA paper bag+</t>
    </r>
    <r>
      <rPr>
        <sz val="12"/>
        <color rgb="FFFF0000"/>
        <rFont val="宋体"/>
        <charset val="134"/>
        <scheme val="minor"/>
      </rPr>
      <t>瑞典芬兰爱沙尼亚语警告语贴在纸袋子上</t>
    </r>
    <r>
      <rPr>
        <sz val="12"/>
        <rFont val="宋体"/>
        <charset val="134"/>
        <scheme val="minor"/>
      </rPr>
      <t>+MA 3L PDQ+MA 5L(23L warning)收藏指南+MA 23L说明书+</t>
    </r>
    <r>
      <rPr>
        <sz val="12"/>
        <color rgb="FFFF0000"/>
        <rFont val="宋体"/>
        <charset val="134"/>
        <scheme val="minor"/>
      </rPr>
      <t>爱沙尼亚语警告语贴在说明书上(不能覆盖GB
/FI/SE语言)</t>
    </r>
    <r>
      <rPr>
        <sz val="12"/>
        <rFont val="宋体"/>
        <charset val="134"/>
        <scheme val="minor"/>
      </rPr>
      <t xml:space="preserve">
7. 配比跟MA
Remark:
1. 77711GQ2: 需要在6/11安排ITS第三方验货，请多备料
请在6/2之前各提供一套大货签板给我们签回供第三方验货用，签板必须跟大货完全一致，否则验货会不合格
2. 77711GQ2新款: 请在6/2之前各提供两套大货样给我们寄给客人留底
3. 包装如含PVC,请改为PET并第一时间通知跟单
4. 产品/包装要求无硼无香，出欧洲，微塑料需合规。
5.带电池出货的产品所用到的电池需要符合欧洲电池新规(EU) 2023-1542
6.有胶袋的产品：要求产品的胶袋厚度要大于等于0.05mm
7.关于贴纸，如果贴纸位置图的包装版本与大货不一致，请工厂第一时间提前提出。跟单会重新调整确认是否更新贴纸或调整位置图
8.产品/包装不含PFAS成分
9.产品条码如下: 请先检查条码是否正确再安排做货，如有问题请告知
ZURU ITEM#&lt;(&gt;&amp;&lt;)&gt;EAN:
77711GQ2-S002-INT:4894680043350</t>
    </r>
  </si>
  <si>
    <t>4500165640-80</t>
  </si>
  <si>
    <t>77803GQ2-S001-PRODCC-INT</t>
  </si>
  <si>
    <t>冰箱迷你球（客版）50pcs/箱</t>
  </si>
  <si>
    <r>
      <rPr>
        <sz val="12"/>
        <rFont val="宋体"/>
        <charset val="134"/>
        <scheme val="minor"/>
      </rPr>
      <t xml:space="preserve">日期码格式：ZURU INC(BVI) 标准格式 日期：按实际生产日期
Packaging Info: 1.
</t>
    </r>
    <r>
      <rPr>
        <sz val="12"/>
        <color rgb="FFFF0000"/>
        <rFont val="宋体"/>
        <charset val="134"/>
        <scheme val="minor"/>
      </rPr>
      <t xml:space="preserve"> 77803GQ2-MA EAN包装（3L)+1张进口商贴纸+1张UPC条码贴纸(UPC贴纸显示款号77803，条码193052092403）。贴纸资料待提供。</t>
    </r>
    <r>
      <rPr>
        <sz val="12"/>
        <rFont val="宋体"/>
        <charset val="134"/>
        <scheme val="minor"/>
      </rPr>
      <t xml:space="preserve">
2.77803GQ2是基于STD版本</t>
    </r>
    <r>
      <rPr>
        <sz val="12"/>
        <color rgb="FFFF0000"/>
        <rFont val="宋体"/>
        <charset val="134"/>
        <scheme val="minor"/>
      </rPr>
      <t>77711GQ2-S001-INT</t>
    </r>
    <r>
      <rPr>
        <sz val="12"/>
        <rFont val="宋体"/>
        <charset val="134"/>
        <scheme val="minor"/>
      </rPr>
      <t>建立的客制spec,移除掉了提到猪肉"pork"的2个minis和4个有license的minis：
 Veggie Original Sausage Patties
 Singles The Original- Pepperoni (Contains pork words)
 Kikkoman-Soy Sauce (license)
 Hershey's-Chocolate Syrup 24 oz (license)
 Hershey's-Mini Chocolate Syrup 24 oz (license)
 Hershey's-Strawberry Syrup 22 oz (license)
包装也相应做了客制版本</t>
    </r>
    <r>
      <rPr>
        <sz val="12"/>
        <color rgb="FFFF0000"/>
        <rFont val="宋体"/>
        <charset val="134"/>
        <scheme val="minor"/>
      </rPr>
      <t>:客版收藏指南(翻单中东订单4500162410)+客版PDQ(跟77782GQ1-S001-INT的PDQ，图稿可翻单拉美订单4500161302），其他包材如收缩膜等
 都跟STD版本77711GQ2-S001-INT版。</t>
    </r>
    <r>
      <rPr>
        <sz val="12"/>
        <rFont val="宋体"/>
        <charset val="134"/>
        <scheme val="minor"/>
      </rPr>
      <t xml:space="preserve">
 3.因为此客人进口商贴纸是通用的，只可能因为item不同尺寸会有差别，如果发现尺寸一样就请统一订购节省成本。
Remark:
 77803GQ2-With 4pcs demo/PDQ
 Remove 6 Minis as below:
 Veggie Original Sausage Patties
 Singles The Original- Pepperoni (Contains pork words)
 Kikkoman-Soy Sauce (license)
 Hershey's-Chocolate Syrup 24 oz (license)
 Hershey's-Mini Chocolate Syrup 24 oz (license)
 Hershey's-Strawberry Syrup 22 oz (license)</t>
    </r>
  </si>
  <si>
    <t>4500160726-30</t>
  </si>
  <si>
    <t>4500164331-40</t>
  </si>
  <si>
    <r>
      <rPr>
        <sz val="12"/>
        <rFont val="宋体"/>
        <charset val="134"/>
        <scheme val="minor"/>
      </rPr>
      <t>日期码格式：ZURU INC(BVI) 标准格式 日期：按实际生产日期
Packaging Info:
 77711GQ1: MA 3L EAN包装(+UPC条码贴纸)+ 进口商贴纸;</t>
    </r>
    <r>
      <rPr>
        <sz val="12"/>
        <color rgb="FFFF0000"/>
        <rFont val="宋体"/>
        <charset val="134"/>
        <scheme val="minor"/>
      </rPr>
      <t>MA收藏指南</t>
    </r>
    <r>
      <rPr>
        <sz val="12"/>
        <rFont val="宋体"/>
        <charset val="134"/>
        <scheme val="minor"/>
      </rPr>
      <t>;MA PDQ
Remark: 此单出欧洲斯洛文尼亚， 需满足EU测试标准要求，不能含微塑料，需出无闪粉版本</t>
    </r>
  </si>
  <si>
    <t>4500164331-50</t>
  </si>
  <si>
    <r>
      <rPr>
        <sz val="12"/>
        <rFont val="宋体"/>
        <charset val="134"/>
        <scheme val="minor"/>
      </rPr>
      <t>日期码格式：ZURU INC(BVI) 标准格式 日期：按实际生产日期
Packaging Info:
 77711SK1: MA 3L EAN包装(+UPC条码贴纸)+ 进口商贴纸</t>
    </r>
    <r>
      <rPr>
        <sz val="12"/>
        <color rgb="FFFF0000"/>
        <rFont val="宋体"/>
        <charset val="134"/>
        <scheme val="minor"/>
      </rPr>
      <t>;MA收藏指南</t>
    </r>
    <r>
      <rPr>
        <sz val="12"/>
        <rFont val="宋体"/>
        <charset val="134"/>
        <scheme val="minor"/>
      </rPr>
      <t>;MA展示架
Remark: 此单出欧洲斯洛文尼亚， 需满足EU测试标准要求，不能含微塑料，需出无闪粉版本</t>
    </r>
  </si>
  <si>
    <t>0904512283HOU
STON</t>
  </si>
  <si>
    <t>4500162979-10</t>
  </si>
  <si>
    <t>6/13第三方验货</t>
  </si>
  <si>
    <t>0904512272MOB
ILE</t>
  </si>
  <si>
    <t>4500162979-20</t>
  </si>
  <si>
    <t>4500164017-40</t>
  </si>
  <si>
    <r>
      <rPr>
        <sz val="12"/>
        <rFont val="宋体"/>
        <charset val="134"/>
        <scheme val="minor"/>
      </rPr>
      <t xml:space="preserve">日期码格式：ZURU INC(BVI) 标准格式 日期：按实际生产日期
Packaging Info: 
</t>
    </r>
    <r>
      <rPr>
        <sz val="12"/>
        <color rgb="FFFF0000"/>
        <rFont val="宋体"/>
        <charset val="134"/>
        <scheme val="minor"/>
      </rPr>
      <t>4.77711:客版 3L EAN收缩膜（英法意）+最新MA 5L收藏指南+最新MA 23L说明书+最新MA 5L creative+最新MA纸袋+最新MA 3L PDQ/展示架+多语警语折叠贴纸（含
意大利语callout+包装缺失的法/意/西环保标）</t>
    </r>
    <r>
      <rPr>
        <sz val="12"/>
        <rFont val="宋体"/>
        <charset val="134"/>
        <scheme val="minor"/>
      </rPr>
      <t xml:space="preserve">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r>
  </si>
  <si>
    <t>4500164017-50</t>
  </si>
  <si>
    <t>77711SK-S002-INT-MTS</t>
  </si>
  <si>
    <t>日期码格式：ZURU INC(BVI) 标准格式 日期：按实际生产日期
Packaging Info:
4.77711:客版 3L EAN收缩膜（英法意）+最新MA 5L收藏指南+最新MA 23L说明书+最新MA 5L creative+最新MA纸袋+最新MA 3L PDQ/展示架+多语警语折叠贴纸（含
意大利语callout+包装缺失的法/意/西环保标）
6.MEC305:（同77711/77673）+最新MA 展示架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</si>
  <si>
    <t>4500169682-90</t>
  </si>
  <si>
    <t>77711SK1-S002-INT-MTS</t>
  </si>
  <si>
    <t>4500165161转单4500166459</t>
  </si>
  <si>
    <t>多语警语折叠贴纸（含包装缺失的法/意/西环保标）（翻4500162314）</t>
  </si>
  <si>
    <t>Date code: 外箱/产品/包装 保持一致，完货后提供date code 信息以便我们保存记录做批次管理;</t>
  </si>
  <si>
    <t>日期码格式：ZURU INC(BVI) 标准格式 日期：按实际生产日期
Packaging Info:
 77711SK1:最新MA3LEAN收缩膜+最新MA5L收藏指南+最新MA23L说明书+最新MA5Lcreative+最新MA纸袋+最新MA展示架+多语警语折叠贴纸（含包装缺失的法/意/西环保
 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</si>
  <si>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4500169682-60</t>
  </si>
  <si>
    <t>日期码格式：ZURU INC(BVI) 标准格式 日期：按实际生产日期
Packaging Info:
 77711GQ1:最新MA3LEAN收缩膜+最新MA5L收藏指南+最新MA23L说明书+最新MA5Lcreative+最新MA纸袋+最新MA3LPDQ+多语警语折叠贴纸（含包装缺失的法/意/西环保标
 ）（翻4500162314）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</si>
  <si>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10001263696-3758</t>
  </si>
  <si>
    <t>4500166241-30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</si>
  <si>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以上所以item均：
 1. 产品和包装上印刷 tracking code信息，格式为ZURU常规格式;
 2. 出货方式：货代自提</t>
  </si>
  <si>
    <t>4500163394-40</t>
  </si>
  <si>
    <t>日期码格式：ZURU INC(BVI) 标准格式 日期：按实际生产日期
Packaging Info: 
77711GQ1:最新MA 3L EAN收缩膜+最新MA 5L收藏指南+最新MA 23L说明书+最新MA 5L creative+最新MA纸袋+最新MA 3L PDQ+多语警语折叠贴纸（含包装缺失的法/意/
西环保标）（翻4500162314）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t>
  </si>
  <si>
    <t>2924716-00</t>
  </si>
  <si>
    <t>4500165392-10</t>
  </si>
  <si>
    <t>6/9前寄出大货样2套</t>
  </si>
  <si>
    <t>日期码格式： 标准格式 日期：按实际生产日期
Packaging Info: 77711GQ1 MA 5L A版，MA 2L A版（PDQ+收缩膜UPC版本193052080127)
Remark: 出口加拿大， 有 进口商贴纸
6/9前寄出大货样2套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</si>
  <si>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4500166249-30</t>
  </si>
  <si>
    <t>日期码格式：ZURU INC(BVI) 标准格式 日期：按实际生产日期
Packaging Info: 
 77711GQ2：产品包装(UPC版) MA 1L 收缩膜 + MA1L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此订单所有item：
 1. 产品和包装上印刷 tracking code信息，格式为ZURU常规格式;
 2. 出货方式：货代自提</t>
  </si>
  <si>
    <t>4500166259-30</t>
  </si>
  <si>
    <t>日期码格式：ZURU INC(BVI) 标准格式 日期：按实际生产日期
Packaging Info:
 77711GQ2：产品包装(UPC版) MA 1L 收缩膜 + MA1L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此订单所有item：
 1. 产品和包装上印刷 tracking code信息，格式为ZURU常规格式;
 2. 出货方式：货代自提</t>
  </si>
  <si>
    <t>10001263695-3890</t>
  </si>
  <si>
    <t>4500166234-30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</si>
  <si>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以上所以item均：
 1. 产品和包装上印刷 tracking code信息，格式为ZURU常规格式;
 2. 出货方式：货代自提</t>
  </si>
  <si>
    <t>Remark:大货最新2L版本/大货标准箱装箱;备注：收到样品订单后尽快安排 ，注意样板品质质量要求要高于大货品质要求 ，送货时必须要附带送货单(没有送货单和QC检验合格报告的仓库一律拒绝收货)，请知悉，谢谢！</t>
  </si>
  <si>
    <t>ZMPO250453</t>
  </si>
  <si>
    <t>77711SK-S001-NA</t>
  </si>
  <si>
    <t>2套空展示架</t>
  </si>
  <si>
    <t>Remark:大货最新版本/请配齐展示窗的配件;备注：收到样品订单后尽快安排 ，注意样板品质质量要求要高于大货品质要求 ，送货时必须要附带送货单(没有送货单和QC检验合格报告的仓库一律拒绝收货)，请知悉，谢谢！</t>
  </si>
  <si>
    <t>95866-7.31</t>
  </si>
  <si>
    <t>4500160810-30</t>
  </si>
  <si>
    <t>日期码格式：ZURU INC(BVI) 标准格式 日期：按实际生产日期
Packaging Info: 
#77711：
MA2L,PDQ(NA版,25装)+MA2L收缩膜(NA版,UPC:193052080127)+MA2L收藏指南((NA版)+MA配件袋+MA5L说明书+MA23L警告语说明书
Remark: 1. 此单有箱唛;
2. UPC贴纸：必须在原来错误的条码上用黑色粗头笔涂黑直至不能扫描，再贴上正确的UPC;
3. 此单有第三方验货，烦请多备包装物料；
4. #15728内含电池,需用英法双语电池出货.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</si>
  <si>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95528-7.2</t>
  </si>
  <si>
    <t>4500164022-10</t>
  </si>
  <si>
    <t>creative说明书
荷兰语贴纸翻PO#4500155592</t>
  </si>
  <si>
    <t>日期码格式：ZURU INC(BVI) 标准格式 日期：按实际生产日期
Packaging Info: 77711GQ2: 客版收缩膜（英法德意荷）-翻PO#4500155592+客人款号EAN条码贴纸，MA 纸袋， MA 3L A版PDQ， MA 5L+23L警语收藏指南， MA 5L creative说明书 +
 creative说明书
 荷兰语贴纸翻PO#4500155592
Remark: 1. STD配比
 2. 出欧洲，微塑料需合规（如item本身不含微塑料 则忽略此要求）
 3. 客人款号
 77711GQ2 2008168
 4. 大货样
 请在2025/6/4日前寄出每个item 2pcs 到罗湖办公室, Amber Zhang 收</t>
  </si>
  <si>
    <t>Amber Zhang</t>
  </si>
  <si>
    <t>77711GQ2-S001-INT-1</t>
  </si>
  <si>
    <t>4500165525-10</t>
  </si>
  <si>
    <r>
      <rPr>
        <sz val="12"/>
        <rFont val="宋体"/>
        <charset val="134"/>
        <scheme val="minor"/>
      </rPr>
      <t>日期码格式：ZURU INC(BVI) 标准格式 日期：按实际生产日期
Packaging Info: 77711GQ1: MA A版 3L EAN 包装+进口商贴纸; MA A版5L收藏指南;MA最新版23L说明书+</t>
    </r>
    <r>
      <rPr>
        <sz val="12"/>
        <color rgb="FFFF0000"/>
        <rFont val="宋体"/>
        <charset val="134"/>
        <scheme val="minor"/>
      </rPr>
      <t>进口商贴纸</t>
    </r>
    <r>
      <rPr>
        <sz val="12"/>
        <rFont val="宋体"/>
        <charset val="134"/>
        <scheme val="minor"/>
      </rPr>
      <t>; MA A版3L PDQ
Remark: 1、所有item 均用MA EAN 条码，若包装不是EAN 条码的请告知
 2、此单出欧洲需满足EU测试标准要求，另外不能出闪粉（若产品本身不含闪粉则忽略这句话）</t>
    </r>
  </si>
  <si>
    <t xml:space="preserve"> KMART AUSTRALIA LTD</t>
  </si>
  <si>
    <t>4500165566-40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</si>
  <si>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</si>
  <si>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 xml:space="preserve"> Lydia Wu</t>
  </si>
  <si>
    <t>MPO03504</t>
  </si>
  <si>
    <t>6/30 送永捷</t>
  </si>
  <si>
    <t>Remark: 1））包包装装方方式式：：MA UPC优优先先1L最最新新版版，，出出口口美美国国
2））为为保保持持子子件件与与母母件件的的生生产产日日期期一一致致，，此此单单的的生生产产日日期期请请等等通通知知
3））送送货货时时，，可可用用周周转转箱箱送送货货并并在在外外箱箱上上备备注注此此为为Fred Meyer PO-4500164634 #MSLD130-S001展展示示架架的的子子件件 ；
4）.请请务务必必按按期期交交货货；；</t>
  </si>
  <si>
    <t>Tracy Xu；Vicky，Wu；</t>
  </si>
  <si>
    <t>ZB00698-7.9</t>
  </si>
  <si>
    <t>0904512285EAS
TVALE</t>
  </si>
  <si>
    <t>4500162824-10</t>
  </si>
  <si>
    <t>日期码格式：ZURU DGYYYYMMDD CHINA(日期避开周末和法定节假日即可） 日期：按实际生产日期
Packaging Info: 77711GQ4-S001-NA
1.包装要求：
MA 1L A版收缩膜+MA 5L A版收藏指南+MA 说明书+客版1L PDQ，翻单：4500159672
每pcs产品上要贴1张RFID贴纸，贴纸由ZURU提供，贴纸位置请严格按照我们签回的签板
Remark: 77711GQ4-S001-NA
1.包装要求：
MA 1L A版收缩膜+MA 5L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
保
条形码能扫描出来，外箱侧面任一角落加印："MADE IN CHINA" 字样；
3. 在产品上和包装上要有日期码、以及要有MADE IN CHINA和ZURU字样；
4. 产品如有扎带口要剪平，不能刮手。
5.loose carton出货，16pcs/PDQ/CTN</t>
  </si>
  <si>
    <t>ZB00645-7.3</t>
  </si>
  <si>
    <t>0904512434ELW
OOD</t>
  </si>
  <si>
    <t>4500162824-20</t>
  </si>
  <si>
    <t>ZB00626-7.2</t>
  </si>
  <si>
    <t>0907594866SUF
FOLK</t>
  </si>
  <si>
    <t>4500162824-30</t>
  </si>
  <si>
    <t>0907594904STA
TESBORO</t>
  </si>
  <si>
    <t>4500162824-40</t>
  </si>
  <si>
    <t>ZB00718-7.10</t>
  </si>
  <si>
    <t>0907594944RID
GEVILLE SC</t>
  </si>
  <si>
    <t>4500162824-50</t>
  </si>
  <si>
    <t>ZB00682-7.8</t>
  </si>
  <si>
    <t xml:space="preserve"> MEIJER DISTRIBUTION, INC.</t>
  </si>
  <si>
    <t>4500168832-20</t>
  </si>
  <si>
    <t>日期码格式：ZURU INC(BVI) 标准格式 日期：
Packaging Info:  1.  MA 1L 包装
  2. 客人指定箱唛排版
Remark: 出货前 Zuru QC 验货</t>
  </si>
  <si>
    <t xml:space="preserve"> Cherie Li</t>
  </si>
  <si>
    <t>4500168889-30</t>
  </si>
  <si>
    <t>4500166083转单</t>
  </si>
  <si>
    <t>Miniso Depot CA Inc.</t>
  </si>
  <si>
    <t>CUSTOMER PO#
4343000549</t>
  </si>
  <si>
    <t>4500165138-10</t>
  </si>
  <si>
    <t>日期码格式：ZURU INC(BVI) 标准格式 日期：按实际生产日期
Packaging Info: 1. 包装方式：MA UPC 优先1L 最新包装，出口美国；
2. 产品和包装上印刷tracking code信息，格式为ZURU常规；
3. ZURU QC 验货合格后即可出货.
Remark: 4.#77711GQ2-S002-NA PDQ上需要贴一张UPC 条码贴纸,UPC显示：193052080127；贴纸AW跟单提供，贴纸工厂自行采购。</t>
  </si>
  <si>
    <t>Customer PO#
4343000548</t>
  </si>
  <si>
    <t>4500165084-10</t>
  </si>
  <si>
    <t>ZB00646-7.3</t>
  </si>
  <si>
    <t xml:space="preserve"> THE HAMLEYS GROUP LTD</t>
  </si>
  <si>
    <t>HLL-PO-000014
610</t>
  </si>
  <si>
    <t>4500166031-10</t>
  </si>
  <si>
    <t>大货样：请于6/10前寄3套完整大货样到深圳办公室：广东省深圳市罗湖区南湖街道东门南路1006号口岸大楼B栋7楼 Meyyya Liu收</t>
  </si>
  <si>
    <t>日期码格式：ZURU INC(BVI) 标准格式 日期：按实际生产日期
Packaging Info: 1. 777111GQ2:MA+UPC条码贴纸，PDQ 用3L版本
 2. 外箱唛请见单独的箱唛文件，并发送排版给我司确认。
Remark: 大货样：请于6/10前寄3套完整大货样到深圳办公室：广东省深圳市罗湖区南湖街道东门南路1006号口岸大楼B栋7楼 Meyyya Liu收</t>
  </si>
  <si>
    <t xml:space="preserve"> Cora Zhou</t>
  </si>
  <si>
    <t>新品需提供2套大货样品给客人，客人会签回一套，验货后验货员需要封1套板寄给香港办公室，请多备料。</t>
  </si>
  <si>
    <t>日期码格式：ZURU INC(BVI) 标准格式 日期：按实际生产日期
Packaging Info: 
"77785:最新客版彩盒+EAN贴纸（翻4500163212）
子件77711：最新MA3LEAN收缩膜+最新MA5L收藏指南+最新MA23L说明书+最新MA5Lcreative+最新MA纸袋+多语警语折叠贴纸（含包装缺失的法/意/西环保标）（翻4500
 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</si>
  <si>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 xml:space="preserve"> TIENDAS CHEDRAUI, S.A. DE C.V.</t>
  </si>
  <si>
    <t>4500165810-60</t>
  </si>
  <si>
    <t>日期码格式：ZURU INC(BVI) 标准格式 日期：按实际生产日期
Packaging Info:
 3. 77711GQ2：MA 3L INT EAN包装+UPC条码贴纸+MA 3L PDQ包装+MA 多语说明书+进口商贴纸+箱唛
Remark:</t>
  </si>
  <si>
    <t xml:space="preserve"> Ever Li</t>
  </si>
  <si>
    <t>95529-7.2</t>
  </si>
  <si>
    <t>4500165547-20</t>
  </si>
  <si>
    <t>PO#37490629</t>
  </si>
  <si>
    <t>4500165547-50</t>
  </si>
  <si>
    <t>77711SK-S002-NA</t>
  </si>
  <si>
    <t xml:space="preserve"> AB Gee of Ripley Ltd.</t>
  </si>
  <si>
    <t>777 25APR2526</t>
  </si>
  <si>
    <t>4500166127-100</t>
  </si>
  <si>
    <t>5/22确认排版</t>
  </si>
  <si>
    <t>UPC贴纸（UPC#193052080134）翻PO#4500164759</t>
  </si>
  <si>
    <t>日期码格式：ZURU INC(BVI) 标准格式 日期：按实际生产日期
Packaging Info: 各款的条码如下，配比请跟MA, 请先检查条码是否正确再安排做货，如有问题请告知
77711GQ2-S003-INT：193052080134(MA 3L INT版本收缩膜+1张UPC贴纸（UPC#193052080134）翻PO#4500164759+ MA INT版本5L收藏指南+MA INT 版本 3L PDQ+其他M
 A最新包装)
Remark: 1.产品及包装需要印UKCA图标，包装需要有ZURU UK LTD/ZURU France地址信息，QC同事请核查，如有问题与跟单确认。
 2. 需要符合欧洲标准不能含有闪粉和微塑料，否则不合法规会有客诉产生</t>
  </si>
  <si>
    <t xml:space="preserve"> Yoga Huang</t>
  </si>
  <si>
    <t>4500163632-20</t>
  </si>
  <si>
    <r>
      <rPr>
        <sz val="12"/>
        <rFont val="宋体"/>
        <charset val="134"/>
        <scheme val="minor"/>
      </rPr>
      <t>日期码格式：ZURU INC(BVI) 标准格式 日期：按实际生产日期
Packaging Info:
77711</t>
    </r>
    <r>
      <rPr>
        <sz val="12"/>
        <color rgb="FFFF0000"/>
        <rFont val="宋体"/>
        <charset val="134"/>
        <scheme val="minor"/>
      </rPr>
      <t>SK</t>
    </r>
    <r>
      <rPr>
        <sz val="12"/>
        <rFont val="宋体"/>
        <charset val="134"/>
        <scheme val="minor"/>
      </rPr>
      <t>: MA EAN 收缩膜3L-A版本（+意大利警语贴纸+1*意大利sorting logo含进口商地址）+MA纸袋/A版收藏指南/警告语说明书23L/A版 5L CREATIVE/UV GLUE la
ble贴纸+MA SK
Remark: 1. 此单出意大利，需符合EU标准，不含微塑料，如果含slime等化学品，需要不含硼
2. 需保证按期完货，延期罚款
3.贴纸切勿盖住意大利警告语</t>
    </r>
  </si>
  <si>
    <t>4500164296-10</t>
  </si>
  <si>
    <t>6/21 装柜</t>
  </si>
  <si>
    <t>新UPC贴纸(翻单4500160573）+进口商贴纸（翻单4500160573）</t>
  </si>
  <si>
    <t>77711GQ2:需要在每箱放入6小包干燥剂，每包干燥剂重量2-3g
6：如走柜货等loading plan 确认后再通知集装箱干燥剂数量</t>
  </si>
  <si>
    <t>日期码格式：LOTDGYYYYMMDD 日期：按实际生产日期
Packaging Info: 77711GQ2: MA3LPDQ+3L MA EAN贴纸+新UPC贴纸(翻单4500160573）+进口商贴纸（翻单4500160573）+MA 5L收藏指南+MA多语说明书+箱唛，进口商贴纸要贴在球上（
详见位置图）
Remark: 1：客版日期码要求：LOT+ZURU标准日期码格式。东莞生产的格式：LOTDGYYYYMMDD, DG是东莞拼音首字母，YYYYMMDD是实际的年月日
10 Assortment, A:B:D:E:G:H:J:K:L:M=1:1:1:1:1:2:1:2:1:1
3. 此单有第三方监柜，至少多备一套完整的物料用于监柜，请多备料。
4. WM墨西哥防霉的新要求:货物必须在出货主箱和集装箱中按要求放置干燥剂，干燥剂指定品牌干霸
5：77711GQ2:需要在每箱放入6小包干燥剂，每包干燥剂重量2-3g
6：如走柜货等loading plan 确认后再通知集装箱干燥剂数量</t>
  </si>
  <si>
    <t>4500165851-100</t>
  </si>
  <si>
    <t>日期码格式：ZURU INC(BVI) 标准格式 日期：按实际生产日期
Packaging Info:
 77711GQ2: MA 3L PKG+ UPC条码贴纸；
 MA 5L 收藏指南， MA说明书+ 1 张进口商贴纸（不得遮挡日期码）
(进口商贴纸新稿，后续新单以新版进口商贴纸为准，适用该客户订单的所有产品）
Remark:</t>
  </si>
  <si>
    <t>6/9 第三方抽办10%，7座展示架，6/19  100%验货</t>
  </si>
  <si>
    <r>
      <rPr>
        <sz val="12"/>
        <rFont val="宋体"/>
        <charset val="134"/>
        <scheme val="minor"/>
      </rPr>
      <t xml:space="preserve">日期码格式：ZURU INC(BVI) 标准格式 日期：按实际生产日期
Packaging Info: 77758SLT:客版彩盒+客版球的收缩膜+客版冰箱收缩膜+客版冰箱收藏指南+客版球的收藏指南+客版Manual for three kinds of mini creates +客版球的黑白说明
书+客版内纸袋 +客版UV glue bottle sticker+客版冰箱电池警告语和说明书：（以上MA客版翻COSTCO UK PO#4500163768）&lt;(&gt;,&lt;)&gt; 客版PDQ(客版 PDQ翻Costco US
PO#4500156301) 墨
西哥订单加一张保证书+墨西哥NOM贴纸，产品/包装/说明书都要贴1张NOM 贴纸
Remark: 1. 所有日期码印在彩卡上，产品(枪)上也需印日期码.按实际生产日期，ZURU 标准版格式的日期码。
2. #77758SLT是首单需要安排10%，抽板测试: 抽板时间5
/29。 请严格按期安排物
料，预计会抽走6套成品版（具体数量届时再告知）+ all product package and shipping package+一套封板在工厂供100%验货用，箱唛要印刷客人箱唛，请做好损
耗计算；一般需要7-10 working day 做测试，抽版测试通过才能安排100%大货生产
3.77758SLT需要安排第三方100%完货验货:预计验货时间: 6/12。
4. #77758SLT大货样板: 请在5/29提供三套大货样给客人留底
5. 纸箱唛头：纸箱四面，只印刷一个正面，另外一个正面不印，侧唛也不印, 按照箱唛模板要求排版。按照箱唛模板要求排版。请注意箱唛印刷效果要我们确认后
才可印刷大货的。 6
. 确保展示架在入外箱时一定要正面对着有印刷箱唛的那面,不可以装反。
7
. 3PK 77711-INT(capsules)+1PK 77673 combo in color box， 3PCS AG13 BATTERIES(INCLUDED)
</t>
    </r>
    <r>
      <rPr>
        <sz val="12"/>
        <color rgb="FFFF0000"/>
        <rFont val="宋体"/>
        <charset val="134"/>
        <scheme val="minor"/>
      </rPr>
      <t>8.此单需要监柜，需要安排1套大货样板用于监柜。</t>
    </r>
  </si>
  <si>
    <t>77711</t>
  </si>
  <si>
    <t>4500165600-60</t>
  </si>
  <si>
    <t>德语警告语贴纸 翻单：4500161168</t>
  </si>
  <si>
    <t>欠客供价格贴纸</t>
  </si>
  <si>
    <t>日期码格式：ZURU INC(BVI) 标准格式 日期：按实际生产日期
Packaging Info:
 77711GQ1: MA EAN 收缩膜3L-A版本（+德语警告语贴纸 翻单：4500161168）+客供价格贴纸 +MA纸袋+MA GLOBAL 5L-A版本+MA警告语说明书23L+MA CREATIVE 5L-A版
 本+MA UV GLUE lable贴纸+MAPDQ3L-A版本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</si>
  <si>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COL66-25-FALL</t>
  </si>
  <si>
    <t>4500163691-290</t>
  </si>
  <si>
    <t>预计6/18 出货</t>
  </si>
  <si>
    <t>日期码格式：DG20250520 日期：
Packaging Info: 
77711GQ2:MA 3L EAN 包装+进口商贴纸+UPC贴纸+箱唛
Remark:</t>
  </si>
  <si>
    <t>4500167451-30</t>
  </si>
  <si>
    <t>77823GQ2-S001-PRODCC-INT</t>
  </si>
  <si>
    <t>冰箱迷你球(客制版本)</t>
  </si>
  <si>
    <r>
      <rPr>
        <sz val="12"/>
        <rFont val="宋体"/>
        <charset val="134"/>
        <scheme val="minor"/>
      </rPr>
      <t xml:space="preserve">日期码格式：ZURU INC(BVI) 标准格式 日期：按实际生产日期
Packaging Info: MA UPC(优先1L) package+1张SNI label </t>
    </r>
    <r>
      <rPr>
        <sz val="12"/>
        <color rgb="FFF7241F"/>
        <rFont val="宋体"/>
        <charset val="134"/>
        <scheme val="minor"/>
      </rPr>
      <t>贴在产品77823GQ2上,贴纸资料待提供;</t>
    </r>
    <r>
      <rPr>
        <sz val="12"/>
        <rFont val="宋体"/>
        <charset val="134"/>
        <scheme val="minor"/>
      </rPr>
      <t xml:space="preserve">
可能会需样板做测试, 也有可能有第三方验货,请等我们进一步通知;
此单会跟其他订单一起出整柜, 届时如走20GP会改单价给你们;
77823GQ2为77711GQ2的客制版本,因license受限, 不能出kikkoman的minis,特此77823GQ2需移除kikoman的minis,更新的配比待客制PM Una提供;
77823GQ2S使用STD INT国际版本的收缩膜加一张UPC条码贴纸显示款号为77823;收藏指南使用STD INT国际版本,但是需加贴一张贴纸遮住kikkoman的logo,PDQ使用客
版PDQ(跟77782GQ1-S001-INT的PDQ，图稿可翻单拉美订单4500161302;如前期跟陈龙沟通,你们仍需定购拉美的PDQ,请把此单需求一起加上订购;
Remark: 
77823GQ2-With 4pcs demo/PDQ</t>
    </r>
  </si>
  <si>
    <t>4500167533-120</t>
  </si>
  <si>
    <t>日期码格式：ZURU INC(BVI) 标准格式 日期：按实际生产日期
Packaging Info: 
8. 77782GQ1: 客版收缩膜+客版收藏指南+客版PDQ+箱唛，客版物料消耗PO 4500161302的库存
MOTHER UPC 条码：
Remark:
12. 77782GQ1: WITH 4 DEMO; Base on #77711GQ2-S001-INT ver.:Remove Hershey and Kikkoman, Kikkoman-Soy Sauce
Hershey's-Chocolate Syrup 24 oz
Hershey's-Mini Chocolate Syrup 24 oz
Hershey's-Strawberry Syrup 22 oz</t>
  </si>
  <si>
    <t>4500166306-20</t>
  </si>
  <si>
    <r>
      <rPr>
        <sz val="12"/>
        <rFont val="宋体"/>
        <charset val="134"/>
        <scheme val="minor"/>
      </rPr>
      <t xml:space="preserve">日期码格式：ZURU INC(BVI) 标准格式 日期：按实际生产日期
Packaging Info:
</t>
    </r>
    <r>
      <rPr>
        <sz val="12"/>
        <color rgb="FFFF0000"/>
        <rFont val="宋体"/>
        <charset val="134"/>
        <scheme val="minor"/>
      </rPr>
      <t>77711GQ1: MA A版3L EAN包装+UPC条码贴纸+加4国警告语贴纸Czech-Hugarian-Polish-Slovak,请先检查包装条码#193052080134是否正确再安排做货), MA A版3L PD
Q</t>
    </r>
    <r>
      <rPr>
        <sz val="12"/>
        <rFont val="宋体"/>
        <charset val="134"/>
        <scheme val="minor"/>
      </rPr>
      <t xml:space="preserve">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r>
  </si>
  <si>
    <t>4500166007-30</t>
  </si>
  <si>
    <t>需要第三方SGS验货，验货时间2025/06/27，每款每色请备1PC完整带包装样品供验货人员参考。用完后若无损坏可以放回大货里。</t>
  </si>
  <si>
    <t>日期码格式：ZURU INC(BVI) 标准格式 日期：按实际生产日期
Packaging Info: 1. 出口加拿大市场。
 #77711GQ2：MA 2L UPC版本;
 2. 产品、包装、外箱上面tracking code的时间格式需要一致。
Remark: 3. 需要第三方SGS验货，验货时间2025/06/23，每款每色请备1PC完整带包装样品供验货人员参考。用完后若无损坏可以放回大货里。</t>
  </si>
  <si>
    <t>0918619914</t>
  </si>
  <si>
    <t>4500167592-10</t>
  </si>
  <si>
    <t>6/23 第三方验货</t>
  </si>
  <si>
    <t>ZB00717-7.10</t>
  </si>
  <si>
    <t>0918619839</t>
  </si>
  <si>
    <t>4500167592-20</t>
  </si>
  <si>
    <t>ZB00716-7.10</t>
  </si>
  <si>
    <t xml:space="preserve"> JUGUETTOS CENTRAL DE COMPRAS, S.COO</t>
  </si>
  <si>
    <t xml:space="preserve"> 1067 - PC25106</t>
  </si>
  <si>
    <t>4500166380-10</t>
  </si>
  <si>
    <r>
      <rPr>
        <sz val="12"/>
        <rFont val="宋体"/>
        <charset val="134"/>
        <scheme val="minor"/>
      </rPr>
      <t xml:space="preserve">日期码格式：ZURU INC(BVI) 标准格式 日期：按实际生产日期
Packaging Info: 77711GQ2：MA 3L最新 PDQ+MA A 3L 收缩膜含EAN条码+西班牙环保标贴纸+MA5L收藏指南
Remark: 1. 此单出西班牙市场，需满足EU测试标准要求，微塑料需符合EU法规。
</t>
    </r>
    <r>
      <rPr>
        <sz val="12"/>
        <color rgb="FFFF0000"/>
        <rFont val="宋体"/>
        <charset val="134"/>
        <scheme val="minor"/>
      </rPr>
      <t>2. 客户要求提供3套大货样板 &lt;(&gt;&amp;&lt;)&gt; 3个折叠好的空盒子(如含有PDQ的话要寄PDQ)， 在6/24前寄到深圳办公室 ，需备料</t>
    </r>
  </si>
  <si>
    <t>0918619927</t>
  </si>
  <si>
    <t>4500167592-30</t>
  </si>
  <si>
    <t>0918625877</t>
  </si>
  <si>
    <t>4500167592-40</t>
  </si>
  <si>
    <t>ZB00653-7.4</t>
  </si>
  <si>
    <t>0918619895</t>
  </si>
  <si>
    <t>4500167592-50</t>
  </si>
  <si>
    <t>0918625838</t>
  </si>
  <si>
    <t>4500167592-70</t>
  </si>
  <si>
    <t>7/8 出货</t>
  </si>
  <si>
    <t>ZB00680-7.8</t>
  </si>
  <si>
    <t>4500166269-110</t>
  </si>
  <si>
    <t>日期码格式：ZURU INC(BVI) 标准格式 日期：按实际生产日期
Packaging Info: 
77711GQ2:MA 收缩膜EAN 3L A+MA PDQ 3L A
Remark: 1/ 产品和包装要求无硼无香，包装不能含有PVC
2/ 如有微塑料，必须合规欧洲标准，闪粉也是微塑料的一种，目前仅接受三张方式
1.去除，2.用可降解材料，和3. 永久封印在固体。
3/带电池出货的产品所用到的电池需要符合欧洲电池新规(EU) 2023-1542
4/配比：</t>
  </si>
  <si>
    <t>95700-7.19</t>
  </si>
  <si>
    <t>4500167360-20</t>
  </si>
  <si>
    <t xml:space="preserve">日期码格式：ZURU INC(BVI) 标准格式 日期：按实际生产日期
Packaging Info: 
77711GQ2-MA EAN包装(3L)+1张UPC条码贴纸(条码193052080134)覆盖原EAN条码+1张进口商贴纸
贴纸AW、位置图待提供
Remark: </t>
  </si>
  <si>
    <t>0918619939</t>
  </si>
  <si>
    <t>4500167592-60</t>
  </si>
  <si>
    <t>ZB00681-7.8</t>
  </si>
  <si>
    <t>MEC305-S001-INT-MTS-77711</t>
  </si>
  <si>
    <t>冰箱/球混装展示架</t>
  </si>
  <si>
    <r>
      <rPr>
        <sz val="12"/>
        <rFont val="宋体"/>
        <charset val="134"/>
        <scheme val="minor"/>
      </rPr>
      <t xml:space="preserve">日期码格式：ZURU INC(BVI) 标准格式 日期：按实际生产日期
Packaging Info: 
 6.MEC305:（同77711/77673）+最新MA 展示架
</t>
    </r>
    <r>
      <rPr>
        <sz val="12"/>
        <color rgb="FFFF0000"/>
        <rFont val="宋体"/>
        <charset val="134"/>
        <scheme val="minor"/>
      </rPr>
      <t xml:space="preserve"> 子件：77711:客版 3L EAN收缩膜（英法意）+最新MA 5L收藏指南+最新MA 23L说明书+最新MA 5L creative+最新MA纸袋+最新MA 3L PDQ/展示架+多语警语折叠贴纸（
 含意大利语callout+包装缺失的法/意/西环保标）</t>
    </r>
    <r>
      <rPr>
        <sz val="12"/>
        <rFont val="宋体"/>
        <charset val="134"/>
        <scheme val="minor"/>
      </rPr>
      <t xml:space="preserve">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r>
  </si>
  <si>
    <t>4500167152-160</t>
  </si>
  <si>
    <t>日期码格式：ZURU INC(BVI) 标准格式 日期：按实际生产日期
Packaging Info:
13. 77782GQ1：客版收缩膜+客版收藏指南+客版PDQ+进口商贴纸+箱唛，客版物料消耗PO 4500161302的库存
Remark:
15. 77782GQ1：WITH 4 DEMO; Base on #77711GQ2-S001-INT ver.:Remove Hershey and Kikkoman, Kikkoman-Soy Sauce Hershey's-Chocolate Syrup 24 oz Hersh
ey's-Mini Chocolate Syrup 24 oz Hershey's-Strawberry Syrup 22 oz</t>
  </si>
  <si>
    <t>4500166177-40</t>
  </si>
  <si>
    <t>日期码格式：MONOP 0725 日期：
Packaging Info: 
 77711GQ1:MA3L EAN收缩膜+1张客户网站贴纸(含法国回收logo)+MA5L收藏指南/贴纸+MA23L说明书+MA3L PDQ
Remark: 1. 此票预计6/19第三方SGS实验室验货, 需做抽板测试(每个item预计抽板3-4套)请多备料, 验货和测试PASS后方可安排出货；
 2. 此票需按期完货, 推期有严重罚款；
 3. 此票出法国，请确保产品质量符合EU法国要求，包装含法国回收logo，产品符合欧洲微塑料法规；</t>
  </si>
  <si>
    <t>0907594943MOB
ILE</t>
  </si>
  <si>
    <t>4500162828-10</t>
  </si>
  <si>
    <t>6/25 第三方验货</t>
  </si>
  <si>
    <t>ZB00623-7.1</t>
  </si>
  <si>
    <t>4500164834-20</t>
  </si>
  <si>
    <t>日期码格式：ZURU INC(BVI) 标准格式 日期：按实际生产日期
Packaging Info: 
77711GQ2:最新MA 3L 收缩膜含EAN条码+一张意大利警语&lt;(&gt;&amp;&lt;)&gt;意大利环保标&lt;(&gt;&amp;&lt;)&gt;进口商内容贴纸+MA 5L纸袋+最新MA 23L说明书+MA 3L PDQ；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</si>
  <si>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Amazon
UK:7AZ6BU3L</t>
  </si>
  <si>
    <t>4500159555-10</t>
  </si>
  <si>
    <t>7/6 交仓</t>
  </si>
  <si>
    <t>日期码格式：ZURU INC(BVI) 标准格式 日期：按实际生产日期
Packaging Info: Amazon UK(77731/71152/9561)/DE(9561)/FR(9561)
1. 77731：2PK#77711-INT In PVC Tube，12tubes/ctn; UV GLUE/ 1 Refrigerator Magnet; MA 1L(1L warning UPC)A收缩膜+1张空白贴纸(覆盖在条码位置，尺寸
由工厂自行测量)+MA 5L(23L warning)A收藏指南+MA 23L警告语说明书+MA 5L A说明书 +客版3L(5L warning UPC) INT PVC筒彩卡(参考翻单PO#4500158623)+1张IT
环保标贴纸(参考提供的位置图;参考翻单PO#4500158623）；
4. 最迟验货不得晚于2025/6/27;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</si>
  <si>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95598-7.9</t>
  </si>
  <si>
    <t>Amazon
ES:88UDZQ1E</t>
  </si>
  <si>
    <t>4500167394-60</t>
  </si>
  <si>
    <t>7/9 交仓</t>
  </si>
  <si>
    <t>日期码格式：ZURU INC(BVI) 标准格式 日期：按实际生产日期
Packaging Info: Amazon ES(15726B/15762E/15763E/77723/77731/92119A)/IT(15728G/15762D/15763D/71152/77723)
5. 77731：2PK#77711-INT In PVC Tube，12tubes/ctn; UV GLUE/ 1 Refrigerator Magnet; MA 1L(1L warning UPC)A收缩膜+1张空白贴纸(覆盖在条码位置，尺寸
由工厂自行测量)+MA 5L(23L warning)A收藏指南+MA 23L警告语说明书+MA 5L A说明书 +客版3L(5L warning UPC) INT PVC筒彩卡(UPC#+英法德意西5L警示语+FR/ES
环保标+ZURU邮箱care@zuru.com，参考翻单PO#4500158623)+1张IT环保标贴纸(参考翻单PO#4500158623）；
9. 最迟验货不得晚于2025/6/27;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</si>
  <si>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95621-7.12</t>
  </si>
  <si>
    <t>77731-INT-S001-1</t>
  </si>
  <si>
    <t>4500166281-20</t>
  </si>
  <si>
    <t>日期码格式：ZURU INC(BVI) 标准格式 日期：按实际生产日期
Packaging Info:
 77711GQ1 MA 多语言包装,, UPC 193052080127
Remark: 出加拿大
Zuru验货.日期跟踪码：产品外包装及产品本身都必须有日期跟踪码，ZURU标准格式
 日期码。</t>
  </si>
  <si>
    <t>4500161570-610</t>
  </si>
  <si>
    <t>4500161570-620</t>
  </si>
  <si>
    <t>0907594619</t>
  </si>
  <si>
    <t>4500167380-10</t>
  </si>
  <si>
    <t>日期码格式：ZURU DGYYYYMMDD CHINA(日期避开周末和法定节假日即可） 日期：按实际生产日期
Packaging Info: 77711GQ4-S001-NA
1.包装要求：
MA 1L A版收缩膜+MA 2L A版收藏指南+MA 说明书+客版1L PDQ，翻单：4500159672
每pcs产品上要贴1张RFID贴纸，贴纸由ZURU提供，贴纸位置请严格按照我们签回的签板；
Remark: 77711GQ4-S001-NA
1.包装要求：
MA 1L A版收缩膜+MA 2L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carton出货，16pcs/PDQ/CTN</t>
  </si>
  <si>
    <t>ZB00660-7.5</t>
  </si>
  <si>
    <t>0907594621</t>
  </si>
  <si>
    <t>4500167380-20</t>
  </si>
  <si>
    <t>ZB00735-7.12</t>
  </si>
  <si>
    <t>0907594681</t>
  </si>
  <si>
    <t>4500167380-30</t>
  </si>
  <si>
    <t>ZB00847-7.23</t>
  </si>
  <si>
    <t xml:space="preserve">FREDMEYER INC </t>
  </si>
  <si>
    <t>4500164421-10</t>
  </si>
  <si>
    <r>
      <rPr>
        <sz val="12"/>
        <rFont val="宋体"/>
        <charset val="134"/>
        <scheme val="minor"/>
      </rPr>
      <t xml:space="preserve">日期码格式：ZURU INC(BVI) 标准格式 日期：按实际生产日期
Packaging Info:
77785：MA A 3L 收缩膜+MA5L收藏指南+EAN 条码贴纸,MA 最新23L说明书+WEEE带电池走货欧洲30语通用黑白说明书
Remark: 1. 此单出西班牙市场，需满足EU测试标准要求，微塑料需符合EU法规。
</t>
    </r>
    <r>
      <rPr>
        <sz val="12"/>
        <color rgb="FFFF0000"/>
        <rFont val="宋体"/>
        <charset val="134"/>
        <scheme val="minor"/>
      </rPr>
      <t>2. 客户要求提供3套大货样板 &lt;(&gt;&amp;&lt;)&gt; 3个折叠好的空盒子(如含有PDQ的话要寄PDQ)， 在6/24前寄到深圳办公室 ，需备料</t>
    </r>
  </si>
  <si>
    <t>MPO03503</t>
  </si>
  <si>
    <t>ZB00697R1-7.9</t>
  </si>
  <si>
    <t>4500166480-30</t>
  </si>
  <si>
    <t>crea tive说明书荷兰语贴纸(翻单4500155592）</t>
  </si>
  <si>
    <t>日期码格式：ZURU INC(BVI) 标准格式 日期：按实际生产日期
Packaging Info: 
 77711GQ2:客版收缩膜(英法德callout/英法德意荷警语/法国环保logo)翻单4500155592 +最新MA23L 说明书+MA 5+23L警语收藏指南+ MA 5L creative说明书 + crea
tive说明书荷兰语贴纸(翻单4500155592）+最新MA 3L PDQ
 EAN: 4894680043350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</si>
  <si>
    <t>一套大货样品/item，请多备料</t>
  </si>
  <si>
    <t>日期码格式：ZURU INC(BVI) 标准格式 日期：按实际生产日期
Packaging Info: "77785：客版彩盒+价格贴纸
 77711： MA EAN 收缩膜3L-A版本（+德语意大利警告语贴纸）+MA纸袋+MA GLOBUS 5L-A版本+MA警告语说明书23L+MA CREATIVE 5L-A版本+MA UV GLUE lable贴纸
 "
Remark: 1. 价格贴纸要求为可移动贴纸
 2.一套大货样品/item，请多备料。
 3.延期出货会有罚款，请务必按时完货。
 4.客人要求飞机孔的尺寸为3.0-3.2 cm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t>
  </si>
  <si>
    <t>4500166375-10</t>
  </si>
  <si>
    <t>条码翻单4500159575</t>
  </si>
  <si>
    <r>
      <rPr>
        <sz val="12"/>
        <rFont val="宋体"/>
        <charset val="134"/>
        <scheme val="minor"/>
      </rPr>
      <t>日期码格式：ZURU INC(BVI) 标准格式 日期：按实际生产日期
Packaging Info: 77711GQ1-S001-INT：MA-3L 全套包装+ INT UPC 条码覆盖原条码位置，</t>
    </r>
    <r>
      <rPr>
        <sz val="12"/>
        <color rgb="FFFF0000"/>
        <rFont val="宋体"/>
        <charset val="134"/>
        <scheme val="minor"/>
      </rPr>
      <t>条码翻单4500159575（条码：193052080134）</t>
    </r>
    <r>
      <rPr>
        <sz val="12"/>
        <rFont val="宋体"/>
        <charset val="134"/>
        <scheme val="minor"/>
      </rPr>
      <t xml:space="preserve">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大货样：新款请在6/17 前寄出每款2整套大货样到罗湖办公室7B Sandy Shao 收，翻单不用寄。</t>
    </r>
  </si>
  <si>
    <t>4500166286-20</t>
  </si>
  <si>
    <r>
      <rPr>
        <sz val="11"/>
        <rFont val="宋体"/>
        <charset val="134"/>
        <scheme val="minor"/>
      </rPr>
      <t xml:space="preserve">日期码格式：ZURU INC(BVI) 标准格式 日期：按实际生产日期
Packaging Info:
77711GQ1-S002-INT: MA 3L包装（MA收缩膜和说明书） + 一张UPC条码贴+ 防盗贴纸（两款贴纸以及防盗贴纸位置图翻单PO#4500160026）+ 箱唛 + 外箱贴纸SSCC L
abel
</t>
    </r>
    <r>
      <rPr>
        <sz val="11"/>
        <color rgb="FFFF0000"/>
        <rFont val="宋体"/>
        <charset val="134"/>
        <scheme val="minor"/>
      </rPr>
      <t>此订单有分两种装运类型，请注意外箱贴纸需要按贴纸文件顺序安排贴纸顺序，先贴整柜的数量，剩下的贴散货的数量。
如：柜货+散货：
以此类推，如不按此安排，此次出货请自行记录好外箱对应贴纸的相关信息。如客户收到后有贴纸重复或贴纸顺序记录错误等问题产生的相关费用需由工厂自己承担</t>
    </r>
    <r>
      <rPr>
        <sz val="11"/>
        <rFont val="宋体"/>
        <charset val="134"/>
        <scheme val="minor"/>
      </rPr>
      <t xml:space="preserve">
。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</si>
  <si>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95855-7.31</t>
  </si>
  <si>
    <t>4500166286-80</t>
  </si>
  <si>
    <t>95856-7.31</t>
  </si>
  <si>
    <t>0907594917HOU
STON</t>
  </si>
  <si>
    <t>4500162963-10</t>
  </si>
  <si>
    <t>6/27 第三方验货</t>
  </si>
  <si>
    <t>ZB00672-7.7</t>
  </si>
  <si>
    <t>0918619936</t>
  </si>
  <si>
    <t>4500167593-10</t>
  </si>
  <si>
    <t>ZB00670-7.7</t>
  </si>
  <si>
    <t>0918619924</t>
  </si>
  <si>
    <t>4500167593-20</t>
  </si>
  <si>
    <t>ZB00736-7.12</t>
  </si>
  <si>
    <t>0918619822</t>
  </si>
  <si>
    <t>4500167593-30</t>
  </si>
  <si>
    <t>ZB00723-7.11</t>
  </si>
  <si>
    <t>0918625873</t>
  </si>
  <si>
    <t>4500167593-40</t>
  </si>
  <si>
    <t>ZB00671-7.7</t>
  </si>
  <si>
    <t>0918625843</t>
  </si>
  <si>
    <t>4500167593-50</t>
  </si>
  <si>
    <t>ZB00661-7.5</t>
  </si>
  <si>
    <t>0918619820</t>
  </si>
  <si>
    <t>4500167593-60</t>
  </si>
  <si>
    <t>ZB00753-7.15</t>
  </si>
  <si>
    <t>0918619830</t>
  </si>
  <si>
    <t>4500167593-70</t>
  </si>
  <si>
    <t>ZB00737-7.12</t>
  </si>
  <si>
    <t>0907594847RID
GEVILLE SC</t>
  </si>
  <si>
    <t>4500162965-10</t>
  </si>
  <si>
    <t>ZB00846-7.23</t>
  </si>
  <si>
    <t>4500166992-50</t>
  </si>
  <si>
    <t>荷兰语组装说明书贴纸(翻单450
0155592)</t>
  </si>
  <si>
    <r>
      <rPr>
        <sz val="12"/>
        <rFont val="宋体"/>
        <charset val="134"/>
        <scheme val="minor"/>
      </rPr>
      <t>日期码格式：ZURU INC(BVI) 标准格式 日期：按实际生产日期
Packaging Info:
5.77711GQ2：MA 3L EAN 版本收缩膜+</t>
    </r>
    <r>
      <rPr>
        <sz val="12"/>
        <color rgb="FFFF0000"/>
        <rFont val="宋体"/>
        <charset val="134"/>
        <scheme val="minor"/>
      </rPr>
      <t>1张2L(NL&lt;(&gt;&amp;&lt;)&gt;DE)警告语贴纸+MA 5L 收藏指南+MA 23L 警告语说明书+MA 5L DIY说明书+1张荷兰语组装说明书贴纸(翻单450
0155592)+其它MA包装+MA 3L 最新版PDQ；</t>
    </r>
    <r>
      <rPr>
        <sz val="12"/>
        <rFont val="宋体"/>
        <charset val="134"/>
        <scheme val="minor"/>
      </rPr>
      <t xml:space="preserve">
Remark: 1.STD配比；
2.外箱需要印条码，请确保条码可以清晰扫描且条码内容正确；
3.出欧洲，微塑料需合规（如item本身不含微塑料,则忽略此要求）;
4.所有产品需要符合REACH申明。</t>
    </r>
  </si>
  <si>
    <t>4500167106-20</t>
  </si>
  <si>
    <t>7/7 第三方验货+抽办测试</t>
  </si>
  <si>
    <t>6/10 更新</t>
  </si>
  <si>
    <r>
      <rPr>
        <sz val="11"/>
        <rFont val="宋体"/>
        <charset val="134"/>
        <scheme val="minor"/>
      </rPr>
      <t xml:space="preserve">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t>
    </r>
    <r>
      <rPr>
        <sz val="11"/>
        <color rgb="FFFF0000"/>
        <rFont val="宋体"/>
        <charset val="134"/>
        <scheme val="minor"/>
      </rPr>
      <t>#77711GQ1,需6月25日前需寄出3套大货样板(含PDQ)，样板须跟大货一模一样（含日期码）。</t>
    </r>
    <r>
      <rPr>
        <sz val="11"/>
        <rFont val="宋体"/>
        <charset val="134"/>
        <scheme val="minor"/>
      </rPr>
      <t xml:space="preserve">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*2套（</t>
    </r>
    <r>
      <rPr>
        <sz val="11"/>
        <color rgb="FFFF0000"/>
        <rFont val="宋体"/>
        <charset val="134"/>
        <scheme val="minor"/>
      </rPr>
      <t>盲盒类的</t>
    </r>
    <r>
      <rPr>
        <sz val="11"/>
        <rFont val="宋体"/>
        <charset val="134"/>
        <scheme val="minor"/>
      </rPr>
      <t>：4pcs成品球+2个空PDQ+2套散件）寄到以下地址：
Li Fung　
深圳市福田区绒花路8号深福保大厦附楼3楼。
收件人： Yoland Dai　电话：+0755 8825 3756
4. 验货+ 抽板 （同一天进行）
预约6月25日第三方（利丰）到工厂做100%大货现场验货和抽板，验货需打印EPM出来跟客户回签样板供第三方验货参考。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 除15727，其他items出ZURU 标版配比;
6. ZURU QA 验货时需拍齐每款角色的产品和产品包装上的日期码照片（供实验室review）</t>
    </r>
  </si>
  <si>
    <t>4500167614-40</t>
  </si>
  <si>
    <t>4500162426-10</t>
  </si>
  <si>
    <t>UPC条码贴纸</t>
  </si>
  <si>
    <r>
      <rPr>
        <sz val="12"/>
        <rFont val="宋体"/>
        <charset val="134"/>
        <scheme val="minor"/>
      </rPr>
      <t xml:space="preserve">日期码格式：ZURU INC(BVI) 标准格式 日期：按实际生产日期
Packaging Info: 77803GQ2-S001-PRODCC-INT: </t>
    </r>
    <r>
      <rPr>
        <sz val="12"/>
        <color rgb="FFFF0000"/>
        <rFont val="宋体"/>
        <charset val="134"/>
        <scheme val="minor"/>
      </rPr>
      <t>MA 收缩膜(加UPC贴纸+进口商贴纸)</t>
    </r>
    <r>
      <rPr>
        <sz val="12"/>
        <rFont val="宋体"/>
        <charset val="134"/>
        <scheme val="minor"/>
      </rPr>
      <t xml:space="preserve"> +贴纸+客版PDQ跟回77782GQ1-S001-INT（翻单号4500161302）+客版收藏指南
Remark:</t>
    </r>
  </si>
  <si>
    <t>Nora pan</t>
  </si>
  <si>
    <t>4500162410-10</t>
  </si>
  <si>
    <r>
      <rPr>
        <sz val="12"/>
        <rFont val="宋体"/>
        <charset val="134"/>
        <scheme val="minor"/>
      </rPr>
      <t xml:space="preserve">日期码格式：ZURU INC(BVI) 标准格式 日期：按实际生产日期
Packaging Info: 77803GQ2-S001-PRODCC-INT: </t>
    </r>
    <r>
      <rPr>
        <sz val="12"/>
        <color rgb="FFFF0000"/>
        <rFont val="宋体"/>
        <charset val="134"/>
        <scheme val="minor"/>
      </rPr>
      <t xml:space="preserve">MA 收缩膜(加UPC贴纸+进口商贴纸) </t>
    </r>
    <r>
      <rPr>
        <sz val="12"/>
        <rFont val="宋体"/>
        <charset val="134"/>
        <scheme val="minor"/>
      </rPr>
      <t>+贴纸+客版PDQ跟回77782GQ1-S001-INT（翻单号4500161302）+客版收藏指南
Remark:</t>
    </r>
  </si>
  <si>
    <t>4500162410-20</t>
  </si>
  <si>
    <t>77803SK1-S002-PRODCC-INT</t>
  </si>
  <si>
    <t>冰箱迷你球展示架（客版）</t>
  </si>
  <si>
    <r>
      <rPr>
        <sz val="12"/>
        <rFont val="宋体"/>
        <charset val="134"/>
        <scheme val="minor"/>
      </rPr>
      <t>日期码格式：ZURU INC(BVI) 标准格式 日期：按实际生产日期
Packaging Info: 
77803SK1:</t>
    </r>
    <r>
      <rPr>
        <sz val="12"/>
        <color rgb="FFFF0000"/>
        <rFont val="宋体"/>
        <charset val="134"/>
        <scheme val="minor"/>
      </rPr>
      <t>MA 收缩膜(加UPC贴纸+进口商贴纸</t>
    </r>
    <r>
      <rPr>
        <sz val="12"/>
        <rFont val="宋体"/>
        <charset val="134"/>
        <scheme val="minor"/>
      </rPr>
      <t>)+贴纸+客版收藏指南+客版展示架，外包材统一使用MA 3L
Remark:</t>
    </r>
  </si>
  <si>
    <t>卡特尔</t>
  </si>
  <si>
    <t>4500162426-20</t>
  </si>
  <si>
    <r>
      <rPr>
        <sz val="12"/>
        <rFont val="宋体"/>
        <charset val="134"/>
        <scheme val="minor"/>
      </rPr>
      <t>日期码格式：ZURU INC(BVI) 标准格式 日期：按实际生产日期
Packaging Info: 
77803SK1</t>
    </r>
    <r>
      <rPr>
        <sz val="12"/>
        <color rgb="FFFF0000"/>
        <rFont val="宋体"/>
        <charset val="134"/>
        <scheme val="minor"/>
      </rPr>
      <t>:MA 收缩膜(加UPC贴纸+进口商贴纸)</t>
    </r>
    <r>
      <rPr>
        <sz val="12"/>
        <rFont val="宋体"/>
        <charset val="134"/>
        <scheme val="minor"/>
      </rPr>
      <t>+贴纸+客版收藏指南+客版展示架，外包材统一使用MA 3L
Remark:</t>
    </r>
  </si>
  <si>
    <t>日期码格式：ZURU INC(BVI) 标准格式 日期：按实际生产日期
Packaging Info: 
77785：77785:最新客版彩盒+EAN贴纸+一张客户警语贴纸；
子件77711：最新MA3LEAN收缩膜+最新MA5L收藏指南+最新MA23L说明书+最新MA5L creative+最新MA纸袋；
Remark: 1.此单出西班牙市场，需满足EU测试标准要求，微塑料需符合EU法规。
 2.此单LC条款，延迟出货有罚款；
 3.此单每款产品各寄一套大货样到深圳办公室，请注意备料；</t>
  </si>
  <si>
    <t>4500163986-60</t>
  </si>
  <si>
    <t>荷兰语贴纸翻PO#4500155592</t>
  </si>
  <si>
    <r>
      <rPr>
        <sz val="11"/>
        <rFont val="宋体"/>
        <charset val="134"/>
        <scheme val="minor"/>
      </rPr>
      <t xml:space="preserve">日期码格式：ZURU INC(BVI) 标准格式 日期：按实际生产日期
Packaging Info:
 "77711GQ2:MA A版 3L收缩膜(4894680043350)+NL警语贴纸， </t>
    </r>
    <r>
      <rPr>
        <sz val="11"/>
        <color rgb="FFFF0000"/>
        <rFont val="宋体"/>
        <charset val="134"/>
        <scheme val="minor"/>
      </rPr>
      <t>MA 5L+23L警语收藏指南， MA 5L creative说明书 + creative说明书
 荷兰语贴纸翻PO#4500155592，MA 纸袋，MA A版PDQ"</t>
    </r>
    <r>
      <rPr>
        <sz val="11"/>
        <rFont val="宋体"/>
        <charset val="134"/>
        <scheme val="minor"/>
      </rPr>
      <t xml:space="preserve">
Remark: 1.出口欧洲，所有产品微塑料需符合法规
 2. 标准产品，没有特殊配比要求
 3. 所有出往欧洲市场订单的电子产品需增加一张WEEE声明说明书，区分带电池和不带电池版本, 如已做客版说明书可忽略此要求。</t>
    </r>
  </si>
  <si>
    <t>4500166977-20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</si>
  <si>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</si>
  <si>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95564-7.5</t>
  </si>
  <si>
    <t>4500167011-40</t>
  </si>
  <si>
    <t>95556-7.5</t>
  </si>
  <si>
    <t>Amazon FR:
8K9PR6MT</t>
  </si>
  <si>
    <t>4500167501-170</t>
  </si>
  <si>
    <t>日期码格式：ZURU INC(BVI) 标准格式 日期：按实际生产日期
Packaging Info: Amazon UK(15714D/15728BEG/15762ADE/77673/77723/92119BD)/DE(15710B/15714G)/FR(15710B/15728E/15762B/15763B/77731/9561)
9. 77731: 2PK#77711-INT In PVC Tube，12tubes/ctn; UV GLUE/ 1 Refrigerator Magnet; MA 1L(1L warning UPC)A收缩膜+1张空白贴纸(覆盖在条码位置，尺寸
由工厂自行测量)+MA 5L(23L warning)A收藏指南+MA 23L警告语说明书+MA 5L A说明书 +客版3L(5L warning UPC) INT PVC筒彩卡(UPC#+英法德意西5L警示语+FR/ES
环保标+ZURU邮箱care@zuru.com，参考翻单PO#4500158623)+1张IT环保标贴纸(参考翻单PO#4500158623）；
11.验货时间不迟于2025/7/1.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</si>
  <si>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95644-7.14</t>
  </si>
  <si>
    <t>4500168055-110</t>
  </si>
  <si>
    <r>
      <rPr>
        <sz val="11"/>
        <rFont val="宋体"/>
        <charset val="134"/>
        <scheme val="minor"/>
      </rPr>
      <t xml:space="preserve">日期码格式：ZURU INC(BVI) 标准格式 日期：按实际生产日期
Packaging Info: 
</t>
    </r>
    <r>
      <rPr>
        <sz val="11"/>
        <color rgb="FFFF0000"/>
        <rFont val="宋体"/>
        <charset val="134"/>
        <scheme val="minor"/>
      </rPr>
      <t>77782GQ1:客版3L UPC收缩膜/客版收藏指南/客版PDQ，客版物料消耗PO 4500161302的库存</t>
    </r>
    <r>
      <rPr>
        <sz val="11"/>
        <rFont val="宋体"/>
        <charset val="134"/>
        <scheme val="minor"/>
      </rPr>
      <t xml:space="preserve">
Remark:</t>
    </r>
  </si>
  <si>
    <t>冰箱77673（用空白贴纸覆盖条码位置+标准MA 说明书+ ZURU 带电池版本WEEE30L 电池说明书）</t>
  </si>
  <si>
    <r>
      <rPr>
        <sz val="12"/>
        <rFont val="宋体"/>
        <charset val="134"/>
        <scheme val="minor"/>
      </rPr>
      <t>日期码格式：ZURU INC(BVI) 标准格式 日期：按实际生产日期
Packaging Info: 
77785:客版3L彩盒(</t>
    </r>
    <r>
      <rPr>
        <sz val="12"/>
        <color rgb="FFFF0000"/>
        <rFont val="宋体"/>
        <charset val="134"/>
        <scheme val="minor"/>
      </rPr>
      <t>条码贴纸：EAN 5056296050422)</t>
    </r>
    <r>
      <rPr>
        <sz val="12"/>
        <rFont val="宋体"/>
        <charset val="134"/>
        <scheme val="minor"/>
      </rPr>
      <t>.
+冰箱77673（用空白贴纸覆盖条码位置+标准MA 说明书+ ZURU 带电池版本WEEE30L 电池说明书）+球77711（用空白贴纸覆盖条码位置）配比：2PK 77711-INT(capsu
les)+1PK 77673 combo in color box,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*订单对应客户7个PO号 ，备注有显示 ，注意分开做货/验货/装柜 ，混装有罚款。
* 大货样： 新款请在6/14 前寄出每款2整套大货样到罗湖办公室7B Sandy Shao 收，翻单不用寄。</t>
    </r>
  </si>
  <si>
    <t>4500168594-90</t>
  </si>
  <si>
    <t>日期码格式：ZURU INC(BVI) 标准格式 日期：按实际生产日期
Packaging Info:
77782GQ1:客版3L UPC收缩膜/客版收藏指南/客版PDQ，客版物料消耗PO 4500161302的库存
Remark: 请确保包装上的条形码是UPC，如有不一致，请及时提出。谢谢！</t>
  </si>
  <si>
    <t>4500168001-10</t>
  </si>
  <si>
    <t>creative说明书荷兰语贴纸(翻单4500155592）</t>
  </si>
  <si>
    <t>日期码格式：ZURU INC(BVI) 标准格式 日期：按实际生产日期
Packaging Info: 77711GQ2:最新MA 3L PDQ+客版收缩膜(英法德callout/英法德意荷警语/法国环保logo)翻单4500155592 +MA23L 说明书+MA 5+23L警语收藏指南+ MA 5L creative说
明书 + creative说明书荷兰语贴纸(翻单4500155592）
EAN: 4894680043350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</si>
  <si>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4500168463-100</t>
  </si>
  <si>
    <t>4500168579-10</t>
  </si>
  <si>
    <t>日期码格式：ZURU INC(BVI) 标准格式 日期：按实际生产日期
Packaging Info: 1. 77711:最新MA 3L EAN收缩膜+最新MA 3L PDQ+最新MA 5L包装+一张客人警语贴纸+两张纸袋希腊警语贴纸
Remark: 1. 此单出希腊，需要满足EU标准； 产品均符合EU微塑料法规要求：不能含有微塑料闪粉
2. 本订单所有 具有 baby items / assorted items 的款式，零售包装上都要用 母 EAN;
3. 请根据产品是否带电出货，自行订购"WEEE_不带/带电池走货 _ 欧洲通用说明书EN+30L"说明书纸</t>
  </si>
  <si>
    <t xml:space="preserve">ARGOS LIMITED </t>
  </si>
  <si>
    <t>4500163807-40</t>
  </si>
  <si>
    <t>日期码格式：ZURU INC(BVI) 标准格式 日期：按实际生产日期
Packaging Info:
77711: 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（14.17pt），条码扫描结果应为7678363。
-订单对应客户4个PO号，备注有显示，注意分开做货/验货/装柜，混装有罚款。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</si>
  <si>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4500168656-20</t>
  </si>
  <si>
    <t>日期码格式：ZURU INC(BVI) 标准格式 日期：按实际生产日期
Packaging Info:
2.77711SK1:最新MA 3L EAN INT版本包装+一张西班牙环保标&lt;(&gt;&amp;&lt;)&gt;邮箱贴纸+MA 23L 警告语说明书+MA 5L 收藏指南+MA 3L PDQ；
Remark: 1.西班牙订单，需满足EU测试标准要求，微塑料需符合EU法规；</t>
  </si>
  <si>
    <t>4500162474-110</t>
  </si>
  <si>
    <t>77803PLB-S001</t>
  </si>
  <si>
    <t>日期码格式：ZURU INC(BVI) 标准格式 日期：按实际生产日期
Packaging Info: 
6. 77803PLB：77803GQ2-S001-PRODCC-INT 50PCS/2PDQ/CTN(SIZE:42.6*33*41CM)8*4H-3=29CTN=1450PCS；
77803GQ2-S001（29箱）：每层8箱，装4层，装1个pallet ，最上面1层少装3箱。
7. 77803PLD：77803SK1-S002-PRODCC-INT 30PCS/SIDEKICK/CTN(SIZE:14.5*33.5*112.5CM)22*1H+6*2H+1=35CTN=1050PCS；
77803SK1-S002（35箱）：总高度（1290+670+145=2105mm）装1个pallet，竖放22箱+横放12箱，最上层再平放1箱
Remark: 9548:1 assorment,3pcs AAA batteries(not included)</t>
  </si>
  <si>
    <t>4500162474-120</t>
  </si>
  <si>
    <t>77803PLD-S001</t>
  </si>
  <si>
    <t>Ansaldo Chile</t>
  </si>
  <si>
    <t>2025-HKF135-C</t>
  </si>
  <si>
    <t>4500163833-10</t>
  </si>
  <si>
    <t>日期码格式：ZURU INC(BVI) 标准格式 日期：按实际生产日期
Packaging Info: 77711GQ2:MA 3L EAN包装+进口商贴纸+箱唛+价标贴纸
Remark:</t>
  </si>
  <si>
    <t>95642-7.14</t>
  </si>
  <si>
    <t>ZURU Spain S.L.</t>
  </si>
  <si>
    <t>4500170289-30</t>
  </si>
  <si>
    <t>多语警语折叠贴纸（含包装缺失的法/意/西环保
标）（翻4500162314）</t>
  </si>
  <si>
    <r>
      <rPr>
        <sz val="12"/>
        <rFont val="宋体"/>
        <charset val="134"/>
        <scheme val="minor"/>
      </rPr>
      <t>日期码格式：ZURU INC(BVI) 标准格式 日期：按实际生产日期
Packaging Info: 
77711SK1:最新MA3LEAN收缩膜+最新MA5L收藏指南+最新MA23L说明书+最新MA5Lcreative+最新MA纸袋+最新MA展示架+多语警语折叠贴纸（含包装缺失的法/意/西环保
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t>
    </r>
    <r>
      <rPr>
        <sz val="12"/>
        <color rgb="FFFF0000"/>
        <rFont val="宋体"/>
        <charset val="134"/>
        <scheme val="minor"/>
      </rPr>
      <t>西班牙环保标和西班牙/葡萄牙警语/说明
书。</t>
    </r>
    <r>
      <rPr>
        <sz val="12"/>
        <rFont val="宋体"/>
        <charset val="134"/>
        <scheme val="minor"/>
      </rPr>
      <t xml:space="preserve">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r>
  </si>
  <si>
    <t>95652-7.15</t>
  </si>
  <si>
    <t>4500168367-10</t>
  </si>
  <si>
    <t>2025/7/4第三方验货</t>
  </si>
  <si>
    <t>外箱印刷带条码的RFID箱唛：RFID紫色色带+WM Dept.图标+RFID图标+ITF-14条码，四面右下角印刷ZURU logo, ITFF条码只印刷在正唛一面，在加印的时候确保
条形码能扫描出来，外箱侧面任一角落加印："MADE IN CHINA" 字样</t>
  </si>
  <si>
    <t>ZB00803-7.18</t>
  </si>
  <si>
    <t>0907594892</t>
  </si>
  <si>
    <t>4500168367-20</t>
  </si>
  <si>
    <t>ZB00715-7.10</t>
  </si>
  <si>
    <t>4500168367-30</t>
  </si>
  <si>
    <t>ZB00834-7.22</t>
  </si>
  <si>
    <t>0907594945</t>
  </si>
  <si>
    <t>4500168367-40</t>
  </si>
  <si>
    <t>ZB00776-7.17</t>
  </si>
  <si>
    <t>4500168957-10</t>
  </si>
  <si>
    <t>77711-S003-NA</t>
  </si>
  <si>
    <t>外箱印刷带条码的RFID箱唛：RFID紫色色带+WM Dept.图标+RFID图标+ITF-14条码，四面右下角印刷ZURU logo, ITFF条码只印刷在正唛一面，在加印的时候确保
条形码能扫描出来，外箱侧面任一角落加印："MADE IN CHINA" 字样,箱唛翻单：4500159672</t>
  </si>
  <si>
    <t>日期码格式：ZURU DGYYYYMMDD CHINA(日期避开周末和法定节假日即可） 日期：按实际生产日期
Packaging Info: 77711-S003-NA
1.包装要求：
MA 1L A版收缩膜+MA 5L A版收藏指南+MA 说明书
每pcs产品上要贴1张RFID贴纸，贴纸由ZURU提供，贴纸位置请严格按照我们签回的签板；
Remark: 77711-S003-NA
1.包装要求：
MA 1L A版收缩膜+MA 5L A版收藏指南+MA 说明书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字样,箱唛翻单：4500159672
3. 在产品上和包装上要有日期码、以及要有MADE IN CHINA和ZURU字样；
4. 产品如有扎带口要剪平，不能刮手。
5. 此单需要验货，请多备料
6. 此单以loose carton出货，16pcs/CTN</t>
  </si>
  <si>
    <t>ZB00756-7.15</t>
  </si>
  <si>
    <t>4500168957-20</t>
  </si>
  <si>
    <t>ZB00871-7.26</t>
  </si>
  <si>
    <t>4500168957-30</t>
  </si>
  <si>
    <t>ZB00956-7.29</t>
  </si>
  <si>
    <t>4500168957-40</t>
  </si>
  <si>
    <t>ZB00931-7.28</t>
  </si>
  <si>
    <t>4500167998-90</t>
  </si>
  <si>
    <t>日期码格式：ZURU INC(BVI) 标准格式 日期：按实际生产日期
Packaging Info:
9.77711GQ2-S003-INT：193052080134(MA 3L INT版本收缩膜+1张UPC贴纸（UPC#193052080134）翻PO#4500164759+ MA INT版本5L收藏指南+MA INT 版本 3L PDQ+其
他MA最新包装)
Remark: 1.产品及包装需要印UKCA图标，包装需要有ZURU UK LTD/ZURU France地址信息，QC同事请核查，如有问题与跟单确认。
2. 需要符合欧洲标准不能含有闪粉和微塑料，否则不和法规会有客诉产生</t>
  </si>
  <si>
    <t>4500167693-30</t>
  </si>
  <si>
    <r>
      <rPr>
        <sz val="12"/>
        <rFont val="宋体"/>
        <charset val="134"/>
        <scheme val="minor"/>
      </rPr>
      <t>日期码格式：ZURU INC(BVI) 标准格式 日期：按实际生产日期
Packaging Info:
77711GQ1-S001-INT：MA-1L 配套包装+ INT UPC 条码覆盖原条码位置，</t>
    </r>
    <r>
      <rPr>
        <sz val="12"/>
        <color rgb="FFFF0000"/>
        <rFont val="宋体"/>
        <charset val="134"/>
        <scheme val="minor"/>
      </rPr>
      <t>条码翻单4500159575，请核对：193052080134</t>
    </r>
    <r>
      <rPr>
        <sz val="12"/>
        <rFont val="宋体"/>
        <charset val="134"/>
        <scheme val="minor"/>
      </rPr>
      <t xml:space="preserve">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r>
  </si>
  <si>
    <t>2FVQ14VX 648816RZ</t>
  </si>
  <si>
    <t>4500169534-20</t>
  </si>
  <si>
    <t>77731-NA-S001</t>
  </si>
  <si>
    <t>①外箱正面印ZURU Logo+SSCC Label(客供贴纸，由跟单订购)。关于 SSCC Label 请注意：</t>
  </si>
  <si>
    <t>6/19 寄出</t>
  </si>
  <si>
    <t>日期码格式：ZURU INC(BVI) 标准格式 日期：按实际生产日期
Packaging Info: 
#77731：2PK STD #77711入PVC桶，3L 2PK铜版纸，客版无UPC版本收缩膜翻单4500167444。收藏指南，说明书均为MA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</si>
  <si>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ZB00724-7.11</t>
  </si>
  <si>
    <t>63G8AIKT 6ZO5A2CU</t>
  </si>
  <si>
    <t>4500169546-20</t>
  </si>
  <si>
    <t>日期码格式：ZURU INC(BVI) 标准格式 日期：按实际生产日期
Packaging Info:
#77731：2PK STD #77711入PVC桶，3L 2PK铜版纸，客版无UPC版本收缩膜翻单4500167444。收藏指南，说明书均为MA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</si>
  <si>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ZB00714-7.10</t>
  </si>
  <si>
    <t>0907594611</t>
  </si>
  <si>
    <t>4500168369-10</t>
  </si>
  <si>
    <t>ZB00872-7.26</t>
  </si>
  <si>
    <t>0907594630</t>
  </si>
  <si>
    <t>4500168369-20</t>
  </si>
  <si>
    <t>ZB00744-7.14</t>
  </si>
  <si>
    <t>0907594941</t>
  </si>
  <si>
    <t>4500168376-20</t>
  </si>
  <si>
    <t>ZB00775-7.17</t>
  </si>
  <si>
    <t>0907594923</t>
  </si>
  <si>
    <t>4500168376-10</t>
  </si>
  <si>
    <t>ZB00804-7.18</t>
  </si>
  <si>
    <t>10001263784-3890</t>
  </si>
  <si>
    <t>4500168048-30</t>
  </si>
  <si>
    <t>6/18 寄出外箱贴纸</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</si>
  <si>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以上所以item均：
1. 产品和包装上印刷 tracking code信息，格式为ZURU常规格式;
2. 出货方式：货代自提</t>
  </si>
  <si>
    <t>ZB00819-7.21</t>
  </si>
  <si>
    <t>4500169043-10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</si>
  <si>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</si>
  <si>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95660-7.16</t>
  </si>
  <si>
    <t>4500169040-20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</si>
  <si>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</si>
  <si>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95674-7.17</t>
  </si>
  <si>
    <t>此单是首单出货数量5400pcs, 最晚 2025/6/9安排做10%抽版测试 , 最晚 6/20完成100%大货安排第三方验货（ITS) 6. 样板：工厂需预留至少6套测试样用于抽
板+3pcs签样（1pc工厂留底+2pc ITS封样后寄深圳办公室，需给客人留底)+ 1pc大货样寄深圳办公室拍照用</t>
  </si>
  <si>
    <r>
      <rPr>
        <sz val="12"/>
        <rFont val="宋体"/>
        <charset val="134"/>
        <scheme val="minor"/>
      </rPr>
      <t xml:space="preserve">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纸箱唛头：纸箱四面，只印刷一个正面，另外一个正面不印，侧唛也不印, 按照箱唛要求排版。
4. 确保展示架在入外箱的时候一定要正面对着有印刷箱唛的那面,不可以装反。
</t>
    </r>
    <r>
      <rPr>
        <sz val="12"/>
        <color rgb="FFFF0000"/>
        <rFont val="宋体"/>
        <charset val="134"/>
        <scheme val="minor"/>
      </rPr>
      <t>5. 此单是首单出货数量5400pcs, 最晚 2025/6/6安排做10%抽版测试 , 最晚 6/20完成100%大货安排第三方验货（ITS) 6. 样板：工厂需预留至少6套测试样用于抽</t>
    </r>
    <r>
      <rPr>
        <sz val="12"/>
        <rFont val="宋体"/>
        <charset val="134"/>
        <scheme val="minor"/>
      </rPr>
      <t xml:space="preserve">
板+3pcs签样（1pc工厂留底+2pc ITS封样后寄深圳办公室，需给客人留底)+ 1pc大货样寄深圳办公室拍照用</t>
    </r>
  </si>
  <si>
    <t>2.此单每款产品需各寄2套大货样到深圳办公室，请注意备料；</t>
  </si>
  <si>
    <t>日期码格式：ZURU INC(BVI) 标准格式 日期：按实际生产日期
Packaging Info:
3.77785:最新客版彩盒+EAN贴纸+一张客户进口商贴纸；
子件77711：最新MA3LEAN收缩膜+最新MA5L收藏指南+最新MA23L说明书+最新MA5L creative+最新MA纸袋；
Remark: 1.此单出西班牙市场，需满足EU测试标准要求，微塑料需符合EU法规。
2.此单每款产品需各寄2套大货样到深圳办公室，请注意备料；</t>
  </si>
  <si>
    <t>4500168238-100</t>
  </si>
  <si>
    <t>日期码格式：ZURU INC(BVI) 标准格式 日期：按实际生产日期
Packaging Info:
77782GQ1客版3L UPC收缩膜/客版收藏指南/客版PDQ，客版物料消耗PO 4500161302的库存
Remark: 请确保包装上的条形码是UPC，如有不一致，请及时提出。谢谢！</t>
  </si>
  <si>
    <t>95677-7.17</t>
  </si>
  <si>
    <t>7/3 第三方 100%验货 6/16 进行10%抽板测试</t>
  </si>
  <si>
    <t>迷你冰箱球</t>
  </si>
  <si>
    <t>4500168505-40</t>
  </si>
  <si>
    <t>4500168705-60</t>
  </si>
  <si>
    <t>日期码格式：ZURU INC(BVI) 标准格式 日期：按实际生产日期
Packaging Info: 
77782GQ1:客版3L UPC收缩膜/客版收藏指南/客版PDQ，客版物料消耗PO 4500161302的库存
Remark: 请确保包装上的条形码是UPC，如有不一致，请及时提出。谢谢！</t>
  </si>
  <si>
    <t>95628-7.12</t>
  </si>
  <si>
    <t>4500168264-40</t>
  </si>
  <si>
    <t>（贴纸翻单4500163040）</t>
  </si>
  <si>
    <t>日期码格式：ZURU INC(BVI) 标准格式 日期：按实际生产日期
Packaging Info:
4.77711GQ2:最新MA 3L EAN INT版本包装+一张西班牙环保标&lt;(&gt;&amp;&lt;)&gt;邮箱贴纸+MA 23L 警告语说明书+MA 5L 收藏指南+MA 3L PDQ；（贴纸翻单4500163040）；
Remark: 1.此单出西班牙市场，需满足EU测试标准要求，微塑料需符合EU法规。
2.此单每款产品需各寄2套大货样到深圳办公室，请注意备料；</t>
  </si>
  <si>
    <t>日期码格式：ZURU INC(BVI) 标准格式 日期：按实际生产日期
Packaging Info: 
11.77785:最新客版彩盒+EAN贴纸；(条码贴纸翻单4500166563）；
子件77711：最新MA3LEAN收缩膜+最新MA5L收藏指南+最新MA23L说明书+最新MA5L creative+最新MA纸袋；
Remark: 1.此单出西班牙市场，需满足EU测试标准要求，微塑料需符合EU法规。
2.此单每款产品需各寄2套大货样到深圳办公室，请注意备料；</t>
  </si>
  <si>
    <t>日期码格式：ZURU INC(BVI) 标准格式 日期：按实际生产日期
Packaging Info: 
2.77785:最新客版彩盒+EAN贴纸+一张客户进口商贴纸；
子件77711：最新MA3LEAN收缩膜+最新MA5L收藏指南+最新MA23L说明书+最新MA5L creative+最新MA纸袋；
Remark: 1.此单出西班牙市场，需满足EU测试标准要求，微塑料需符合EU法规。</t>
  </si>
  <si>
    <t>EAN贴纸；(条码贴纸翻单4500166563）</t>
  </si>
  <si>
    <t>日期码格式：ZURU INC(BVI) 标准格式 日期：按实际生产日期
Packaging Info: 1.77785:最新客版彩盒+EAN贴纸；(条码贴纸翻单4500166563）；
子件77711：最新MA3LEAN收缩膜+最新MA5L收藏指南+最新MA23L说明书+最新MA5L creative+最新MA纸袋；
Remark: 1.此单出西班牙市场，需满足EU测试标准要求，微塑料需符合EU法规。</t>
  </si>
  <si>
    <t>95623-7.12</t>
  </si>
  <si>
    <t>4500166548-10</t>
  </si>
  <si>
    <r>
      <rPr>
        <sz val="12"/>
        <rFont val="宋体"/>
        <charset val="134"/>
        <scheme val="minor"/>
      </rPr>
      <t>日期码格式：ZURU INC(BVI) 标准格式 日期：按实际生产日期
Packaging Info: 77711GQ1: MA A版3L EAN收缩膜+UPC贴纸+进口商贴纸；MA纸袋; MA A版5L收藏指南；</t>
    </r>
    <r>
      <rPr>
        <sz val="12"/>
        <color rgb="FFFF0000"/>
        <rFont val="宋体"/>
        <charset val="134"/>
        <scheme val="minor"/>
      </rPr>
      <t>MA 23L说明书</t>
    </r>
    <r>
      <rPr>
        <sz val="12"/>
        <rFont val="宋体"/>
        <charset val="134"/>
        <scheme val="minor"/>
      </rPr>
      <t>；MA A版 3L PDQ
Remark: 此单出欧洲需满足EU测试标准要求</t>
    </r>
  </si>
  <si>
    <t>4500169123-20</t>
  </si>
  <si>
    <t>2L(NL&lt;(&gt;&amp;&lt;)&gt;DE)警告语贴纸（翻单4500166992）；荷兰语组装说明书贴纸(翻单4500155592)</t>
  </si>
  <si>
    <t>日期码格式：ZURU INC(BVI) 标准格式 日期：按实际生产日期
Packaging Info: 
2.77711GQ2：MA 3L EAN 版本收缩膜+1张2L(NL&lt;(&gt;&amp;&lt;)&gt;DE)警告语贴纸（翻单4500166992）+MA 5L 收藏指南+MA 23L 警告语说明书+MA 5L DIY说明书+1张荷兰语组装
说明书贴纸(翻单4500155592)+其它MA包装+MA 3L 最新版PDQ；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</si>
  <si>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10001263787-3758</t>
  </si>
  <si>
    <t>4500168042-30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</si>
  <si>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以上所以item均：
1. 产品和包装上印刷 tracking code信息，格式为ZURU常规格式;
2. 出货方式：货代自提</t>
  </si>
  <si>
    <t>ZB00757-7.16</t>
  </si>
  <si>
    <t>Wonderland Toys, Inc.</t>
  </si>
  <si>
    <t>4500167544-100</t>
  </si>
  <si>
    <t>日期码格式：ZURU INC(BVI) 标准格式 日期：按实际生产日期
Packaging Info: 1. 出口美国，MA UPC 版本包装，优先1L。
Remark: 2. Zuru QC 验货即可</t>
  </si>
  <si>
    <t>ZB00805-7.18</t>
  </si>
  <si>
    <t>4500160886-30</t>
  </si>
  <si>
    <r>
      <rPr>
        <sz val="12"/>
        <rFont val="宋体"/>
        <charset val="134"/>
        <scheme val="minor"/>
      </rPr>
      <t>日期码格式：ZURU INC(BVI) 标准格式 日期：按实际生产日期
Packaging Info:
#77711：
MA2L,PDQ(NA版,25装)+MA2L收缩膜(NA版,UPC:193052080127)+</t>
    </r>
    <r>
      <rPr>
        <sz val="12"/>
        <color rgb="FFFF0000"/>
        <rFont val="宋体"/>
        <charset val="134"/>
        <scheme val="minor"/>
      </rPr>
      <t>MA2L收藏指南((NA版)</t>
    </r>
    <r>
      <rPr>
        <sz val="12"/>
        <rFont val="宋体"/>
        <charset val="134"/>
        <scheme val="minor"/>
      </rPr>
      <t>+MA配件袋+MA5L说明书+MA23L警告语说明书
Remark: 1. 此单有箱唛;
2. UPC贴纸：必须在原来错误的条码上用黑色粗头笔涂黑直至不能扫描，再贴上正确的UPC;
3. 此单有第三方验货，烦请多备包装物料；
4. #15728内含电池,需用英法双语电池出货.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</si>
  <si>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0907594618</t>
  </si>
  <si>
    <t>4500168379-10</t>
  </si>
  <si>
    <t>ZB00933-7.28</t>
  </si>
  <si>
    <t>0907594638</t>
  </si>
  <si>
    <t>4500168379-20</t>
  </si>
  <si>
    <t>ZB200758-7.16</t>
  </si>
  <si>
    <t>0907594666</t>
  </si>
  <si>
    <t>4500168379-30</t>
  </si>
  <si>
    <t>ZB00873-7.26</t>
  </si>
  <si>
    <t>252GD0</t>
  </si>
  <si>
    <t>4500163953-30</t>
  </si>
  <si>
    <t>7/15 第三方验货</t>
  </si>
  <si>
    <t>双坑箱唛：翻4500160244。</t>
  </si>
  <si>
    <t>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#77711GQ5：31328202H25
 (2)产品日期码：
#77711GQ5：DOLGEN31328202H25（打在球壳上）
 后三位H25代表25年8月的ETD 。
 （3）UPC条形码：
 #77711GQ5:193052080127</t>
  </si>
  <si>
    <t>日期码格式：DOLLAR GENERAL 格式日期码 日期：
Packaging Info: 1.包装：
 #77711GQ5-S002-NA-PKC 客版PDQ + 内袋警示语AWS + 客版收缩膜，请有说明书收藏指南等，请优先使用MA 1L。（跟单邮件提供）
Remark: 1.包装：
 #77711GQ5-S002-NA-PKC 客版PDQ + 内袋警示语AWS + 客版收缩膜，请有说明书收藏指南等，请优先使用MA 1L。（跟单邮件提供）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#77711GQ5：31328202H25
 (2)产品日期码：
#77711GQ5：DOLGEN31328202H25（打在球壳上）
 后三位H25代表25年8月的ETD 。
 （3）UPC条形码：
 #77711GQ5:193052080127
 3. 无价贴。
 4. 无样板需求
 5. 验货抽样事宜：
 #77711GQ5：7.15早上进行第三方TUV抽样测试VT
 抽样数量：
 随机抽取每款每色各12pcs + 足量干漆给实验室MT&lt;(&gt;&amp;&lt;)&gt; 5套散件光身样（如适用）
 请在7月14前完成ZURU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</si>
  <si>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 xml:space="preserve"> Hailey Yu</t>
  </si>
  <si>
    <t>ZB00969-7.30</t>
  </si>
  <si>
    <t>5.单需要监柜，需要安排1套大货样板用于监柜。</t>
  </si>
  <si>
    <t>保证书+墨西
哥NOM贴纸，产品/包装/说明书都要贴1张NOM 贴纸
（翻PO#4500164462)</t>
  </si>
  <si>
    <r>
      <rPr>
        <sz val="12"/>
        <rFont val="宋体"/>
        <charset val="134"/>
        <scheme val="minor"/>
      </rPr>
      <t xml:space="preserve">日期码格式：ZURU INC(BVI) 标准格式 日期：按实际生产日期
Packaging Info: 77758SLT: 1.客版彩盒+客版球的收缩膜+客版冰箱收缩膜+客版冰箱收藏指南+客版球的收藏指南+客版Manual for three kinds of mini creates +客版球的黑白说
明书+客版内纸袋 +客版UV glue bottle sticker+客版冰箱电池警告语和说明书：（以上MA客版翻COSTCO UK PO#4500163768）
2.客版PDQ(客版 PDQ翻Costco US
PO#4500156301)
3.墨西哥订单加一张保证书+墨西
哥NOM贴纸，产品/包装/说明书都要贴1张NOM 贴纸
（翻PO#4500164462)
Remark: 1. 所有日期码印在彩卡上，产品(枪)上也需印日期码.按实际生产日期，ZURU 标准版格式的日期码。
2. 纸箱唛头：纸箱四面，只印刷一个正面，另外一个正面不印，侧唛也不印, 按照箱唛模板要求排版。按照箱唛模板要求排版。请注意箱唛印刷效果要我们确认后
才可印刷大货的。 3
. 确保展示架在入外箱时一定要正面对着有印刷箱唛的那面,不可以装反。
4
. 3PK 77711-INT(capsules)+1PK 77673 combo in color box， 3PCS AG13 BATTERIES(INCLUDED)
</t>
    </r>
    <r>
      <rPr>
        <sz val="12"/>
        <color rgb="FFFF0000"/>
        <rFont val="宋体"/>
        <charset val="134"/>
        <scheme val="minor"/>
      </rPr>
      <t>5.单需要监柜，需要安排1套大货样板用于监柜。</t>
    </r>
  </si>
  <si>
    <t>0907594649</t>
  </si>
  <si>
    <t>4500169408-10</t>
  </si>
  <si>
    <t>ZB00932-7.28</t>
  </si>
  <si>
    <t>0907594854</t>
  </si>
  <si>
    <t>4500169408-20</t>
  </si>
  <si>
    <t>2025/7/18第三方验货</t>
  </si>
  <si>
    <t>ZB00975-7.30</t>
  </si>
  <si>
    <t>0907594885</t>
  </si>
  <si>
    <t>4500169408-30</t>
  </si>
  <si>
    <t>ZB00973-7.30</t>
  </si>
  <si>
    <t>0907594916</t>
  </si>
  <si>
    <t>4500169408-40</t>
  </si>
  <si>
    <t>ZB00974-7.30</t>
  </si>
  <si>
    <t>0907594938</t>
  </si>
  <si>
    <t>4500169408-50</t>
  </si>
  <si>
    <t>ZB00957-7.29</t>
  </si>
  <si>
    <t xml:space="preserve">加拿大 </t>
  </si>
  <si>
    <t>2874711-00</t>
  </si>
  <si>
    <t>4500167181-40</t>
  </si>
  <si>
    <t>日期码格式： 标准格式 日期：按实际生产日期
Packaging Info:
77711GQ1 MA 2L A版（PDQ+收缩膜UPC版本193052080127)
Remark: 出加拿大
日期跟踪码：产品外包装及产品本身都必须有日期跟踪码，并且确保两者的日期跟踪码要一致；ZURU标准格式日期码(请自行调整具体年月日生产期，但不能为周末
）</t>
  </si>
  <si>
    <t>95780-7.25</t>
  </si>
  <si>
    <t>4500169530-10</t>
  </si>
  <si>
    <t>日期码格式：ZURU INC(BVI) 标准格式 日期：按实际生产日期
Packaging Info: 1.77711GQ2：最新MA 3L EAN INT版本包装+一张进口商贴纸+MA 23L 警告语说明书+MA 5L 收藏指南+MA 3L PDQ；
Remark: 1.此单出西班牙市场，需满足EU测试标准要求，微塑料需符合EU法规。
2.此单每款产品需在CRD前一周各寄2套大货样到深圳办公室，请注意备料；</t>
  </si>
  <si>
    <t>4500165563-20</t>
  </si>
  <si>
    <t>77711GQ2:分别需要两套完整大货样,需要1套满PDQ+1套完整大货样，还需要一套带PDQ的MA样，寄到客户香港办公室，请多备料，地址如下： Attn: Sylvia L
 i Company name: GP Services HK Limited Company address: Suite 1502, 15th Floor, Chinachem Golden Plaza, 77 Mody Road, TST East, Kowloon, Hong Ko
 ng Company address (Chinese): 香港九龍尖沙咀東部麼地道77號華懋廣場1502室 Contact Tel: +852 2739 5363
Remark: Contain UV Glue and Cream Glue 77555GQ2:Contains UV Glue</t>
  </si>
  <si>
    <t>客户日期码：ZUR5195，产品/包装/外箱请保持一致。产品蛋壳需要印日期ZUR5195和对应的item号码77711GQ2，纸箱、产品印之前要确认才能做大货</t>
  </si>
  <si>
    <r>
      <rPr>
        <sz val="12"/>
        <rFont val="宋体"/>
        <charset val="134"/>
        <scheme val="minor"/>
      </rPr>
      <t>日期码格式：</t>
    </r>
    <r>
      <rPr>
        <sz val="12"/>
        <color rgb="FFFF0000"/>
        <rFont val="宋体"/>
        <charset val="134"/>
        <scheme val="minor"/>
      </rPr>
      <t xml:space="preserve">ZUR5195 </t>
    </r>
    <r>
      <rPr>
        <sz val="12"/>
        <rFont val="宋体"/>
        <charset val="134"/>
        <scheme val="minor"/>
      </rPr>
      <t>日期：
Packaging Info: 
77711GQ2:MA 3L 包装+进口商贴纸（含客户条码）+MA 说明书;MA 3L PDQ
2.客户日期码：ZUR5195，产品/包装/外箱请保持一致。产品蛋壳需要印日期ZUR5195和对应的item号码77555GQ2/77673/77711GQ2
77711GQ2:分别需要两套完整大货样,需要1套满PDQ+1套完整大货样，还需要一套带PDQ的MA样，寄到客户香港办公室，请多备料，地址如下： Attn: Sylvia L
i Company name: GP Services HK Limited Company address: Suite 1502, 15th Floor, Chinachem Golden Plaza, 77 Mody Road, TST East, Kowloon, Hong Ko
ng Company address (Chinese): 香港九龍尖沙咀東部麼地道77號華懋廣場1502室 Contact Tel: +852 2739 5363
Remark: Contain UV Glue and Cream Glue 77555GQ2:Contains UV Glue</t>
    </r>
  </si>
  <si>
    <t>4500159839-10</t>
  </si>
  <si>
    <t>日期码格式：ZURU INC(BVI) 标准格式 日期：按实际生产日期
Packaging Info: 1. 77711GQ1-S003-INT：MA 3L收缩膜+一张UPC条码贴纸（UPC#193052080134）+MA 3L PDQ+其他最新MA包装;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</si>
  <si>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4500167907-10</t>
  </si>
  <si>
    <t>日期码格式：ZURU INC(BVI) 标准格式 日期：按实际生产日期
Packaging Info: 77711GQ2: MA 3L EAN PKG+UPC 条码贴纸+MA 3L PDQ+1个小的红色logo贴纸+进口商贴纸+箱唛
Remark: 
5.集装箱及装柜要求：集装箱不能有破洞；不能太脏
6.每个item需要放1整箱在每个集装箱门口
7.装柜的时候要前、中、后拍照
8.此单有监柜要求，每款需要准备1pc监柜样板用于监装</t>
  </si>
  <si>
    <t>ZU03-25</t>
  </si>
  <si>
    <t>4500167463-110</t>
  </si>
  <si>
    <t>进口商贴纸翻单4500167152</t>
  </si>
  <si>
    <t>日期码格式：ZURU INC(BVI) 标准格式 日期：按实际生产日期
Packaging Info: 
11. 77782GQ1：客版收缩膜+客版收藏指南+客版PDQ+进口商贴纸+箱唛，客版物料消耗PO 4500161302的库存，进口商贴纸翻单4500167152
Remark: 
11. 77782GQ1：WITH 4 DEMO; Base on #77711GQ2-S001-INT ver.:Remove Hershey and Kikkoman, Kikkoman-Soy Sauce
Hershey's-Chocolate Syrup 24 oz
Hershey's-Mini Chocolate Syrup 24 oz
Hershey's-Strawberry Syrup 22 oz</t>
  </si>
  <si>
    <t>0907594655</t>
  </si>
  <si>
    <t>4500169409-10</t>
  </si>
  <si>
    <t>ZB00972-7.30</t>
  </si>
  <si>
    <t>0907594667</t>
  </si>
  <si>
    <t>4500169409-20</t>
  </si>
  <si>
    <t>ZB01013-8.1
ZB01000-7.31</t>
  </si>
  <si>
    <t>AMAZON MEXICO, S. DE R.L. DE CV</t>
  </si>
  <si>
    <t>8IJ32IRW</t>
  </si>
  <si>
    <t>4500169872-60</t>
  </si>
  <si>
    <t>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t>
  </si>
  <si>
    <t>日期码格式：ZURU INC(BVI) 标准格式 日期：按实际生产日期
Packaging Info:
2. 77731: 2PK MA 3L 77711 INT版本的球+空白贴纸入PVC桶，2PK铜版纸+进口商贴纸+条码贴纸，（两个球的配比不能重复）,2PK铜版纸翻单PO4500158623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t>
  </si>
  <si>
    <t>95803-7.28</t>
  </si>
  <si>
    <t>54JX2K6K</t>
  </si>
  <si>
    <t>4500169872-80</t>
  </si>
  <si>
    <t>650286
Fall 25</t>
  </si>
  <si>
    <t>4500170074-60</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</si>
  <si>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Remark: 1. ZURU MA UPC 优先1L 最新包装，版本统一，不得混包材， 出口美国
2. 产品和包装需有日期码, ZURU标准日期码格式, 按照实际生产自行调整日期,但不能为周末,日期保持一致。
3. 大货配比：
77711GQ1:S002-NA-MINI BRANDS-FILL THE FRIDGE-SERIES 1-CAPSULE,13PCS/Gravity PDQ,13PCS/PDQ/CTN. GTIN: 10193052080124</t>
  </si>
  <si>
    <t>ZB00833-7.22</t>
  </si>
  <si>
    <t>25-1068240JEC</t>
  </si>
  <si>
    <t>4500159761-20</t>
  </si>
  <si>
    <t>指定日期码：2025-07（外箱/产品/包装/进口商贴纸 日期码要一致。</t>
  </si>
  <si>
    <t>日期码格式：2025-07 日期：
Packaging Info: MA 3L UPC包装+进口贴纸+箱唛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t>
  </si>
  <si>
    <t>25-1068242JUS</t>
  </si>
  <si>
    <t>4500159848-270</t>
  </si>
  <si>
    <t>日期码格式：2025-07 日期：
Packaging Info: 
77782GQ1:客版收缩膜+客版收藏指南 +客版PDQ 同PO 4500161302 一起订购+进口商贴纸+箱唛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77782GQ1:WITH 4 DEMO; Base on #77711GQ2-S001-INT ver.:Remove Hershey and Kikkoman, Kikkoman-Soy Sauce
Hershey's-Chocolate Syrup 24 oz
Hershey's-Mini Chocolate Syrup 24 oz
Hershey's-Strawberry Syrup 22 oz</t>
  </si>
  <si>
    <t>96592-6-9.30</t>
  </si>
  <si>
    <t>4500164774-280</t>
  </si>
  <si>
    <t>4500167249-80</t>
  </si>
  <si>
    <t>日期码格式：ZURU INC(BVI) 标准格式 日期：按实际生产日期
Packaging Info:
77711SK1：MA 3L EAN 收缩膜+UPC 条码贴纸+MA 说明书+收藏指南+MA 3L 展示架+1张进口商贴纸+箱唛
Remark: 电池：
配比：</t>
  </si>
  <si>
    <t>0907594629</t>
  </si>
  <si>
    <t>4500169831-10</t>
  </si>
  <si>
    <t>日期码格式：ZURU DGYYYYMMDD CHINA(日期避开周末和法定节假日即可） 日期：按实际生产日期
Packaging Info: 1.包装要求：
77711GQ4-S001-NA: MA 1L A版收缩膜+MA 2L A版收藏指南+MA 说明书+客版1L PDQ，翻单：4500159672
每pcs产品上要贴1张RFID贴纸，贴纸由ZURU提供，贴纸位置请严格按照我们签回的签板；
Remark: 1.包装要求：
77711GQ4-S001-NA: MA 1L A版收缩膜+MA 2L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77711：16pcs/PDQ/CTN</t>
  </si>
  <si>
    <t>ZB01212-8.12</t>
  </si>
  <si>
    <t>0907594936</t>
  </si>
  <si>
    <t>4500169831-40</t>
  </si>
  <si>
    <t>ZB00977-7.30</t>
  </si>
  <si>
    <t>4500169812-10</t>
  </si>
  <si>
    <r>
      <rPr>
        <sz val="12"/>
        <rFont val="宋体"/>
        <charset val="134"/>
        <scheme val="minor"/>
      </rPr>
      <t xml:space="preserve">日期码格式：ZURU INC(BVI) 标准格式 日期：按实际生产日期
Packaging Info: 2.3692%The Original;2.3692%Pepperoni Pizza-Global Version;2.3692%Cheese Pizza-Global Version;2.3692%Hawaiian Pizza-Global Version;2.3692%Big Di
nner Box-Global Version;2.3692%Traditional Wings-Global Version;3.3117%Cooked Loboster;3.3117%Fishes;3.3117%Lamp Chops;3.3117%Broccoli Florets;3
.9658%Eggplant;3.9658%Fruit Tray;3.9658%Oats Jar;3.9658%Kombucha;4.0791%Turmeric Shot;4.0791%Milk;4.0791%Juice;4.0791%Water;1.4215%Cheese Pasta;
1.4215%Mashed Potatoes;1.4215%Honey Deli Ham;1.4215%Deli Turkey;1.8953%Morning Star Farms Sausage Patties;1.8953%Thick Cut Bacon;1.8953%Thick Cu
t Stack Pack;1.9709%Homestyle Waffles;1.9709%Soft Pretzels;1.9709%Pretzel Dogs;0.8241%Chow Mein;0.8241%Broccoli Beef;0.8241%Orange Chicken;0.824
1%Jamoca Almond Fudge Ice Cream;0.9477%Oreo Cookies'N Cream Ice Cream;0.9477%Tropical Punch;0.9477%Classic Grape;0.8241%O-mazing Orange;0.8241%T
he OG;0.8241%Sweet Strawberry;0.8241%Original;0.6249%Unicorn Cake;0.6249%Pancakes;0.6249%Burgers and Fries;0.5686%Sushi;0.5686%Frozen Chicken;0.
5686%Tiramisu;0.5686%Eggs;0.5686%Ice;0.5253%Mini Chocolate;0.5253%Mini Strawberry Vanilla;0.5253%Mini The OG;0.5253%Mini Oreo Cookies'N Cream Ic
e Cream;0.3399%Pudding;0.3399%Pops
Remark: </t>
    </r>
    <r>
      <rPr>
        <sz val="12"/>
        <color rgb="FFFF0000"/>
        <rFont val="宋体"/>
        <charset val="134"/>
        <scheme val="minor"/>
      </rPr>
      <t>MA 3L UPC 英语包装</t>
    </r>
    <r>
      <rPr>
        <sz val="12"/>
        <rFont val="宋体"/>
        <charset val="134"/>
        <scheme val="minor"/>
      </rPr>
      <t xml:space="preserve">
此客人不接受易掉落或者剥落或者可直接触碰的闪粉，可降解也不行，但可以接受符合欧洲微塑料标准的珠光粉或者闪片。
加UPC 贴纸：193052090157</t>
    </r>
  </si>
  <si>
    <t>4500169813-10</t>
  </si>
  <si>
    <r>
      <rPr>
        <sz val="12"/>
        <rFont val="宋体"/>
        <charset val="134"/>
        <scheme val="minor"/>
      </rPr>
      <t>日期码格式：ZURU INC(BVI) 标准格式 日期：按实际生产日期
Packaging Info: 2.3692%The Original;2.3692%Pepperoni Pizza-Global Version;2.3692%Cheese Pizza-Global Version;2.3692%Hawaiian Pizza-Global Version;2.3692%Big Di
nner Box-Global Version;2.3692%Traditional Wings-Global Version;3.3117%Cooked Loboster;3.3117%Fishes;3.3117%Lamp Chops;3.3117%Broccoli Florets;3
.9658%Eggplant;3.9658%Fruit Tray;3.9658%Oats Jar;3.9658%Kombucha;4.0791%Turmeric Shot;4.0791%Milk;4.0791%Juice;4.0791%Water;1.4215%Cheese Pasta;
1.4215%Mashed Potatoes;1.4215%Honey Deli Ham;1.4215%Deli Turkey;1.8953%Morning Star Farms Sausage Patties;1.8953%Thick Cut Bacon;1.8953%Thick Cu
t Stack Pack;1.9709%Homestyle Waffles;1.9709%Soft Pretzels;1.9709%Pretzel Dogs;0.8241%Chow Mein;0.8241%Broccoli Beef;0.8241%Orange Chicken;0.824
1%Jamoca Almond Fudge Ice Cream;0.9477%Oreo Cookies'N Cream Ice Cream;0.9477%Tropical Punch;0.9477%Classic Grape;0.8241%O-mazing Orange;0.8241%T
he OG;0.8241%Sweet Strawberry;0.8241%Original;0.6249%Unicorn Cake;0.6249%Pancakes;0.6249%Burgers and Fries;0.5686%Sushi;0.5686%Frozen Chicken;0.
5686%Tiramisu;0.5686%Eggs;0.5686%Ice;0.5253%Mini Chocolate;0.5253%Mini Strawberry Vanilla;0.5253%Mini The OG;0.5253%Mini Oreo Cookies'N Cream Ic
e Cream;0.3399%Pudding;0.3399%Pops
Remark:</t>
    </r>
    <r>
      <rPr>
        <sz val="12"/>
        <color rgb="FFFF0000"/>
        <rFont val="宋体"/>
        <charset val="134"/>
        <scheme val="minor"/>
      </rPr>
      <t xml:space="preserve"> MA 3L UPC 英语包装</t>
    </r>
    <r>
      <rPr>
        <sz val="12"/>
        <rFont val="宋体"/>
        <charset val="134"/>
        <scheme val="minor"/>
      </rPr>
      <t xml:space="preserve">
此客人不接受易掉落或者剥落或者可直接触碰的闪粉，可降解也不行，但可以接受符合欧洲微塑料标准的珠光粉或者闪片。
加UPC 贴纸：193052090157</t>
    </r>
  </si>
  <si>
    <t>4500168979-30</t>
  </si>
  <si>
    <t>日期码格式：ZURU INC(BVI) 标准格式 日期：按实际生产日期
Packaging Info: 1. 出口加拿大市场。
#77711GQ2: MA 2L UPC版本;
2. 产品、包装、外箱上面tracking code的时间格式需要一致.
Remark: 3. 需要第三方SGS验货，验货时间暂定2025/07/22，每款每色请备1PC完整带包装样品供验货人员参考。用完后若无损坏可以放回大货里。</t>
  </si>
  <si>
    <t>4500160470-60</t>
  </si>
  <si>
    <t>进口商贴纸翻单4500162375</t>
  </si>
  <si>
    <r>
      <rPr>
        <sz val="11"/>
        <rFont val="宋体"/>
        <charset val="134"/>
        <scheme val="minor"/>
      </rPr>
      <t xml:space="preserve">日期码格式：ZURU INC(BVI) 标准格式 日期：按实际生产日期
Packaging Info: 
77711GQ2-S002-INT_MA 3L EAN版收缩膜+MA 3L PDQ+MA 5L(23L warning)收藏指南+MA 23L说明书+警告语/进口商贴纸
北欧五语通用Slime黑白说明书
带纽扣电池走货北欧六语通用黑白电池说明书
上述贴纸翻单4500162375，之前已经安排MA 采购，请不要重复采购
</t>
    </r>
    <r>
      <rPr>
        <sz val="11"/>
        <color rgb="FFFF0000"/>
        <rFont val="宋体"/>
        <charset val="134"/>
        <scheme val="minor"/>
      </rPr>
      <t>此单资料全部翻单4500160445</t>
    </r>
    <r>
      <rPr>
        <sz val="11"/>
        <rFont val="宋体"/>
        <charset val="134"/>
        <scheme val="minor"/>
      </rPr>
      <t xml:space="preserve">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77711GQ2-S002-INT-4894680043350</t>
    </r>
  </si>
  <si>
    <t>4500168200-10</t>
  </si>
  <si>
    <t>日期码格式：ZURU INC(BVI) 标准格式 日期：按实际生产日期
Packaging Info: 77711GQ1:最新MA 3L A版PDQ+最新MA 3L A版EAN收缩膜+最新MA 5L收藏指南+最新MA 5L说明书+最新MA 23L黑白说明书+MA 5L纸袋+德意语包装警语贴纸+客人款号贴
纸
Remark: 1.此单务必准时出货，如有推期会有罚款和空运。
其中推期1至7天扣款5%，推期8至14天扣款10%，推期15至21天扣款20%,如此类推.
2.此单出货前要寄2套大货签办给到客户办公室
3.出口欧洲 微塑料需合规</t>
  </si>
  <si>
    <t>4500170062-20</t>
  </si>
  <si>
    <t>客人日期码：LOT2529，产品（蛋壳等）/包装（收缩膜等）/外箱 请保持一致</t>
  </si>
  <si>
    <t>日期码格式：LOT2529 日期：
Packaging Info
2.77711：最新MA 3L EAN收缩膜+一张进口商贴纸（含希腊警语/意大利环保标）+一张产品贴纸+最新MA 5L 包装+最新MA 23L警语说明书+最新MA 3L PDQ
Remark: 1.RATIO 同MA 一致。
2.客人日期码：LOT2529，产品（蛋壳等）/包装（收缩膜等）/外箱 请保持一致。
3.产品均符合EU微塑料法规要求：不能含有微塑料/闪粉
4. SMASHERS 或含Slime产品，所有化合物使用无硼版本出意大利。
5. 本订单所有 具有 baby items / assorted items 的款式，零售包装上都要用 母 EAN;
7. 本单需要通过ZURU 验货结果后才能出货 (工厂需要主动提前同ZURU QC预约验货避免延期出货造成不必要麻烦)</t>
  </si>
  <si>
    <t>Amazon UK:
2LRS3TOL</t>
  </si>
  <si>
    <t>4500158588-130</t>
  </si>
  <si>
    <t>8/3 交仓</t>
  </si>
  <si>
    <r>
      <rPr>
        <sz val="12"/>
        <rFont val="宋体"/>
        <charset val="134"/>
        <scheme val="minor"/>
      </rPr>
      <t>日期码格式：ZURU INC(BVI) 标准格式 日期：按实际生产日期
Packaging Info: Amazon UK(15763ABDE/92125BDH/77731)/DE(15763A/92125BDH/77731)/FR(92125B)
3. 77731: 2PK#77711-INT In PVC Tube，12tubes/ctn; UV GLUE/ 1 Refrigerator Magnet; MA 1L(1L warning UPC)A收缩膜+</t>
    </r>
    <r>
      <rPr>
        <sz val="12"/>
        <color rgb="FFFF0000"/>
        <rFont val="宋体"/>
        <charset val="134"/>
        <scheme val="minor"/>
      </rPr>
      <t>1张空白贴纸(覆盖在条码位置，尺寸
由工厂自行测量)</t>
    </r>
    <r>
      <rPr>
        <sz val="12"/>
        <rFont val="宋体"/>
        <charset val="134"/>
        <scheme val="minor"/>
      </rPr>
      <t>+MA 5L(23L warning)A收藏指南+MA 23L警告语说明书+MA 5L A说明书 +客版3L(5L warning UPC) INT PVC筒铜版纸(参考翻单PO#4500158623)+1张I
T环保标贴纸(参考提供的位置图;参考翻单PO#4500158623）；
4. 验货时间不迟于2025/7/25.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r>
  </si>
  <si>
    <t>Amazon DE:
83QENLUU</t>
  </si>
  <si>
    <t>4500158588-140</t>
  </si>
  <si>
    <t>Entertainment Earth, LLC.</t>
  </si>
  <si>
    <t>4500167735-60</t>
  </si>
  <si>
    <t>日期码格式：ZURU INC(BVI) 标准格式 日期：按实际生产日期
Packaging Info: 1.包材: ZURU MA UPC 版本最新包装，出口美国
Remark: 2、日期跟踪码:ZURU标准格式日期码、产品包装及产品本身都必须有ZURU标准格式日期码，并且确保两者信息保持一致(请自行调整具体年月日生产期，但不能为周
末)。
3.外箱要求
4.出货配比: ZURU 标版配比</t>
  </si>
  <si>
    <t>ZB00963-7.25</t>
  </si>
  <si>
    <t>4500169877-10</t>
  </si>
  <si>
    <t>箱唛资料翻单PO#4500160492</t>
  </si>
  <si>
    <t>UPC贴纸：193052090157
箱唛资料翻单PO#4500160492</t>
  </si>
  <si>
    <r>
      <rPr>
        <sz val="12"/>
        <rFont val="宋体"/>
        <charset val="134"/>
        <scheme val="minor"/>
      </rPr>
      <t>日期码格式：ZURU INC(BVI) 标准格式 日期：按实际生产日期
Packaging Info:</t>
    </r>
    <r>
      <rPr>
        <sz val="12"/>
        <color rgb="FFFF0000"/>
        <rFont val="宋体"/>
        <charset val="134"/>
        <scheme val="minor"/>
      </rPr>
      <t xml:space="preserve"> MA 3L 包装+客版PDQ+箱唛+UPC贴纸：193052090157</t>
    </r>
    <r>
      <rPr>
        <sz val="12"/>
        <rFont val="宋体"/>
        <charset val="134"/>
        <scheme val="minor"/>
      </rPr>
      <t xml:space="preserve">
箱唛资料翻单PO#4500160492
Remark: 1.此单出口澳大利亚，请按相应的澳新标准生产；
2.产品和包装上生产批号请按我司标准
3.当同一PO或item有多个批次代码时，每个批次代码的纸箱必须分组在一起，且明显分开</t>
    </r>
  </si>
  <si>
    <t>95799-7.28</t>
  </si>
  <si>
    <t>4500169877-20</t>
  </si>
  <si>
    <t>4500169877-30</t>
  </si>
  <si>
    <t>4500166481-20</t>
  </si>
  <si>
    <t>日期码格式：ZURU INC(BVI) 标准格式 日期：按实际生产日期
Packaging Info:
 77711GQ2:最新MA 3L PDQ+客版收缩膜(英法德callout/英法德意荷警语/法国环保logo)翻单4500155592 +最新MA23L 说明书+MA 5+23L警语收藏指南+ MA 5L creativ
 e说明书 + creative说明书荷兰语贴纸(翻单4500155592）
 EAN: 4894680043350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</si>
  <si>
    <t>4500167318-60</t>
  </si>
  <si>
    <t>日期码格式：ZURU INC(BVI) 标准格式 日期：按实际生产日期
Packaging Info: 
77711SK1：MA 3L EAN 收缩膜+UPC 条码贴纸+MA 3L 展示架+1张进口商贴纸+箱唛
Remark:</t>
  </si>
  <si>
    <t>4500169604-150</t>
  </si>
  <si>
    <t xml:space="preserve">日期码格式：ZURU INC(BVI) 标准格式 日期：按实际生产日期
Packaging Info:
77782GQ1: 客版收缩膜+客版收藏指南+客版PDQ，客版物料消耗PO 4500161302的库存
Remark: </t>
  </si>
  <si>
    <t>进口商贴纸；（贴纸翻单4500168249）</t>
  </si>
  <si>
    <t>日期码格式：ZURU INC(BVI) 标准格式 日期：按实际生产日期
Packaging Info: 
7.77785:最新客版彩盒+EAN贴纸+一张进口商贴纸；（贴纸翻单4500168249）
子件77711：最新MA3LEAN收缩膜+最新MA5L收藏指南+最新MA23L说明书+最新MA5L creative+最新MA纸袋；
Remark: 1.此单出西班牙市场，需满足EU测试标准要求，微塑料需符合EU法规。
2.此单每款产品需在CRD前一周各寄2套大货样到深圳办公室，请注意备料；</t>
  </si>
  <si>
    <t>0907594610</t>
  </si>
  <si>
    <t>4500169833-10</t>
  </si>
  <si>
    <t>日期码格式：ZURU DGYYYYMMDD CHINA(日期避开周末和法定节假日即可） 日期：按实际生产日期
Packaging Info: 1.包装要求：
77711GQ4-S001-NA: MA 1L A版收缩膜+MA 2L A版收藏指南+MA 说明书+客版1L PDQ，翻单：4500159672
每pcs产品上要贴1张RFID贴纸，贴纸由ZURU提供，贴纸位置请严格按照我们签回的签板；
Remark: 1.包装要求：
77711GQ4-S001-NA: MA 1L A版收缩膜+MA 2L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16pcs/PDQ/CTN</t>
  </si>
  <si>
    <t>ZB01102-8.6</t>
  </si>
  <si>
    <t>0907594620</t>
  </si>
  <si>
    <t>4500169833-20</t>
  </si>
  <si>
    <t>ZB01014-8.1</t>
  </si>
  <si>
    <t>0907594631</t>
  </si>
  <si>
    <t>4500169833-30</t>
  </si>
  <si>
    <t>ZB01181-8.11</t>
  </si>
  <si>
    <t>0907594661</t>
  </si>
  <si>
    <t>4500169833-40</t>
  </si>
  <si>
    <t>ZB01015-8.1</t>
  </si>
  <si>
    <t>0907594677</t>
  </si>
  <si>
    <t>4500169833-50</t>
  </si>
  <si>
    <t>ZB01120-8.7</t>
  </si>
  <si>
    <t>0907594692</t>
  </si>
  <si>
    <t>4500169833-60</t>
  </si>
  <si>
    <t>ZB01121-8.7</t>
  </si>
  <si>
    <t>0907594697</t>
  </si>
  <si>
    <t>4500169833-70</t>
  </si>
  <si>
    <t>ZB01016-8.1</t>
  </si>
  <si>
    <t>777 2AUG</t>
  </si>
  <si>
    <t>4500170043-40</t>
  </si>
  <si>
    <t>UPC贴纸（UPC#193052080134 翻PO#4500166127）</t>
  </si>
  <si>
    <t>日期码格式：ZURU INC(BVI) 标准格式 日期：按实际生产日期
Packaging Info:
4.77711GQ2-S003-INT: MA 3L INT版本收缩膜+1张UPC贴纸（UPC#193052080134 翻PO#4500166127）+ MA INT版本5L收藏指南+MA INT 版本 3L PDQ+其他MA最新包装
6. 以上产品如果是电子产品带电池出货，请加上WEEE带电池走货欧洲30语通用黑白说明书&lt;(&gt;,&lt;)&gt; 如果是电子产品不带电池出货，请加上WEEE不带电池走货欧洲30
语通用黑白说明书
Remark: 1.产品及包装需要印UKCA图标，包装需要有ZURU UK LTD/ZURU France地址信息，QC同事请核查，如有问题与跟单确认。
2. 需要符合欧洲标准不能含有闪粉和微塑料，否则不合法规会有客诉产生</t>
  </si>
  <si>
    <t>95786-7.26</t>
  </si>
  <si>
    <t>2SU28VVY</t>
  </si>
  <si>
    <t>4500170340-20</t>
  </si>
  <si>
    <t>7/7 寄出外箱贴纸</t>
  </si>
  <si>
    <t>ZB01001-7.31</t>
  </si>
  <si>
    <t>8T8ZX1UU</t>
  </si>
  <si>
    <t>4500170340-40</t>
  </si>
  <si>
    <t>8E55YDJB</t>
  </si>
  <si>
    <t>4500170342-50</t>
  </si>
  <si>
    <t>ZB01019-8.1</t>
  </si>
  <si>
    <t>4AKC27IO</t>
  </si>
  <si>
    <t>4500170342-70</t>
  </si>
  <si>
    <t>5P4CXYJJ</t>
  </si>
  <si>
    <t>4500170344-10</t>
  </si>
  <si>
    <t>日期码格式：ZURU INC(BVI) 标准格式 日期：按实际生产日期
Packaging Info: #77731：2PK STD #77711入PVC桶，3L 2PK铜版纸，客版无UPC版本收缩膜翻单4500167444。收藏指南，说明书均为MA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</si>
  <si>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ZB01038-8.4</t>
  </si>
  <si>
    <t>6YFWXIEL</t>
  </si>
  <si>
    <t>4500170346-10</t>
  </si>
  <si>
    <t>4500169879-40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</si>
  <si>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</si>
  <si>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4500169878-60</t>
  </si>
  <si>
    <t>0907594612</t>
  </si>
  <si>
    <t>4500169834-10</t>
  </si>
  <si>
    <t>ZB01308-8.16</t>
  </si>
  <si>
    <t>0907594954</t>
  </si>
  <si>
    <t>4500169834-70</t>
  </si>
  <si>
    <t>ZB01395-8.21</t>
  </si>
  <si>
    <t>4500170489-10</t>
  </si>
  <si>
    <t>UPC条码贴纸（UPC#193052080134）+1张客人通用进口商贴纸（翻单4500159576）</t>
  </si>
  <si>
    <r>
      <rPr>
        <sz val="12"/>
        <rFont val="宋体"/>
        <charset val="134"/>
        <scheme val="minor"/>
      </rPr>
      <t xml:space="preserve">日期码格式：ZURU INC(BVI) 标准格式 日期：按实际生产日期
Packaging Info: </t>
    </r>
    <r>
      <rPr>
        <sz val="12"/>
        <color rgb="FFFF0000"/>
        <rFont val="宋体"/>
        <charset val="134"/>
        <scheme val="minor"/>
      </rPr>
      <t>77711GQ2： MA 3L EAN 包装+1张通用UPC条码贴纸（UPC#193052080134）+1张客人通用进口商贴纸（翻单4500159576）
带进口商信息分别贴于包装背面以及说明书上</t>
    </r>
    <r>
      <rPr>
        <sz val="12"/>
        <rFont val="宋体"/>
        <charset val="134"/>
        <scheme val="minor"/>
      </rPr>
      <t xml:space="preserve">
Remark: 1.按实际生产日期;
2.出澳大利亚，请按照相应标准生产;</t>
    </r>
  </si>
  <si>
    <t>Remark：大货最新版本/只需要齐套散件/散件不用纸包装/麻烦用胶袋分装好一套为一袋/箱唛参照邮件附件；备注：  收到订单后请尽快安排，谢谢</t>
  </si>
  <si>
    <t>ZMPO250522</t>
  </si>
  <si>
    <t>15套</t>
  </si>
  <si>
    <t>Remark：大货最先版本/只需左图指定26款散件/每款各15PCS/麻烦用胶袋分装好一套为一袋；备注： 收到样品订单后尽快安排 ，注意样板品质质量要求要高于大货品质量 ，送货时必须要附带送货单(没有送货单和QC检验合格报告的仓库一律拒绝收货)，请知悉，谢谢！</t>
  </si>
  <si>
    <t>95861-7.31</t>
  </si>
  <si>
    <t>4500169038-30</t>
  </si>
  <si>
    <t>日期码格式：ZURU INC(BVI) 标准格式 日期：按实际生产日期
Packaging Info: 
3. 77711GQ1:最新MA 3L EAN收缩膜+最新MA 5L收藏指南+最新MA 23L说明书+最新MA 5L creative+最新MA纸袋+最新MA 3L PDQ+多语警语折叠贴纸（含包装缺失的法/
意/西环保标）（翻4500162314）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 保持一致，完货后提供date code 信息以便我们保存记录做批次管理；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带电池产品都需要包含多语WEEE黑白说明书。
8， MTS所有订单，SMASHERS 或含Slime产品，所有化合物使用无硼版本出；如有香味产品，出无香版本; BOB系列要符合欧洲要求不含亚硝酸版本; XShot Hyper系
列，统一出EN71版本。</t>
  </si>
  <si>
    <r>
      <rPr>
        <sz val="12"/>
        <rFont val="宋体"/>
        <charset val="134"/>
        <scheme val="minor"/>
      </rPr>
      <t xml:space="preserve">日期码格式：ZURU INC(BVI) 标准格式 日期：按实际生产日期
Packaging Info: MEC305:MA 展示架（如有MA3L则不用MA1L）
</t>
    </r>
    <r>
      <rPr>
        <sz val="12"/>
        <color rgb="FFFF0000"/>
        <rFont val="宋体"/>
        <charset val="134"/>
        <scheme val="minor"/>
      </rPr>
      <t>77711: MA A 3L 收缩膜含EAN 条码+1*意大利sorting logo含进口商贴纸+MA5L收藏指南</t>
    </r>
    <r>
      <rPr>
        <sz val="12"/>
        <rFont val="宋体"/>
        <charset val="134"/>
        <scheme val="minor"/>
      </rPr>
      <t xml:space="preserve">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r>
  </si>
  <si>
    <t>SHIRRA PANWEST</t>
  </si>
  <si>
    <t>MPO 8071</t>
  </si>
  <si>
    <t>4500169209-10</t>
  </si>
  <si>
    <t>77711SK1-S002-NA</t>
  </si>
  <si>
    <t>不晚于7/9 号提供大货图片， 大货图片要包含外箱，箱唛， 产品带包装/不带包装图片， 尺寸测量， 称重等，请注意 客人看了大货图片才会放SO。</t>
  </si>
  <si>
    <t>日期码格式： 标准格式 日期：按实际生产日期
Packaging Info: 77711SK1 MA 5L A版，MA 2L A版（展示架+收缩膜UPC版本193052080127)
Remark: 出加拿大
日期跟踪码：产品外包装及产品本身都必须有日期跟踪码，ZURU标准格式日期码.
不晚于7/9 号提供大货图片， 大货图片要包含外箱，箱唛， 产品带包装/不带包装图片， 尺寸测量， 称重等，请注意 客人看了大货图片才会放SO。</t>
  </si>
  <si>
    <t>95741-7.23</t>
  </si>
  <si>
    <t xml:space="preserve"> DOLGENCORP, LLC</t>
  </si>
  <si>
    <t>252GF1</t>
  </si>
  <si>
    <t>4500164072-30</t>
  </si>
  <si>
    <t>旧版本包装</t>
  </si>
  <si>
    <t>日期码格式：DOLLAR GENERAL 格式日期码 日期：
Packaging Info: 1.包装：
#77711GQ5-S002-NA-PKC 客版PDQ + 内袋警示语AWS + 客版收缩膜，请有说明书收藏指南等，请优先使用MA 1L。
客版AWs全部翻4500163953
Remark: 1.包装：
#77711GQ5-S002-NA-PKC 客版PDQ + 内袋警示语AWS + 客版收缩膜，请有说明书收藏指南等，请优先使用MA 1L。
客版AWs全部翻4500163953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#77711GQ5：31328202H25
(2)产品日期码：
#77711GQ5：DOLGEN31328202H25（打在球壳上）
后三位H25代表25年8月的ETD 。
（3）UPC条形码：
#77711GQ5:193052080127
3. 无价贴。
4. 无样板需求
5. 验货抽样事宜：
#77711GQ5：无第三方验货
请在7月28前完成ZURU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</si>
  <si>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ZB01141-8.8  ZB01156-8.8</t>
  </si>
  <si>
    <t>ASDA STORES LTD</t>
  </si>
  <si>
    <t>4500162761-20</t>
  </si>
  <si>
    <t>77711SLB-S001-INT</t>
  </si>
  <si>
    <t>冰箱迷你球75CTN/SLB-卡板装</t>
  </si>
  <si>
    <r>
      <rPr>
        <sz val="12"/>
        <rFont val="宋体"/>
        <charset val="134"/>
        <scheme val="minor"/>
      </rPr>
      <t>日期码格式：ZURU INC(BVI) 标准格式 日期：按实际生产日期
Packaging Info: 
2. 77711SLB-S001-INT
77711GQ1-S002-INT:</t>
    </r>
    <r>
      <rPr>
        <sz val="12"/>
        <color rgb="FFFF0000"/>
        <rFont val="宋体"/>
        <charset val="134"/>
        <scheme val="minor"/>
      </rPr>
      <t xml:space="preserve"> MA NA版本1L UPC收缩膜+MA INT 版本5L收藏指南+MA INT版本3L PDQ+MA 23L说明书+其他MA最新包材
UPC#193052080127&lt;(&gt;,&lt;)&gt;请先检查条码是否正确再安排做货；</t>
    </r>
    <r>
      <rPr>
        <sz val="12"/>
        <rFont val="宋体"/>
        <charset val="134"/>
        <scheme val="minor"/>
      </rPr>
      <t xml:space="preserve">
Slip sheet: 13pcs/PDQ/CTN 15*5H=75CTN/SLB=975pcs/Slip Sheet; 一共需要4套slip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r>
  </si>
  <si>
    <t>4500170270-20</t>
  </si>
  <si>
    <t>7/30 送库有</t>
  </si>
  <si>
    <t>Remark: 以下子件由兴信客供带包装成品在库有组装
77711GQ1：3L EAN MA包装 + UPC条码（UPC# 193052080134) + PDQ 3L-INT-13PCS A版
-条码按以下显示：
77711GQ1：193052080134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</si>
  <si>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4500170978-30</t>
  </si>
  <si>
    <t>20935534</t>
  </si>
  <si>
    <t>4500170975-40</t>
  </si>
  <si>
    <t>4500170833-30</t>
  </si>
  <si>
    <t>客户日期码格式 LOTE：39-工厂城市名缩写 20250804 ，客户日期码格式需显示在包装上，否则会有客诉。不用重复显示在产品上面，产品&lt;(&gt;&amp;&lt;)&gt; 外箱格式可
以用回ZURU格式。</t>
  </si>
  <si>
    <r>
      <rPr>
        <sz val="12"/>
        <rFont val="宋体"/>
        <charset val="134"/>
        <scheme val="minor"/>
      </rPr>
      <t>日期码格式：日期码格式：LOTE：41-工厂城市名缩写 20250801,只显示在包装上面即 日期：
Packaging Info:
77711GQ1：</t>
    </r>
    <r>
      <rPr>
        <sz val="12"/>
        <color rgb="FFFF0000"/>
        <rFont val="宋体"/>
        <charset val="134"/>
        <scheme val="minor"/>
      </rPr>
      <t>（MA 3L PDQ+1张PDQ贴纸）+MA 最新3L 收缩膜+（1张进口商西班牙环保标贴纸）+MA5L收藏指南</t>
    </r>
    <r>
      <rPr>
        <sz val="12"/>
        <rFont val="宋体"/>
        <charset val="134"/>
        <scheme val="minor"/>
      </rPr>
      <t xml:space="preserve">
Remark: 1. 此单出西班牙，需满足EU测试标准要求，另外微塑料需符合EU法规；
2. 标准配比
3. 客户日期码格式：LOTE：41-工厂城市名缩写 20250801,只显示在包装上面即可，否则会有客诉。不用重复显示在产品上面，产品&lt;(&gt;&amp;&lt;)&gt; 外箱格式可以用回ZURU
格式。
4.根据新电池法规（EU） 2023/1542， 所有走欧洲市场的电子产品，都需要增加WEEE通用30L说明书（分带电池走货 跟 不带电池走货两种），如工厂没有此文件，
可以找我们跟单提供
5. 准时完货，需安排ZURU OQC验货。 另外， 包装贴纸上面的警告语不可以覆盖西班牙警告语。</t>
    </r>
  </si>
  <si>
    <t>4500171377-40</t>
  </si>
  <si>
    <t>4500171377-80</t>
  </si>
  <si>
    <t>4500171377-120</t>
  </si>
  <si>
    <t>0907594626</t>
  </si>
  <si>
    <t>4500170587-10</t>
  </si>
  <si>
    <t>77711箱唛翻单：4500159672</t>
  </si>
  <si>
    <t>日期码格式：ZURU DGYYYYMMDD CHINA(日期避开周末和法定节假日即可） 日期：按实际生产日期
Packaging Info: 77711GQ4-S001-NA
1.包装要求：
MA 1L A版收缩膜+MA 2L B版收藏指南+MA B版说明书+客版1L PDQ
每pcs产品上要贴1张RFID贴纸，贴纸由ZURU提供，贴纸位置请严格按照我们签回的签板；
Remark: 77711GQ4-S001-NA
1.包装要求：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carton出货，16pcs/PDQ/CTN</t>
  </si>
  <si>
    <t>ZB01214-8.12</t>
  </si>
  <si>
    <t>0907594644</t>
  </si>
  <si>
    <t>4500170587-20</t>
  </si>
  <si>
    <t>ZB01345-8.19</t>
  </si>
  <si>
    <t>0907594648</t>
  </si>
  <si>
    <t>4500170587-30</t>
  </si>
  <si>
    <t>ZB01346-8.19</t>
  </si>
  <si>
    <t>0907594674</t>
  </si>
  <si>
    <t>4500170587-40</t>
  </si>
  <si>
    <t>ZB01305-8.16</t>
  </si>
  <si>
    <t>4500165982-240</t>
  </si>
  <si>
    <t>7/4 寄出客供价格贴纸</t>
  </si>
  <si>
    <t>日期码格式：ZURU INC(BVI) 标准格式 日期：按实际生产日期
Packaging Info:
 77711GQ2:MA 3L EAN包装+UPC贴纸+进口商贴纸+价标贴纸+箱唛
Remark: 1. 此单价格贴纸（ZURU定购).
2.此单有第三方监柜，不用额外准备备品，会在大货中每款拆1pc，拆了包装的产品会由监装员用客供胶带封好或在外箱上写上""opened by telescope”</t>
  </si>
  <si>
    <t>4500164920-140</t>
  </si>
  <si>
    <t>日期码格式：ZURU INC(BVI) 标准格式 日期：按实际生产日期
Packaging Info:
77711GQ2:MA 3L EAN包装+UPC贴纸+进口商贴纸+价标贴纸+箱唛
Remark: 1. 此单价格贴纸（ZURU定购).
2.此单有第三方监柜，不用额外准备备品，会在大货中每款拆1pc，拆了包装的产品会由监装员用客供胶带封好或在外箱上写上"opened by telescope"</t>
  </si>
  <si>
    <t>10001401783-3891</t>
  </si>
  <si>
    <t>4500170534-20</t>
  </si>
  <si>
    <t>7/7 寄出</t>
  </si>
  <si>
    <t>日期码格式：ZURU INC(BVI) 标准格式 日期：按实际生产日期
Packaging Info: 77711GQ2: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产品和包装上印刷 tracking code信息，格式为ZURU常规格式;
5. 出货方式：货代自提</t>
  </si>
  <si>
    <t>ZB01059-8.5</t>
  </si>
  <si>
    <t>4500170311-30</t>
  </si>
  <si>
    <t>日期码格式：ZURU INC(BVI) 标准格式 日期：按实际生产日期
Packaging Info:
77711GQ2：MA 3L EAN PKG+UPC 条码贴纸+MA 3L PDQ+MA 多语说明书+进口商贴纸+箱唛
Remark: 
此单有监柜，每款请多备1pc样板用于监装</t>
  </si>
  <si>
    <t>4500164207-10</t>
  </si>
  <si>
    <t>日期码格式：ZURU INC(BVI) 标准格式 日期：按实际生产日期
Packaging Info: 77711:
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（14.17pt），条码扫描结果应为7678363。
-请先检查条码是否正确再安排做，标签上的目录编号数字高度必须至少为5mm （14.17pt），条码扫描结果应为7624348。
-订单对应客户2个PO号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</si>
  <si>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BAMASIA SARL</t>
  </si>
  <si>
    <t>4500163362-20</t>
  </si>
  <si>
    <r>
      <rPr>
        <sz val="12"/>
        <rFont val="宋体"/>
        <charset val="134"/>
        <scheme val="minor"/>
      </rPr>
      <t>日期码格式：ZURU INC(BVI) 标准格式 日期：按实际生产日期
Packaging Info: 
77711GQ2：MA 3L EAN 收缩膜+</t>
    </r>
    <r>
      <rPr>
        <sz val="12"/>
        <color rgb="FFFF0000"/>
        <rFont val="宋体"/>
        <charset val="134"/>
        <scheme val="minor"/>
      </rPr>
      <t>1张法国回收logo贴纸+5L global+MA23L 说明书+MA 5L creative+MA 3L PDQ</t>
    </r>
    <r>
      <rPr>
        <sz val="12"/>
        <rFont val="宋体"/>
        <charset val="134"/>
        <scheme val="minor"/>
      </rPr>
      <t xml:space="preserve">
Remark: 1. 此票需通过ZURU OQC验货；
2. 此票出法国，请确保产品符合EU标准，包装含有法国回收logo，符合EU微塑料法规；
3. 此票全部用EAN条码
4. 所有出口法国的产品, 法规规定禁止在包装和公众用的印刷品中使用矿物油中含有的物质, 包装印刷油墨中含有的MOAH/MOSH的质量浓度不能超过1%, 否则出货
到法国被抽检出现问题, 供应商需要对此负责;</t>
    </r>
  </si>
  <si>
    <t>4500170501-70</t>
  </si>
  <si>
    <t>进口商贴纸+1张UPC条码贴纸覆盖原条码(UPC贴纸显示款号77803，条码193052092403）。贴纸资料翻单4500165640。</t>
  </si>
  <si>
    <r>
      <rPr>
        <sz val="12"/>
        <rFont val="宋体"/>
        <charset val="134"/>
        <scheme val="minor"/>
      </rPr>
      <t xml:space="preserve">日期码格式：ZURU INC(BVI) 标准格式 日期：按实际生产日期
Packaging Info: 1.此单除了77803是7/31，77673是8/4，其他都是CRD 7/28
4.77803GQ2是基于STD版本77711GQ2-S001-INT建立的客制spec,移除掉了提到猪肉"pork"的2个minis和4个有license的minis：
Veggie Original Sausage Patties(Contains pork words)
Singles The Original- Pepperoni (Contains pork words)
Kikkoman-Soy Sauce (license)
Hershey's-Chocolate Syrup 24 oz (license)
Hershey's-Mini Chocolate Syrup 24 oz (license)
Hershey's-Strawberry Syrup 22 oz (license)
除了PDQ和收藏指南，其他包材如收缩膜等都跟STD版本77711GQ2-S001-INT- MA 3L版。
所以，77803GQ2-MA EAN包装（3L)+1张进口商贴纸+1张UPC条码贴纸覆盖原条码(UPC贴纸显示款号77803，条码193052092403）。贴纸资料翻单4500165640。
</t>
    </r>
    <r>
      <rPr>
        <sz val="12"/>
        <color rgb="FFFF0000"/>
        <rFont val="宋体"/>
        <charset val="134"/>
        <scheme val="minor"/>
      </rPr>
      <t>客版PDQ+收藏指南跟回拉美的订单4500161302,但是收藏指南要加贴纸遮住以下两个LOGOs,贴纸资料见邮件附件;
Veggie Original Sausage Patties(Contains pork words)
Singles The Original- Pepperoni (Contains pork words)</t>
    </r>
    <r>
      <rPr>
        <sz val="12"/>
        <rFont val="宋体"/>
        <charset val="134"/>
        <scheme val="minor"/>
      </rPr>
      <t xml:space="preserve">
5.因为此客人进口商贴纸是通用的（除了那些加了UPC条码的），只可能因为item不同尺寸会有差别，如果发现尺寸一样就请统一订购节省成本。
Remark:
77803GQ2-With 4pcs demo/PDQ
Remove 6 Minis as below:
Veggie Original Sausage Patties(Contains pork words)
Singles The Original- Pepperoni (Contains pork words)
Kikkoman-Soy Sauce (license)
Hershey's-Chocolate Syrup 24 oz (license)
Hershey's-Mini Chocolate Syrup 24 oz (license)
Hershey's-Strawberry Syrup 22 oz (license)
77673-Filxed Collection，3PCS AG13 BATTERIES(INCLUDED)</t>
    </r>
  </si>
  <si>
    <r>
      <rPr>
        <sz val="11"/>
        <rFont val="宋体"/>
        <charset val="134"/>
        <scheme val="minor"/>
      </rPr>
      <t xml:space="preserve">日期码格式：ZURU INC(BVI) 标准格式 日期：按实际生产日期
Packaging Info: 77785：MA 3L UPC 彩盒包装 + 箱唛 + 外箱贴纸SSCC Label
</t>
    </r>
    <r>
      <rPr>
        <sz val="11"/>
        <color rgb="FFFF0000"/>
        <rFont val="宋体"/>
        <charset val="134"/>
        <scheme val="minor"/>
      </rPr>
      <t>子件77711:3L 客版无条码收缩膜+MA 5L 收藏指南+MA 23L 说明书+MA 5L creative+MA纸袋;
（客版AW以及电池警告语贴纸&lt;(&gt;&amp;&lt;)&gt;贴纸位置图翻单PO#4500170842）</t>
    </r>
    <r>
      <rPr>
        <sz val="11"/>
        <rFont val="宋体"/>
        <charset val="134"/>
        <scheme val="minor"/>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</si>
  <si>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r>
      <rPr>
        <sz val="12"/>
        <rFont val="宋体"/>
        <charset val="134"/>
        <scheme val="minor"/>
      </rPr>
      <t xml:space="preserve">日期码格式：ZURU INC(BVI) 标准格式 日期：按实际生产日期
Packaging Info: 77785：MA 3L UPC 彩盒包装 + 箱唛 + 外箱贴纸SSCC Label
</t>
    </r>
    <r>
      <rPr>
        <sz val="12"/>
        <color rgb="FFFF0000"/>
        <rFont val="宋体"/>
        <charset val="134"/>
        <scheme val="minor"/>
      </rPr>
      <t>子件77711:3L 客版无条码收缩膜+MA 5L 收藏指南+MA 23L 说明书+MA5L creative+MA纸袋;</t>
    </r>
    <r>
      <rPr>
        <sz val="12"/>
        <rFont val="宋体"/>
        <charset val="134"/>
        <scheme val="minor"/>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</si>
  <si>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4500171272-10</t>
  </si>
  <si>
    <t xml:space="preserve">日期码格式：ZURU INC(BVI) 标准格式 日期：按实际生产日期
Packaging Info: 77782GQ1: 客版收缩膜+客版收藏指南+客版PDQ+箱唛，客版物料消耗PO 4500161302的库存
Remark: </t>
  </si>
  <si>
    <t>4500171286-60</t>
  </si>
  <si>
    <t>日期码格式：ZURU INC(BVI) 标准格式 日期：按实际生产日期
Packaging Info:77782GQ1：客版收缩膜+客版收藏指南+客版PDQ+进口商贴纸+箱唛，客版物料消耗PO 4500161302的库存
Remark</t>
  </si>
  <si>
    <t>4500168039-10</t>
  </si>
  <si>
    <t>ZB01307-8.16</t>
  </si>
  <si>
    <t>4500168038-10</t>
  </si>
  <si>
    <t>ZB01306-8.16</t>
  </si>
  <si>
    <t>4500170958-10</t>
  </si>
  <si>
    <t>ZB01347-8.19</t>
  </si>
  <si>
    <t>4500170955-10</t>
  </si>
  <si>
    <t>ZB01508-8.26</t>
  </si>
  <si>
    <t>4500172103-140</t>
  </si>
  <si>
    <r>
      <rPr>
        <sz val="12"/>
        <rFont val="宋体"/>
        <charset val="134"/>
        <scheme val="minor"/>
      </rPr>
      <t xml:space="preserve">日期码格式：ZURU INC(BVI) 标准格式 日期：按实际生产日期
Packaging Info: </t>
    </r>
    <r>
      <rPr>
        <sz val="12"/>
        <color rgb="FFFF0000"/>
        <rFont val="宋体"/>
        <charset val="134"/>
        <scheme val="minor"/>
      </rPr>
      <t>请确保包装上的条形码是UPC，如果是babyUPC，需要用mother UPC覆盖，如有不一致，请及时提出。谢谢!</t>
    </r>
    <r>
      <rPr>
        <sz val="12"/>
        <rFont val="宋体"/>
        <charset val="134"/>
        <scheme val="minor"/>
      </rPr>
      <t xml:space="preserve">
77782：客版3L UPC收缩膜/客版收藏指南/客版PDQ，客版物料消耗PO 4500161302的库存
Remark: </t>
    </r>
  </si>
  <si>
    <t>96595-3-9.30</t>
  </si>
  <si>
    <t>4500169087-20</t>
  </si>
  <si>
    <t>4500170600-110</t>
  </si>
  <si>
    <t>日期码格式：ZURU INC(BVI) 标准格式 日期：按实际生产日期
Packaging Info: Amazon UK(15701A/15710AB/15711D/15726ABDEGHJKLM/15728ABG/15762B/71152/77731/92119D/9561)/DE(15710B/15711D/15726ADEGHJKL/15728A/77731/92119A)/FR(
15710A/15714AN/15726D/15728A/77723)
10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ES环保标+ZURU邮箱care@zuru.com，参考翻单PO#4500158623)+1张IT环保标贴纸(参考翻单PO#4500158623）；
13. 验货时间不迟于2025/7/31.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</si>
  <si>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UK:
14GQMTFB</t>
  </si>
  <si>
    <t>4500170600-230</t>
  </si>
  <si>
    <t>4500170600-360</t>
  </si>
  <si>
    <t>4400493880</t>
  </si>
  <si>
    <t>4500171129-30</t>
  </si>
  <si>
    <t xml:space="preserve"> creative说明书荷兰语贴纸（翻4500155592）</t>
  </si>
  <si>
    <t>日期码格式：ZURU INC(BVI) 标准格式 日期：按实际生产日期
Packaging Info:
77711GQ2:最新MA 3L PDQ+客版收缩膜(英法德callout/英法德意荷警语/法国环保logo)翻4500155592 +最新MA 23L 说明书+最新 MA5L+23L收藏指南+ 最新 MA 5L cr
eative说明书 + creative说明书荷兰语贴纸（翻4500155592）
EAN: 4894680043350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</si>
  <si>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25-1070321JEC</t>
  </si>
  <si>
    <t>4500172286-10</t>
  </si>
  <si>
    <t>进口商贴纸/UPC贴纸翻单PO4500159761</t>
  </si>
  <si>
    <t>日期码格式：2025-07 日期：
Packaging Info: 77711GQ2:MA 多语EAN包装+进口商贴纸+UPC贴纸+箱唛，进口商贴纸/UPC贴纸翻单PO4500159761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t>
  </si>
  <si>
    <t>25-1070373JDO</t>
  </si>
  <si>
    <t>4500172288-10</t>
  </si>
  <si>
    <t>进口商贴纸翻单PO4500164774</t>
  </si>
  <si>
    <t>日期码格式：2025-07 日期：
Packaging Info: 77782GQ1::客版收缩膜+客版收藏指南 +客版PDQ+进口商贴纸+箱唛，客版资料翻单PO4500161302,进口商贴纸翻单PO4500164774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t>
  </si>
  <si>
    <t>ZMPO250571</t>
  </si>
  <si>
    <t>30个空PDQ</t>
  </si>
  <si>
    <t>Remark:大货最新版本/只需要空PDQ/请配齐PDQ上应有的物料如展示公仔/吸塑等;备注：  收到样品订单后尽快安排 ，注意样板品质质量要求要高于大货品质要求 ，送货时必须要附带送货单(没有送货单和QC检验合格报告的仓库一律拒绝收货)，请知悉，谢谢！</t>
  </si>
  <si>
    <t>97082-11.29</t>
  </si>
  <si>
    <t>50个空PDQ</t>
  </si>
  <si>
    <t>Amazon UK:
7APM9TGV</t>
  </si>
  <si>
    <t>4500169785-10</t>
  </si>
  <si>
    <t>日期码格式：ZURU INC(BVI) 标准格式 日期：按实际生产日期
Packaging Info: Amazon UK(77731/9561/15701A/71126)
1. 77731: 2PK#77711-INT In PVC Tube，12tubes/ctn; UV GLUE/ 1 Refrigerator Magnet; MA 3L(3L warning EAN)A收缩膜+1张空白贴纸(覆盖在条码位置，尺寸
由工厂自行测量)+MA 5L(23L warning)A收藏指南+MA 23L警告语说明书+MA 5L A说明书 +客版3L(5L warning UPC) INT PVC筒彩卡(UPC#+英法德意西5L警示语+FR/ES
环保标+ZURU邮箱care@zuru.com，参考翻单PO#4500158623)+1张IT环保标贴纸(参考翻单PO#4500158623）；
5. 验货时间不迟于2025/8/8.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</si>
  <si>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4500160891-30</t>
  </si>
  <si>
    <r>
      <rPr>
        <sz val="12"/>
        <rFont val="宋体"/>
        <charset val="134"/>
        <scheme val="minor"/>
      </rPr>
      <t>日期码格式：ZURU INC(BVI) 标准格式 日期：按实际生产日期
Packaging Info: 
#77711：
MA2L,PDQ(NA版,25装)+MA2L收缩膜(NA版,UPC:193052080127)+</t>
    </r>
    <r>
      <rPr>
        <sz val="12"/>
        <color rgb="FFFF0000"/>
        <rFont val="宋体"/>
        <charset val="134"/>
        <scheme val="minor"/>
      </rPr>
      <t>MA2L收藏指南((NA版)</t>
    </r>
    <r>
      <rPr>
        <sz val="12"/>
        <rFont val="宋体"/>
        <charset val="134"/>
        <scheme val="minor"/>
      </rPr>
      <t>+MA配件袋+MA5L说明书+MA23L警告语说明书
Remark: 1. 此单有箱唛;
2. UPC贴纸：必须在原来错误的条码上用黑色粗头笔涂黑直至不能扫描，再贴上正确的UPC;
3. 此单有第三方验货，烦请多备包装物料；
4. #15728内含电池,需用英法双语电池出货.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</si>
  <si>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4500170750-160</t>
  </si>
  <si>
    <r>
      <rPr>
        <sz val="12"/>
        <rFont val="宋体"/>
        <charset val="134"/>
        <scheme val="minor"/>
      </rPr>
      <t xml:space="preserve">日期码格式：ZURU INC(BVI) 标准格式 日期：按实际生产日期
Packaging Info: 
77711GQ2:MA 3L EAN PKG+UPC 条码贴纸+MA 3L PDQ+MA 多语说明书+进口商贴纸+箱唛
</t>
    </r>
    <r>
      <rPr>
        <sz val="12"/>
        <color rgb="FFFF0000"/>
        <rFont val="宋体"/>
        <charset val="134"/>
        <scheme val="minor"/>
      </rPr>
      <t>所有带电产品的保证书通用1份</t>
    </r>
    <r>
      <rPr>
        <sz val="12"/>
        <rFont val="宋体"/>
        <charset val="134"/>
        <scheme val="minor"/>
      </rPr>
      <t xml:space="preserve">
Remark: </t>
    </r>
  </si>
  <si>
    <t>96589-4-9.30</t>
  </si>
  <si>
    <t>40279125 45276449</t>
  </si>
  <si>
    <t>4500171342-300</t>
  </si>
  <si>
    <t>日期码格式：ZURU INC(BVI) 标准格式 日期：按实际生产日期
Packaging Info:
77711 标版2L 包装/PDQ ， UPC 193052080127
Remark: 出加拿大
有客供价格贴
每行对应不同的客户PO，唛头要一一对应， 放唛头时跟单会提供清单
Zuru验货.日期跟踪码：产品外包装及产品本身都必须有日期跟踪码，ZURU标准格式
日期码</t>
  </si>
  <si>
    <t>4500171342-310</t>
  </si>
  <si>
    <t>4500171342-320</t>
  </si>
  <si>
    <t>4500171342-330</t>
  </si>
  <si>
    <t>4500171342-340</t>
  </si>
  <si>
    <t>4500171342-350</t>
  </si>
  <si>
    <t>4500171342-360</t>
  </si>
  <si>
    <t>4500171342-370</t>
  </si>
  <si>
    <t>4500169101-20</t>
  </si>
  <si>
    <t>77711-S002-NA</t>
  </si>
  <si>
    <t>4FCM4UVB</t>
  </si>
  <si>
    <t>4500172430-10</t>
  </si>
  <si>
    <t>日期码格式：ZURU INC(BVI) 标准格式 日期：按实际生产日期
Packaging Info: #77731：2PK STD #77711入PVC桶，3L 2PK铜版纸，客版无UPC版本收缩膜翻单4500167444。收藏指南，说明书均为MA 1L标版。（两个球的配比不能重复）。
#15762B: 2pk 15727 固定搭配- 15727E +15727G, MA 5L UPC版本, 产品入window box后再加polybag. 15727原window box上的UPC需要加空白贴纸覆盖。polybag需
印刷warning, polybag size: 35*47*0.005cm. Polybag上需要加产品贴纸显示ASIN, UPC, ""Sold as Set do not Separate"".。胶袋资料和产品贴纸资料翻EU单45
00158578.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</si>
  <si>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ZB01103R1-8.6</t>
  </si>
  <si>
    <t>3VAUNV9N</t>
  </si>
  <si>
    <t>4500172422-20</t>
  </si>
  <si>
    <t>ZB01180-8.11</t>
  </si>
  <si>
    <t>4500173381-10</t>
  </si>
  <si>
    <t>日期码格式：ZURU INC(BVI) 标准格式 日期：按实际生产日期
Packaging Info: 请确保包装上的条形码是UPC，如果是babyUPC，需要用mother UPC覆盖，如有不一致，请及时提出。
77782GQ1：客版3L UPC收缩膜/客版收藏指南/客版PDQ，客版物料消耗PO 4500161302的库存
Remark:</t>
  </si>
  <si>
    <t>96420-9.12</t>
  </si>
  <si>
    <t>4500170761-20</t>
  </si>
  <si>
    <t>意大利环保标贴纸（贴纸翻4500164781）</t>
  </si>
  <si>
    <t>日期码格式：ZURU INC(BVI) 标准格式 日期：按实际生产日期
Packaging Info:
2. 77711GQ1:最新MA 3L EAN收缩膜+一张意大利环保标贴纸（贴纸翻4500164781）+最新MA 5L 收藏指南+最新MA 23L 说明书+最新MA 5L 包装+最新MA 3L PDQ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 "WEEE说明书欧洲EN+30L-B版"</t>
  </si>
  <si>
    <t>CUS
PO#4400494411</t>
  </si>
  <si>
    <t>4500172998-10</t>
  </si>
  <si>
    <t>日期码格式：ZURU INC(BVI) 标准格式 日期：按实际生产日期
Packaging Info: 77711GQ2：MA-3L(EAN)最新配套包装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</si>
  <si>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4500174786-10</t>
  </si>
  <si>
    <t>4500173000拆单</t>
  </si>
  <si>
    <t>空运</t>
  </si>
  <si>
    <t>日期码格式：ZURU INC(BVI) 标准格式 日期：按实际生产日期
Packaging Info: 77711GQ2: MA-3L(EAN)最新配套包装
此订单空运 请勿延期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</si>
  <si>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4500174782-10</t>
  </si>
  <si>
    <t>4500172998拆单</t>
  </si>
  <si>
    <t>日期码格式：ZURU INC(BVI) 标准格式 日期：按实际生产日期
Packaging Info: 77711GQ2：MA-3L(EAN)最新配套包装
此订单走空运 不要延期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</si>
  <si>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CUS
PO#4400494412</t>
  </si>
  <si>
    <t>4500173000-10</t>
  </si>
  <si>
    <r>
      <rPr>
        <sz val="12"/>
        <rFont val="宋体"/>
        <charset val="134"/>
        <scheme val="minor"/>
      </rPr>
      <t>日期码格式：ZURU INC(BVI) 标准格式 日期：按实际生产日期
Packaging Info: 77711GQ2:</t>
    </r>
    <r>
      <rPr>
        <sz val="12"/>
        <color rgb="FFFF0000"/>
        <rFont val="宋体"/>
        <charset val="134"/>
        <scheme val="minor"/>
      </rPr>
      <t xml:space="preserve"> MA-3L(EAN)最新配套包装</t>
    </r>
    <r>
      <rPr>
        <sz val="12"/>
        <rFont val="宋体"/>
        <charset val="134"/>
        <scheme val="minor"/>
      </rPr>
      <t xml:space="preserve">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r>
  </si>
  <si>
    <t>10001401742-3891</t>
  </si>
  <si>
    <t>4500170741-30</t>
  </si>
  <si>
    <t>7/11 寄出</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</si>
  <si>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以上所以item均：
1. 产品和包装上均要印刷tracking code信息，格式为ZURU常规格式;
2. 出货方式：货代自提</t>
  </si>
  <si>
    <t>ZB01372-8.20</t>
  </si>
  <si>
    <t>4500172600-30</t>
  </si>
  <si>
    <t>4500172597-30</t>
  </si>
  <si>
    <t>4400502188</t>
  </si>
  <si>
    <t>4500175782-10</t>
  </si>
  <si>
    <t>日期码格式：ZURU INC(BVI) 标准格式 日期：按实际生产日期
Packaging Info: 77711GQ2: MA-3L(EAN)最新配套包装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</si>
  <si>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7RWEPALK</t>
  </si>
  <si>
    <t>4500172435-10</t>
  </si>
  <si>
    <t>ZB01240-8.13</t>
  </si>
  <si>
    <t>0907594647</t>
  </si>
  <si>
    <t>4500170593-10</t>
  </si>
  <si>
    <t>8/15 第三方自检</t>
  </si>
  <si>
    <t>日期码格式：ZURU DGYYYYMMDD CHINA(日期避开周末和法定节假日即可） 日期：按实际生产日期
Packaging Info: 1.包装要求：
77711GQ4-S001-NA: MA 1L A版收缩膜+MA 2L B版收藏指南+MA B版说明书+客版1L PDQ
每pcs产品上要贴1张RFID贴纸，贴纸由ZURU提供，贴纸位置请严格按照我们签回的签板；
Remark: 1.包装要求：
77711GQ4-S001-NA: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77711：16pcs/PDQ/CTN</t>
  </si>
  <si>
    <t>ZB01471-8.25</t>
  </si>
  <si>
    <t>0907594658</t>
  </si>
  <si>
    <t>4500170593-20</t>
  </si>
  <si>
    <t>ZB01505-8.26</t>
  </si>
  <si>
    <t>0907594660</t>
  </si>
  <si>
    <t>4500170593-30</t>
  </si>
  <si>
    <t>ZB0170593-8.26</t>
  </si>
  <si>
    <t>0907594673</t>
  </si>
  <si>
    <t>4500170593-40</t>
  </si>
  <si>
    <t>ZB01451-8.23</t>
  </si>
  <si>
    <t>0907594680</t>
  </si>
  <si>
    <t>4500170593-50</t>
  </si>
  <si>
    <t>ZB01344-8.19</t>
  </si>
  <si>
    <t>0907594687</t>
  </si>
  <si>
    <t>4500170593-60</t>
  </si>
  <si>
    <t>ZB01421-8.22</t>
  </si>
  <si>
    <t>0907594721</t>
  </si>
  <si>
    <t>4500170593-100</t>
  </si>
  <si>
    <t>ZB01560-8.28</t>
  </si>
  <si>
    <t>4500169184-30</t>
  </si>
  <si>
    <t>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77711GQ1-S002-NA需7月25日前需寄出3套大货样板(含PDQ)，样板须跟大货一模一样
（含日期码）。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*带散件的产品： 2套（4pcs成品球+2个空PDQ+2套散件）；
不带散件： 成品2套；
寄到以下地址：
Li Fung　
深圳市福田区绒花路8号深福保大厦附楼3楼。
收件人： Yoland Dai　电话：+0755 8825 3756
4. 验货+ 抽板 （同一天进行）
预约8月13日第三方（利丰）到工厂做100%大货现场验货和抽板，验货需打印EPM出来跟客户回签样板供第三方验货参考。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#15727（不出L款）
6. ZURU QA 验货时需拍齐每款角色的产品和产品包装上的日期码照片（供实验室review）</t>
  </si>
  <si>
    <t>WAL-MART CANADA CORP</t>
  </si>
  <si>
    <t>MPO03641</t>
  </si>
  <si>
    <t>8/15货到库有</t>
  </si>
  <si>
    <t>Demo数量要求: 按照345套demo配套组装好交货，每套demo由#77711 P62 Kombucha: P52 Frozen Chicken: P57 Lamp Chops: P68 Tiramisu(含组装
好的UV胶空瓶)=1:1:1:1组成。
注意：18pcs 装一个胶袋，一箱一个胶袋，另外18个直接丢里面</t>
  </si>
  <si>
    <r>
      <rPr>
        <sz val="12"/>
        <rFont val="宋体"/>
        <charset val="134"/>
        <scheme val="minor"/>
      </rPr>
      <t>Remark: #77711
1.交货时间: 2025/8/12
2.包装要求:注意：18pcs 装一个胶袋，一箱一个胶袋，另外18个直接丢里面
#77711 MINI BRANDS-FILL THE FRIDGE S1 (NA版本): MA2L收缩膜(NA版-B,UPC:193052080127)+MA5L收藏指南((NA版-B)+MA配件袋+MA5L,UV胶贴
纸+MA23L警告语说明书(B)
3. Demo数量要求: 按照345套demo配套组装好交货，</t>
    </r>
    <r>
      <rPr>
        <sz val="12"/>
        <color rgb="FFFF0000"/>
        <rFont val="宋体"/>
        <charset val="134"/>
        <scheme val="minor"/>
      </rPr>
      <t>每套demo由#77711 P62 Kombucha: P52 Frozen Chicken: P57 Lamp Chops: P68 Tiramisu(含组装
好的UV胶空瓶)=1:1:1:1组成。</t>
    </r>
    <r>
      <rPr>
        <sz val="12"/>
        <rFont val="宋体"/>
        <charset val="134"/>
        <scheme val="minor"/>
      </rPr>
      <t xml:space="preserve">
4. 签办数量：#77711 3pcs大货球及1套齐套散件用以母件订单4500171463验货使用。
5. 母件订单4500171463后续需进行第三方验货，请工厂留意备品。</t>
    </r>
  </si>
  <si>
    <t>Willow Xu，Monica Zhou</t>
  </si>
  <si>
    <t>97097-11.29</t>
  </si>
  <si>
    <t>77711-S001-NA-2L</t>
  </si>
  <si>
    <t>AG250122-HK</t>
  </si>
  <si>
    <t>4500172706-10</t>
  </si>
  <si>
    <t>日期码格式：ZURU INC(BVI) 标准格式 日期：按实际生产日期
Packaging Info: 77711GQ1 （INT): MA 3L 收缩膜+1张UPC 条码贴纸+ MA 3L PDQ+MA 5L 收藏指南+HK客供警语贴纸
（1张贴球底部，1张贴说明书，1张贴收藏指南）具体参考HK客供警语贴纸位置图
Remark: 此单出HK</t>
  </si>
  <si>
    <t>4500170454-30</t>
  </si>
  <si>
    <t>日期码格式：ZURU INC(BVI) 标准格式 日期：按实际生产日期
Packaging Info: 
#77711:
MA2L,PDQ(NA版,25装)+MA2L收缩膜(NA版,UPC:193052080127)+MA2L收藏指南(NA版)+MA配件袋+MA5L说明书+MA23L警告语说明书
Remark: 1. 此单有箱唛;
2. UPC贴纸：必须在原来错误的条码上用黑色粗头笔涂黑直至不能扫描，再贴上正确的UPC;
3. 此单有第三方验货，烦请多备包装物料；
4. #15704需2025/8/6更新签板，签样数量：空PDQ 2pcs+大货样各3pcs.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</si>
  <si>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96292-9.2</t>
  </si>
  <si>
    <t>7L5JQ45I</t>
  </si>
  <si>
    <t>4500172492-10</t>
  </si>
  <si>
    <t>ZB01241-8.13</t>
  </si>
  <si>
    <t>5RKNTNBE</t>
  </si>
  <si>
    <t>4500172492-20</t>
  </si>
  <si>
    <t>ZB01255-8.14</t>
  </si>
  <si>
    <t>4500170533-20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</si>
  <si>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产品和包装上印刷 tracking code信息，格式为ZURU常规格式;
5. 出货方式：货代自提</t>
  </si>
  <si>
    <t>4500172551-20</t>
  </si>
  <si>
    <t>警告语/进口商贴纸（翻单4500164226）</t>
  </si>
  <si>
    <t>日期码格式：ZURU INC(BVI) 标准格式 日期：按实际生产日期
Packaging Info: 
77711SK1-S002-INT:MA 3L EAN版收缩膜+MA 3L PDQ+MA 5L(23L warning)收藏指南+MA 23L说明书+警告语/进口商贴纸（翻单4500164226）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ZURU ITEM#-客户款号-条码
77711SK1-S002-INT;100-223011472-4894680043350</t>
  </si>
  <si>
    <t>4500163718-50</t>
  </si>
  <si>
    <t>客人警语贴纸，翻4500163683</t>
  </si>
  <si>
    <t>日期码格式：ZUR5201 日期：
Packaging Info: 
5.77711SK: 最新MA 3L EAN收缩膜+最新MA 展示架+最新MA 5L说明书+最新MA纸袋+一张客人警语贴纸，翻4500163683
Remark: 1.客人日期码：ZUR5201，产品/包装（收缩膜等）/外箱 请保持一致
2.含Slime产品，所有化合物使用无硼版本出意大利
3.请自行根据产品是否带电池出货，相应订购"欧洲通用说明书EN+30L"</t>
  </si>
  <si>
    <t>4500163683-40</t>
  </si>
  <si>
    <t>日期码格式：ZUR5201 日期：
Packaging Info:
3.77711SK:最新MA 3L EAN收缩膜+最新MA 展示架+最新MA 5L说明书+最新MA纸袋+一张客人警语贴纸
Remark:
2.客人日期码：ZUR5201，产品/包装/外箱 请保持一致
3.含Slime产品，所有化合物使用无硼版本出意大利
4.请自行根据产品是否带电池出货，相应订购"欧洲通用说明书EN+30L"</t>
  </si>
  <si>
    <t>4500172400-10</t>
  </si>
  <si>
    <t>77731-S001-INT-MTS</t>
  </si>
  <si>
    <t>日期码格式：ZURU INC(BVI) 标准格式 日期：按实际生产日期
Packaging Info: 1.77731：客版3L(5L warning UPC) INT PVC筒纸卡(含英法德意西5L警示语-翻单PO#4500158623)+1张EAN贴纸+1张77711的多语折叠语警语贴纸（贴在PVC桶底部
PVC桶里面的2个球77711：MA (3L warning EAN)最新版收缩膜+2张空白贴纸(覆盖在条码位置，尺寸由工厂自行测量)+MA 5L(23L warning)A收藏指南+MA 23L警告语
说明书+MA 5L A说明书 ；2PK#77711-INT In PVC Tube，12tubes/ctn; UV GLUE/ 1 Refrigerator Magnet; "
Remark: 1.荷兰内销单，需要通过ZURU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5.所有出往欧洲订单的电子产品需增加一张欧洲通用WEEE声明说明书，区分带电池和不带电池版本, 如已做客版说明书可忽略此要求。
6.装柜时需要按照款式号码从小到大一款款依次装,避免终端仓库卸货混乱.若一个柜子涉及到几个不同国家内销单,装柜时需要一个国家装完后再装另一个国家的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7.ratio 同MA
8. 若有特定款有特殊外箱条码要求时,需要明确列出产品款对应的具体外箱条码号码/条码类型 (若无,可以忽略此需求).</t>
  </si>
  <si>
    <t>4500172944-60</t>
  </si>
  <si>
    <t>4500172946-60</t>
  </si>
  <si>
    <t>4500175657-20</t>
  </si>
  <si>
    <t>77711GQ1-P-S005-INT-MTS</t>
  </si>
  <si>
    <t>ZMPO250638</t>
  </si>
  <si>
    <t>77711GQ2-S001</t>
  </si>
  <si>
    <t>展示窗成品</t>
  </si>
  <si>
    <t>15套Demo</t>
  </si>
  <si>
    <t>Remark:大货版本/只需要左图中红框中的Demo;备注：收到样品订单后尽快安排 ，注意样板品质质量要求要高于大货品质要求 ，送货时必须要附带送货单(没有送货单和QC检验合格报告的仓库一律拒绝收货)，请知悉，谢谢！</t>
  </si>
  <si>
    <r>
      <rPr>
        <sz val="12"/>
        <rFont val="宋体"/>
        <charset val="134"/>
        <scheme val="minor"/>
      </rPr>
      <t>日期码格式：ZUR5201 日期：
Packaging Info:
2.MEC305:最新MA 3L EAN收缩膜+最新MA 展示架+最新MA 5L说明书+最新MA纸袋+</t>
    </r>
    <r>
      <rPr>
        <sz val="12"/>
        <color rgb="FFFF0000"/>
        <rFont val="宋体"/>
        <charset val="134"/>
        <scheme val="minor"/>
      </rPr>
      <t>2张客人警语贴纸+一张条码贴纸+一张SKU号码贴纸</t>
    </r>
    <r>
      <rPr>
        <sz val="12"/>
        <rFont val="宋体"/>
        <charset val="134"/>
        <scheme val="minor"/>
      </rPr>
      <t xml:space="preserve">
Remark: 1.大货样品3套，请多备料
2.客人日期码：ZUR5201，产品/包装(收缩膜）/外箱 请保持一致
3.含Slime产品，所有化合物使用无硼版本出意大利
4.请自行根据产品是否带电池出货，相应订购"欧洲通用说明书EN+30L"</t>
    </r>
  </si>
  <si>
    <t>4500173864-10</t>
  </si>
  <si>
    <t>日期码格式：ZURU INC(BVI) 标准格式 日期：按实际生产日期
Packaging Info: 77711GQ2:客版收缩膜(英法德callout/英法德意荷警语/法国环保logo)翻单4500155592 +最新MA23L 说明书+MA 5+23L警语收藏指南+ MA 5L creative说明书 + crea
tive说明书荷兰语贴纸(翻单4500155592）+最新MA 3L PDQ
EAN: 4894680043350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</si>
  <si>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10001401741-3890</t>
  </si>
  <si>
    <t>4500170737-30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</si>
  <si>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以上所以item均：
1. 产品和包装上均要印刷tracking code信息，格式为ZURU常规格式;
2. 出货方式：货代自提</t>
  </si>
  <si>
    <t>ZB01667-9.3</t>
  </si>
  <si>
    <r>
      <rPr>
        <sz val="12"/>
        <rFont val="宋体"/>
        <charset val="134"/>
        <scheme val="minor"/>
      </rPr>
      <t xml:space="preserve">日期码格式：ZURU INC(BVI) 标准格式 日期：按实际生产日期
Packaging Info: 77785：MA 3L UPC 彩盒包装 + 箱唛 + 外箱贴纸SSCC Label
</t>
    </r>
    <r>
      <rPr>
        <sz val="12"/>
        <color rgb="FFFF0000"/>
        <rFont val="宋体"/>
        <charset val="134"/>
        <scheme val="minor"/>
      </rPr>
      <t>子件77711:3L 客版无条码收缩膜+MA 5L 收藏指南+MA 23L 说明书+MA 5L creative+MA纸袋;
（客版AW以及电池警告语贴纸&lt;(&gt;&amp;&lt;)&gt;贴纸位置图翻单PO#4500170842）</t>
    </r>
    <r>
      <rPr>
        <sz val="12"/>
        <rFont val="宋体"/>
        <charset val="134"/>
        <scheme val="minor"/>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</si>
  <si>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r>
      <rPr>
        <sz val="12"/>
        <rFont val="宋体"/>
        <charset val="134"/>
        <scheme val="minor"/>
      </rPr>
      <t xml:space="preserve">日期码格式：ZURU INC(BVI) 标准格式 日期：按实际生产日期
Packaging Info: 77785：MA 3L UPC 彩盒包装 + 箱唛 + 外箱贴纸SSCC Label
</t>
    </r>
    <r>
      <rPr>
        <sz val="12"/>
        <color rgb="FFFF0000"/>
        <rFont val="宋体"/>
        <charset val="134"/>
        <scheme val="minor"/>
      </rPr>
      <t>子件77711:3L 客版无条码收缩膜+MA 5L 收藏指南+MA 23L 说明书+MA 5L creative+MA纸袋;
（客版AW以及电池警告语贴纸&lt;(&gt;&amp;&lt;)&gt;贴纸位置图翻单PO#4500170842）</t>
    </r>
    <r>
      <rPr>
        <sz val="12"/>
        <rFont val="宋体"/>
        <charset val="134"/>
        <scheme val="minor"/>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</si>
  <si>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4500170678-40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</si>
  <si>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以上所以item均：
1. 产品和包装上均要印刷tracking code信息，格式为ZURU常规格式;
2. 出货方式：货代自提</t>
  </si>
  <si>
    <t>4500172507-10</t>
  </si>
  <si>
    <t>ZB01528-8.27</t>
  </si>
  <si>
    <t>5200007239</t>
  </si>
  <si>
    <t>4500173486-10</t>
  </si>
  <si>
    <t>赶9/1装柜船期</t>
  </si>
  <si>
    <t>日期码格式：ZURU INC(BVI) 标准格式 日期：按实际生产日期
Packaging Info: 77711GQ1:最新MA 3L EAN收缩膜+最新MA 5L收藏指南+最新MA 23L说明书+最新MA 5L creative+最新MA纸袋+最新MA 3L PDQ+多语警语折叠贴纸（含包装缺失的法/意/
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</si>
  <si>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96322-9.4</t>
  </si>
  <si>
    <t>252GD2</t>
  </si>
  <si>
    <t>4500164261-10</t>
  </si>
  <si>
    <t>8月26早上进行客人指定TUV的VT抽样测试</t>
  </si>
  <si>
    <t>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#77711GQ5：31328202I25
 (2)产品日期码：
#77711GQ5：DOLGEN31328202I25（打在球壳上）</t>
  </si>
  <si>
    <t>日期码格式：DOLLAR GENERAL 格式日期码 日期：
Packaging Info: 1.包装：
 #77711GQ5-S002-NA-PKC 客版PDQ + 内袋警示语AWS + 客版收缩膜（跟单邮件提供），请有说明书收藏指南等，请优先使用MA 1L。
Remark: 1.包装：
 #77711GQ5-S002-NA-PKC 客版PDQ + 内袋警示语AWS + 客版收缩膜（跟单邮件提供），请有说明书收藏指南等，请优先使用MA 1L。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#77711GQ5：31328202I25
 (2)产品日期码：
#77711GQ5：DOLGEN31328202I25（打在球壳上）
 后三位I25代表25年9月的ETD 。
 （3）UPC条形码：
 #77711GQ5:193052080127
 3. 无价贴。
 4. 无样板需求
 5. 验货抽样事宜：
 #77711GQ5：8月26早上进行客人指定TUV的VT抽样测试。随机抽取每款每色各12pcs + 足量干漆给实验室MT+5套散件光身样（如适用）
 请在8月25前完成ZURU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ONBOCORNS-PUPPYCORN SURPRISE-SERIES 8-SCENT SURPRISE PLUSH SMALL SHRINK WRAP,2PCS/Polybag,6pcs/3Polybag/CTNF SUFFOCATIO
 N, KEEP THIS BAG AWAY FROM BABIES AND CHILDREN. DO NOT USE IN CRIBS, BEDS, STROLLERS OR PLAY PENS. THIS BAG IS NOT A TOY.
 #77711GQ5内袋可通用77555GQ3的</t>
  </si>
  <si>
    <t>ZB01831-9.10</t>
  </si>
  <si>
    <t>4500163740-20</t>
  </si>
  <si>
    <t>日期码格式：ZURU INC(BVI) 标准格式 日期：按实际生产日期
Packaging Info: 
2. 77711SLB-S001-INT
77711GQ1-S002-INT: MA NA版本1L UPC收缩膜+MA INT 版本5L收藏指南+MA INT版本3L PDQ+MA 23L说明书+其他MA最新包材
UPC#193052080127&lt;(&gt;,&lt;)&gt;请先检查条码是否正确再安排做货
Slip sheet: 13pcs/PDQ/CTN 15*5H=75CTN/SLB=975pcs/Slip Sheet; 一共需要4套slip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</si>
  <si>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4500173689-10</t>
  </si>
  <si>
    <t>日期码格式：ZURU INC(BVI) 标准格式 日期：按实际生产日期
Packaging Info: 77711GQ1-S002-INT: MA 3L包装（MA收缩膜和说明书） + 一张UPC条码贴+ 防盗贴纸（两款贴纸以及防盗贴纸位置图翻单PO#4500160026）+ 箱唛 + 外箱贴纸SSCC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</si>
  <si>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Alex Huo</t>
  </si>
  <si>
    <t>4500173688-10</t>
  </si>
  <si>
    <t>96339-9.6</t>
  </si>
  <si>
    <r>
      <rPr>
        <sz val="12"/>
        <rFont val="宋体"/>
        <charset val="134"/>
        <scheme val="minor"/>
      </rPr>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t>
    </r>
    <r>
      <rPr>
        <sz val="12"/>
        <color rgb="FFFF0000"/>
        <rFont val="宋体"/>
        <charset val="134"/>
        <scheme val="minor"/>
      </rPr>
      <t>正唛和背面两面都需印刷，其他2面侧面留空,按照箱唛要求排版。</t>
    </r>
    <r>
      <rPr>
        <sz val="12"/>
        <rFont val="宋体"/>
        <charset val="134"/>
        <scheme val="minor"/>
      </rPr>
      <t xml:space="preserve">
4. 确保展示架在入外箱的时候一定要正面对着有印刷箱唛的那面,不可以装反。</t>
    </r>
  </si>
  <si>
    <t>4500164293-30</t>
  </si>
  <si>
    <t>日期码格式：ZURU INC(BVI) 标准格式 日期：按实际生产日期
Packaging Info:
77711：
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（14.17pt），条码扫描结果应为7678363。
-此订单对应客户7个PO号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</si>
  <si>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4500172403-70</t>
  </si>
  <si>
    <t>96339-2-9.6</t>
  </si>
  <si>
    <t>4500174005-10</t>
  </si>
  <si>
    <t>日期码格式：ZURU INC(BVI) 标准格式 日期：按实际生产日期
Packaging Info: 1. 此为Kohl's store 订单, MA UPC包装 + 价格贴纸 （价格贴和位置图翻单4500169087）+ 客供外箱贴纸
Remark:
2. 外箱印刷 ZURU LOGO + MADE IN CHINA + 定位框，尺寸4"x6" (用于黏贴外箱贴）
3. 需提供每款实际外箱尺寸排版确认定位框，store 订单的定位框位置要在：箱子的最大面朝上后，定位框在箱子的第二大面的右下角，距离箱子右边3英寸，距
离底部1.25英寸, 贴纸要按定位框贴，位置与方向贴不对会有客户罚款需由工厂承担
4. 产品入箱后，外箱的每个面都需要是平整，不能有鼓起
5. 收到外箱贴纸需要扫描上传ICE系统（出货前必须完成），上传的条码信息必须跟实际出货一致，贴纸备品不需要扫描。如有不同产生的罚款由工厂承担。
6. 需经ZURU验货通过后才可出货。
7. 客户有严格要求，若由工厂导致的罚款ZURU 都会向工厂收回。</t>
  </si>
  <si>
    <t>ZB01833-9.10</t>
  </si>
  <si>
    <t>CUS
PO#4400500009</t>
  </si>
  <si>
    <t>4500175135-30</t>
  </si>
  <si>
    <t>日期码格式：ZURU INC(BVI) 标准格式 日期：按实际生产日期
Packaging Info: 
77711GQ2: 最新MA PDQ(优先3L)+客版收缩膜(英法德callout/英法德意荷警语/法国环保logo) +23L说明书+5-23L警语收藏指南+MA 5L creative说明书+creative说
明书荷兰语贴纸（所有资料翻#4500155592）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</si>
  <si>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96375-9.9</t>
  </si>
  <si>
    <t>Amazon UK:
17UCWXQB</t>
  </si>
  <si>
    <t>4500158810-10</t>
  </si>
  <si>
    <t>日期码格式：ZURU INC(BVI) 标准格式 日期：按实际生产日期
Packaging Info: Amazon UK(77731)/DE(77731)
1. 77731：2PK#77711-INT In PVC Tube，12tubes/ctn; UV GLUE/ 1 Refrigerator Magnet; MA 1L(1L warning UPC)A收缩膜+1张空白贴纸(覆盖在条码位置，尺寸
由工厂自行测量)+MA 5L(23L warning)A收藏指南+MA 23L警告语说明书+MA 5L A说明书 +客版3L(5L warning UPC) INT PVC筒铜版纸(参考翻单PO#4500158623)+1张I
T环保标贴纸(参考提供的位置图;参考翻单PO#4500158623）；
2. 最迟验货不得晚于2025/8/29;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</si>
  <si>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96418-9.12</t>
  </si>
  <si>
    <t>Amazon DE:
4C43718X</t>
  </si>
  <si>
    <t>4500158810-20</t>
  </si>
  <si>
    <t>Amazon DE:
2KB2FEWB</t>
  </si>
  <si>
    <t>4500174196-10</t>
  </si>
  <si>
    <t>日期码格式：ZURU INC(BVI) 标准格式 日期：按实际生产日期
Packaging Info: Amazon UK(15711BD/15714DKN/15726ABEGHJKL/15728AEG/71152/77731/92119B)/DE(15710B/15711D/15714DJ/15726A/15728ABEG/15762DE/77731/92119B)/FR(15710A/
15711D/15714KN/15726DEGKL/15728A/71152/77731)
8.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ES环保标+GPSR邮箱care@zuru.comcare@zuru.com，参考翻单PO#4500158623)+1张IT环保标贴纸(参考翻单PO#4500158623）；
10. 验货时间不迟于2025/8/29.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</si>
  <si>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96419-9.12</t>
  </si>
  <si>
    <t>Amazon FR:
6IOY8I7J</t>
  </si>
  <si>
    <t>4500174196-20</t>
  </si>
  <si>
    <t>96398-9.11</t>
  </si>
  <si>
    <t>Amazon UK:
2CHGX8TY</t>
  </si>
  <si>
    <t>4500174196-200</t>
  </si>
  <si>
    <t>96453-2-9.17</t>
  </si>
  <si>
    <t>Amazon FR:
4NNQFR1J</t>
  </si>
  <si>
    <t>4500174196-380</t>
  </si>
  <si>
    <t>96373-9.9</t>
  </si>
  <si>
    <t>10001463769-3890</t>
  </si>
  <si>
    <t>4500175699-10</t>
  </si>
  <si>
    <t>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产品和包装上印刷 tracking code信息，格式为ZURU常规格式;
5. 出货方式：货代自提</t>
  </si>
  <si>
    <t>ZB01851-9.11</t>
  </si>
  <si>
    <t>96340-9.6</t>
  </si>
  <si>
    <t>4500172405-70</t>
  </si>
  <si>
    <t>日期码格式：ZURU INC(BVI) 标准格式 日期：按实际生产日期 Tracking Code:
77711GQ1-S002-INT: MA 3L包装（MA收缩膜和说明书） + 一张UPC条码贴+ 防盗贴纸（两款贴纸以及防盗贴纸位置图翻单PO#4500160026）+ 箱唛 + 外箱贴纸SSCC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</si>
  <si>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96340-2-9.6</t>
  </si>
  <si>
    <t>4500173887-10</t>
  </si>
  <si>
    <t>日期码格式：ZURU INC(BVI) 标准格式 日期：按实际生产日期
Packaging Info: 77711GQ2:客版收缩膜(英法德callout/英法德意荷警语/法国环保logo)翻单4500155592 +最新MA23L 说明书+MA 5+23L警语收藏指南+ MA 5L creative说明书 + crea
tive说明书荷兰语贴纸(翻单4500155592）+最新MA 3L PDQ EAN: 4894680043350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</si>
  <si>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96413-9.12</t>
  </si>
  <si>
    <t>4500173889-10</t>
  </si>
  <si>
    <t>96374-9.9</t>
  </si>
  <si>
    <t>4500174525-10</t>
  </si>
  <si>
    <t>日期码格式：ZURU INC(BVI) 标准格式 日期：按实际生产日期
Packaging Info: 2.3692%The Original;2.3692%Pepperoni Pizza-Global Version;2.3692%Cheese Pizza-Global Version;2.3692%Hawaiian Pizza-Global Version;2.3692%Big Di
nner Box-Global Version;2.3692%Traditional Wings-Global Version;3.3117%Cooked Loboster;3.3117%Fishes;3.3117%Lamp Chops;3.3117%Broccoli Florets;3
.9658%Eggplant;3.9658%Fruit Tray;3.9658%Oats Jar;3.9658%Kombucha;4.0791%Turmeric Shot;4.0791%Milk;4.0791%Juice;4.0791%Water;1.4215%Cheese Pasta;
1.4215%Mashed Potatoes;1.4215%Honey Deli Ham;1.4215%Deli Turkey;1.8953%Morning Star Farms Sausage Patties;1.8953%Thick Cut Bacon;1.8953%Thick Cu
t Stack Pack;1.9709%Homestyle Waffles;1.9709%Soft Pretzels;1.9709%Pretzel Dogs;0.8241%Chow Mein;0.8241%Broccoli Beef;0.8241%Orange Chicken;0.824
1%Jamoca Almond Fudge Ice Cream;0.9477%Oreo Cookies'N Cream Ice Cream;0.9477%Tropical Punch;0.9477%Classic Grape;0.8241%O-mazing Orange;0.8241%T
he OG;0.8241%Sweet Strawberry;0.8241%Original;0.6249%Unicorn Cake;0.6249%Pancakes;0.6249%Burgers and Fries;0.5686%Sushi;0.5686%Frozen Chicken;0.
5686%Tiramisu;0.5686%Eggs;0.5686%Ice;0.5253%Mini Chocolate;0.5253%Mini Strawberry Vanilla;0.5253%Mini The OG;0.5253%Mini Oreo Cookies'N Cream Ic
e Cream;0.3399%Pudding;0.3399%Pops
Remark: MA UPC 英语包装（优先1L英语版本，或者3L/5L含英语都可）
此客人不接受易掉落或者剥落或者可直接触碰的闪粉，可降解也不行，但可以接受符合欧洲微塑料标准的珠光粉或者闪片
此单加UPC贴纸：193052090157</t>
  </si>
  <si>
    <t>96529-9.26</t>
  </si>
  <si>
    <t>77711GQ2-S001-INT-2</t>
  </si>
  <si>
    <t>4500174525-20</t>
  </si>
  <si>
    <r>
      <rPr>
        <sz val="11"/>
        <rFont val="宋体"/>
        <charset val="134"/>
        <scheme val="minor"/>
      </rPr>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t>
    </r>
    <r>
      <rPr>
        <sz val="11"/>
        <color rgb="FFFF0000"/>
        <rFont val="宋体"/>
        <charset val="134"/>
        <scheme val="minor"/>
      </rPr>
      <t>正唛和背面两面都需印刷，其他2面侧面留空,按照箱唛要求排版。</t>
    </r>
    <r>
      <rPr>
        <sz val="11"/>
        <rFont val="宋体"/>
        <charset val="134"/>
        <scheme val="minor"/>
      </rPr>
      <t xml:space="preserve">
4. 确保展示架在入外箱的时候一定要正面对着有印刷箱唛的那面,不可以装反。</t>
    </r>
  </si>
  <si>
    <t>10001463770-3890</t>
  </si>
  <si>
    <t>4500175700-10</t>
  </si>
  <si>
    <t>日期码格式：ZURU INC(BVI) 标准格式 日期：按实际生产日期 Tracking Code: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产品和包装上印刷 tracking code信息，格式为ZURU常规格式;
 5. 出货方式：货代自提</t>
  </si>
  <si>
    <t>ZB01832-9.10</t>
  </si>
  <si>
    <t>4500174635-10</t>
  </si>
  <si>
    <r>
      <rPr>
        <sz val="11"/>
        <rFont val="宋体"/>
        <charset val="134"/>
        <scheme val="minor"/>
      </rPr>
      <t xml:space="preserve">日期码格式：ZURU INC(BVI) 标准格式 日期：按实际生产日期
Packaging Info: </t>
    </r>
    <r>
      <rPr>
        <sz val="11"/>
        <color rgb="FFFF0000"/>
        <rFont val="宋体"/>
        <charset val="134"/>
        <scheme val="minor"/>
      </rPr>
      <t>MA UPC包装(优先1L)+1张固定进口商贴纸;
77711GQ1使用3L INT版本包装+1张UPC贴纸</t>
    </r>
    <r>
      <rPr>
        <sz val="11"/>
        <rFont val="宋体"/>
        <charset val="134"/>
        <scheme val="minor"/>
      </rPr>
      <t xml:space="preserve">
整单贴纸资料待提供
Remark: 
77711GQ1-2.3692%The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t>
    </r>
  </si>
  <si>
    <t>4500170580-60</t>
  </si>
  <si>
    <t>日期码格式：ZURU INC(BVI) 标准格式 日期：按实际生产日期
Packaging Info: 物料要求 SKU
4 77711GQ1 MA PDQ +外挂中文收藏指南+中文说明书+黑白警告语+收缩膜年龄贴（8+）
77711为首单 需要提供4套大货样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</si>
  <si>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96363-9.8</t>
  </si>
  <si>
    <t>4500170580-70</t>
  </si>
  <si>
    <t>4500170580-40</t>
  </si>
  <si>
    <t>77711为首单 需要提供4套大货样，产品/销售包装/外箱日期码要一致，</t>
  </si>
  <si>
    <t>4500160894-20</t>
  </si>
  <si>
    <t>bv自检</t>
  </si>
  <si>
    <r>
      <rPr>
        <sz val="12"/>
        <rFont val="宋体"/>
        <charset val="134"/>
        <scheme val="minor"/>
      </rPr>
      <t>日期码格式：ZURU INC(BVI) 标准格式 日期：按实际生产日期
Packaging Info: 
#77711：
MA2L,PDQ(NA版,25装)+MA2L收缩膜(NA版,UPC:193052080127)+</t>
    </r>
    <r>
      <rPr>
        <sz val="12"/>
        <color rgb="FFFF0000"/>
        <rFont val="宋体"/>
        <charset val="134"/>
        <scheme val="minor"/>
      </rPr>
      <t>MA2L收藏指南((NA版</t>
    </r>
    <r>
      <rPr>
        <sz val="12"/>
        <rFont val="宋体"/>
        <charset val="134"/>
        <scheme val="minor"/>
      </rPr>
      <t>)+MA配件袋+MA5L说明书+MA23L警告语说明书
Remark: 1. 此单有箱唛;
2. UPC贴纸：必须在原来错误的条码上用黑色粗头笔涂黑直至不能扫描，再贴上正确的UPC;
3. 此单有第三方验货，烦请多备包装物料；
4. #15728内含电池,需用英法双语电池出货.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</si>
  <si>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96560-9.29</t>
  </si>
  <si>
    <t>4500172155-30</t>
  </si>
  <si>
    <t>9/5 自检</t>
  </si>
  <si>
    <r>
      <rPr>
        <sz val="12"/>
        <rFont val="宋体"/>
        <charset val="134"/>
        <scheme val="minor"/>
      </rPr>
      <t xml:space="preserve">日期码格式：ZURU INC(BVI) 标准格式 日期：按实际生产日期
Packaging Info: 
</t>
    </r>
    <r>
      <rPr>
        <sz val="12"/>
        <color rgb="FFFF0000"/>
        <rFont val="宋体"/>
        <charset val="134"/>
        <scheme val="minor"/>
      </rPr>
      <t>77711gq2:增加额外UPC条码贴纸覆盖原有条码</t>
    </r>
    <r>
      <rPr>
        <sz val="12"/>
        <rFont val="宋体"/>
        <charset val="134"/>
        <scheme val="minor"/>
      </rPr>
      <t xml:space="preserve">
Remark: 订单对应3个客户PO， 请分开做货， 不要混装。一个PO一个柜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r>
  </si>
  <si>
    <t>77711GQ2-S002-INT-1</t>
  </si>
  <si>
    <t>4500174738-10</t>
  </si>
  <si>
    <t>日期码格式：ZURU INC(BVI) 标准格式 日期：按实际生产日期
Packaging Info: 77711GQ1: MA 3L EAN 收缩膜 +1*多语折叠警告语贴纸（翻单4500157858） + MA5L收藏指南+ MA 23L说明书+ MA UV胶黑白警告语 + MA纸袋+MA_3L_13PCS_A PDQ。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</si>
  <si>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96397-9.11</t>
  </si>
  <si>
    <t>4500170580-80</t>
  </si>
  <si>
    <t>4500170580-90</t>
  </si>
  <si>
    <t>（客版AW以及电池警告语贴纸&lt;(&gt;&amp;&lt;)&gt;贴纸位置图翻单PO#4500170842），8/18 外箱贴纸</t>
  </si>
  <si>
    <r>
      <rPr>
        <sz val="12"/>
        <rFont val="宋体"/>
        <charset val="134"/>
        <scheme val="minor"/>
      </rPr>
      <t>日期码格式：ZURU INC(BVI) 标准格式 日期：按实际生产日期
Packaging Info: 77785：MA 3L UPC</t>
    </r>
    <r>
      <rPr>
        <sz val="12"/>
        <color rgb="FFFF0000"/>
        <rFont val="宋体"/>
        <charset val="134"/>
        <scheme val="minor"/>
      </rPr>
      <t xml:space="preserve"> 彩盒包装 + 箱唛 + 外箱贴纸SSCC Label
子件77711:3L 客版无条码收缩膜+MA 5L 收藏指南+MA 23L 说明书+MA 5L creative+MA纸袋;
（客版AW以及电池警告语贴纸&lt;(&gt;&amp;&lt;)&gt;贴纸位置图翻单PO#4500170842）</t>
    </r>
    <r>
      <rPr>
        <sz val="12"/>
        <rFont val="宋体"/>
        <charset val="134"/>
        <scheme val="minor"/>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</si>
  <si>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r>
      <rPr>
        <sz val="11"/>
        <rFont val="宋体"/>
        <charset val="134"/>
        <scheme val="minor"/>
      </rPr>
      <t xml:space="preserve">日期码格式：ZURU INC(BVI) 标准格式 日期：按实际生产日期
Packaging Info: 77785：MA 3L UPC </t>
    </r>
    <r>
      <rPr>
        <sz val="11"/>
        <color rgb="FFFF0000"/>
        <rFont val="宋体"/>
        <charset val="134"/>
        <scheme val="minor"/>
      </rPr>
      <t>彩盒包装 + 箱唛 + 外箱贴纸SSCC Label
子件77711:3L 客版无条码收缩膜+MA 5L 收藏指南+MA 23L 说明书+MA 5L creative+MA纸袋;
（客版AW以及电池警告语贴纸&lt;(&gt;&amp;&lt;)&gt;贴纸位置图翻单PO#4500170842）</t>
    </r>
    <r>
      <rPr>
        <sz val="11"/>
        <rFont val="宋体"/>
        <charset val="134"/>
        <scheme val="minor"/>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</si>
  <si>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4500173266-50</t>
  </si>
  <si>
    <r>
      <rPr>
        <sz val="12"/>
        <rFont val="宋体"/>
        <charset val="134"/>
        <scheme val="minor"/>
      </rPr>
      <t xml:space="preserve">日期码格式：ZURU INC(BVI) 标准格式 日期：按实际生产日期
Packaging Info: MA PKG ， 优先1L +1张进口商贴纸（不得遮挡日期码）
进口商贴纸和位置图翻单4500165848
</t>
    </r>
    <r>
      <rPr>
        <sz val="12"/>
        <color rgb="FFFF0000"/>
        <rFont val="宋体"/>
        <charset val="134"/>
        <scheme val="minor"/>
      </rPr>
      <t>77711GQ2: MA 3L EAN 收缩膜+1张UPC 条码贴纸（覆盖原条码）+1张进口商贴纸（贴球顶部）+
MA 5L 收藏指南， MA说明书</t>
    </r>
    <r>
      <rPr>
        <sz val="12"/>
        <rFont val="宋体"/>
        <charset val="134"/>
        <scheme val="minor"/>
      </rPr>
      <t xml:space="preserve">
Remark:</t>
    </r>
  </si>
  <si>
    <t>96582-9.30</t>
  </si>
  <si>
    <t>4500175179-50</t>
  </si>
  <si>
    <t>96415-9.12</t>
  </si>
  <si>
    <t>4500175179-60</t>
  </si>
  <si>
    <t>4500175177-50</t>
  </si>
  <si>
    <t>96414-9.12</t>
  </si>
  <si>
    <t>4500175177-60</t>
  </si>
  <si>
    <t>4500173750-40</t>
  </si>
  <si>
    <t>日期码格式：ZURU INC(BVI) 标准格式 日期：按实际生产日期
Packaging Info:
77782GQ1:客版收缩膜+客版收藏指南+客版PDQ+进口商贴纸+箱唛，客版物料翻单PO4500161302
Remark:</t>
  </si>
  <si>
    <t>96400-9.11</t>
  </si>
  <si>
    <t>4500175352-10</t>
  </si>
  <si>
    <t>箱唛资料翻单PO#4500169877</t>
  </si>
  <si>
    <r>
      <rPr>
        <sz val="12"/>
        <rFont val="宋体"/>
        <charset val="134"/>
        <scheme val="minor"/>
      </rPr>
      <t>日期码格式：ZURU INC(BVI) 标准格式 日期：按实际生产日期
Packaging Info: MA UPC 包装+客版PDQ+箱唛
箱唛资料,</t>
    </r>
    <r>
      <rPr>
        <sz val="12"/>
        <color rgb="FFFF0000"/>
        <rFont val="宋体"/>
        <charset val="134"/>
        <scheme val="minor"/>
      </rPr>
      <t>PDQ翻单PO#4500160492</t>
    </r>
    <r>
      <rPr>
        <sz val="12"/>
        <rFont val="宋体"/>
        <charset val="134"/>
        <scheme val="minor"/>
      </rPr>
      <t xml:space="preserve">
Remark: 1.此单出口澳大利亚，请按相应的澳新标准生产；
2.产品和包装上生产批号请按我司标准
3.当同一PO或item有多个批次代码时，每个批次代码的纸箱必须分组在一起，且明显分开</t>
    </r>
  </si>
  <si>
    <t>96438-9.16</t>
  </si>
  <si>
    <t>4500175352-20</t>
  </si>
  <si>
    <t>4500175352-30</t>
  </si>
  <si>
    <t>4500173369-30</t>
  </si>
  <si>
    <t>日期码格式：ZURU INC(BVI) 标准格式 日期：按实际生产日期
Packaging Info:
#77711:
MA2L,PDQ(NA版,25装)+MA2L收缩膜(NA版,UPC:193052080127)+MA2L收藏指南(NA版B版)+MA配件袋+MA5L说明书+MA23L警告语说明书(B)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</si>
  <si>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96439-9.16</t>
  </si>
  <si>
    <t>9/4
IS</t>
  </si>
  <si>
    <t>4500175520-10</t>
  </si>
  <si>
    <t>日期码格式：ZURU INC(BVI) 标准格式 日期：按实际生产日期
Packaging Info: 1.77711GQ1: MA 3L EAN 收缩膜 +1*多语折叠警告语贴纸（翻单4500157858） + MA5L收藏指南+ MA 23L说明书+ MA UV胶黑白警告语 + MA纸袋+MA A PDQ；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</si>
  <si>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96412-9.12</t>
  </si>
  <si>
    <t>4500175786-10</t>
  </si>
  <si>
    <t>说明书荷兰语贴纸</t>
  </si>
  <si>
    <t>日期码格式：ZURU INC(BVI) 标准格式 日期：按实际生产日期
Packaging Info: 最新MA 3L PDQ+客版收缩膜(英法德callout/英法德意荷警语/法国环保logo)翻单4500155592 +MA23L 说明书+MA 5+23L警语收藏指南+ MA 5L creative说明书 + creative说明书荷兰语贴纸(翻单4500155592）
EAN: 4894680043350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</si>
  <si>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96508-9.23</t>
  </si>
  <si>
    <t>4400500674</t>
  </si>
  <si>
    <t>4500175791-10</t>
  </si>
  <si>
    <t>9/14出货</t>
  </si>
  <si>
    <t>日期码格式：ZURU INC(BVI) 标准格式 日期：按实际生产日期
Packaging Info: 77711GQ2:最新MA 3L PDQ+客版收缩膜(英法德callout/英法德意荷警语/法国环保logo)翻单4500155592 +MA23L 说明书+MA 5+23L警语收藏指南+ MA 5L creative说
明书 + creative说明书荷兰语贴纸(翻单4500155592）
EAN: 4894680043350 EAN: 4894680043350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</si>
  <si>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96434-9.15</t>
  </si>
  <si>
    <t>4500176001-10</t>
  </si>
  <si>
    <t>日期码格式：ZURU INC(BVI) 标准格式 日期：按实际生产日期
Packaging Info: 77711SK1:最新MA 3L EAN收缩膜+最新MA 5L收藏指南+最新MA 23L说明书+最新MA 5L creative+最新MA纸袋+最新MA 2L 展示架+多语警语折叠贴纸（含包装缺失的法/
意/西环保标）（翻4500162314）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</si>
  <si>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96435-9.15</t>
  </si>
  <si>
    <t>4500176001-20</t>
  </si>
  <si>
    <t>日期码格式：ZURU INC(BVI) 标准格式 日期：按实际生产日期
Packaging Info:
77711GQ1:最新MA 3L EAN收缩膜+最新MA 5L收藏指南+最新MA 23L说明书+最新MA 5L creative+最新MA纸袋+最新MA 3L PDQ+多语警语折叠贴纸（含包装缺失的法/意/
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</si>
  <si>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4500175843-120</t>
  </si>
  <si>
    <t xml:space="preserve">日期码格式：ZURU INC(BVI) 标准格式 日期：按实际生产日期
Packaging Info: 
7. 77731： 3L UPC铜板纸+进口商贴纸+箱唛，2PK MA 3L 77711 INT版本的球+空白贴纸入PVC桶（两个球的配比不能重复）
除了77731不用加胶袋，剩余款都要按照单个产品入polybag胶袋后再装箱出货，需打孔，胶袋需封口
Remark: </t>
  </si>
  <si>
    <t>96585-2-9.30</t>
  </si>
  <si>
    <t>4500167846-20</t>
  </si>
  <si>
    <t>6/24 与4500167858合并订购</t>
  </si>
  <si>
    <t>日期码格式：ZURU INC(BVI) 标准格式 日期：按实际生产日期
Packaging Info:
2.77711SLB-S001-INT
77711GQ1-S002-INT: MA NA版本1L UPC收缩膜+MA INT 版本5L收藏指南+MA INT版本3L PDQ+MA 23L说明书+其他MA最新包材
UPC#193052080127,请先检查条码是否正确再安排做货
Slip sheet: 13pcs/PDQ/CTN 15*5H=75CTN/SLB=975pcs/Slip Sheet; 一共需要7套slip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3.以上产品如果是电子产品带电池出货，请加上WEEE带电池走货欧洲30语通用黑白说明书,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</si>
  <si>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96417-9.12</t>
  </si>
  <si>
    <t>4500167858-20</t>
  </si>
  <si>
    <t>9/11入仓</t>
  </si>
  <si>
    <t>6/24 与4500167846合并订购</t>
  </si>
  <si>
    <t>日期码格式：ZURU INC(BVI) 标准格式 日期：按实际生产日期
Packaging Info: 
2. 77711SLB-S001-INT
77711GQ1-S002-INT: MA NA版本1L UPC收缩膜+MA INT 版本5L收藏指南+MA INT版本3L PDQ+MA 23L说明书+其他MA最新包材
UPC#193052080127,请先检查条码是否正确再安排做货
Slip sheet: 13pcs/PDQ/CTN 15*5H=75CTN/SLB=975pcs/Slip Sheet; 一共需要4套slip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5.以上产品如果是电子产品带电池出货，请加上WEEE带电池走货欧洲30语通用黑白说明书,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</si>
  <si>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96416-9.12</t>
  </si>
  <si>
    <t>4500175925-110</t>
  </si>
  <si>
    <t>测试</t>
  </si>
  <si>
    <t>4500175925-120</t>
  </si>
  <si>
    <t>4500175924-110</t>
  </si>
  <si>
    <t>4500175924-120</t>
  </si>
  <si>
    <t>4500173789-20</t>
  </si>
  <si>
    <t>2025/8/11外箱消耗PO-4500170676/4500170675/4500170737/4500170741-77555GQ2取消单呆滞的外箱600个，用牛皮纸返工正确信息</t>
  </si>
  <si>
    <t xml:space="preserve"> 日期码格式：ZURU INC(BVI) 标准格式 日期：按实际生产日期 Tracking Code: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产品和包装上印刷 tracking code信息，格式为ZURU常规格式;
 5. 出货方式：货代自提</t>
  </si>
  <si>
    <t>外箱消耗PO-4500170676/4500170675/4500170737/4500170741-77555GQ2取消单呆滞的外箱600个，用牛皮纸返工正确信息</t>
  </si>
  <si>
    <t>9/15
SI</t>
  </si>
  <si>
    <t>9/12
SI</t>
  </si>
  <si>
    <t>4500174833-30</t>
  </si>
  <si>
    <t>77731-S001-NA</t>
  </si>
  <si>
    <t>6. 测试样板
#77673 和 #77731 需要于8月12日前寄出ZURU MA 版本每款每色2pcs样板做测试（2个#77673 成品 + #77731成品（ 带桶和球） + 散件每款各2整套，每套散件分开
包装） 寄到以下地址做测试：
注： 需打印TRF随样板寄出（TRF由跟单提供）
测试行：BV(必维）
地址：广东省深圳市深圳市龙华区鸿创科技中心4栋1楼
收件人：Dora shen
电话: +86(0)755 8618 5347</t>
  </si>
  <si>
    <t>日期码格式：ZURU INC(BVI) 标准格式 日期：按实际生产日期
Packaging Info: 1. 包材：出口美国; 贴纸工厂直接采购；
#77731: ZURU MA 1L 收缩膜（球的UPC条码用空白UPC 贴纸覆盖） + 客版1L 铜版纸+ 2L英法版本收藏指南+ 23L说明书 + 价格贴纸（价贴金额$19.99,价贴位于PVC
桶铜版纸UPC条形码附近）,贴纸资料跟单提供，工厂采购，出口美国。
PS： 如果包材有更新，需及时通知跟单看否要更新贴纸资料；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PO#2948279 ship to NJ,
PO#2948280 ship to NV,
5. 出货配比：ZURU 标准配比
6. 测试样板
#77673 和 #77731 需要于8月12日前寄出ZURU MA 版本每款每色2pcs样板做测试（2个#77673 成品 + #77731成品（ 带桶和球） + 散件每款各2整套，每套散件分开
包装） 寄到以下地址做测试：
注： 需打印TRF随样板寄出（TRF由跟单提供）
测试行：BV(必维）
地址：广东省深圳市深圳市龙华区鸿创科技中心4栋1楼
收件人：Grace Li
电话: 86 0755 8618 5344| VOIP(Internal): 4344</t>
  </si>
  <si>
    <t>4500174833-60</t>
  </si>
  <si>
    <t>ZMPO250769</t>
  </si>
  <si>
    <t>Remark:大货最新版本/麻烦按款号装箱/并在外箱上注明款号/大货标准箱装箱/箱唛参照邮件附件;备注：收到样品订单后尽快安排 ，注意样板品质质量要求要高于大货品质要求 ，送货时必须要附带送货单(没有送货单和QC检验合格报告的仓库一律拒绝收货)，请知悉，谢谢！</t>
  </si>
  <si>
    <t>252GF2</t>
  </si>
  <si>
    <t>4500164352-30</t>
  </si>
  <si>
    <t>9.19早上做第三方VT抽样</t>
  </si>
  <si>
    <t>日期码格式：DOLLAR GENERAL 格式日期码 日期：
Packaging Info: 1.包装：
 #77711GQ5-S002-NA-PKC 客版PDQ + 内袋警示语AWS + 客版收缩膜，请有说明书收藏指南等，请优先使用MA 1L。（客版AWs翻4500164261）
Remark: 1.包装：
 #77711GQ5-S002-NA-PKC 客版PDQ + 内袋警示语AWS + 客版收缩膜，请有说明书收藏指南等，请优先使用MA 1L。（客版AWs翻4500164261）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#77711GQ5：31328202I25
 (2)产品日期码：
#77711GQ5：DOLGEN31328202I25（打在球壳上）
 后三位I、J25代表25年9、10月的ETD 。
 （3）UPC条形码：
 #77711GQ5:193052080127
 3. 无价贴。
 4. 无样板需求
 5. 验货抽样事宜：
 #77711GQ5：无第三方验货
 请在9月18前完成ZURU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</si>
  <si>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ZB02189-9.27</t>
  </si>
  <si>
    <t>4500156471-10</t>
  </si>
  <si>
    <t>7/18 更新箱唛资料</t>
  </si>
  <si>
    <t>日期码格式：ZURU INC(BVI) 标准格式 日期：按实际生产日期
Packaging Info: 1.ZURU MA UPC 包装(优先使用最新版本1L) + 客版可移动价格贴纸+Mother UPC 贴纸覆盖原有的条码(贴纸AWS 跟单提供), 工厂自行订购, 出口美国。
 2.ZURU标准日期码格式,所有产品及包装都必须带有日期码，日期码必须一致(但日期不可为周末)。
Remark: 1.ZURU MA UPC 包装(优先使用最新版本1L) + 客版可移动价格贴纸+Mother UPC 贴纸覆盖原有的条码(贴纸AWS 跟单提供), 工厂自行订购, 出口美国。
 2.ZURU标准日期码格式,所有产品及包装都必须带有日期码，日期码必须一致(但日期不可为周末)。
 3.此单外箱不可有水贴纸。
4.可移价贴需贴在产品包装背面右下角的位置（位置图跟单提供）。
 All Pre Price Tickets should be placed on the back of the product located in the lower right hand corner of the package
 #77711GQ1-S001-NA $16.99
 5.出货配比：
 #77711GQ1-S001-NA-MINI BRANDS-FILL THE FRIDGE-SERIES 1-CAPSULE,13PCS/Gravity PDQ, 52PCS/4PDQ/CTN
 6. 外箱packing slip:
 按客户最新要求， 每款产品的尾箱上或者内，需要附上packing slip (文件有跟单提供，工厂帮打印)。
 若附在外箱上，需要用信封透明袋装住packing slip， 并贴在外箱一面正唛上。
 若附在尾箱箱内，外箱正唛上需要贴有"packing slip enclosed" 标识。
 工厂可以选择以上任意一种方式。</t>
  </si>
  <si>
    <t>4500176521-20</t>
  </si>
  <si>
    <t>4500176746-20</t>
  </si>
  <si>
    <t>日期码格式：ZURU INC(BVI) 标准格式 日期：按实际生产日期
Packaging Info: 
77711GQ2:最新MA 3L PDQ+客版收缩膜(英法德callout/英法德意荷警语/法国环保logo)翻单4500155592 +MA23L 说明书+MA 5+23L警语收藏指南+ MA 5L creative说
明书 + creative说明书荷兰语贴纸(翻单4500155592）
EAN: 4894680043350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</si>
  <si>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96559-9.29</t>
  </si>
  <si>
    <t>4500176320-10</t>
  </si>
  <si>
    <t>日期码格式：ZURU INC(BVI) 标准格式 日期：按实际生产日期
Packaging Info: 77711GQ1: MA 3L EAN 收缩膜 +1*多语折叠警告语贴纸（翻单4500157858） + MA 5L收藏指南+ MA 23L说明书+ MA UV胶黑白警告语 + MA纸袋+MA 3L PDQ。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</si>
  <si>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Taylor Liao</t>
  </si>
  <si>
    <t>4500176886-10</t>
  </si>
  <si>
    <t>（1张进口商西班牙环保标贴纸）</t>
  </si>
  <si>
    <t>日期码格式：ZURU INC(BVI) 标准格式 日期：按实际生产日期
Packaging Info: 1.77711GQ1:（MA 3L PDQ+1张PDQ贴纸）+MA 最新3L 收缩膜+（1张进口商西班牙环保标贴纸）+MA5L收藏指南
Remark: 1. 此单出西班牙，需满足EU测试标准要求，另外微塑料需符合EU法规；
2. 标准配比
3.根据新电池法规（EU） 2023/1542，所有走欧洲市场的电子产品，都需要增加WEEE通用30L说明书（分带电池走货 跟
不带电池走货两种），如工厂没有此文件，可以找我们跟单提供
4. 准时完货，需安排ZURU OQC验货。 另外，包装贴纸上面的警告语不可以覆盖西班牙警告语。</t>
  </si>
  <si>
    <t>日期码格式：ZURU INC(BVI) 标准格式 日期：按实际生产日期
Packaging Info:
3.77785 :7最新客版彩盒+一张EAN条码贴纸+一张客户进口商贴纸；
子件77711：最新MA3LEAN收缩膜+一张空白贴纸+最新MA5L收藏指南+最新MA23L说明书+最新MA5L creative+最新MA纸袋；
Remark: 1. 此单出西班牙，需满足EU测试标准要求，另外微塑料需符合EU法规；
2. 标准配比
3.根据新电池法规（EU） 2023/1542，所有走欧洲市场的电子产品，都需要增加WEEE通用30L说明书（分带电池走货 跟
不带电池走货两种），如工厂没有此文件，可以找我们跟单提供
4. 准时完货，需安排ZURU OQC验货。 另外，包装贴纸上面的警告语不可以覆盖西班牙警告语。</t>
  </si>
  <si>
    <t>4500176744-50</t>
  </si>
  <si>
    <t>96507-9.23</t>
  </si>
  <si>
    <t>FB13740</t>
  </si>
  <si>
    <t>4500177198-20</t>
  </si>
  <si>
    <t>日期码格式：ZURU INC(BVI) 标准格式 日期：按实际生产日期
Packaging Info: 
#77711GQ1: MA-3L 配套包装+ 客人EAN贴纸
Remark: "文本备注：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*根据客人最新的包装要求，所有PDQ盒子(TQ,UQ,GQ）都需要在顶部右上角加上数量贴纸标明里面的数量。最小字体：36pts, 字体：Calibri（bold), 具体要求以
及位置见文件.
*订单对应客户2个PO号 ，备注有显示 ，注意分开做货/验货/装柜 ，混装有罚款。
* 大货样： 新款请在CRD前10天寄出每款2整套大货样到罗湖办公室7B Meyya Liu 收，翻单不用寄。"</t>
  </si>
  <si>
    <t>AaronXia</t>
  </si>
  <si>
    <t>PORT:MEL, CUS
PO#47479180</t>
  </si>
  <si>
    <t>4500176603-10</t>
  </si>
  <si>
    <t>翻单4500160492</t>
  </si>
  <si>
    <t>贴纸资料和PDQ翻单PO#4500175352</t>
  </si>
  <si>
    <t>日期码格式：ZURU INC(BVI) 标准格式 日期：按实际生产日期
Packaging Info: MA 3L 包装+客版PDQ+箱唛,加UPC贴纸：193052080134
箱唛翻单PO#4500160492，贴纸资料和PDQ翻单PO#4500175352
Remark: 1.此单出口澳大利亚，请按相应的澳新标准生产；
2.产品和包装上生产批号请按我司标准
3.当同一PO或item有多个批次代码时，每个批次代码的纸箱必须分组在一起，且明显分开</t>
  </si>
  <si>
    <t>96528-9.25</t>
  </si>
  <si>
    <t>PORT:SYD, CUS
PO#47479179</t>
  </si>
  <si>
    <t>4500176603-20</t>
  </si>
  <si>
    <t>PORT:BNE, CUS
PO#47479181</t>
  </si>
  <si>
    <t>4500176603-30</t>
  </si>
  <si>
    <t>0941292548</t>
  </si>
  <si>
    <t>4500178130-10</t>
  </si>
  <si>
    <t>8/29 第三方验货</t>
  </si>
  <si>
    <t>ZB02346-10.11</t>
  </si>
  <si>
    <t>ZU25080701SG</t>
  </si>
  <si>
    <t>4500177525-10</t>
  </si>
  <si>
    <t>9月23号出货</t>
  </si>
  <si>
    <t>UPC条码贴纸+1张进口商贴纸,贴纸图稿及位置图翻4500174635</t>
  </si>
  <si>
    <t>日期码格式：ZURU INC(BVI) 标准格式 日期：按实际生产日期
Packaging Info: 77711GQ1使用3L INT版本包装+1张UPC条码贴纸+1张进口商贴纸,贴纸图稿及位置图翻4500174635
Remark: 2.3692%The Original;2.3692%Pepperoni Pizza-Global Version;2.3692%Cheese Pizza-Global Version;2.3692%Hawaiian Pizza-Global Version;2.3692%Big Di
nner Box-Global Version;2.3692%Traditional Wings-Global Version;3.3117%Cooked Loboster;3.3117%Fishes;3.3117%Lamp Chops;3.3117%Broccoli Florets;3
.9658%Eggplant;3.9658%Fruit Tray;3.9658%Oats Jar;3.9658%Kombucha;4.0791%Turmeric Shot;4.0791%Milk;4.0791%Juice;4.0791%Water;1.4215%Cheese Pasta;
1.4215%Mashed Potatoes;1.4215%Honey Deli Ham;1.4215%Deli Turkey;1.8953%Morning Star Farms Sausage Patties;1.8953%Thick Cut Bacon;1.8953%Thick Cu
t Stack Pack;1.9709%Homestyle Waffles;1.9709%Soft Pretzels;1.9709%Pretzel Dogs;0.8241%Chow Mein;0.8241%Broccoli Beef;0.8241%Orange Chicken;0.824
1%Jamoca Almond Fudge Ice Cream;0.9477%Oreo Cookies'N Cream Ice Cream;0.9477%Tropical Punch;0.9477%Classic Grape;0.8241%O-mazing Orange;0.8241%T
he OG;0.8241%Sweet Strawberry;0.8241%Original;0.6249%Unicorn Cake;0.6249%Pancakes;0.6249%Burgers and Fries;0.5686%Sushi;0.5686%Frozen Chicken;0.
5686%Tiramisu;0.5686%Eggs;0.5686%Ice;0.5253%Mini Chocolate;0.5253%Mini Strawberry Vanilla;0.5253%Mini The OG;0.5253%Mini Oreo Cookies'N Cream Ic
e Cream;0.3399%Pudding;0.3399%Pops</t>
  </si>
  <si>
    <t>96516-9.25</t>
  </si>
  <si>
    <t>4500176964-20</t>
  </si>
  <si>
    <t>日期码格式：ZURU INC(BVI) 标准格式 日期：按实际生产日期
Packaging Info:
77711GQ2:最新MA 3L PDQ+客版收缩膜(英法德callout/英法德意荷警语/法国环保logo)翻4500155592 +最新MA 23L 说明书+ MA5L+23L收藏指南+ MA 5L creative说
明书 + creative说明书荷兰语贴纸（翻4500155592）
EAN: 4894680043350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</si>
  <si>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4500177142-20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</si>
  <si>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产品和包装上印刷 tracking code信息，格式为ZURU常规格式;
5. 出货方式：货代自提</t>
  </si>
  <si>
    <t>ZB02327(REV1)-10.10  ZB02387-10.13</t>
  </si>
  <si>
    <t>4500177210-10</t>
  </si>
  <si>
    <t>96561-9.29</t>
  </si>
  <si>
    <t>4500177336-10</t>
  </si>
  <si>
    <t>ZB02297-10.9</t>
  </si>
  <si>
    <t>4500177337-10</t>
  </si>
  <si>
    <t>ZB02298-10.9</t>
  </si>
  <si>
    <t>4500174112-20</t>
  </si>
  <si>
    <t>此订单监柜公司会拆箱验货，每个ITEM 包括盲盒款也均需提前准备 一整套产品(完整包装)所有样品必须与 大货完全一致</t>
  </si>
  <si>
    <t>日期码格式：ZURU INC(BVI) 标准格式 日期：按实际生产日期
Packaging Info: 1.请确保包装上的条形码是UPC，如果是babyUPC，需要用mother UPC覆盖，如有不一致，请及时提出。谢谢!
2. 此订单监柜公司会拆箱验货，每个ITEM 包括盲盒款也均需提前准备 一整套产品(完整包装)所有样品必须与 大货完全一致。
77711GQ2,,MA 多语EAN包装+UPC贴纸+MA 多语说明书+MA多语PDQ+进口商贴纸+箱唛,,
Remark: 
77711GQ2,,2.3692%The Original;2.3692%Pepperoni Pizza-Global Version;2.3692%Cheese Pizza-Global Version;2.3692%Hawaiian Pizza-Global Version;2.36
92%Big Dinner Box-Global Version;2.3692%Traditional Wings-Global Version;3.3117%Cooked Loboster;3.3117%Fishes;3.3117%Lamp Chops;3.3117%Broccoli
Florets;3.9658%Eggplant;3.9658%Fruit Tray;3.9658%Oats Jar;3.9658%Kombucha;4.0791%Turmeric Shot;4.0791%Milk;4.0791%Juice;4.0791%Water;1.4215%Che
ese Pasta;1.4215%Mashed Potatoes;1.4215%Honey Deli Ham;1.4215%Deli Turkey;1.8953%Morning Star Farms Sausage Patties;1.8953%Thick Cut Bacon;1.895
3%Thick Cut Stack Pack;1.9709%Homestyle Waffles;1.9709%Soft Pretzels;1.9709%Pretzel Dogs;0.8241%Chow Mein;0.8241%Broccoli Beef;0.8241%Orange Chi
cken;0.8241%Jamoca Almond Fudge Ice Cream;0.9477%Oreo Cookies'N Cream Ice Cream;0.9477%Tropical Punch;0.9477%Classic Grape;0.8241%O-mazing Orang
e;0.8241%The OG;0.8241%Sweet Strawberry;0.8241%Original;0.6249%Unicorn Cake;0.6249%Pancakes;0.6249%Burgers and Fries;0.5686%Sushi;0.5686%Frozen
Chicken;0.5686%Tiramisu;0.5686%Eggs;0.5686%Ice;0.5253%Mini Chocolate;0.5253%Mini Strawberry Vanilla;0.5253%Mini The OG;0.5253%Mini Oreo Cookies
'N Cream Ice Cream;0.3399%Pudding;0.3399%Pops,,</t>
  </si>
  <si>
    <t>客供警语贴纸（具体贴纸位置参考HK客供贴纸位置图）</t>
  </si>
  <si>
    <t>日期码格式：ZURU INC(BVI) 标准格式 日期：按实际生产日期
Packaging Info: 77785：客版MA 3L UPC 彩盒+客供警语贴纸（具体贴纸位置参考HK客供贴纸位置图）
77785 =2pcs 77711+1pcs 77673
77785：1张客供警语贴+1张客供电池警语贴纸
（77785里的77711 （INT): MA 3L 收缩膜+1张空白贴纸覆盖条码+MA 收藏指南+ MA 说明书+球底部贴1张客供警语贴纸，收藏指南贴一张客供警语贴纸，说明书贴一
张客供警语贴纸）
（具体贴纸位置参考HK客供贴纸位置图）
Remark: 此单出HK</t>
  </si>
  <si>
    <t>96547-9.27</t>
  </si>
  <si>
    <t>4500160898-10</t>
  </si>
  <si>
    <t>10/9BV验货</t>
  </si>
  <si>
    <t>日期码格式：ZURU INC(BVI) 标准格式 日期：按实际生产日期
Packaging Info: #77711：
MA2L,PDQ(NA版,25装)+MA2L收缩膜(NA版,UPC:193052080127)+MA2L收藏指南(NA版)+MA配件袋+MA5L说明书+MA23L警告语说明书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</si>
  <si>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10001445441-3891</t>
  </si>
  <si>
    <t>4500176566-10</t>
  </si>
  <si>
    <t>ZB02388-10.13</t>
  </si>
  <si>
    <t>10001426607-3890</t>
  </si>
  <si>
    <t>4500176830-20</t>
  </si>
  <si>
    <t>ZB02428-10.14</t>
  </si>
  <si>
    <t>4500177395-10</t>
  </si>
  <si>
    <t>加upc贴纸：193052090157</t>
  </si>
  <si>
    <t>日期码格式：ZURU INC(BVI) 标准格式 日期：按实际生产日期
Packaging Info: 􏁬 MA 3L UPC 英语包装
#77711加upc贴纸：193052090157
Remark: #77711：2.3692%The Original;2.3692%Pepperoni Pizza-Global Version;2.3692%Cheese Pizza-Global Version;2.3692%Hawaiian Pizza-Global Version;2.3692
%Big Dinner Box-Global Version;2.3692%Traditional Wings-Global Version;3.3117%Cooked Loboster;3.3117%Fishes;3.3117%Lamp Chops;3.3117%Broccoli Fl
orets;3.9658%Eggplant;3.9658%Fruit Tray;3.9658%Oats Jar;3.9658%Kombucha;4.0791%Turmeric Shot;4.0791%Milk;4.0791%Juice;4.0791%Water;1.4215%Cheese
Pasta;1.4215%Mashed Potatoes;1.4215%Honey Deli Ham;1.4215%Deli Turkey;1.8953%Morning Star Farms Sausage Patties;1.8953%Thick Cut Bacon;1.8953%T
hick Cut Stack Pack;1.9709%Homestyle Waffles;1.9709%Soft Pretzels;1.9709%Pretzel Dogs;0.8241%Chow Mein;0.8241%Broccoli Beef;0.8241%Orange Chicke
n;0.8241%Jamoca Almond Fudge Ice Cream;0.9477%Oreo Cookies'N Cream Ice Cream;0.9477%Tropical Punch;0.9477%Classic Grape;0.8241%O-mazing Orange;0
.8241%The OG;0.8241%Sweet Strawberry;0.8241%Original;0.6249%Unicorn Cake;0.6249%Pancakes;0.6249%Burgers and Fries;0.5686%Sushi;0.5686%Frozen Chi
cken;0.5686%Tiramisu;0.5686%Eggs;0.5686%Ice;0.5253%Mini Chocolate;0.5253%Mini Strawberry Vanilla;0.5253%Mini The OG;0.5253%Mini Oreo Cookies'N C
ream Ice Cream;0.3399%Pudding;0.3399%Pops
此客人不接受易掉落或者剥落或者可直接触碰的闪粉，可降解也不行，但可以接受符合欧洲微塑料标准的珠光粉或者闪片。</t>
  </si>
  <si>
    <t>29028762</t>
  </si>
  <si>
    <t>4500177395-20</t>
  </si>
  <si>
    <t>4500181195-10</t>
  </si>
  <si>
    <t>4500177657拆单</t>
  </si>
  <si>
    <t>日期码格式：ZURU INC(BVI) 标准格式 日期：按实际生产日期
Packaging Info: 此订单为4500177657的其中一行 ，已完货 ，切勿重复安排，现拆单空运订单
77711GQ2: 最新MA PDQ(优先3L)+客版收缩膜(英法德callout/英法德意荷警语/法国环保logo) +23L说明书+5-23L警语收藏指南+MA 5L creative说明书+creative说
明书荷兰语贴纸（所有资料翻#4500155592）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</si>
  <si>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4500177657，
客户PO#4400
505154</t>
  </si>
  <si>
    <t>4500177657-20</t>
  </si>
  <si>
    <t>日期码格式：ZURU INC(BVI) 标准格式 日期：按实际生产日期
Packaging Info: 77711GQ2: 最新MA PDQ(优先3L)+客版收缩膜(英法德callout/英法德意荷警语/法国环保logo) +23L说明书+5-23L警语收藏指南+MA 5L creative说明书+creative说
明书荷兰语贴纸（所有资料翻#4500155592）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</si>
  <si>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96530-9.26</t>
  </si>
  <si>
    <t>4500178210-20</t>
  </si>
  <si>
    <t>不允许延期</t>
  </si>
  <si>
    <t>UPC贴纸和进口商贴纸翻单PO4500164861</t>
  </si>
  <si>
    <t>日期码格式：ZURU INC(BVI) 标准格式 日期：按实际生产日期
Packaging Info:
77711GQ2:MA 3LEAN包装+UPC贴纸+进口商贴纸+外箱贴纸+箱唛，UPC贴纸和进口商贴纸翻单PO4500164861
Remark: 此单有第三方监柜，需要每款多备1套完整物料</t>
  </si>
  <si>
    <t>日期码格式：ZURU INC(BVI) 标准格式 日期：按实际生产日期
Packaging Info: 77785：MA 3L UPC 彩盒包装 + 箱唛 + 外箱贴纸SSCC Label
子件77711:3L 客版无条码收缩膜+MA 5L 收藏指南+MA 23L 说明书+MA 5L creative+MA纸袋;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</si>
  <si>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日期码格式：ZURU INC(BVI) 标准格式 日期：按实际生产日期
Packaging Info: 77785：MA 3L UPC 彩盒包装 + 箱唛 + 外箱贴纸SSCC Label
子件77711:3L 客版无条码收缩膜+MA 5L 收藏指南+MA 23L 说明书+MA 5L creative+MA纸袋;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</si>
  <si>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4500177236-30</t>
  </si>
  <si>
    <t>一张UPC条码贴+ 防盗贴纸（两款贴纸以及防盗贴纸位置图翻单PO#4500160026）+ 箱唛 + 外箱贴纸SSCC L</t>
  </si>
  <si>
    <t>21012350</t>
  </si>
  <si>
    <t>4500177240-30</t>
  </si>
  <si>
    <t>4500177765-20</t>
  </si>
  <si>
    <t>8/29 更新</t>
  </si>
  <si>
    <t>客户EAN条码贴纸覆盖原条码位置, EAN贴纸返单4500177198</t>
  </si>
  <si>
    <t>日期码格式：ZURU INC(BVI) 标准格式 日期：按实际生产日期
Packaging Info: 
SKU#77711GQ1:MA-3L 配套包装+ 客户EAN条码贴纸覆盖原条码位置, EAN贴纸返单4500177198，条码请核对5056296049471
Remark: "文本备注：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*根据客人最新的包装要求，所有PDQ盒子(TQ,UQ,GQ）都需要在顶部右上角加上数量贴纸标明里面的数量。最小字体：36pts, 字体：Calibri（bold), 具体要求以
及位置见文件.
*订单对应客户1个PO号 ，备注有显示 ，注意分开做货/验货/装柜 ，混装有罚款。
* 大货样： 新款请在CRD前10天寄出每款2整套大货样到罗湖办公室7B Meyya Liu 收，翻单不用寄。"</t>
  </si>
  <si>
    <t>4500178109-30</t>
  </si>
  <si>
    <t>日期码格式：ZURU INC(BVI) 标准格式 日期：按实际生产日期
Packaging Info:
3.77711GQ2:最新MA 3L EAN版本包装+一张客户警语贴纸（含环保标）+MA 5L 收藏指南+MA 3L PDQ；
Remark: 1.此单出西班牙市场，需满足EU测试标准要求，微塑料需符合EU法规。
2.此单LC条款，延迟出货有罚款；
3.此单每款产品各寄一套大货样到深圳办公室，请注意备料；</t>
  </si>
  <si>
    <t>0941292505</t>
  </si>
  <si>
    <t>4500178136-10</t>
  </si>
  <si>
    <t>ZB02386-10.13</t>
  </si>
  <si>
    <t>0941292510</t>
  </si>
  <si>
    <t>4500178136-20</t>
  </si>
  <si>
    <t>ZB02326-10.10</t>
  </si>
  <si>
    <t>0941292513</t>
  </si>
  <si>
    <t>4500178136-30</t>
  </si>
  <si>
    <t>ZB02300-10.9</t>
  </si>
  <si>
    <t>0941292537</t>
  </si>
  <si>
    <t>4500178136-60</t>
  </si>
  <si>
    <t>ZB02299-10.9</t>
  </si>
  <si>
    <t>0941292540</t>
  </si>
  <si>
    <t>4500178136-70</t>
  </si>
  <si>
    <t>ZB02427-10.14</t>
  </si>
  <si>
    <t>2张贴纸(1张UPC#，参考翻单PO#4500158582；1张可折叠警语
贴含德意警告语+IT环保标，参考翻单PO#4500157858)+WEEE电子产品说明书30L(带电池走货B版)新增+1张贴纸（SPIELZEUGPREIS ALLES FÜRS KINDERHERZ，仅出DE需要,参考翻单PO#4500166480);,SSCC贴纸由工厂直接跟勤得采购或者工厂自行采购，</t>
  </si>
  <si>
    <t>77785-S001-INT-2-77711</t>
  </si>
  <si>
    <t>CUS
PO#4400508718</t>
  </si>
  <si>
    <t>4500179309-10</t>
  </si>
  <si>
    <t>creative说
 明书荷兰语贴纸（所有资料翻#4500155592）</t>
  </si>
  <si>
    <r>
      <rPr>
        <sz val="12"/>
        <rFont val="宋体"/>
        <charset val="134"/>
        <scheme val="minor"/>
      </rPr>
      <t xml:space="preserve">日期码格式：ZURU INC(BVI) 标准格式 日期：按实际生产日期
Packaging Info: 77711GQ2: 最新MA PDQ(优先3L)+客版收缩膜(英法德callout/英法德意荷警语/法国环保logo) +23L说明书+5-23L警语收藏指南+MA 5L creative说明书+creative说
明书荷兰语贴纸（所有资料翻#4500155592）
</t>
    </r>
    <r>
      <rPr>
        <sz val="12"/>
        <color rgb="FFFF0000"/>
        <rFont val="宋体"/>
        <charset val="134"/>
        <scheme val="minor"/>
      </rPr>
      <t>EAN: 4894680043350</t>
    </r>
    <r>
      <rPr>
        <sz val="12"/>
        <rFont val="宋体"/>
        <charset val="134"/>
        <scheme val="minor"/>
      </rPr>
      <t xml:space="preserve">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r>
  </si>
  <si>
    <t>96933-11.11</t>
  </si>
  <si>
    <t>4500178421-10</t>
  </si>
  <si>
    <t>大货样品/item，请多备料。</t>
  </si>
  <si>
    <t>日期码格式：ZURU INC(BVI) 标准格式 日期：按实际生产日期
Packaging Info: 77711GQ1: MA EAN 收缩膜3L-A版本（+德意警语贴纸） +MA纸袋+MA GLOBUS 5L-B版本+MA B版警告语说明书23L+MA CREATIVE 5L-A版本+MA UV GLUE lable贴纸+MAP
DQ3L-A版本
Remark: 2. 大货样品/item，请多备料。
3.延期出货会有罚款，请务必按时完货。
4.客人要求飞机孔的尺寸为3.0-3.2 cm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t>
  </si>
  <si>
    <t>4500178095-120</t>
  </si>
  <si>
    <t>日期码格式： 标准格式 日期：按实际生产日期
Packaging Info: MA UPC包装(优先1L)+1张进口商贴纸,待提供贴纸资料;
4.77803GQ2是基于STD版本77711GQ2-S001-INT建立的客制spec,移除掉了提到猪肉"pork"的2个minis和4个有license的minis：Veggie Original Sausage Patties(Co
ntains pork words)
Singles The Original- Pepperoni (Contains pork words)
Kikkoman-Soy Sauce (license)
Hershey's-Chocolate Syrup 24 oz (license)
Hershey's-Mini Chocolate Syrup 24 oz (license)
Hershey's-Strawberry Syrup 22 oz (license)
除了PDQ和收藏指南，其他包材如收缩膜等都跟STD版本77711GQ2-S001-INT- MA 3L版。
所以，77803GQ2-MA EAN包装（3L)+1张进口商贴纸+1张UPC条码贴纸覆盖原条码(UPC贴纸显示款号77803，条码193052092403）。贴纸资料翻单4500165640。
客版PDQ+收藏指南跟回拉美的订单4500161302,但是收藏指南要加贴纸遮住以下两个LOGOs,贴纸资料见邮件附件;
Veggie Original Sausage Patties(Contains pork words)
Singles The Original- Pepperoni (Contains pork words)
5.因为此客人进口商贴纸是通用的（除了那些加了UPC条码的），只可能因为item不同尺寸会有差别，如果发现尺寸一样就请统一订购节省成本。
整单的贴纸图稿及位置图待提供
Remark:
77803GQ2-PRODCC-INT</t>
  </si>
  <si>
    <t>4500177606-10</t>
  </si>
  <si>
    <t>10/9 BV验货</t>
  </si>
  <si>
    <t>日期码格式：ZURU INC(BVI) 标准格式 日期：按实际生产日期
Packaging Info: #77711:
MA2L,PDQ(NA版,25装)+MA2L收缩膜(NA版,UPC:193052080127)+MA2L收藏指南(NA版B版)+MA配件袋+MA5L说明书+MA23L警告语说明书(B)
Remark: 1. 此单有箱唛;
2.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</si>
  <si>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10001445437-3890</t>
  </si>
  <si>
    <t>4500176564-10</t>
  </si>
  <si>
    <t>ZB02524-10.20</t>
  </si>
  <si>
    <t>0941292523</t>
  </si>
  <si>
    <t>4500178137-10</t>
  </si>
  <si>
    <t>消耗手工单MO20250710</t>
  </si>
  <si>
    <t>ZB02426-10.14</t>
  </si>
  <si>
    <t>4500178337-20</t>
  </si>
  <si>
    <t>警告语/进口商贴纸（翻单4500164226）+丹麦/瑞典/芬兰/挪威
语警告语贴纸（贴纸袋）</t>
  </si>
  <si>
    <t>日期码格式：ZURU INC(BVI) 标准格式 日期：按实际生产日期
Packaging Info: 
77711GQ2-S002-INT:MA 3L EAN A版收缩膜+MA 3L PDQ+MA 5L(23L warning)收藏指南+MA 23L说明书+警告语/进口商贴纸（翻单4500164226）+丹麦/瑞典/芬兰/挪威
语警告语贴纸（贴纸袋）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t>
  </si>
  <si>
    <t>4500176570-20</t>
  </si>
  <si>
    <t>reative说明书荷兰语贴纸(翻单4500155592）</t>
  </si>
  <si>
    <t>日期码格式：ZURU INC(BVI) 标准格式 日期：按实际生产日期
Packaging Info:
77711GQ2:最新MA 3L PDQ+客版收缩膜(英法德callout/英法德意荷警语/法国环保logo)翻单4500155592 +MA23L 说明书+MA 5+23L警语收藏指南+ MA 5L creative说
明书 + creative说明书荷兰语贴纸(翻单4500155592）
EAN: 4894680043350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</si>
  <si>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4500177974-70</t>
  </si>
  <si>
    <t>外箱贴纸，UPC条码贴+ 防盗贴纸（两款贴纸以及防盗贴纸位置图翻单PO#4500160026）</t>
  </si>
  <si>
    <t>4500177972-70</t>
  </si>
  <si>
    <t>4500178223-10</t>
  </si>
  <si>
    <t>日期码格式：ZURU INC(BVI) 标准格式 日期：按实际生产日期
Packaging Info: 77711GQ1: MA 3L EAN 收缩膜 +1*多语折叠警告语贴纸（翻单4500157858） + MA5L收藏指南+ MA 23L说明书+ MA UV胶黑白警告语 + MA纸袋+MA A PDQ。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33 rue Paul Meurice 75020 Paris,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</si>
  <si>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4500178155-50</t>
  </si>
  <si>
    <t>日期码格式：ZURU INC(BVI) 标准格式 日期：按实际生产日期
Packaging Info: 
77711GQ2：A 版 3L MA 收缩膜+进口商贴纸（翻4500164995）+UPC 条码贴纸（翻4500164995）；A 版3L MA PDQ/B 版 5L MA 收藏指南
Remark: 1、若产品有比例使用ZURU STD 比例
2、所有item 均用MA UPC 条码，若包装不是UPC 条码的请告知
3、此单出欧洲需满足EU测试标准要求</t>
  </si>
  <si>
    <t>4500178243-20</t>
  </si>
  <si>
    <t>通用UPC条码贴纸（UPC#193052080134）+1张客人通用进口商贴纸（翻单4500159576）</t>
  </si>
  <si>
    <t>日期码格式：ZURU INC(BVI) 标准格式 日期：按实际生产日期
Packaging Info:
77711GQ2： MA 3L EAN 包装+1张通用UPC条码贴纸（UPC#193052080134）+1张客人通用进口商贴纸（翻单4500159576）
Remark: 1.按实际生产日期;
2.出澳大利亚，请按照相应标准生产;</t>
  </si>
  <si>
    <t>4500178827-10</t>
  </si>
  <si>
    <t>4500178827-20</t>
  </si>
  <si>
    <t>4500178827-30</t>
  </si>
  <si>
    <t>4500178665-10</t>
  </si>
  <si>
    <t>警告语/进口商贴纸（翻单4500164226）+丹麦/瑞典/芬兰/挪威
语警告语贴纸（贴纸袋）（翻单4500178337）</t>
  </si>
  <si>
    <t>日期码格式：ZURU INC(BVI) 标准格式 日期：按实际生产日期
Packaging Info: 77711GQ2-S002-INT:MA 3L EAN A版收缩膜+MA 3L PDQ+MA 5L(23L warning)收藏指南+MA 23L说明书+警告语/进口商贴纸（翻单4500164226）+丹麦/瑞典/芬兰/挪威
语警告语贴纸（贴纸袋）（翻单4500178337）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条码信息
77711GQ2-S002-INT:4894680043350</t>
  </si>
  <si>
    <t>CANADIAN TIRE</t>
  </si>
  <si>
    <t>01271340</t>
  </si>
  <si>
    <t>4500178892-10</t>
  </si>
  <si>
    <t>日期码格式：ZURU INC(BVI) 标准格式 日期：按实际生产日期
Packaging Info: MA 2L NA 版 UPC版
Remark: 出加拿大
Zuru验货.日期跟踪码：产品外包装及产品本身都必须有日期跟踪码，ZURU标准格式日期码</t>
  </si>
  <si>
    <t>4500177930-40</t>
  </si>
  <si>
    <t>UPC 条码贴纸,UPC显示：193052080127；翻单4500165084</t>
  </si>
  <si>
    <t>日期码格式：ZURU INC(BVI) 标准格式 日期：按实际生产日期
Packaging Info: 1. 包装方式：MA UPC 优先1L 最新包装，出口美国；
Remark: 2. 产品和包装上印刷tracking code信息，格式为ZURU常规；
3. ZURU QC 验货合格后即可出货;
4.#77711GQ2-S002-NA PDQ上需要贴一张UPC 条码贴纸,UPC显示：193052080127；翻单4500165084，贴纸工厂自行采购;</t>
  </si>
  <si>
    <t>ZB02687-10.29</t>
  </si>
  <si>
    <t>4348666465</t>
  </si>
  <si>
    <t>4500177891-40</t>
  </si>
  <si>
    <t>ZB02686-10.29</t>
  </si>
  <si>
    <t>4500179231-10</t>
  </si>
  <si>
    <t>日期码格式：ZURU INC(BVI) 标准格式 日期：按实际生产日期
Packaging Info: 1.77711GQ1:（MA 最新3L PDQ+1张PDQ贴纸）+MA 最新3L 收缩膜+（1张进口商西班牙环保标贴纸）+MA 最新5L收藏指南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以找我们跟单提供
4. 产品及包装需要印CE logo图标，包装需含有西班牙环保标 &lt;(&gt;&amp;&lt;)&gt; ZURU France地址信息， 另外，包装贴纸上面的警告语不可以覆盖西班牙警告语。QC同事请
核查，如有问题需和跟单确认。
5.77673 看是否可以改善CRD10/23，客户要求船期在10月底前</t>
  </si>
  <si>
    <t>4500181466-20</t>
  </si>
  <si>
    <t>消耗4500177606订单</t>
  </si>
  <si>
    <t>日期码格式：ZURU INC(BVI) 标准格式 日期：按实际生产日期
Packaging Info: 
"#77711:消耗4500177606订单
MA2L,PDQ(NA版,25装)+MA2L收缩膜(NA版,UPC:193052080127)+MA2L收藏指南(NA版B版)+MA配件袋+MA5L说明书+MA23L警告语说明书(B)"
Remark: 出加拿大
Zuru验货.日期跟踪码：产品外包装及产品本身都必须有日期跟踪码，ZURU标准格式日期码。（箱唛日期码按跟单提供格式）</t>
  </si>
  <si>
    <t>4500179215-10</t>
  </si>
  <si>
    <t>10/24 第三方验货</t>
  </si>
  <si>
    <t>日期码格式：ZURU INC(BVI) 标准格式 日期：按实际生产日期
Packaging Info: #77711:
MA2L,PDQ(NA版,25装)+MA2L收缩膜(NA版,UPC:193052080127)+MA2L收藏指南(NA版B版)+MA配件袋+MA5L说明书+MA23L警告语说明书(B)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</si>
  <si>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96843-11.1</t>
  </si>
  <si>
    <t>CUS
PO#4400508716</t>
  </si>
  <si>
    <t>4500179307-10</t>
  </si>
  <si>
    <t>日期码格式：ZURU INC(BVI) 标准格式 日期：按实际生产日期
Packaging Info: 77711GQ2: 最新MA PDQ(优先3L)+客版收缩膜(英法德callout/英法德意荷警语/法国环保logo) +23L说明书+5-23L警语收藏指南+MA 5L creative说明书+creative说
明书荷兰语贴纸（所有资料翻#4500155592）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</si>
  <si>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4500179432-10</t>
  </si>
  <si>
    <t>10/25 交仓</t>
  </si>
  <si>
    <t>日期码格式：ZURU INC(BVI) 标准格式 日期：按实际生产日期
Packaging Info: 77711:
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（14.17pt），条码扫描结果应为7678363。
Remark: *MA包装按最新版本安排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</si>
  <si>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AMERICAN WHOLESALE BOOK CO. ,INC.</t>
  </si>
  <si>
    <t>457724</t>
  </si>
  <si>
    <t>4500179630-30</t>
  </si>
  <si>
    <t>价格贴纸 (翻单，同4500132142). 出口美国。</t>
  </si>
  <si>
    <t>日期码格式：ZURU INC(BVI) 标准格式 日期：按实际生产日期
Packaging Info: 1. MA, UPC版包装，优先1L + 价格贴纸 (翻单，同4500132142). 出口美国。
Remark: 1.产品和包装上需要印刷tracking code信息且两者印刷的内容必须一致, 为ZURU常规格式。
2.ZURU QC 验货。</t>
  </si>
  <si>
    <t>ZB02564-10.23</t>
  </si>
  <si>
    <t>ZMPO250685</t>
  </si>
  <si>
    <t>50套散件</t>
  </si>
  <si>
    <t>Remark：大货最新版本/只需要齐套散件/麻烦用胶袋分装好一套为一袋/箱唛参照邮件附件，备注：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</si>
  <si>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96600-9.30</t>
  </si>
  <si>
    <t>Remark：大货最新版本/只需要齐套散件/麻烦用胶袋分装好一套为一袋/箱唛参照邮件附件；备注：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</si>
  <si>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ZMPO250796</t>
  </si>
  <si>
    <t>50个空球</t>
  </si>
  <si>
    <t>Remark：大货版本/只需要收缩好膜的空球/球里面不需要放公仔；备注： 收到样品订单后尽快安排 ，此订单麻烦在外箱上备注是海运订单/注意样板品质质量要求要高于大货品质质量 ，送货时必须要附带送货单(没有送货单和QC检验合格报告的仓库一律拒绝收货)，请知悉，谢谢！</t>
  </si>
  <si>
    <t>96601-9.30</t>
  </si>
  <si>
    <t>ZMPO250857</t>
  </si>
  <si>
    <t>Remark:大货版本/只需要50PCS成品球，不需要PDQ;备注： 收到样品订单后尽快安排 /谢谢！</t>
  </si>
  <si>
    <t>The Entertainer</t>
  </si>
  <si>
    <t>MPO03744</t>
  </si>
  <si>
    <t>空白箱</t>
  </si>
  <si>
    <t>Remark: MA-3L 配套包装+ 客户EAN条码贴纸覆盖原条码位置</t>
  </si>
  <si>
    <t>Meyya Liu,Aaron Xia</t>
  </si>
  <si>
    <t>97098-11.29</t>
  </si>
  <si>
    <t>4500179341-80</t>
  </si>
  <si>
    <t>一张UPC条码贴+ 防盗贴纸（两款贴纸以及防盗贴纸位置图翻单PO#4500160026）+ 箱唛 + 外箱贴纸SSCC L
 abel</t>
  </si>
  <si>
    <t>4500179341-100</t>
  </si>
  <si>
    <t>4500179340-80</t>
  </si>
  <si>
    <t>4500179340-100</t>
  </si>
  <si>
    <t>4500178273-20</t>
  </si>
  <si>
    <t>0944785679</t>
  </si>
  <si>
    <t>4500179405-10</t>
  </si>
  <si>
    <t>MO20250904手工单转实单</t>
  </si>
  <si>
    <t>ZB02512-10.20</t>
  </si>
  <si>
    <t>0944785683</t>
  </si>
  <si>
    <t>4500179405-20</t>
  </si>
  <si>
    <t>ZB02498-10.18</t>
  </si>
  <si>
    <t>0944785694</t>
  </si>
  <si>
    <t>4500179405-30</t>
  </si>
  <si>
    <t>ZB02513-10.20</t>
  </si>
  <si>
    <t>0944785706</t>
  </si>
  <si>
    <t>4500179405-40</t>
  </si>
  <si>
    <t>ZB02514-10.20</t>
  </si>
  <si>
    <t>10/25入仓</t>
  </si>
  <si>
    <t>新增+1张贴纸（SPIELZEUGPREIS ALLES FÜRS KINDERHERZ，仅出DE需要,参考翻单PO#4500166480)</t>
  </si>
  <si>
    <t>10/27出货</t>
  </si>
  <si>
    <t>WM MORRISON SUPERMARKETS LIMITED</t>
  </si>
  <si>
    <t>4500178200-20</t>
  </si>
  <si>
    <t>日期码格式：ZURU INC(BVI) 标准格式 日期：按实际生产日期
Packaging Info: 
2. 77711GQ1-S003-INT：MA 3L收缩膜+一张UPC条码贴纸（UPC#193052080134）+MA 3L PDQ+其他最新MA包装;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10.做货前请先复核包装条码与订单是否一致再安排，对不上的需与ZURU跟单确认再安排。</t>
  </si>
  <si>
    <t>96855-11.3</t>
  </si>
  <si>
    <t>10001502358-3891</t>
  </si>
  <si>
    <t>4500178501-10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</si>
  <si>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PDQ；收缩膜上的UPC显示193052080127；77711GQ2外箱优先消耗完PO-4500170676/4500170675/4500170737/4500170741-77555GQ2取消单呆滞的外箱，用贴纸返工正确信息；
2取消单呆滞的外箱，用贴纸返工正确信息；
3. 外箱正唛左上角位置粘贴条码箱贴纸，每箱只贴一张，由ZURU订购。来料贴纸上显示的客户DPCI# 086-02-9357, UPC显示10193052080124;
4. 产品和包装上印刷 tracking code信息，格式为ZURU常规格式;
5. 出货方式：货代自提</t>
  </si>
  <si>
    <t>ZB02537-10.21  ZB02561-10.23</t>
  </si>
  <si>
    <t>4500178548-10</t>
  </si>
  <si>
    <t>日期码格式：ZURU INC(BVI) 标准格式 日期：按实际生产日期
Packaging Info: 77711GQ2：NA 2L UPC版
Remark: 出加拿大
Zuru验货.日期跟踪码：产品外包装及产品本身都必须有日期跟踪码，ZURU标准格式日期码</t>
  </si>
  <si>
    <t>4500179170-10</t>
  </si>
  <si>
    <t>1张UPC条码贴纸(条码193052080134)覆盖原EAN条码+1张进口商贴纸,1张进口商贴纸,贴纸图稿及位置图翻4500167360</t>
  </si>
  <si>
    <t>日期码格式：ZURU INC(BVI) 标准格式 日期：按实际生产日期
Packaging Info: MA UPC包装(优先1L)+1张进口商贴纸,贴纸图稿及位置图翻4500167360;
77711GQ2-MA EAN包装(3L)+1张UPC条码贴纸(条码193052080134)覆盖原EAN条码+1张进口商贴纸,条码贴纸图稿同样翻以上订单
Remark: 77711GQ2-2.3692%The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t>
  </si>
  <si>
    <t>THE HAMLEYS GROUP LTD</t>
  </si>
  <si>
    <t>HLL-PO-000015
760</t>
  </si>
  <si>
    <t>4500178312-50</t>
  </si>
  <si>
    <t>日期码格式：ZURU INC(BVI) 标准格式 日期：按实际生产日期
Packaging Info: 
77711:MA 3L最新EAN包装+UPC贴纸，UPC:193052080134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*在CRD前1周提供指定格式的自检报告
* 大货样： 新款请在CRD前10天寄出每款2整套大货样到罗湖办公室7B Aaron Xia 收，翻单不用寄。"</t>
  </si>
  <si>
    <t>96916-11.10</t>
  </si>
  <si>
    <t>PO-41336090</t>
  </si>
  <si>
    <t>4500178510-10</t>
  </si>
  <si>
    <t>ZB02661-10.27</t>
  </si>
  <si>
    <t>4500178926-30</t>
  </si>
  <si>
    <t>4500178925-30</t>
  </si>
  <si>
    <t>32686863</t>
  </si>
  <si>
    <t>4500178606-20</t>
  </si>
  <si>
    <t>挪威语警语贴纸(翻单4500162231)</t>
  </si>
  <si>
    <t>日期码格式：ZURU INC(BVI) 标准格式 日期：按实际生产日期
Packaging Info: 
77711GQ2:MA EAN 3L+挪威语警语贴纸(翻单4500162231)
Remark: 1/ 工厂货号-客户货号-彩盒条码-外箱条码
77711GQ2-7254555-4894680043350-10193052080131
2/ 产品和包装要求无硼无香，包装不能含有PVC
3/ 如有微塑料，必须合规欧洲标准，闪粉也是微塑料的一种，目前仅接受三张方式1.去除，2.用可降解材料，和3. 永久封印在固体。
4/ 此订单有第三方验货, 77711的签样用于上单4500162231
5.带电池出货的产品所用到的电池需要符合欧洲电池新规(EU)2023-1542；</t>
  </si>
  <si>
    <t>96875-11.5</t>
  </si>
  <si>
    <t>0944785649</t>
  </si>
  <si>
    <t>4500179417-10</t>
  </si>
  <si>
    <t>ZB02493-10.18</t>
  </si>
  <si>
    <t>0944785654</t>
  </si>
  <si>
    <t>4500179417-20</t>
  </si>
  <si>
    <t>ZB02511-10.20</t>
  </si>
  <si>
    <t>0944785672</t>
  </si>
  <si>
    <t>4500179417-30</t>
  </si>
  <si>
    <t>ZB02497-10.18</t>
  </si>
  <si>
    <t>0946374465</t>
  </si>
  <si>
    <t>4500179943-10</t>
  </si>
  <si>
    <t>10/20 自检</t>
  </si>
  <si>
    <t>日期码格式：ZURU DGYYYYMMDD CHINA(日期避开周末和法定节假日即可） 日期：按实际生产日期
Packaging Info: 77711GQ4-S001-NA
1.包装要求：
MA 1L A版收缩膜+MA 2L B版收藏指南+MA B版说明书+客版1L PDQ
每pcs产品上要贴1张RFID贴纸，贴纸由ZURU提供，贴纸位置请严格按照我们签回的签板；
Remark: 77711GQ4-S001-NA
1.包装要求：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carton出货，16pcs/PDQ/CTN
7.此单预计会安排空运</t>
  </si>
  <si>
    <t>ZB02552-10.23</t>
  </si>
  <si>
    <t>0946374436</t>
  </si>
  <si>
    <t>4500179943-50</t>
  </si>
  <si>
    <t>10/21 自检</t>
  </si>
  <si>
    <t>ZB02540-10.22</t>
  </si>
  <si>
    <t>4500178401-20</t>
  </si>
  <si>
    <t>日期码格式：ZURU INC(BVI) 标准格式 日期：按实际生产日期
Packaging Info:
77711SK1:最新MA 3L EAN收缩膜+最新MA 5L收藏指南+最新MA 23L说明书+最新MA 5L creative+最新MA纸袋+最新MA 展示架+多语警语折叠贴纸（含包装缺失的法/意/
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</si>
  <si>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4500178401-30</t>
  </si>
  <si>
    <t>请每款寄一套给Lisa Yang 用于上传西班牙网站, 以下是地址和联系方式，样品相关细节请与Lisa沟通@Lisa Yang - Merchandising &lt;(&gt;&amp;&lt;)&gt; Operations &lt;(&gt;</t>
  </si>
  <si>
    <t>外箱/产品/包装 保持一致，完货后提供date code 信息以便我们保存记录做批次管理</t>
  </si>
  <si>
    <t>日期码格式：ZURU INC(BVI) 标准格式 日期：按实际生产日期
Packaging Info: 
77711GQ1:最新MA 3L EAN收缩膜+最新MA 5L收藏指南+最新MA 23L说明书+最新MA 5L creative+最新MA纸袋+最新MA 3L PDQ+多语警语折叠贴纸（含包装缺失的法/意/
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</si>
  <si>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</si>
  <si>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EAN贴纸（翻4500163212）</t>
  </si>
  <si>
    <t>日期码格式：ZURU INC(BVI) 标准格式 日期：按实际生产日期
Packaging Info: 
"77785:最新客版彩盒+EAN贴纸（翻4500163212）
子件77711：最新MA3LEAN收缩膜（EAN用空白贴纸盖住）+最新MA5L收藏指南+最新MA23L说明书+最新MA5Lcreative+最新MA纸袋+多语警语折叠贴纸（含包装缺失的法/
意/西环保标）（翻4500162314）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</si>
  <si>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77785-S001-INT-77711</t>
  </si>
  <si>
    <t>4500178799-50</t>
  </si>
  <si>
    <t xml:space="preserve">日期码格式：ZURU INC(BVI) 标准格式 日期：按实际生产日期
Packaging Info:
77803GQ2: 包装客版 EAN收缩膜+进口商贴纸，客版PDQ，收缩膜EAN条码显示4894680052178，产品年龄8+；
客人箱唛排版，印4面，条码内容4894680052178;
Remark: </t>
  </si>
  <si>
    <t>0946374463</t>
  </si>
  <si>
    <t>4500179943-40</t>
  </si>
  <si>
    <t>10/25 BV验货</t>
  </si>
  <si>
    <t>ZB02696-10.30</t>
  </si>
  <si>
    <t>0946374441</t>
  </si>
  <si>
    <t>4500179943-20</t>
  </si>
  <si>
    <t>10/28 BV验货</t>
  </si>
  <si>
    <t>ZB02704-10.31</t>
  </si>
  <si>
    <t>0946374468</t>
  </si>
  <si>
    <t>4500179943-70</t>
  </si>
  <si>
    <t>ZB02695-10.30</t>
  </si>
  <si>
    <t>0946374435</t>
  </si>
  <si>
    <t>4500179943-30</t>
  </si>
  <si>
    <t>ZB02694-10.30</t>
  </si>
  <si>
    <t>0946374455</t>
  </si>
  <si>
    <t>4500179943-60</t>
  </si>
  <si>
    <t>ZB02705-10.31</t>
  </si>
  <si>
    <t>CUS
PO#4400510655</t>
  </si>
  <si>
    <t>4500179859-10</t>
  </si>
  <si>
    <t>cre
 ative说明书荷兰语贴纸(翻单4500155592）</t>
  </si>
  <si>
    <t>日期码格式：ZURU INC(BVI) 标准格式 日期：按实际生产日期
Packaging Info: 最新MA 3L PDQ+客版收缩膜(英法德callout/英法德意荷警语/法国环保logo)翻单4500155592 +MA23L 说明书+MA 5+23L警语收藏指南+ MA 5L creative说明书 + cre
ative说明书荷兰语贴纸(翻单4500155592）
EAN: 4894680043350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</si>
  <si>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OSIRIS INC.</t>
  </si>
  <si>
    <t>4500179765-10</t>
  </si>
  <si>
    <t>期码格式：ZURU INC(BVI) 标准格式 日期：按实际生产日期
Packaging Info: MA 2L NA版
Remark: 出加拿大
Zuru验货.日期跟踪码：产品外包装及产品本身都必须有日期跟踪码，ZURU标准格式日期码</t>
  </si>
  <si>
    <t>96867-11.4</t>
  </si>
  <si>
    <t>10001502356-3890</t>
  </si>
  <si>
    <t>4500178842-10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</si>
  <si>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产品和包装上印刷 tracking code信息，格式为ZURU常规格式;
5. 出货方式：货代自提</t>
  </si>
  <si>
    <t>ZB02857-11.8</t>
  </si>
  <si>
    <t>CUS
PO#4400508717</t>
  </si>
  <si>
    <t>4500179306-10</t>
  </si>
  <si>
    <t>日期码格式：ZURU INC(BVI) 标准格式 日期：按实际生产日期
Packaging Info: 77711GQ2：最新MA PDQ(优先3L)+客版收缩膜(英法德callout/英法德意荷警语/法国环保logo) +23L说明书+5-23L警语收藏指南+MA 5L creative说明书+creative说
明书荷兰语贴纸（所有资料翻#4500155592）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</si>
  <si>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96856-11.3</t>
  </si>
  <si>
    <t>AG250221-HK</t>
  </si>
  <si>
    <t>4500179824-10</t>
  </si>
  <si>
    <t>1张UPC 条码贴纸++HK客供警语贴纸</t>
  </si>
  <si>
    <t>日期码格式：ZURU INC(BVI) 标准格式 日期：按实际生产日期
Packaging Info: 此单出HK
77711GQ1 （INT): MA 3L 收缩膜+1张UPC 条码贴纸+ MA 3L PDQ+MA 5L 收藏指南+HK客供警语贴纸
（1张贴球底部，1张贴说明书，1张贴收藏指南）具体参考HK客供警语贴纸位置图
Remark:</t>
  </si>
  <si>
    <t>96882-11.6</t>
  </si>
  <si>
    <t>21169559</t>
  </si>
  <si>
    <t>4500179977-10</t>
  </si>
  <si>
    <t xml:space="preserve"> 一张UPC条码贴+ 防盗贴纸（两款贴纸以及防盗贴纸位置图翻单PO#4500160026）+ 箱唛 + 外箱贴纸SSCC L
 abel</t>
  </si>
  <si>
    <t>96880-11.6</t>
  </si>
  <si>
    <t>4500179979-10</t>
  </si>
  <si>
    <t>96881-11.6</t>
  </si>
  <si>
    <t>0947820086</t>
  </si>
  <si>
    <t>4500180349-10</t>
  </si>
  <si>
    <t>10/31 自检</t>
  </si>
  <si>
    <t>ZB02805-11.4</t>
  </si>
  <si>
    <t>0947820106</t>
  </si>
  <si>
    <t>4500180349-20</t>
  </si>
  <si>
    <t>ZB02856-11.8</t>
  </si>
  <si>
    <t>0947820110</t>
  </si>
  <si>
    <t>4500180349-30</t>
  </si>
  <si>
    <t>11/4 SI</t>
  </si>
  <si>
    <t>ZB02804-11.4</t>
  </si>
  <si>
    <t>0947820111</t>
  </si>
  <si>
    <t>4500180349-40</t>
  </si>
  <si>
    <t>0947820112</t>
  </si>
  <si>
    <t>4500180349-50</t>
  </si>
  <si>
    <t>ZB02803-11.4</t>
  </si>
  <si>
    <t>0947820114</t>
  </si>
  <si>
    <t>4500180349-60</t>
  </si>
  <si>
    <t>ZB02802-11.4</t>
  </si>
  <si>
    <t>4500179713-30</t>
  </si>
  <si>
    <t>瑞典芬兰爱沙尼亚语警告语/MADE IN CHINA翻译成瑞典芬兰爱沙尼亚语言做成一张贴纸(贴纸和位置图翻 PO#4500161573)，瑞典芬兰爱沙尼亚语警告语贴在纸袋子上(贴纸和位置图翻SOK PO#4500160378)</t>
  </si>
  <si>
    <t>日期码格式：ZURU INC(BVI) 标准格式 日期：按实际生产日期
Packaging Info: 
3. 77711GQ1: MA 3L EAN版收缩膜+瑞典芬兰爱沙尼亚语警告语/MADE IN CHINA翻译成瑞典芬兰爱沙尼亚语言做成一张贴纸(贴纸和位置图翻 PO#4500161573)+MA pa
per bag+瑞典芬兰爱沙尼亚语警告语贴在纸袋子上(贴纸和位置图翻SOK PO#4500160378)+MA 3L PDQ+MA 5L(23L warning)收藏指南+MA 23L说明书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77711GQ1-S002-INT:4894680043350</t>
  </si>
  <si>
    <t>96893-11.8</t>
  </si>
  <si>
    <t>4500180174-90</t>
  </si>
  <si>
    <t>款号条码贴纸+折叠贴纸</t>
  </si>
  <si>
    <t>日期码格式：ZURU INC(BVI) 标准格式 日期：按实际生产日期
Packaging Info: 
77711GQ2:3L MA包装+款号条码贴纸+折叠贴纸; MA PDQ
Remark: 1. STD配比
2. 出欧洲，微塑料需合规（如item本身不含微塑料 则忽略此要求）</t>
  </si>
  <si>
    <t>96914-11.10</t>
  </si>
  <si>
    <t>777 4JAN26</t>
  </si>
  <si>
    <t>4500180233-70</t>
  </si>
  <si>
    <t>1张UPC贴纸（UPC#193052080134）</t>
  </si>
  <si>
    <t>日期码格式：ZURU INC(BVI) 标准格式 日期：按实际生产日期
Packaging Info: MA 最新UPC包装，各款的条码如下，请先检查条码是否正确再安排做货，如有问题请告知,配比跟MA
77711GQ2-S003-INT: MA 3L INT版本收缩膜+1张UPC贴纸（UPC#193052080134）+ MA INT版本5L收藏指南+MA INT 版本 3L PDQ+其他MA最新包装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</si>
  <si>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97005-11.24</t>
  </si>
  <si>
    <t>4500180284-10</t>
  </si>
  <si>
    <t>11/6 按客人格式出自检报告</t>
  </si>
  <si>
    <t>一张西班牙环保标和客户进口商贴纸</t>
  </si>
  <si>
    <t>日期码格式：ZURU INC(BVI) 标准格式 日期：按实际生产日期
Packaging Info: 1.77711GQ2:最新MA 3L EAN INT版本包装+一张西班牙环保标和客户进口商贴纸+MA 23L 警告语说明书+MA 5L 收藏指南+MA 3L PDQ;
Remark: 1, 此货出西班牙，需满足EU测试标准要求和微塑料需符合法规。另外请确保所有包装都有西班牙环保标。
2,出货前两周需寄2-3套大货样品，请多备料
3, 需要ZURU OQC 验货，出货前要客户格式的验货报告给客人确认OK后才出货
4. 产品上面确保含有CE logo &lt;(&gt;&amp;&lt;)&gt; ZURU logo,如没有的话请提前告知</t>
  </si>
  <si>
    <t>4500178974-10</t>
  </si>
  <si>
    <t>4500178919-90</t>
  </si>
  <si>
    <t>冰箱迷你球13pcs/箱-中文单</t>
  </si>
  <si>
    <t>翻单： 4500170580</t>
  </si>
  <si>
    <t>日期码格式：ZURU INC(BVI) 标准格式 日期：按实际生产日期
Packaging Info: 
C. 77711GQ1 MA PDQ +外挂中文收藏指南+中文说明书+黑白警告语+收缩膜年龄贴（8+） 翻单： 4500170580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</si>
  <si>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97138-10.3
96891-11.7</t>
  </si>
  <si>
    <t>77711GQ1-S002-INT-中文单-1L</t>
  </si>
  <si>
    <t>4500178919-100</t>
  </si>
  <si>
    <t>4500179872-10</t>
  </si>
  <si>
    <t>1张通用UPC条码贴纸（UPC#193052080134）+1张客人通用进口商贴纸（翻单4500159576）</t>
  </si>
  <si>
    <t>日期码格式：ZURU INC(BVI) 标准格式 日期：按实际生产日期
Packaging Info: 77711GQ2： MA 3L EAN 包装+1张通用UPC条码贴纸（UPC#193052080134）+1张客人通用进口商贴纸（翻单4500159576）
Remark: 1.按实际生产日期;
2.出澳大利亚，请按照相应标准生产;</t>
  </si>
  <si>
    <t>Amazon UK:
44KDCBOP</t>
  </si>
  <si>
    <t>4500179736-140</t>
  </si>
  <si>
    <t>空白外箱（加印带Zuru字样的最新logo，除了邮包盒直接做外箱的产品）</t>
  </si>
  <si>
    <t>SSCC LABEL一张+1张空白贴纸(覆盖在条码位置，尺寸
 由工厂自行测量)+1张IT环保标贴纸(参考翻单PO#4500158623）；+客版3L(5L warning UPC) INT PVC筒彩卡(UPC#+英法德意西5L警示语+FR/
ES环保标+GPSR邮箱care@zuru.com，参考翻单PO#4500158623)</t>
  </si>
  <si>
    <t>日期码格式：ZURU INC(BVI) 标准格式 日期：按实际生产日期
Packaging Info: Amazon UK(15701B/15710B/15714DKMN/15726ABDEJLM/15728AG/71137/71152/77515/77731/9279EH/9543AE)/DE(15726BJLM/15728AG/15762BD/77731/92119EGH/9543E)
/FR(15728E/15763E/77673/77731)
9.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ES环保标+GPSR邮箱care@zuru.com，参考翻单PO#4500158623)+1张IT环保标贴纸(参考翻单PO#4500158623）；
16.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</si>
  <si>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DE:
7FYANIZS</t>
  </si>
  <si>
    <t>4500179736-300</t>
  </si>
  <si>
    <t>4500179736-390</t>
  </si>
  <si>
    <t>AMAZON ES</t>
  </si>
  <si>
    <t>Amazon
IT:3A5SARCW</t>
  </si>
  <si>
    <t>4500179692-170</t>
  </si>
  <si>
    <t>日期码格式：ZURU INC(BVI) 标准格式 日期：按实际生产日期
Packaging Info: Amazon ES(71126/71137/92104A/9279H/9543E/15701A/15710AB/15726E/15728B/15763BD/77515)/IT(77731/92104H/9543E/15711B)
12. 77731：2PK#77711-INT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ES环保标+GPSR邮箱care@zuru.com，参考翻单PO#4500158623)+1张IT环保标贴纸(参考翻单PO#4500158623）；
最迟验货不得晚于2025/11/7;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</si>
  <si>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UK:
6JRLKDYI</t>
  </si>
  <si>
    <t>4500180739-10</t>
  </si>
  <si>
    <t>77731-S001-INT</t>
  </si>
  <si>
    <t>日期码格式：ZURU INC(BVI) 标准格式 日期：按实际生产日期
Packaging Info: Amazon UK(77731/71126)
1.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ES环保标+GPSR邮箱care@zuru.com，参考翻单PO#4500158623)+1张IT环保标贴纸(参考翻单PO#4500158623）；
3.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</si>
  <si>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4500180040-40</t>
  </si>
  <si>
    <t>（货期已影响）</t>
  </si>
  <si>
    <t>（+德语警告语贴纸 翻单：4500161168）+客供价格贴纸</t>
  </si>
  <si>
    <t>日期码格式：ZURU INC(BVI) 标准格式 日期：按实际生产日期
Packaging Info: 
77711-S001-INT: 最新MA 3L EAN包装+（+德语警告语贴纸 翻单：4500161168）+客供价格贴纸+5L收藏指南+23L说明书+5L DIY说明书+5L内袋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</si>
  <si>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96946-11.15</t>
  </si>
  <si>
    <t>46:0003168217 47:0003168218</t>
  </si>
  <si>
    <t>4500180606-10</t>
  </si>
  <si>
    <t>日语警语贴纸(贴在收缩膜上）+1张日语警告贴纸（贴在说明书上）
(贴纸资料及位置图请翻单4500162966，贴纸不要遮挡住日期码）</t>
  </si>
  <si>
    <t>日期码格式：ZURU INC(BVI) 标准格式 日期：按实际生产日期
Packaging Info: 77782: 客版包装+1张日语警语贴纸(贴在收缩膜上）+1张日语警告贴纸（贴在说明书上）
(贴纸资料及位置图请翻单4500162966，贴纸不要遮挡住日期码）
Remark: 1.产品品质和内容材质以及包装版本等都需跟到上一单（4500162966）
2. 请多备几个外箱出货，避免外箱到仓库后出现破损情况。</t>
  </si>
  <si>
    <t>4500180606-20</t>
  </si>
  <si>
    <t>4500180534-20</t>
  </si>
  <si>
    <t>96940-11.13</t>
  </si>
  <si>
    <t>4500180535-20</t>
  </si>
  <si>
    <t>96941-11.13</t>
  </si>
  <si>
    <t>4500178515-10</t>
  </si>
  <si>
    <t xml:space="preserve">日期码格式：ZURU INC(BVI) 标准格式 日期：
Packaging Info:  1.  MA 1L 包装
  2. 客人指定箱唛排版
Remark: 出货前 Zuru QC 验货
</t>
  </si>
  <si>
    <t>ZB03094-11.25</t>
  </si>
  <si>
    <t>客户PO#022006
78/1</t>
  </si>
  <si>
    <t>4500181034-10</t>
  </si>
  <si>
    <t>欠upc条码贴纸</t>
  </si>
  <si>
    <t>日期码格式：ZURU INC(BVI) 标准格式 日期：按实际生产日期
Packaging Info: 77711GQ2: MA 3L INT版本+upc条码贴纸。
Remark: *订单出英国，请注意检查产品及包装应带UKCA图标，包装显示ZURU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</si>
  <si>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96934-11.12</t>
  </si>
  <si>
    <t>4500178517-10</t>
  </si>
  <si>
    <t>PO#60X454086</t>
  </si>
  <si>
    <t>4500180967-10</t>
  </si>
  <si>
    <t>预约11月13日第三方（利丰）到工厂做100%大货现场验货和抽板，验货需打印EPM出来跟客户回签样板供第三方验货参考。
 PS:EPM是跟单提供</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</si>
  <si>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#77711GQ1, #77685GQ1; #15727;#71126 签样同旧单4500169184，但如果包材有更新需重新寄更新的包材重新签样。
注意:#15727 签样需包含15727L 但不含15727G
#92119 签样同旧单4500167106，但如果包材有更新需重新寄更新的包材重新签样。
92129TQ2;#77773GQ1;#92125 需10月29日前需寄出以下数量的样板(含PDQ)，样板须跟大货一模一样（含日期码）。
一套样板将寄到美国HEB，两套寄到以下深圳利丰地址，到时利丰会回签一套用于第三方100%大货验货。
回签的样板工厂需要保存好，只要产品物料没更新，签样一年内有效，一年内将不再走客户签样流程。
* #92129TQ2; #93125: 3pcs 成品+1个空PDQ样板
*#77773GQ1: 4pcs成品球+1个空PDQ 样板
寄到以下地址
深圳雨禾伟业实业有限公司
地址：广东省深圳市罗湖区东门南路1006号文锦渡口岸大厦B栋7楼
收件人：Elsa
电话：0755 6688 1988 Ext3337
* #92129TQ2; #93125: 每款每色2pcs成品+2个空PDQ+ 2套散件（如果产品涉及散件的话）
#77773GQ1 4pcs成品球+2个空PDQ+2套散件
寄到以下地址：
Li Fung　
深圳市福田区绒花路8号深福保大厦附楼3楼。
收件人： Yoland Dai　电话：+0755 8825 3756
4. 验货+ 抽板 （同一天进行）
预约11月13日第三方（利丰）到工厂做100%大货现场验货和抽板，验货需打印EPM出来跟客户回签样板供第三方验货参考。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</si>
  <si>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0950689043</t>
  </si>
  <si>
    <t>4500181320-10</t>
  </si>
  <si>
    <t>11/14 第三方验货</t>
  </si>
  <si>
    <t>ZB03019-11.21</t>
  </si>
  <si>
    <t>0950689045</t>
  </si>
  <si>
    <t>4500181320-20</t>
  </si>
  <si>
    <t>ZB02925-11.15</t>
  </si>
  <si>
    <t>4500178919-110</t>
  </si>
  <si>
    <t>01352125</t>
  </si>
  <si>
    <t>4500181487-10</t>
  </si>
  <si>
    <t>日期码格式：ZURU INC(BVI) 标准格式 日期：按实际生产日期
Packaging Info: 2L NA UPC 版
Remark: 出加拿大
Zuru验货.日期跟踪码：产品外包装及产品本身都必须有日期跟踪码，ZURU标准格式日期码</t>
  </si>
  <si>
    <t>96967-11.18</t>
  </si>
  <si>
    <t>01344688</t>
  </si>
  <si>
    <t>4500181470-10</t>
  </si>
  <si>
    <t>96965-11.18</t>
  </si>
  <si>
    <t>01344690</t>
  </si>
  <si>
    <t>4500181471-10</t>
  </si>
  <si>
    <t>96966-11.18</t>
  </si>
  <si>
    <t>4500180232-60</t>
  </si>
  <si>
    <t>日期码格式：ZURU INC(BVI) 标准格式 日期：按实际生产日期
Packaging Info: MA 最新UPC包装，各款的条码如下，请先检查条码是否正确再安排做货，如有问题请告知,配比跟MA
6.77711GQ2-S003-INT: MA 3L INT版本收缩膜+1张UPC贴纸（UPC#193052080134）+ MA INT版本5L收藏指南+MA INT 版本 3L PDQ+其他MA最新包装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</si>
  <si>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ZMPO250963</t>
  </si>
  <si>
    <t>2套散件</t>
  </si>
  <si>
    <t>Remark：大货版本/只需要左图款指定散件/麻烦用胶袋分装好一套为一袋；备注：  收到订单后请尽快安排，谢谢</t>
  </si>
  <si>
    <t>97085-11.29</t>
  </si>
  <si>
    <t>ZMPO250958</t>
  </si>
  <si>
    <t>Remark:大货最新版本;备注： 收到样品订单后尽快安排 ，注意样板品质量要求要高于大货品质质量 ,谢谢！</t>
  </si>
  <si>
    <t>97080-11.29</t>
  </si>
  <si>
    <t>4500180054-20</t>
  </si>
  <si>
    <t>1张进口商贴纸+1张UPC条码贴纸覆盖原条码(UPC贴纸显示款号77782，条码193052089533）</t>
  </si>
  <si>
    <t>日期码格式：ZURU INC(BVI) 标准格式 日期：按实际生产日期
Packaging Info: 92121-MA1L包装+MA5L收藏指南
其他items MA UPC包装(优先1L)，无需加贴纸;
77782GQ1是77711国际版的客版item;使用拉美订单的客版收缩膜及PDQ AW
"WITH 4 DEMO; Base on #77711GQ2-S001-INT ver.:Remove Hershey and Kikkoman, Kikkoman-Soy Sauce
Hershey's-Chocolate Syrup 24 oz
Hershey's-Mini Chocolate Syrup 24 oz
Hershey's-Strawberry Syrup 22 oz"
77782GQ1-MA EAN包装（3L)+1张进口商贴纸+1张UPC条码贴纸覆盖原条码(UPC贴纸显示款号77782，条码193052089533）
客版PDQ+收藏指南跟回拉美的订单4500161302;
Remark: 77673-Filxed Collection
92121-7 Assortment. Elephant: Capybara: Mole: Bolb Fish: Kangaroo: Bunny: Panda= 10: 10: 10: 10: 10: 8: 2. Panda is the rare item.</t>
  </si>
  <si>
    <t>0948877829</t>
  </si>
  <si>
    <t>4500181113-10</t>
  </si>
  <si>
    <t>11/12 第三方验货</t>
  </si>
  <si>
    <t>ZB03017-11.21</t>
  </si>
  <si>
    <t>0948877858</t>
  </si>
  <si>
    <t>4500181113-20</t>
  </si>
  <si>
    <t>ZB03018-11.21</t>
  </si>
  <si>
    <t>进口商贴纸,贴纸图稿及位置图翻4500163177</t>
  </si>
  <si>
    <t>日期码格式：ZURU INC(BVI) 标准格式 日期：按实际生产日期
Packaging Info: 此单出HK, 贴纸由客户提供
77785：客版MA 3L UPC 彩盒+客供警语贴纸（具体贴纸位置参考HK客供贴纸位置图）
77785 =2pcs 77711+1pcs 77673
77785：1张客供警语贴+1张客供电池警语贴纸
（77785里的77711 （INT): MA 3L 收缩膜+1张空白贴纸覆盖条码+MA 收藏指南+ MA 说明书+球底部贴1张客供警语贴纸，收藏指南贴一张客供警语贴纸，说明书贴一
张客供警语贴纸）
（具体贴纸位置参考HK客供贴纸位置图）
Remark:</t>
  </si>
  <si>
    <t>PO# 35464</t>
  </si>
  <si>
    <t>4500181018-20</t>
  </si>
  <si>
    <t>ZB03045-11.22</t>
  </si>
  <si>
    <t>INDIGO CANADA</t>
  </si>
  <si>
    <t>4500181432-10</t>
  </si>
  <si>
    <t>有价格贴纸 (Low Tack ,must peel off easily without leaving adhesive residue)
 有shipping label (贴4面）</t>
  </si>
  <si>
    <t>日期码格式：ZURU INC(BVI) 标准格式 日期：按实际生产日期
Packaging Info: 77711GQ1 MA 2L A版（PDQ+收缩膜UPC版本193052080127)
Remark: 出加拿大
有价格贴纸 (Low Tack ,must peel off easily without leaving adhesive residue)
有shipping label (贴4面）
Zuru验货.日期跟踪码：产品外包装及产品本身都必须有日期跟踪码，ZURU标准格式日期码。</t>
  </si>
  <si>
    <t>96978-11.19</t>
  </si>
  <si>
    <t>2025ZURU25</t>
  </si>
  <si>
    <t>4500181143-10</t>
  </si>
  <si>
    <t>2025/9/30（此单外箱可以消耗之前取消的订单4500148922 77485GQ6 46个外箱，这个外箱跟77711GQ1一样大刚好可以加水贴纸消耗）</t>
  </si>
  <si>
    <t>日期码格式：ZURU INC(BVI) 标准格式 日期：按实际生产日期
Packaging Info: 77711GQ1 MA 2L A版（PDQ+收缩膜UPC版本193052080127).
此单外箱可以消耗之前取消的订单4500148922 77485GQ6 46个外箱，这个外箱跟77711GQ1一样大刚好可以加水贴纸消耗
Remark: 出加拿大
Zuru验货.日期跟踪码：产品外包装及产品本身都必须有日期跟踪码，ZURU标准格式日期码。（箱唛日期码按跟单提供格式）</t>
  </si>
  <si>
    <t>96977-11.19</t>
  </si>
  <si>
    <t>4500181278-120</t>
  </si>
  <si>
    <t>多语警语贴纸+</t>
  </si>
  <si>
    <t>日期码格式：ZURU INC(BVI) 标准格式 日期：按实际生产日期
Packaging Info: 
77711GQ1: 最新MA PDQ+最新 MA 3L EAN 收缩膜 +1*多语折叠警告语贴纸（翻单4500157858） + MA 5L收藏指南+ MA 23L说明书+ MA UV胶黑白警告语 + MA纸袋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</si>
  <si>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97063-11.29</t>
  </si>
  <si>
    <t>0952702261</t>
  </si>
  <si>
    <t>4500182421-10</t>
  </si>
  <si>
    <t>日期码格式：ZURU DGYYYYMMDD CHINA(日期避开周末和法定节假日即可） 日期：按实际生产日期
Packaging Info: 77711GQ4-S001-NA
 1.包装要求：
 MA 1L A版收缩膜+MA 2L B版收藏指南+MA B版说明书+客版1L PDQ
每pcs产品上要贴1张RFID贴纸，贴纸由ZURU提供，贴纸位置请严格按照我们签回的签板；
Remark: 77711GQ4-S001-NA
 1.包装要求：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carton出货，16pcs/PDQ/CTN</t>
  </si>
  <si>
    <t xml:space="preserve"> Maggie Xie</t>
  </si>
  <si>
    <t>ZB02952-11.18</t>
  </si>
  <si>
    <t>0952702453</t>
  </si>
  <si>
    <t>4500182421-20</t>
  </si>
  <si>
    <t>VEDES GROSSHANDEL GMBH</t>
  </si>
  <si>
    <t>4500180408-30</t>
  </si>
  <si>
    <t>1张PDQ条码贴纸+3LEAN包装+德语警语贴纸</t>
  </si>
  <si>
    <t>日期码格式：189141/12/2025 日期：
Packaging Info: 
77711GQ1: 最新MA 3L PDQ+1张PDQ条码贴纸+3LEAN包装+德语警语贴纸+5L收藏指南/DIY说明书+23L说明书
Remark: 1. 出口欧洲，微塑料需符合法规。
2. 产品，包装，外箱Batch code: 189141/12/2025, 布标按MA日期码即可。
3. 外箱上下需加隔板，以保护开箱时不被划破产品。外箱不可打釘及打帶。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</si>
  <si>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97022-11.26</t>
  </si>
  <si>
    <t>4500181762-30</t>
  </si>
  <si>
    <t>日期码格式：ZURU INC(BVI) 标准格式 日期：按实际生产日期
Packaging Info: 
77711GQ1: 最新MA PDQ+最新MA 3L EAN 收缩膜 +1*多语折叠警告语贴纸（翻单4500157858） + MA5L收藏指南+ MA 23L说明书+ MA UV胶黑白警告语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33 rue Paul Meurice 75020 Paris,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</si>
  <si>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97054-11.28</t>
  </si>
  <si>
    <t>需要申请6套大货样</t>
  </si>
  <si>
    <t>77785 中文3C贴纸+77785 中文收藏指南 +芯片码</t>
  </si>
  <si>
    <t>4500179260-20</t>
  </si>
  <si>
    <t>77711GQ5-S001-INT</t>
  </si>
  <si>
    <t>迷你冰箱球8pcs/PDQ/箱</t>
  </si>
  <si>
    <t>日期码格式：ZURU INC(BVI) 标准格式 日期：按实际生产日期
Packaging Info: 77711GQ5：MA多语UPC+进口商贴纸+箱唛
电池要求：
PILA BOTON ALCALINA
Marca:ONLY
Vodelo:1.5V LR44 (3Pcs Batteries for 77673.3X1.5V=4.5V)
Manufacturer. DONGGUAN GUANTE ELECTRONICS TECHNOLOGY CO.LTD.
Remark: 请确保包装上的条形码是UPC，如果是babyUPC，需要用mother UPC覆盖，如有不一致，请及时提出。谢谢!</t>
  </si>
  <si>
    <t>PO#181259</t>
  </si>
  <si>
    <t>4500182590-10</t>
  </si>
  <si>
    <t>日期码格式：ZURU INC(BVI) 标准格式 日期：按实际生产日期
Packaging Info: 7711:
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（14.17pt），条码扫描结果应为7678363。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</si>
  <si>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97056-11.29</t>
  </si>
  <si>
    <t>PO#0037751148</t>
  </si>
  <si>
    <t>4500182778-20</t>
  </si>
  <si>
    <t>外加贴Packing Slip一张</t>
  </si>
  <si>
    <t>ZB03150-11.29</t>
  </si>
  <si>
    <t>4500180519-10</t>
  </si>
  <si>
    <t>日期码格式：ZURU INC(BVI) 标准格式 日期：按实际生产日期
Packaging Info: 1. 77711GQ1:最新MA 3L EAN收缩膜+最新MA 5L收藏指南+最新MA 23L说明书+最新MA 5L creative+最新MA纸袋+最新MA 3L PDQ+多语警语折叠贴纸（含包装缺失的法/
意/西环保标）（翻4500162314）
Remark: 1.西班牙国家内销单，需要通过ZURU 验货结果后才能出货 (工厂需要主动提前同ZURU QC预约验货避免延期出货造成不必要麻烦)；
2.本订单所有 具有 baby items / assorted items 的款式，零售包装上都要用 母 EAN; 外包装警语/说明书都需要有西班牙语+葡萄牙语（简写"PT"或"P"）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货到西班牙被抽检出现问题,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</si>
  <si>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4500180519-20</t>
  </si>
  <si>
    <t>日期码格式：ZURU INC(BVI) 标准格式 日期：按实际生产日期
Packaging Info: 
2. 77711SK1:最新MA3LEAN收缩膜+最新MA5L收藏指南+最新MA23L说明书+最新MA5Lcreative+最新MA纸袋+最新MA展示架+多语警语折叠贴纸（含包装缺失的法/意/西环
保标）（翻4500162314）
Remark: 1.西班牙国家内销单，需要通过ZURU 验货结果后才能出货 (工厂需要主动提前同ZURU QC预约验货避免延期出货造成不必要麻烦)；
2.本订单所有 具有 baby items / assorted items 的款式，零售包装上都要用 母 EAN; 外包装警语/说明书都需要有西班牙语+葡萄牙语（简写"PT"或"P"）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货到西班牙被抽检出现问题,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</si>
  <si>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218461813 DC
086</t>
  </si>
  <si>
    <t>4500182537-10</t>
  </si>
  <si>
    <t>ZB03139-11.28</t>
  </si>
  <si>
    <t>218461838
DC 802</t>
  </si>
  <si>
    <t>4500182537-20</t>
  </si>
  <si>
    <t>0952702307</t>
  </si>
  <si>
    <t>4500182433-10</t>
  </si>
  <si>
    <t>11/26 第三方验货</t>
  </si>
  <si>
    <t>ZB03125-11.27</t>
  </si>
  <si>
    <t>4500182169-90</t>
  </si>
  <si>
    <t>多语警语折叠贴纸（含包装缺失的法/
 意/西环保标）（翻4500162314）</t>
  </si>
  <si>
    <t>日期码格式：ZURU INC(BVI) 标准格式 日期：按实际生产日期
Packaging Info: 
9. 77711GQ1:最新MA 3L EAN收缩膜+最新MA 5L收藏指南+最新MA 23L说明书+最新MA 5L creative+最新MA纸袋+最新MA 3L PDQ+多语警语折叠贴纸（含包装缺失的法/
意/西环保标）（翻4500162314）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</si>
  <si>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4500180498-50</t>
  </si>
  <si>
    <t>UPC贴纸+进口商贴纸) +贴纸+客版PDQ跟回77782GQ1-S001-INT（翻单号4500161302）</t>
  </si>
  <si>
    <r>
      <rPr>
        <sz val="12"/>
        <color rgb="FF3E2CEA"/>
        <rFont val="宋体"/>
        <charset val="134"/>
        <scheme val="minor"/>
      </rPr>
      <t>日期码格式：ZURU INC(BVI) 标准格式 日期：按实际生产日期
Packaging Info: 
77803GQ2-S001-PRODCC-INT: MA 收缩膜(加UPC贴纸+进口商贴纸) +贴纸+客版PDQ跟回77782GQ1-S001-INT（翻单号4500161302）+客版收藏指南（客版包装翻单4500
162410）；</t>
    </r>
    <r>
      <rPr>
        <sz val="12"/>
        <color rgb="FFFF0000"/>
        <rFont val="宋体"/>
        <charset val="134"/>
        <scheme val="minor"/>
      </rPr>
      <t xml:space="preserve"> PDQ+进口商贴纸</t>
    </r>
    <r>
      <rPr>
        <sz val="12"/>
        <color rgb="FF3E2CEA"/>
        <rFont val="宋体"/>
        <charset val="134"/>
        <scheme val="minor"/>
      </rPr>
      <t>；
客人箱唛排版，印4面，条码内容193052092403
Remark:</t>
    </r>
  </si>
  <si>
    <t>77803GQ2-S001-PRODCC-INT-1L</t>
  </si>
  <si>
    <t>4500180498-60</t>
  </si>
  <si>
    <r>
      <rPr>
        <sz val="12"/>
        <color rgb="FF3E2CEA"/>
        <rFont val="宋体"/>
        <charset val="134"/>
        <scheme val="minor"/>
      </rPr>
      <t xml:space="preserve">日期码格式：ZURU INC(BVI) 标准格式 日期：按实际生产日期
Packaging Info: 
77803SK1:MA 收缩膜(加UPC贴纸+进口商贴纸)+贴纸+客版收藏指南+客版展示架(贴纸翻单4500162410,客版包装翻单4500162410)，外包材统一使用MA 3L; </t>
    </r>
    <r>
      <rPr>
        <sz val="12"/>
        <color rgb="FFFF0000"/>
        <rFont val="宋体"/>
        <charset val="134"/>
        <scheme val="minor"/>
      </rPr>
      <t>SK++进口
商贴纸；</t>
    </r>
    <r>
      <rPr>
        <sz val="12"/>
        <color rgb="FF3E2CEA"/>
        <rFont val="宋体"/>
        <charset val="134"/>
        <scheme val="minor"/>
      </rPr>
      <t xml:space="preserve">
客人箱唛排版，印4面，条码内容193052092403;
Remark:</t>
    </r>
  </si>
  <si>
    <t>PO#41751483</t>
  </si>
  <si>
    <t>4500180252-10</t>
  </si>
  <si>
    <t>ZB02841-11.7</t>
  </si>
  <si>
    <t>4 KIDZ - BIEDRONKA</t>
  </si>
  <si>
    <t>MPO03802</t>
  </si>
  <si>
    <t>PO#450081326/MGQ22-S001</t>
  </si>
  <si>
    <t>77711GQ1-S004-INT</t>
  </si>
  <si>
    <t>迷你冰箱球12pcs/PDQ/箱</t>
  </si>
  <si>
    <t>11/7 送货泰亨</t>
  </si>
  <si>
    <t>UPC条条码码贴贴纸纸+进进口口商商贴贴纸</t>
  </si>
  <si>
    <t>Remark: ① 订单的所有测试与样品要求以跟单的要求为准，且为了避免QC验货拆货来不及补货，请准备适量的贴纸和产品备品。此订单数量只作为大货生
产，不包含样板与备品。
② 关于混装展示架，各工厂交子件到最终母件工厂时，务必要 "带卡板出+围好围膜"。
如果没按要求的，请各工厂自行安排人手卸货。
③ 请贵司确保交货数量准确，与收货方交收清楚，如收货方提出任何异常，请立即安排处理解决。
4. 77711的SPEC# 77711GQ1-S004-INT, 及包装信息： MA A版3L EAN收缩膜+UPC条码贴纸+进口商贴纸; MA A版 1L PDQ (12PCS/PDQ/CTN</t>
  </si>
  <si>
    <t>4500180194-20</t>
  </si>
  <si>
    <t>20250912转实单</t>
  </si>
  <si>
    <t>1张进口商贴纸+1张UPC条码贴纸覆盖原条码(UPC贴纸显示款号77803，条码193052092403）。贴纸资料翻单4500165640</t>
  </si>
  <si>
    <t xml:space="preserve">日期码格式：ZURU INC(BVI) 标准格式 日期：按实际生产日期
Packaging Info: MA UPC包装(优先1L)+1张进口商贴纸
2.77803GQ2是基于STD版本77711GQ2-S001-INT建立的客制spec,移除掉了提到猪肉"pork"的2个minis和4个有license的minis：Veggie Original Sausage Patties(Co
 ntains pork words)
 Singles The Original- Pepperoni (Contains pork words)
 Kikkoman-Soy Sauce (license)
 Hershey's-Chocolate Syrup 24 oz (license)Hershey's-Mini Chocolate Syrup 24 oz (license)Hershey's-Strawberry Syrup 22 oz (license)
除了PDQ和收藏指南，其他包材如收缩膜等都跟STD版本77711GQ2-S001-INT- MA 3L版。所以，77803GQ2-MA EAN包装（3L)+1张进口商贴纸+1张UPC条码贴纸覆盖原条
码(UPC贴纸显示款号77803，条码193052092403）。贴纸资料翻单4500165640。
 客版PDQ+收藏指南跟回拉美的订单4500161302,但是收藏指南要加贴纸遮住以下两个LOGOs,贴纸资料见邮件附件;收藏指南贴纸翻4500170501
 Veggie Original Sausage Patties(Contains pork words)
 Singles The Original- Pepperoni (Contains pork words)
Remark: </t>
  </si>
  <si>
    <t>4500180194-40</t>
  </si>
  <si>
    <t xml:space="preserve">日期码格式：ZURU INC(BVI) 标准格式 日期：按实际生产日期
Packaging Info: MA UPC包装(优先1L)+1张进口商贴纸
2.77803GQ2是基于STD版本77711GQ2-S001-INT建立的客制spec,移除掉了提到猪肉"pork"的2个minis和4个有license的minis：Veggie Original Sausage Patties(Co
ntains pork words)
Singles The Original- Pepperoni (Contains pork words)
Kikkoman-Soy Sauce (license)
Hershey's-Chocolate Syrup 24 oz (license)Hershey's-Mini Chocolate Syrup 24 oz (license)Hershey's-Strawberry Syrup 22 oz (license)
除了PDQ和收藏指南，其他包材如收缩膜等都跟STD版本77711GQ2-S001-INT- MA 3L版。所以，77803GQ2-MA EAN包装（3L)+1张进口商贴纸+1张UPC条码贴纸覆盖原条
码(UPC贴纸显示款号77803，条码193052092403）。贴纸资料翻单4500165640。
客版PDQ+收藏指南跟回拉美的订单4500161302,但是收藏指南要加贴纸遮住以下两个LOGOs,贴纸资料见邮件附件;收藏指南贴纸翻4500170501
Veggie Original Sausage Patties(Contains pork words)
Singles The Original- Pepperoni (Contains pork words)
Remark: </t>
  </si>
  <si>
    <t>AG250254-HK</t>
  </si>
  <si>
    <t>4500181813-10</t>
  </si>
  <si>
    <t>11/28 提货</t>
  </si>
  <si>
    <t>1张UPC 条码贴纸(UPC#193052080134)+HK客供警语贴纸</t>
  </si>
  <si>
    <t>日期码格式：ZURU INC(BVI) 标准格式 日期：按实际生产日期
Packaging Info: 此单出HK
77711GQ1 （INT): MA 3L 收缩膜+1张UPC 条码贴纸(UPC#193052080134) + MA 3L PDQ+MA 5L 收藏指南+HK客供警语贴纸（1张贴球底部，1张贴说明书，1张贴收藏
指南）具体参考HK客供警语贴纸位置图
Remark:</t>
  </si>
  <si>
    <t>97070-11.29</t>
  </si>
  <si>
    <t>4500180436-140</t>
  </si>
  <si>
    <r>
      <rPr>
        <sz val="12"/>
        <color rgb="FF010CDD"/>
        <rFont val="宋体"/>
        <charset val="134"/>
        <scheme val="minor"/>
      </rPr>
      <t>日期码格式：ZURU INC(BVI) 标准格式 日期：按实际生产日期
Packaging Info: 
77803GQ2-S001-PRODCC-INT: MA 收缩膜(加UPC贴纸+进口商贴纸) +贴纸+客版PDQ跟回77782GQ1-S001-INT（翻单号4500161302）+客版收藏指南（客版包装翻单4500
162410）;</t>
    </r>
    <r>
      <rPr>
        <sz val="12"/>
        <color rgb="FFFF0000"/>
        <rFont val="宋体"/>
        <charset val="134"/>
        <scheme val="minor"/>
      </rPr>
      <t xml:space="preserve"> PDQ+进口商贴纸</t>
    </r>
    <r>
      <rPr>
        <sz val="12"/>
        <color rgb="FF010CDD"/>
        <rFont val="宋体"/>
        <charset val="134"/>
        <scheme val="minor"/>
      </rPr>
      <t xml:space="preserve">
客人箱唛排版，印4面，条码内容193052092403
Remark:</t>
    </r>
  </si>
  <si>
    <t>4500180436-150</t>
  </si>
  <si>
    <r>
      <rPr>
        <sz val="12"/>
        <color rgb="FF010CDD"/>
        <rFont val="宋体"/>
        <charset val="134"/>
        <scheme val="minor"/>
      </rPr>
      <t>日期码格式：ZURU INC(BVI) 标准格式 日期：按实际生产日期
Packaging Info: 
77803SK1:MA 收缩膜(加UPC贴纸+进口商贴纸)+贴纸+客版收藏指南+客版展示架(贴纸翻单4500162410,客版包装翻单4500162410)，外包材统一使用MA 3L;</t>
    </r>
    <r>
      <rPr>
        <sz val="12"/>
        <color rgb="FFFF0000"/>
        <rFont val="宋体"/>
        <charset val="134"/>
        <scheme val="minor"/>
      </rPr>
      <t xml:space="preserve"> 展示架+进
口商贴纸</t>
    </r>
    <r>
      <rPr>
        <sz val="12"/>
        <color rgb="FF010CDD"/>
        <rFont val="宋体"/>
        <charset val="134"/>
        <scheme val="minor"/>
      </rPr>
      <t xml:space="preserve">
客人箱唛排版，印4面，条码内容193052092403;
Remark:</t>
    </r>
  </si>
  <si>
    <t>0952702600</t>
  </si>
  <si>
    <t>4500182433-20</t>
  </si>
  <si>
    <t>11/28 第三方验货</t>
  </si>
  <si>
    <t>ZB03152-11.29</t>
  </si>
  <si>
    <t>GULLSK􀃓GAR EHF - DOM</t>
  </si>
  <si>
    <t>SS26</t>
  </si>
  <si>
    <t>4500182255-50</t>
  </si>
  <si>
    <t>EAN 贴纸</t>
  </si>
  <si>
    <t>日期码格式：ZURU INC(BVI) 标准格式 日期：按实际生产日期
Packaging Info: 
 77711GQ1: MA EAN 3L + MA PDQ
Remark: 1/ 配比：
 2/产品和包装要求无硼无香，包装不能含有PVC
3/如有微塑料，必须合规欧洲标准，并增加微塑料合规IFUD声明在说明书上
4/带电池出货的产品，所用到的电池需要符合欧洲电池新规(EU)2023-1542，并增加对应WEEE 说明书</t>
  </si>
  <si>
    <t>4500182434-40</t>
  </si>
  <si>
    <t>张UPC条码贴+ 防盗贴纸（两款贴纸以及防盗贴纸位置图翻单PO#4500160026）+ 箱唛 + 外箱贴纸SSCC L
 abel</t>
  </si>
  <si>
    <r>
      <rPr>
        <sz val="12"/>
        <color rgb="FF010CDD"/>
        <rFont val="宋体"/>
        <charset val="134"/>
        <scheme val="minor"/>
      </rPr>
      <t xml:space="preserve">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2"/>
        <color rgb="FFFF0000"/>
        <rFont val="宋体"/>
        <charset val="134"/>
        <scheme val="minor"/>
      </rPr>
      <t>请注意此订单与NZ PO#4500182442一起合并计算</t>
    </r>
  </si>
  <si>
    <t>4500182649-10</t>
  </si>
  <si>
    <t>日期码格式：ZURU INC(BVI) 标准格式 日期：按实际生产日期
Packaging Info: 1. 77711GQ1:最新MA 3L EAN收缩膜+最新MA 5L收藏指南+最新MA 23L说明书+最新MA 5L creative+最新MA纸袋+最新MA 3L PDQ+多语警语折叠贴纸（含包装缺失的法/
意/西环保标）（翻4500162314）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</si>
  <si>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97141-10.4</t>
  </si>
  <si>
    <t>4500183607-20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</si>
  <si>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以上所有item均：
 1. 产品和包装上均要印刷tracking code信息，格式为ZURU常规格式;
 2. 出货方式：货代自提</t>
  </si>
  <si>
    <t>4500181254-10</t>
  </si>
  <si>
    <t>77731-S001-NA-MTS</t>
  </si>
  <si>
    <t>冰箱迷你球 PVC圆筒两个装-MTS</t>
  </si>
  <si>
    <t>日期码格式：ZURU INC(BVI) 标准格式 日期：按实际生产日期
Packaging Info: #77731：2PK STD #77711入PVC桶，3L 2PK铜版纸，客版无UPC版本收缩膜翻单4500160498。收藏指南，说明书均为MA 1L标版。（两个球的配比不能重复）。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</si>
  <si>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4500176686-80</t>
  </si>
  <si>
    <t>77711-S004-INT</t>
  </si>
  <si>
    <t>冰箱迷你球13pcs/箱-S004</t>
  </si>
  <si>
    <t>瑞典语警告语贴纸</t>
  </si>
  <si>
    <t>日期码格式：ZURU INC(BVI) 标准格式 日期：按实际生产日期
Packaging Info: 
77711-S004-INT:77711-S004-INT:MA A 3L EAN 收缩膜+瑞典语警告语贴纸+5L_Global-B版指导书+23L 警语说明书+MA 其他包装+内袋贴纸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77711-S004-INT-4894680043350</t>
  </si>
  <si>
    <t>77711-S004-INT-3L</t>
  </si>
  <si>
    <t>4500178919-170</t>
  </si>
  <si>
    <t>防串码贴纸</t>
  </si>
  <si>
    <t>日期码格式：ZURU INC(BVI) 标准格式 日期：按实际生产日期
Packaging Info:
C. 77711GQ1 MA PDQ +外挂中文收藏指南+中文说明书+黑白警告语+收缩膜年龄贴（8+） 翻单： 4500170580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</si>
  <si>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4500178919-180</t>
  </si>
  <si>
    <t>0952702253</t>
  </si>
  <si>
    <t>4500183713-10</t>
  </si>
  <si>
    <t>11/27第三方验货</t>
  </si>
  <si>
    <t>ZB03151-11.29</t>
  </si>
  <si>
    <t>0952702278</t>
  </si>
  <si>
    <t>4500183713-20</t>
  </si>
  <si>
    <t>0952702345</t>
  </si>
  <si>
    <t>4500183713-30</t>
  </si>
  <si>
    <t>12/3 第三方验货</t>
  </si>
  <si>
    <t>4500182865-10</t>
  </si>
  <si>
    <t>1L的空白条码贴纸+价格贴纸(价贴金额$19.99, 价贴位于PVC桶铜版纸UPC条形码附
 近）价贴资料翻单4500174833</t>
  </si>
  <si>
    <t>日期码格式：ZURU INC(BVI) 标准格式 日期：按实际生产日期
Packaging Info: 1. 包材：
#77731: 球使用NA版本2L的空白条码贴纸+2L 英法版本 收藏指南 + 23L 说明书 + 3L UPC 铜版纸 + 价格贴纸(价贴金额$19.99, 价贴位于PVC桶铜版纸UPC条形码附
近）价贴资料翻单4500174833，工厂采购，出口美国。
Remark: 2.日期跟踪码：产品包装及产品本身都必须有日期跟踪码，并且确保两者的日期跟
踪码要一致；ZURU标准格式日期码(请自行调整具体年月日生产期，但不能为周末）。
3. 出货后请尽快发发票给我们文员对账；
4. 订单外箱：
*只需在外箱4面的正上方印ZURU LOGO；3面印MADE INCHINA字样，一面留空贴外箱贴；
*外箱正面需要额外加贴2张外箱贴（外箱贴客户提供，工厂直接贴）；
*外箱贴位置：shipping label贴于外箱正面左下角；product label贴于外箱正面右下角，2张贴纸都需距离外箱边缘至少3CM。
5. 此客户有两个PO:
PO# 2050736 ship to NJ
PO# 2050737 ship to NV
6. 出货配比：ZURU 标版配比</t>
  </si>
  <si>
    <t>4500182865-20</t>
  </si>
  <si>
    <t xml:space="preserve"> PPTOYS PTE LTD (SG)</t>
  </si>
  <si>
    <t xml:space="preserve"> ZU25091201SG</t>
  </si>
  <si>
    <t>4500183523-10</t>
  </si>
  <si>
    <t>UPC条码贴纸+1张固定进口商贴纸, 所有贴纸的图稿及位置图翻4500163177</t>
  </si>
  <si>
    <t>日期码格式：ZURU INC(BVI) 标准格式 日期：按实际生产日期
Packaging Info: 77711GQ1 MA EAN 3L包装+UPC条码贴纸+1张固定进口商贴纸
所有贴纸的图稿及位置图翻单如下
77711GQ1-4500163177
7127-4500141207
Remark: 77711GQ1-2.3692%The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
7127-Green/Grey=1:1;</t>
  </si>
  <si>
    <t xml:space="preserve"> Emma Wu</t>
  </si>
  <si>
    <t>97155-12.6</t>
  </si>
  <si>
    <t>FB13930</t>
  </si>
  <si>
    <t>4500183275-60</t>
  </si>
  <si>
    <t>客户EAN条码贴纸覆盖原条码位置,&lt;(&gt;,&lt;)&gt; EAN贴纸返单4500177198，条码请核对5056296049471，PQD右后要加数量贴纸，翻单450017
 7198</t>
  </si>
  <si>
    <t>日期码格式：ZURU INC(BVI) 标准格式 日期：按实际生产日期
Packaging Info: 
77711GQ1: MA-3L 配套包装+ 客户EAN条码贴纸覆盖原条码位置,&lt;(&gt;,&lt;)&gt; EAN贴纸返单4500177198，条码请核对5056296049471，PQD右后要加数量贴纸，翻单450017
7198
其他：MA+客户EAN条码贴纸，条码贴纸待提供。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</si>
  <si>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4500176094-10</t>
  </si>
  <si>
    <t>日期码格式：ZURU INC(BVI) 标准格式 日期：按实际生产日期
Packaging Info: 77782GQ1:MA 多语包装（用77711的收缩膜）+客版收藏指南+客版PDQ+进口商贴纸+UPC贴纸+箱唛，客版物料翻单PO4500161302
Remark: 进口商贴纸内容会显示日期码为：2025-12，包装/产品/外箱可按ZURU标准日期码，不需要跟回进口商贴纸上的日期码
77782GQ1:WITH 4 DEMO; Base on #77711GQ2-S001-INT ver.:Remove Hershey and Kikkoman, Kikkoman-Soy SauceHershey's-Chocolate Syrup 24 oz
Hershey's-Mini Chocolate Syrup 24 oz
Hershey's-Strawberry Syrup 22 oz</t>
  </si>
  <si>
    <t>97176-12.10</t>
  </si>
  <si>
    <t>4500181141-60</t>
  </si>
  <si>
    <t>日期码格式：ZURU INC(BVI) 标准格式 日期：按实际生产日期
Packaging Info: 
77782GQ1:MA 多语包装（用77711的收缩膜）+UPC贴纸+进口商贴纸+客版收藏指南+客版PDQ+箱唛，客版收藏指南+客版PDQ翻单POPO4500161302
Remark: 进口商贴纸内容会显示日期码为：2025-12，包装/产品/外箱可按ZURU标准日期码，不需要跟回进口商贴纸上的日期码
77782GQ1:WITH 4 DEMO; Base on #77711GQ2-S001-INT ver.:Remove Hershey and Kikkoman, Kikkoman-Soy SauceHershey's-Chocolate Syrup 24 oz
Hershey's-Mini Chocolate Syrup 24 oz
Hershey's-Strawberry Syrup 22 oz</t>
  </si>
  <si>
    <t>97180-2-12.10</t>
  </si>
  <si>
    <t>1张空白贴纸覆盖条码+球底部贴1张客供警语贴纸，收藏指南贴一张客供警语贴纸，说明书贴一
 张客供警语贴纸）</t>
  </si>
  <si>
    <t>日期码格式：ZURU INC(BVI) 标准格式 日期：按实际生产日期
Packaging Info: 此单出HK,
77785：客版MA 3L UPC 彩盒+客供警语贴纸（具体贴纸位置参考HK客供贴纸位置图）
77785 =2pcs 77711+1pcs 77673
77785：1张客供警语贴+1张客供电池警语贴纸
（77785里的77711 （INT): MA 3L 收缩膜+1张空白贴纸覆盖条码+MA 收藏指南+ MA 说明书+球底部贴1张客供警语贴纸，收藏指南贴一张客供警语贴纸，说明书贴一
张客供警语贴纸）
Remark:</t>
  </si>
  <si>
    <t>FAMILY DOLLAR SERVICES, LLC.</t>
  </si>
  <si>
    <t>客户PO#
49878299</t>
  </si>
  <si>
    <t>4500182810-10</t>
  </si>
  <si>
    <t>77711GQ6-S001-NA</t>
  </si>
  <si>
    <t>产前样5套：产前样5套要求在 2025/10/31 前寄给深圳办公室跟单Jenny Liu</t>
  </si>
  <si>
    <t>彩色贴纸，每箱两张彩色贴纸，客供防盗贴</t>
  </si>
  <si>
    <t>日期码格式：ZURU INC(BVI) 标准格式 日期：2025-11-20
Packaging Info: 1)客版PDQ，最新版ZURU MA UPC包装(优先1L)，出口美国。如有说明书请使用ZURU MA说明书，优先放1L英语。
2)ZURU标准日期码格式：工厂城市缩写+生产年月日。此单指定日期码：DG20251120。
3)外箱箱唛正侧相邻两面粘贴产品彩色贴纸，每箱两张彩色贴纸, 彩色产品贴纸待跟单提供。如侧唛位置放不下彩贴和唛头信息，可改为放两个正唛。无论是正唛+
侧唛或者是两个正唛，唛头信息和彩贴需放在同一个面。需要工厂根据外箱尺寸建议预估的彩贴尺寸给跟单。箱唛需排版给跟单确认。
4) 每个球贴一张客供防盗贴，贴在收缩膜上，防盗贴由跟单采购，供应商直接发货到工厂。防盗贴贴纸位置由跟单提供。
Remark: 客户PO# 49878299
客户SKU# 1004126
1）Item#77711GQ6-S001-NA
2) 样品
产前样5套：产前样5套要求在 2025/10/31 前寄给深圳办公室跟单Jenny Liu，需转寄给美国客户确认，客户确认了产前样之后，会寄回一套给工厂，工厂需按照已
确认的产前样安 排大货生产。做产前样前需和跟单确认产品包装日期码和产品上日期码的打码位置+格式，要求是和大货一样的日期码，指定大货日期码为：DG202
51120）。此单客版PDQ需等客户确认产前样后才可以开始大货印刷。
大货样2套：大货样2套需在大货物料到厂后开始上线第一天寄出给深圳办公室；大货样需要同大货一个产线， 所有东西完全同大货一样（大货样外箱没有要求）, 1
套我们需转寄客人审批出货；1套跟单需留样（请尽量安排早点寄出以便客人早点批出货！）
1套样板 =6pcs球带1个客版PDQ+1套光身样散件
6 PCS/ PDQ = 6个球入一个PDQ
3) 此单无第三方验货+抽样测试，ZURU QC验货PASS后，跟单得到客户的approval之后方可安排出货
4) 大货外箱材积绝对不可大于下述数据，材积只接受3%的变小；重量正负不得超过以下列出数据的5%，接受外箱以印章方式印上实际毛重。
大货外箱尺寸请保持：21.3*12.8*29.5 cm (即8.39*5.04*11.61 inch)，材积必须不能大于0.2825 CubeFeet（即0.0080 CBM); 外箱毛重 1.45 LBS（即0.66 KGS）
5) 大货配比：
Item#77711GQ6-S001-NA
S001-NA-MINI BRANDS-FILL THE FRIDGE-SERIES 1-CAPSULE,1FACING6PCS/GRAVITY PDQ,6PCS/PDQ/CTN
UPC:193052080127
Contain UV GLUE/ 1 Refrigerator Magnet.
1FACING 6PCS/GRAVITY PDQ/CTN;1W*2D*3H=6PCS/PDQ
6) 客户Family Dollar不允许少数出货，必须按照PO上的数量出货，也不允许延期，否则会有罚款
7) 客户要求:"产品和包装不能含有PFAS 物质以及1,4 dioxane",请确保产品可以过美国标准测试。
8)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</si>
  <si>
    <t>Jenny Liu/Shirley</t>
  </si>
  <si>
    <t xml:space="preserve"> COOP NORGE HANDEL AS - DOM</t>
  </si>
  <si>
    <t>4500183542-20</t>
  </si>
  <si>
    <t>警告语贴纸（翻单4500162231）</t>
  </si>
  <si>
    <t>日期码格式：ZURU INC(BVI) 标准格式 日期：按实际生产日期
Packaging Info:
 77711GQ2:MA EAN 3L+警告语贴纸（翻单4500162231）
Remark: 1/ 工厂货号77555GQ1-客户货号7223866-彩盒条码4894680033429-外箱条码10193052064261；
77711GQ2-7254555-4894680043350-10193052080131
 2/ 产品和包装要求无硼无香，包装不能含有PVC
 3/ 如有微塑料，必须合规欧洲标准，闪粉也是微塑料的一种，目前仅接受三张方式1.去除，2.用可降解材料，和3. 永久封印在固体。
 4/ 此订单有第三方验货, 77555验货样请用4500178606，77711验货样用于4500162231</t>
  </si>
  <si>
    <t xml:space="preserve"> Zoe Zhou</t>
  </si>
  <si>
    <t>TJX COMPANIES, INC</t>
  </si>
  <si>
    <t>Marshalls
PO#533156,SKU
#892300
DC#881-204PCS
,
DC#884-156PCS
,
DC#886-240PCS
,
DC#887-192PCS
,
DC#888-204PCS</t>
  </si>
  <si>
    <t>4500183797-80</t>
  </si>
  <si>
    <t>价格贴纸.无条码收缩膜或加空白贴纸覆盖原条码</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</si>
  <si>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分5个DC出货，每款产品每个DC的箱唛资料不同。具体分DC数量，请参考后面行项目备注。
3. ZURU QC验货</t>
  </si>
  <si>
    <t>TJ MAXX
PO#533249,SKU
#170721
DC#891-264PCS
,
DC#894-180PCS
,
DC#896-288PCS
,
DC#897-228PCS
,
DC#898-240PCS</t>
  </si>
  <si>
    <t>4500183798-80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</si>
  <si>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分5个DC出货，每款产品每个DC的箱唛资料不同。具体分DC数量，请参考后面行项目备注。
3. ZURU QC验货。</t>
  </si>
  <si>
    <t>4500184367-10</t>
  </si>
  <si>
    <t>11/21 寄出</t>
  </si>
  <si>
    <t>日期码格式：ZURU INC(BVI) 标准格式 日期：按实际生产日期
Packaging Info: 1. STD Items
Remark: 1. Cus Item
#77731：MA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</si>
  <si>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PO#2950867423</t>
  </si>
  <si>
    <t>4500182625-10</t>
  </si>
  <si>
    <t>一张slip sheet贴纸</t>
  </si>
  <si>
    <t>日期码格式：ZURU INC(BVI) 标准格式 日期：按实际生产日期
Packaging Info: 77711SLB-S001-INT
77711GQ1-S002-INT: MA NA版本1L UPC收缩膜+MA INT 版本5L收藏指南+MA INT版本3L PDQ+MA 23L说明书+其他MA最新包材
UPC#193052080127,请先检查条码是否正确再安排做货
Slip sheet: 13pcs/PDQ/CTN 15*5H=75CTN/SLB=975pcs/Slip Sheet; 一共需要6套slip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</si>
  <si>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4500183001-80</t>
  </si>
  <si>
    <t>日期码格式：ZURU INC(BVI) 标准格式 日期：按实际生产日期
Packaging Info: 
 77731 英法客版铜版纸，upc 193052085115, MA 2L 收缩膜 多语多明书
Remark: 出加拿大
 有客供价格贴
 每行对应不同的客户PO，唛头要一一对应， 放唛头时跟单会提供清单
 Zuru验货.日期跟踪码：产品外包装及产品本身都必须有日期跟踪码，ZURU标准格式
 日期码</t>
  </si>
  <si>
    <t>97179-12.10</t>
  </si>
  <si>
    <t>77731-NA-S001-MTS-2L</t>
  </si>
  <si>
    <t>4500183043-180</t>
  </si>
  <si>
    <t>日期码格式：ZURU INC(BVI) 标准格式 日期：按实际生产日期
Packaging Info:
 77731 英法客版铜版纸，upc 193052085115, MA 2L 收缩膜 多语多明书
Remark: 出加拿大
 有客供价格贴
 每行对应不同的客户PO，唛头要一一对应， 放唛头时跟单会提供清单
 Zuru验货.日期跟踪码：产品外包装及产品本身都必须有日期跟踪码，ZURU标准格式
 日期码</t>
  </si>
  <si>
    <t>97178-12.10</t>
  </si>
  <si>
    <t>4500183043-260</t>
  </si>
  <si>
    <t>4500183696-110</t>
  </si>
  <si>
    <t>4500183696-120</t>
  </si>
  <si>
    <t>4500183696-130</t>
  </si>
  <si>
    <t>4500183696-140</t>
  </si>
  <si>
    <t>4500183696-150</t>
  </si>
  <si>
    <t>AG250325-HK</t>
  </si>
  <si>
    <t>4500185734-10</t>
  </si>
  <si>
    <t>28JLC2
DC 96000</t>
  </si>
  <si>
    <t>4500187121-20</t>
  </si>
  <si>
    <t>77711SLB-S002-NA</t>
  </si>
  <si>
    <t>冰箱迷你球48pcs/箱/15箱装1卡板（胶袋装）</t>
  </si>
  <si>
    <t>4500181787/4500182514/4500181793/4500183277改下新单4500187121打slip sheet</t>
  </si>
  <si>
    <t>日期码格式：DOLLAR GENERAL 客日期码 日期：
Packaging Info: 客版收缩膜+客版PDQ，打纸滑托盘SLIP SHEET出货。
Remark: 此单是以下四张FOB订单的转单，因转单后客户要求出货加纸滑托盘SLIP SHEET，我们将以下四张订单删除，产品spec做了更新。 但是产品+外箱还是用这四单的物
料。
4500181787
4500181793
4500182514
4500183277
改物料后的item号是：
#77711GQ5-S002-NA-PKC 改为
#77711SLB-S002-NA-MINI BRANDS-FILL THE FRIDGE-SERIES 1-CAPSULE,8PCS/GRAVITY PDQ/POLYBAG,48PCS/6POLYBAG/CTN,720PCS/15CTN/SLIP SHEET
托盘上打的产品是4500181787,4500181793,4500182514,4500183277 #77711GQ5-S002-NA-PKC ，因托盘需要整数，此款原订单数量是97392pcs，改打托后最终数量更
新为97200pcs（共135个托），原单余数的呆滞料有192pcs，后续如果有订单不做第三方的前提下可以消耗掉。
特别注意： 此款客户分了21个DC的数量下单，整柜到美国客户CIC仓库后需要以整托方式分发到21个DC，请根据订单所下行项目数量以DC为单位分别打托，客户不接
受混款以及混DC打托。我们会邮件提供每个DC的托盘贴纸给工厂进行标识区分出每个DC。
稍后邮件发送打slip sheet的loading 方案图。
打托注意事项：
1. DG客户slip sheet尺寸1219.2x1016x1219.2mm
,,长度Length: 48 inches
,,宽度Width: 40 inches
,,高度Height: Not explicitly specified for pallets; slip sheet builds are typically double stacked to about 48 inches (4 feet) tall 未明确指定托
盘；薄板建筑通常是双层堆叠，大约48英寸（4英尺）高
,,托盘等级Pallet Grade: No specific grade required, but wood pallets must comply with ISPM 15 (treated and officially marked) 没有特定的等级要求
，但木托盘必须符合ISPM 15（处理和正式标记）。
,,突出部分Overhang: Not allowed—product must fit entirely within pallet footprint 不允许-产品必须完全适合托盘的空间。
,,装载稳定性Load Stability: Loads must be stable and secure for handling and transport货物必须稳定、安全，便于搬运和运输
,,All pallets must be labeled with the Dollar General Purchase Order number and Dollar General destination distribution center. If cartons are
floor loaded, the PO should be listed on each carton.
,, 所有的托盘必须贴上DG采购订单号和DG目的地配送中心的标签。
,,我们计划是40HQ出货，客户允许一个柜子堆叠2层，但是2层中间需要加一个保护片。</t>
  </si>
  <si>
    <t>28JLD7
DC 96590</t>
  </si>
  <si>
    <t>4500187121-50</t>
  </si>
  <si>
    <t>28JLC6
DC 96100</t>
  </si>
  <si>
    <t>4500187121-80</t>
  </si>
  <si>
    <t>28JLD3
DC 96300</t>
  </si>
  <si>
    <t>4500187121-110</t>
  </si>
  <si>
    <t>28JLF4
DC96930</t>
  </si>
  <si>
    <t>4500187121-140</t>
  </si>
  <si>
    <t>28JLD9
DC 96700</t>
  </si>
  <si>
    <t>4500187121-170</t>
  </si>
  <si>
    <t>28JLF0
DC 96800</t>
  </si>
  <si>
    <t>4500187121-200</t>
  </si>
  <si>
    <t>28JLD6
DC 96570</t>
  </si>
  <si>
    <t>4500187121-230</t>
  </si>
  <si>
    <t>28JLD5
DC 96540</t>
  </si>
  <si>
    <t>4500187121-260</t>
  </si>
  <si>
    <t>28JLC9
DC 96140</t>
  </si>
  <si>
    <t>4500187121-290</t>
  </si>
  <si>
    <t>28JLF5
DC 96970</t>
  </si>
  <si>
    <t>4500187121-320</t>
  </si>
  <si>
    <t>28JLD8
DC 96600</t>
  </si>
  <si>
    <t>4500187121-350</t>
  </si>
  <si>
    <t>28JLF1
DC 96900</t>
  </si>
  <si>
    <t>4500187121-380</t>
  </si>
  <si>
    <t>28JLC8
DC 96130</t>
  </si>
  <si>
    <t>4500187121-410</t>
  </si>
  <si>
    <t>28JLC7
DC 96120</t>
  </si>
  <si>
    <t>4500187121-440</t>
  </si>
  <si>
    <t>28JLD0
DC 96150</t>
  </si>
  <si>
    <t>4500187121-470</t>
  </si>
  <si>
    <t>28JLD1
DC 96160</t>
  </si>
  <si>
    <t>4500187121-500</t>
  </si>
  <si>
    <t>28JLD4
DC 96500</t>
  </si>
  <si>
    <t>4500187121-530</t>
  </si>
  <si>
    <t>28JLF2
DC 96910</t>
  </si>
  <si>
    <t>4500187121-560</t>
  </si>
  <si>
    <t>28JLF3
DC 96920</t>
  </si>
  <si>
    <t>4500187121-590</t>
  </si>
  <si>
    <t>28JLD2
DC 96170</t>
  </si>
  <si>
    <t>4500187121-620</t>
  </si>
  <si>
    <t>4500180385-20</t>
  </si>
  <si>
    <t>带客人新logo）可移动材质的价格贴纸（价格贴纸要切易撕线）</t>
  </si>
  <si>
    <t>日期码格式：ZURU INC(BVI) 标准格式 日期：按实际生产日期
Packaging Info: 1. 包装：
77711GQ1：INT-3L-A版本收缩膜+INT 3L PDQ+ (带客人新logo）可移动材质的价格贴纸（价格贴纸要切易撕线）
2. 比例：
77711GQ1: 2.3692%The Original;2.3692%Pepperoni Pizza-Global Version;2.3692%Cheese Pizza-Global Version;2.3692%Hawaiian Pizza-Global Version;2
.3692%Big Dinner Box-Global Version;2.3692%Traditional Wings-Global Version;3.3117%Cooked Loboster;3.3117%Fishes;3.3117%Lamp Chops;3.3117%Brocco
li Florets;3.9658%Eggplant;3.9658%Fruit Tray;3.9658%Oats Jar;3.9658%Kombucha;4.0791%Turmeric Shot;4.0791%Milk;4.0791%Juice;4.0791%Water;1.4215%C
heese Pasta;1.4215%Mashed Potatoes;1.4215%Honey Deli Ham;1.4215%Deli Turkey;1.8953%Morning Star Farms Sausage Patties;1.8953%Thick Cut Bacon;1.8
953%Thick Cut Stack Pack;1.9709%Homestyle Waffles;1.9709%Soft Pretzels;1.9709%Pretzel Dogs;0.8241%Chow Mein;0.8241%Broccoli Beef;0.8241%Orange C
hicken;0.8241%Jamoca Almond Fudge Ice Cream;0.9477%Oreo Cookies'N Cream Ice Cream;0.9477%Tropical Punch;0.9477%Classic Grape;0.8241%O-mazing Or
ange;0.8241%The OG;0.8241%Sweet Strawberry;0.8241%Original;0.6249%Unicorn Cake;0.6249%Pancakes;0.6249%Burgers and Fries;0.5686%Sushi;0.5686%Froz
en Chicken;0.5686%Tiramisu;0.5686%Eggs;0.5686%Ice;0.5253%Mini Chocolate;0.5253%Mini Strawberry Vanilla;0.5253%Mini The OG;0.5253%Mini Oreo Cooki
es'N Cream Ice Cream;0.3399%Pudding;0.3399%Pops
Remark: 1.此单出新西兰
2.CRD日期基于我司 QC完成验货;
3.请确保发货100%的订单数量/ sku;
4.箱唛请按邮件确认的文档
5.我司验货日期(请联系Mia Yu Mia.yu@zuru.com提前预定验货日期)，预约验货至少需在完货日期前一周申请</t>
  </si>
  <si>
    <t>Jess Huang</t>
  </si>
  <si>
    <t xml:space="preserve"> 56357/2025/1</t>
  </si>
  <si>
    <t>4500183478-10</t>
  </si>
  <si>
    <t>日期码格式：ZURU INC(BVI) 标准格式 日期：按实际生产日期
Packaging Info: 77711GQ2: A 版 3L MA EAN收缩膜+进口商贴纸；B 版 5L MA 收藏指南/A 版 3L MA PDQ
Remark: 1、若产品有比例使用ZURU STD 比例
 2、所有item 均用MA EAN条码，若包装上的EAN 条码与PO 不一致的请告知
 baby EAN：
 3、此单出欧洲需满足EU测</t>
  </si>
  <si>
    <t>0952702356</t>
  </si>
  <si>
    <t>4500183718-10</t>
  </si>
  <si>
    <t>0952702382</t>
  </si>
  <si>
    <t>4500183718-20</t>
  </si>
  <si>
    <t>0952702545</t>
  </si>
  <si>
    <t>4500183718-40</t>
  </si>
  <si>
    <t xml:space="preserve"> WALGREENS CO.</t>
  </si>
  <si>
    <t>4500183538-70</t>
  </si>
  <si>
    <t>11/3.</t>
  </si>
  <si>
    <t>WIC 贴纸 （WIC # 750358）</t>
  </si>
  <si>
    <t>日期码格式：ZURU INC(BVI) 标准格式 日期：12-11-2025
Packaging Info: MA 1L 收缩膜 + WIC 贴纸 （WIC # 750358） + MA 收藏指南 + 客版PDQ + PDQ折页（放在PDQ顶部，开箱可以看到）
Remark: 产品和包装上要有zuru标准格式tracking code DG20251211, 产品和包装的日期要一致 ，如果无法一致需要提前确认。
取消11/21 抽板，此单只需要在 12/10 前完成 100%数量并通过ZURU 验货就可以出货
请确保所来来料测试符合美国联邦和各州法规后才可以做大货。收到订单后请寄出两套大货样给到公司，谢谢</t>
  </si>
  <si>
    <t>4500183538-10</t>
  </si>
  <si>
    <t>4500183538-20</t>
  </si>
  <si>
    <t>4500183538-30</t>
  </si>
  <si>
    <t>4500183538-40</t>
  </si>
  <si>
    <t>4500183538-50</t>
  </si>
  <si>
    <t>4500183538-60</t>
  </si>
  <si>
    <t>0952702424</t>
  </si>
  <si>
    <t>4500184387-20</t>
  </si>
  <si>
    <t>4500182971-20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</si>
  <si>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以上所有item均：
1. 产品和包装上均要印刷tracking code信息，格式为ZURU常规格式;
2. 出货方式：货代自提</t>
  </si>
  <si>
    <t>4500183825-70</t>
  </si>
  <si>
    <t>可折叠贴纸</t>
  </si>
  <si>
    <t>日期码格式：ZURU INC(BVI) 标准格式 日期：按实际生产日期
Packaging Info: 
77711SK1-S002-INT//MA 3L EAN版收缩膜4894680043350+可折叠贴纸+MA paper bag+瑞典芬兰爱沙尼亚语警告语贴在纸袋子上+MA 展示架+MA 5L(23L warning)收藏
指南+MA 23L说明书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77773SK1-S002//3PCS AG13 BATTERIES(INCLUDED)</t>
  </si>
  <si>
    <t>Luna</t>
  </si>
  <si>
    <t>4500183825-60</t>
  </si>
  <si>
    <t>可折叠贴纸+MA paper bag+瑞典芬兰爱沙尼亚语警告语贴在纸袋子上)</t>
  </si>
  <si>
    <t>日期码格式：ZURU INC(BVI) 标准格式 日期：按实际生产日期
Packaging Info: 7
77711GQ2-S002-INT//MA 3L EAN版收缩膜4894680043350+可折叠贴纸+MA paper bag+瑞典芬兰爱沙尼亚语警告语贴在纸袋子上+MA 3L PDQ+MA 5L(23L warning)收藏
指南+MA 23L说明书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77773GQ1-S002//3PCS AG13 BATTERIES(INCLUDED)</t>
  </si>
  <si>
    <t>Amazon DE:
8YQAP4WA</t>
  </si>
  <si>
    <t>4500182289-10</t>
  </si>
  <si>
    <t>1张空白贴纸+1张IT环保标贴纸(参考翻单PO#4500158623）；+SCC LABEL一张</t>
  </si>
  <si>
    <t>日期码格式：ZURU INC(BVI) 标准格式 日期：按实际生产日期
Packaging Info: Amazon UK(92119E/77731/71152)/DE(15710B/15763E/71152/77731/92119G)
2.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ES环保标+GPSR邮箱care@zuru.com，参考翻单PO#4500158623)+1张IT环保标贴纸(参考翻单PO#4500158623）；
6. 验货时间不迟于2025/12/11.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</si>
  <si>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DE:
7BUJZSCF</t>
  </si>
  <si>
    <t>4500182289-50</t>
  </si>
  <si>
    <t>Amazon UK:
63MDT6TR</t>
  </si>
  <si>
    <t>4500182289-90</t>
  </si>
  <si>
    <t>2L8DB22R</t>
  </si>
  <si>
    <t>4500182436-10</t>
  </si>
  <si>
    <t>日期码格式：ZURU INC(BVI) 标准格式 日期：按实际生产日期
Packaging Info: #77731：2PK STD #77711入PVC桶，3L 2PK铜版纸，客版无UPC版本收缩膜翻单4500181254。收藏指南，说明书均为MA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</si>
  <si>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2GG38DOE</t>
  </si>
  <si>
    <t>4500182436-20</t>
  </si>
  <si>
    <t>14402172 14492162</t>
  </si>
  <si>
    <t>4500184536-70</t>
  </si>
  <si>
    <t>日期码格式：ZURU INC(BVI) 标准格式 日期：按实际生产日期
Packaging Info: 
77711GQ1: 最新MA 3L EAN收缩膜+ MA 3L PDQ+其他最新MA包装;
EAN#4894680043350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9.做货前请先复核包装条码与订单是否一致再安排，对不上的需与ZURU跟单确认再安排</t>
  </si>
  <si>
    <t>4500184266-10</t>
  </si>
  <si>
    <t>进口商贴纸+UPC条码贴纸（覆盖原条码</t>
  </si>
  <si>
    <t>日期码格式：ZURU INC(BVI) 标准格式 日期：按实际生产日期
Packaging Info: 77711GQ1：A 版 3L MA 收缩膜+进口商贴纸+UPC条码贴纸（覆盖原条码）；B 版 5L MA 收藏指南/A 版 3L MA PDQ
Remark: 1、若产品有比例使用ZURU STD 比例
2、所有item 均用MA UPC 条码，若包装不是UPC 条码的请告知
3、此单出欧洲需满足EU测试标准要求</t>
  </si>
  <si>
    <t>Amazon IT:
7GBY6A5S</t>
  </si>
  <si>
    <t>4500182321-20</t>
  </si>
  <si>
    <t>日期码格式：ZURU INC(BVI) 标准格式 日期：按实际生产日期
Packaging Info: Amazon ES(92119B)/IT(77731)
2. 77731：2PK#77711-INT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ES环保标+GPSR邮箱care@zuru.com，参考翻单PO#4500158623)+1张IT环保标贴纸(参考翻单PO#4500158623）；
3. 最迟验货不得晚于2025/12/12;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</si>
  <si>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4500177857-70</t>
  </si>
  <si>
    <t>此单有第三方监柜，不用额外准备备品，会在大货中每款拆1pc，拆了包装的产品会由监装员用客供胶带封好或在外箱上写上""opened by telescope”</t>
  </si>
  <si>
    <t>日期码格式：ZURU INC(BVI) 标准格式 日期：按实际生产日期
Packaging Info:77711GQ2:MA 多语EAN包装+UPC贴纸+进口商贴纸+价标贴纸+箱唛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</si>
  <si>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4500179539-130</t>
  </si>
  <si>
    <t>UPC条码贴纸+进口商贴纸+箱唛，贴纸翻单PO4500160573</t>
  </si>
  <si>
    <t>日期码格式：LOTDGYYYYMMDD 日期：按实际生产日期
Packaging Info: 
11. 77711GQ2：3L MA EAN 收缩膜+UPC条码贴纸+进口商贴纸+MA 5L 收藏指南+MA 3L PDQ+箱唛，贴纸翻单PO4500160573
Remark: 1：客版日期码要求：LOT+ZURU标准日期码格式。东莞生产的格式：LOTDGYYYYMMDD, DG是东莞拼音首字母，YYYYMMDD是实际的年月日
2.
3. 此单有第三方监柜，至少多备一套完整的物料用于监柜，请多备料。
4. WM墨西哥防霉的新要求:货物必须在出货主箱和集装箱中按要求放置干燥剂，干燥剂指定品牌干霸
77711GQ2：每箱需放置6小包干燥剂, 每包重2-3g
5. 如走柜货等loading plan 确认后再通知集装箱干燥剂数量
此单会和其他工厂的产品合并出4*40HC，每个HC需要放置20包干燥剂，每包干燥剂1KG</t>
  </si>
  <si>
    <t>77785-S001</t>
  </si>
  <si>
    <t>无bom</t>
  </si>
  <si>
    <t>ZMPO250976</t>
  </si>
  <si>
    <t>Remark:
大货版本/77711-INT  冰箱球国际版，15个特定球 每个球里面需要有一款左图中这个散件，其余的4款随机，请记得是国际版的球 
备注：收到样品订单后尽快安排 ，谢谢！</t>
  </si>
  <si>
    <t>97079-11.29</t>
  </si>
  <si>
    <t>77711-S001-INT-2</t>
  </si>
  <si>
    <t>ZMPO251016</t>
  </si>
  <si>
    <t>ZMPO251016-10</t>
  </si>
  <si>
    <t>Remark:大货最新版本/麻烦按款号装箱/并在外箱上注明款号/大货标准箱装箱/箱唛参照邮件附件
备注：收到样品订单后尽快安排 ，注意样板品质质量要求要高于大货品质要求 ，送货时必须要附带送货单(没有送货单和QC检验合格报告的仓库一律拒绝收货)，请知悉，谢谢！</t>
  </si>
  <si>
    <t>ZMPO251016-20</t>
  </si>
  <si>
    <t>CUS
PO#4400515791</t>
  </si>
  <si>
    <t>4500182619-10</t>
  </si>
  <si>
    <t>1张法国sorting label贴纸(翻PO#4500182619</t>
  </si>
  <si>
    <t>日期码格式：ZURU INC(BVI) 标准格式 日期：按实际生产日期
Packaging Info: 77711GQ2: 最新MA PDQ(优先3L)+MA-3L EAN收缩膜+1张法国sorting label贴纸(翻PO#4500182619) + MA-23L说明书 + MA-5-23L警语收藏指南 + MA-5L creative说
 明书
 EAN: 4894680043350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</si>
  <si>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4500183596-70</t>
  </si>
  <si>
    <t>客户EAN条码贴纸覆盖原条码位置,&lt;(&gt;,&lt;)&gt; EAN贴纸返单4500177198，条码请核对5056296049471，PQD右后要加数量贴纸，翻
 单4500177198</t>
  </si>
  <si>
    <t>日期码格式：ZURU INC(BVI) 标准格式 日期：按实际生产日期
Packaging Info:
 77711GQ1 77711GQ1: MA-3L 配套包装+ 客户EAN条码贴纸覆盖原条码位置,&lt;(&gt;,&lt;)&gt; EAN贴纸返单4500177198，条码请核对5056296049471，PQD右后要加数量贴纸，翻
 单4500177198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</si>
  <si>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 xml:space="preserve"> Meyya Liu</t>
  </si>
  <si>
    <t>4500183596-100</t>
  </si>
  <si>
    <t>CUS
PO#48329298,
MEL</t>
  </si>
  <si>
    <t>4500185187-10</t>
  </si>
  <si>
    <t>加UPC贴纸：193052080134
箱唛翻单PO#4500160492，贴纸资料和PDQ翻单PO#4500175352</t>
  </si>
  <si>
    <t>CUS
PO#48332908,S
YD</t>
  </si>
  <si>
    <t>4500185187-20</t>
  </si>
  <si>
    <t>CUS
PO#48329417,
BNE</t>
  </si>
  <si>
    <t>4500185187-30</t>
  </si>
  <si>
    <t>4500180735-420</t>
  </si>
  <si>
    <t>(加UPC贴纸+进口商贴纸)+贴纸+(贴纸翻单4500162410,客版包装翻单4500162410)</t>
  </si>
  <si>
    <t>日期码格式：ZURU INC(BVI) 标准格式 日期：按实际生产日期
Packaging Info: 
77803GQ2-S001-PRODCC-INT: MA 收缩膜(加UPC贴纸+进口商贴纸) +贴纸 (进口商贴纸和贴纸都翻单4500162410）；客版PDQ跟回77782GQ1-S001-INT（翻单号450016
1302）+客版收藏指南（客版包装翻单4500162410）
客人箱唛排版，印4面，条码内容193052092403
Qatar的订单需要寄样品给客户进行slime测试（产品含slime的每个item分别准备完整的4套样品）（此单77685GQ2需要寄样）
Remark:</t>
  </si>
  <si>
    <t>0952702342</t>
  </si>
  <si>
    <t>4500184388-10</t>
  </si>
  <si>
    <t>12/25 SI</t>
  </si>
  <si>
    <t>0952702421</t>
  </si>
  <si>
    <t>4500184388-20</t>
  </si>
  <si>
    <t>12/22 入仓</t>
  </si>
  <si>
    <t>0952702523</t>
  </si>
  <si>
    <t>4500184388-30</t>
  </si>
  <si>
    <t>12/26 SI</t>
  </si>
  <si>
    <t>0952702548</t>
  </si>
  <si>
    <t>4500184388-40</t>
  </si>
  <si>
    <t>0952702583</t>
  </si>
  <si>
    <t>4500184388-50</t>
  </si>
  <si>
    <t>4500182578-110</t>
  </si>
  <si>
    <t>UPC贴纸+进口商贴纸+价标贴纸+保证书+箱唛,包装/说明书都需要贴一张进口商贴纸 （</t>
  </si>
  <si>
    <t>日期码格式：ZURU INC(BVI) 标准格式 日期：按实际生产日期
Packaging Info: 77711GQ2:MA 多语 EAN 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</si>
  <si>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4500183410-60</t>
  </si>
  <si>
    <t>12/18入柜</t>
  </si>
  <si>
    <t>日期码格式： 标准格式 日期：按实际生产日期
Packaging Info:
77711GQ2 MA 多语 UPC版本193052080127
Remark: 出加拿大
日期跟踪码：产品外包装及产品本身都必须有日期跟踪码，并且确保两者的日期跟踪码要一致；ZURU标准格式日期码(请自行调整具体年月日生产期，但不能为周末
）</t>
  </si>
  <si>
    <t>AG250326-HK</t>
  </si>
  <si>
    <t>4500185735-10</t>
  </si>
  <si>
    <t>12/17出货</t>
  </si>
  <si>
    <t>日期码格式：ZURU INC(BVI) 标准格式 日期：按实际生产日期
Packaging Info: 此单出HK，客户预计12/23到贵厂提货，请务必按期完货。
77711GQ1 （INT): MA 3L 收缩膜+1张UPC 条码贴纸(UPC#193052080134) + MA 3L PDQ+MA 5L 收藏指南+HK客供警语贴纸（1张贴球底部，1张贴说明书，1张贴收藏
指南）具体参考HK客供警语贴纸位置图
Remark:</t>
  </si>
  <si>
    <t>1张空白贴纸覆盖条码+MA 收藏指南+ MA 说明书+球底部贴1张客供警语贴纸，收藏指南贴一张客供警语贴纸，说明书贴一
 张客供警语贴纸）</t>
  </si>
  <si>
    <t>4500184422-110</t>
  </si>
  <si>
    <t>日期码格式：ZURU INC(BVI) 标准格式 日期：按实际生产日期
Packaging Info:
10. 77782GQ1：客版收缩膜包装+ 客版3L PDQ包装+客版收藏指南+进口商贴纸+箱唛，客版收缩膜包装/客版PDQ包装/客版收藏指南/进口商贴纸翻单PO4500161302
Remark: 1.请注意产品包装条形码必须是UPC
2.无第三方验货</t>
  </si>
  <si>
    <t>4500181926-20</t>
  </si>
  <si>
    <t>空白贴纸覆盖条码 +德语警告语贴纸(翻单:4500161168</t>
  </si>
  <si>
    <t>日期码格式：ZURU INC(BVI) 标准格式 日期：按实际生产日期
Packaging Info: 
"2PK 77711-S001-INT in a PVC TUBE
77731: 客版PVC TUBE 包装(翻单:4500158623)+客户款号EAN条码贴纸+最新MA 3L EAN包装+空白贴纸覆盖条码 +德语警告语贴纸(翻单:4500161168)+5L收藏指南+23
L说明书+5L DIY说明书+MA 5L内袋"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QC验货,验货ok才能出货
5. 需准时完成生产，推期出货会有罚款。"</t>
  </si>
  <si>
    <t>4500182863-20</t>
  </si>
  <si>
    <t>NL 警语贴纸（翻单4500155592）, MA 纸
 袋，MA UV胶贴纸</t>
  </si>
  <si>
    <t>日期码格式：ZURU INC(BVI) 标准格式 日期：按实际生产日期
Packaging Info: 
77711：客版EN FR DE IT NL 5L收缩膜（翻单4500155592），MA 5L+23L收藏指南，MA B版23L说明书， MA 5L creative+NL 警语贴纸（翻单4500155592）, MA 纸
袋，MA UV胶贴纸
Remark: 1. STD 配比
2. 须符合欧洲微塑料法规</t>
  </si>
  <si>
    <t>TJ MAXX
PO#533273,SKU
#170626
DC#891-276PCS
,
DC#894-204PCS
,
DC#896-156PCS
,
DC#897-312PCS
,
DC#898-252PCS</t>
  </si>
  <si>
    <t>4500183802-50</t>
  </si>
  <si>
    <t>Marshalls
PO#533170,SKU
#892206
DC#881-420PCS
,
DC#884-312PCS
,
DC#888-264PCS</t>
  </si>
  <si>
    <t>4500183801-50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</si>
  <si>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分3-5个DC出货，每款产品每个DC的箱唛资料不同。具体分DC数量，请参考后面行项目备注。
3. ZURU QC验货。</t>
  </si>
  <si>
    <t>4500184316-110</t>
  </si>
  <si>
    <t>日期码格式：ZURU INC(BVI) 标准格式 日期：按实际生产日期
Packaging Info: 
10. 77782GQ1：客版收缩膜包装+ 客版3L PDQ包装+客版收藏指南+进口商贴纸+箱唛，客版收缩膜包装/客版PDQ包装/客版收藏指南/进口商贴纸翻单PO4500161302
Remark: 1.请注意产品包装条形码必须是UPC
2.无第三方验货</t>
  </si>
  <si>
    <t>4500184355-110</t>
  </si>
  <si>
    <t>4500184377-20</t>
  </si>
  <si>
    <t>日期码格式：ZURU INC(BVI) 标准格式 日期：按实际生产日期
Packaging Info: 
Remark: 1. Cus Item
#77731：MA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</si>
  <si>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4500181556-20</t>
  </si>
  <si>
    <t>UPC条码贴纸+进口商贴纸</t>
  </si>
  <si>
    <t>日期码格式：ZURU INC(BVI) 标准格式 日期：按实际生产日期
Packaging Info: 
2. 77711GQ2：3L MA EAN 收缩膜+UPC条码贴纸+进口商贴纸+MA 收藏指南+MA 3L PDQ+箱唛
Remark: 1. 此单有监柜，每款请多备1pc样板用于监装</t>
  </si>
  <si>
    <t>13807820 14067822</t>
  </si>
  <si>
    <t>4500184546-20</t>
  </si>
  <si>
    <t>日期码格式：ZURU INC(BVI) 标准格式 日期：按实际生产日期
Packaging Info:
77711GQ1: 最新MA 3L EAN收缩膜+ MA 3L PDQ+其他最新MA包装;
EAN#4894680043350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9.做货前请先复核包装条码与订单是否一致再安排，对不上的需与ZURU跟单确认再安排。</t>
  </si>
  <si>
    <t>Walgreens</t>
  </si>
  <si>
    <t>MPO03858</t>
  </si>
  <si>
    <t>MPO03858-10</t>
  </si>
  <si>
    <t>77711-NA</t>
  </si>
  <si>
    <t>迷你冰箱球24pcs/箱</t>
  </si>
  <si>
    <t>20%数量完成后用于抽板。77711-NA 12/10完成后12/11抽板</t>
  </si>
  <si>
    <t>Product Requirement
Remark: ① 订单的所有测试与样品要求以跟单的要求为准，且为了避免QC验货拆货来不及补货，请准备适量的贴纸和产品备品。此订单数量只作为大货生产，不包
含样板与备品。
② 关于混装展示架，各工厂交子件到最终母件工厂时，务必要 "带卡板出+围好围膜"。
如果没按要求的，请各工厂自行安排人手卸货。
③ 请贵司确保交货数量准确，与收货方交收清楚，如收货方提出任何异常，请立即安排处理解决。
1. 2% 损耗
2. 送货前必需通知我司安排验货
3. MA 1L包装 + WIC贴纸
77711-NA WIC # 756891
4. 产品和包装上要有ZURU 标准格式标准格式 tracking code DG20251210，产品和包装的日期必须一致。
5. 此单分为20%和80%数量，20%数量完成后用于抽板。77711-NA 12/10完成后12/11抽板，抽板后才可以安排送货。12/18送20%数量到库有组装展示架，对应PO
号4500184559。80%数量 12/27送货。先安排20%数量，80%数量等收到客户正式PO后再安排。
6. 所有来料都要测试符合美国联邦法规和州法规后才可以做大货，特别是带液体，粉末，口水胶的产品，抽板需要做测微生物测试，必须保证化学品已经测过并达标
才可用生产。因测试问题延期造成罚款需由工厂承担，请知悉单独一款产品测试有问题都会影响整个展示架交期，罚款金额按整个展示架计算，请做好品质管控。
7. 装箱方式需要另外跟PM确认，展示架每款球装6PCS，需要工厂先分好比例，每款6个球装一起且款式不能重复，方便组装工厂直接入展示架。外箱用周转箱/周转
框，出货前需提供装箱清单。送货时周转箱/周转框带卡板加围好围膜，如未按要求送货需要工厂自行安排人手卸货。
8. 大货样需要每款球12PCS，待通知后再寄出。</t>
  </si>
  <si>
    <t>4500182014-20</t>
  </si>
  <si>
    <t>日期码格式：ZURU INC(BVI) 标准格式 日期：按实际生产日期
Packaging Info: 
 77711GQ2: MA EAN 3L + MA PDQ + 警语贴纸（翻单4500162375）
Remark: 1/配比:
 2/产品和包装要求无硼无香，包装不能含有PVC
3/如有微塑料，必须合规欧洲标准，并增加微塑料合规IFUD声明在说明书上
4/带电池出货的产品，所用到的电池需要符合欧洲电池新规(EU)2023-1542，并增加对应WEEE 说明书</t>
  </si>
  <si>
    <t>4500185790-10</t>
  </si>
  <si>
    <t>1张法国sorting label贴纸(翻PO#4500182619)</t>
  </si>
  <si>
    <t>日期码格式：ZURU INC(BVI) 标准格式 日期：按实际生产日期
Packaging Info: 77711GQ2: 77711GQ2: 最新MA PDQ(优先3L)+MA-3L EAN收缩膜+1张法国sorting label贴纸(翻PO#4500182619) + MA-23L说明书 + MA-5-23L警语收藏指南 + MA-5L c
reative说明书
EAN: 4894680043350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</si>
  <si>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4500184164-20</t>
  </si>
  <si>
    <t>客供外箱贴纸</t>
  </si>
  <si>
    <t>日期码格式：ZURU INC(BVI) 标准格式 日期：按实际生产日期
Packaging Info: 1. 此为Kohl's ECOM 订单：
77711-S002-NA - MA UPC 包装(首选1L) + 客供外箱贴纸
Remark:
2. 胶袋要求： 需要开孔，封口热封 （尺寸太大无法热封可用胶封，但运输过程不可散开），印警告语， 跟单提供警告语内容，胶袋尺寸和开孔数量请工厂按实
际产品尺寸来调整做货.
3. 外箱印刷 ZURU LOGO + MADE IN CHINA + 定位框，尺寸4"x6" (用于黏贴外箱贴）
4. 无箱唛但需提供每款实际外箱尺寸排版确认定位框，digital 订单的定位框位置要在：箱子的最大面积朝上后，定位框在最小面的右下角，距离箱子右边3英寸
，距离底部1.25英寸，贴纸要按定位框贴，位置与方向贴不对会有客户罚款需由工厂承担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5. 外箱毛重超过35LB 外箱四面需要加黄标贴
6. 收到外箱贴纸需要扫描上传ICE系统（出货前必须完成），上传的条码信息必须跟实际出货一致，贴纸备品不需要扫描。如有不同产生的罚款由工厂承担。
7. 产品入箱后，外箱的每个面都需要是平整，不能有鼓起
8. 需经ZURU验货通过后才可出货。
9. 客户有严格要求，若由工厂导致的罚款ZURU 都会向工厂收回。</t>
  </si>
  <si>
    <t>4500184162-20</t>
  </si>
  <si>
    <t>价格贴纸 （不能覆盖mad in China 字样）+ 客供外箱贴纸</t>
  </si>
  <si>
    <t>日期码格式：ZURU INC(BVI) 标准格式 日期：按实际生产日期
Packaging Info: 1. 此为Kohl's store 订单, MA UPC包装(首选1L) + 价格贴纸 （不能覆盖mad in China 字样）+ 客供外箱贴纸
 77711 价格贴纸和位置图翻#4500169087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
英寸，距离底部1.25英寸, 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 外箱四面需要加黄标贴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</si>
  <si>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t>0952702451</t>
  </si>
  <si>
    <t>4500184391-10</t>
  </si>
  <si>
    <t>10001581597-0581</t>
  </si>
  <si>
    <t>4500183643-10</t>
  </si>
  <si>
    <t>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出货方式：货代自提</t>
  </si>
  <si>
    <t>4500184690-10</t>
  </si>
  <si>
    <t>UPC条码+进口商贴纸,整单的贴纸图稿和位置图翻
 4500163177</t>
  </si>
  <si>
    <t>日期码格式：ZURU INC(BVI) 标准格式 日期：按实际生产日期
Packaging Info: MA UPC包装(优先1L)+进口商贴纸,整单的贴纸图稿和位置图翻
77711GQ1-4500163177
除进口商贴纸外,77711仍需一张UPC条码贴纸,贴纸资料翻单4500163177
Remark: 77711GQ1-2.3692%The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t>
  </si>
  <si>
    <t>BOL.COM:
P2516799A</t>
  </si>
  <si>
    <t>4500186266-190</t>
  </si>
  <si>
    <t>1张空白贴纸(覆盖在条码位置，尺寸
由工厂自行测量）+2张贴纸(1张EAN#，1张NL警告语，贴在彩卡，参考翻单PO#4500164946</t>
  </si>
  <si>
    <t>日期码格式：ZURU INC(BVI) 标准格式 日期：按实际生产日期
Packaging Info: BOL.COM(77731)
9. 77731: 2PK#77711-INT In PVC Tube，12tubes/ctn; UV GLUE/ 1 Refrigerator Magnet; MA 3L(3L warning EAN)A收缩膜+1张空白贴纸(覆盖在条码位置，尺寸
由工厂自行测量)+MA 5L(23L warning)A收藏指南+MA 23L警告语说明书+MA 5L A说明书 +客版3L(5L warning UPC) INT PVC筒彩卡(UPC#+英法德意西5L警示语+FR/ES
环保标+ZURU邮箱care@zuru.com)+2张贴纸(1张EAN#，1张NL警告语，贴在彩卡，参考翻单PO#4500164946)；
14. 验货时间不迟于2025/12/24.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</si>
  <si>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ZMPO251086</t>
  </si>
  <si>
    <t>ZMPO251086-10</t>
  </si>
  <si>
    <t>Remark:大货最新版本/只需左图14款散件每款55PCS/共770PCS,麻烦用胶袋分好好一套为一袋
备注：收到样品订单后尽快安排 ，谢谢！</t>
  </si>
  <si>
    <t>4500184791-10</t>
  </si>
  <si>
    <t>进口商贴纸+UPC贴纸+外箱贴纸</t>
  </si>
  <si>
    <t>日期码格式：ZURU INC(BVI) 标准格式 日期：按实际生产日期
Packaging Info: 77711GQ:MA 多语EAN包装+进口商贴纸+UPC贴纸+外箱贴纸+箱唛
Remark: 此单有第三方监柜，需要每款多备1套完整物料</t>
  </si>
  <si>
    <t>4500183330-10</t>
  </si>
  <si>
    <t>25-1071592JEC</t>
  </si>
  <si>
    <t>4500179365-50</t>
  </si>
  <si>
    <t>4500179611-10</t>
  </si>
  <si>
    <t>upc条码</t>
  </si>
  <si>
    <t>日期码格式：ZURU INC(BVI) 标准格式 日期：按实际生产日期
Packaging Info: 77711gq2:MA 3L INT版本+upc条码
Remark: *订单出英国，请注意检查产品及包装应带UKCA图标，包装显示ZURU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</si>
  <si>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4500179611-30</t>
  </si>
  <si>
    <t>4500182689-30</t>
  </si>
  <si>
    <t>德语警告语贴纸 (翻单：4500161168</t>
  </si>
  <si>
    <t>日期码格式：ZURU INC(BVI) 标准格式 日期：按实际生产日期
Packaging Info: 
77711: MA 3L EAN包装+德语警告语贴纸 (翻单：4500161168)+ MA 5L收藏指南+MA 23L说明书+ MA 5L DIY说明书+ MA 5L内袋
说明书+MA纸袋+MA收藏指南5L-A版本+WEEE 带电池走货 通用 B版 30L 说明书"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B版通用30L 说明书)和不带电池版本(WEEE 不带电池走货 B版通用
30L 说明书)
4. 此单需要在CRD前一天预约ZURU QC验货提供验货图片给客户确认才能出货
5. 需准时完成生产，推期出货会有罚款。"</t>
  </si>
  <si>
    <t>4500184259-10</t>
  </si>
  <si>
    <t>日期码格式：ZURU INC(BVI) 标准格式 日期：按实际生产日期
Packaging Info: 77711GQ2: 最新MA PDQ(优先3L)+MA-3L EAN收缩膜+1张法国sorting label贴纸(翻PO#4500182619) + MA-23L说明书 + MA-5-23L警语收藏指南 + MA-5L creative说
明书
EAN: 4894680043350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</si>
  <si>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4500185221-120</t>
  </si>
  <si>
    <r>
      <rPr>
        <sz val="12"/>
        <color rgb="FF010CDD"/>
        <rFont val="宋体"/>
        <charset val="134"/>
        <scheme val="minor"/>
      </rPr>
      <t xml:space="preserve">日期码格式：ZURU INC(BVI) 标准格式 日期：按实际生产日期
Packaging Info: 物料要求 SKU
9 77711GQ1 MA PDQ +外挂中文收藏指南+中文说明书+黑白警告语+收缩膜年龄贴（8+） 翻单： 4500178919
</t>
    </r>
    <r>
      <rPr>
        <sz val="12"/>
        <color rgb="FFFF0000"/>
        <rFont val="宋体"/>
        <charset val="134"/>
        <scheme val="minor"/>
      </rPr>
      <t>77711 请提供6套大货样-客版物料变更</t>
    </r>
    <r>
      <rPr>
        <sz val="12"/>
        <color rgb="FF010CDD"/>
        <rFont val="宋体"/>
        <charset val="134"/>
        <scheme val="minor"/>
      </rPr>
      <t xml:space="preserve">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r>
  </si>
  <si>
    <t>77711GQ1-S002-INT-中文单</t>
  </si>
  <si>
    <t>4500186619-60</t>
  </si>
  <si>
    <t>77731-S002-NA</t>
  </si>
  <si>
    <t>冰箱迷你球 PVC圆筒两个装/6pcs/箱</t>
  </si>
  <si>
    <t>日期码格式：ZURU INC(BVI) 标准格式 日期：按实际生产日期
Packaging Info: 1. ZURU MA （首选1L）UPC版本+加价格贴+外箱贴纸
77731 - ZURU MA （首选1L）UPC版本 + 客版 TUBE +加价格贴+外箱贴纸
（为方便进行装柜区分，请按照后续提供的外箱贴纸文档去粘贴外箱），出口美国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覆盖条码即可），价格贴纸覆盖UPC 会挡住文字/图案，需用空白贴覆
盖UPC，价格贴纸移到空白处。贴的时候要是会覆盖包装上重要的信息和图案，需要告知跟单。</t>
  </si>
  <si>
    <t>4500186619-130</t>
  </si>
  <si>
    <t>8150975648</t>
  </si>
  <si>
    <t>4500186723-40</t>
  </si>
  <si>
    <t>BV12/30</t>
  </si>
  <si>
    <t>日期码格式：ZURU INC(BVI) 标准格式 日期：按实际生产日期
Packaging Info:
#77711:
客版3L,PDQ(NA版,16装)+MA2L收缩膜(NA版,UPC:193052080127)+MA2L收藏指南(NA版B版)+MA配件袋+MA5L说明书+MA23L警告语说明书(B)
Remark: 1. 此单有箱唛;
2. UPC贴纸：必须在原来错误的条码上用黑色粗头笔涂黑直至不能扫描，再贴上正确的UPC;
3. 此单有第三方验货，烦请多备包装物料；
4. #77711需于2025/12/22更新签样，签样数量：客版3LPDQ2pcs+2pcs球+2套齐套散件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</si>
  <si>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77711GQ4-S001-NA-1</t>
  </si>
  <si>
    <t>MPO03863</t>
  </si>
  <si>
    <t>母件订单4500184895后续需进行第三方验货，请工厂留意备品。</t>
  </si>
  <si>
    <t>交货时间: 2025/12/19</t>
  </si>
  <si>
    <t>Remark: ① 订单的所有测试与样品要求以跟单的要求为准，且为了避免QC验货拆货来不及补货，请准备适量的贴纸和产品备品。此订单数量只作为大货生产，不包
含样板与备品。
② 关于混装展示架，各工厂交子件到最终母件工厂时，务必要 "带卡板出+围好围膜"。
如果没按要求的，请各工厂自行安排人手卸货。
③ 请贵司确保交货数量准确，与收货方交收清楚，如收货方提出任何异常，请立即安排处理解决。
1. 交货时间: 2025/12/19
2. 包装要求: #77711 MINI BRANDS-FILL THE FRIDGE S1(NA版本): MA2L收缩膜(NA版,UPC:193052080127)+MA5L收藏指南((NA版-B)+MA配件袋+MA5L,UV胶
贴纸+MA23L警告语说明书(B)
3. Demo数量: 按照384pcs数量配套组装好交货;P34、P36、P39、P61、P62、C03
4. 签办数量：#77711 2pcs大货球及1套齐套散件用以母件订单4500184895BV验货使用；
5. 母件订单4500184895后续需进行第三方验货，请工厂留意备品。</t>
  </si>
  <si>
    <t>Willow Xu，Fly Song</t>
  </si>
  <si>
    <t>4500185573-10</t>
  </si>
  <si>
    <t>日期码格式：ZURU INC(BVI) 标准格式 日期：按实际生产日期
Packaging Info: 1.MA UPC(优先1L) package+SNI label;
SNI label无需贴在产品上,但是需采购贴纸;届时跟大货一起出货,请在外箱备注好"SNI LABEL"
以防万一,请备多2%的贴纸给客人,贴纸文档见邮件;
2.此单是交SZ 普通仓库跟客人其他货一起拼柜,无散货进仓费,是按照整柜的本地费收费标准;
PO先开出厂价, 发发票前请同我确认价格类型
3.可能会需样板做测试, 也有可能有第三方验货,请等我们进一步通知;
4.77823GQ2为77711GQ2的客制版本,因license受限, 不能出kikkoman的minis,特此77823GQ2需移除kikoman的minis,更新的配比跟回订单4500167451;
77823GQ2使用STD INT国际版本3L EAN的收缩膜加一张UPC条码贴纸显示款号为77823+UPC条码;收藏指南使用STD INT国际版本,但是需加贴一张贴纸遮住kikkoman的lo
go,贴纸资料翻4500167451
PDQ使用客版PDQ(跟77782GQ1-S001-INT的PDQ，图稿可翻单拉美订单4500161302;
Remark: 77823GQ2-With 4pcs demo/PDQ
Based on #77711GQ2-S001-INT remove minis: Kikkoman-Soy Sauce (license)</t>
  </si>
  <si>
    <t>MPO03858-20</t>
  </si>
  <si>
    <t>1/3号送4分之1，1/12 全部送库有</t>
  </si>
  <si>
    <t>77785TQ1-S001-77711-NA</t>
  </si>
  <si>
    <t>12月5日左右需寄各6套大货样给UL实验室做测试（无需寄PDQ</t>
  </si>
  <si>
    <t>Mills Fleet Farm</t>
  </si>
  <si>
    <t>MPO03917</t>
  </si>
  <si>
    <t>日期可以统一打12月17日</t>
  </si>
  <si>
    <t>Remark: ① 订单的所有测试与样品要求以跟单的要求为准，且为了避免QC验货拆货来不及补货，请准备适量的贴纸和产品备品。此订单数量只作为大货生产，不包
含样板与备品。
② 关于混装展示架，各工厂交子件到最终母件工厂时，务必要 "带卡板出+围好围膜"。
如果没按要求的，请各工厂自行安排人手卸货。
③ 请贵司确保交货数量准确，与收货方交收清楚，如收货方提出任何异常，请立即安排处理解决。
1. 包装：ZURU MA UPC版本最新包装；出口美国；
2.日期码：产品包装及产品本身都必须有日期跟踪码，ZURU标准格式日期码，因该单是多工厂混装，为了统一，日期可以统一打12月17日
出货配比：
#MSLD161-S001-MIX BRAND-TOYS-MIXED-SERIES 1-MINI BRANDS/MY MINI BABY/SNACKLES/BUNCH O BALLOONS/XSHOT WATER/XSHOT MIXED IN
DISPLAY,74PCS/DISPLAY/
SLIP SHEET
子件成品于12月26送子件成品到koyo组装</t>
  </si>
  <si>
    <t>Elsa Zheng, Mila Yao;</t>
  </si>
  <si>
    <t>ZMPO251087-20</t>
  </si>
  <si>
    <t>空球壳</t>
  </si>
  <si>
    <t>Remark:大货版本/只要空球，不要PDQ，球要用大货收缩膜收好
备注：收到样品订单后尽快安排 ，注意样板品质质量要求要高于大货品质要求 ，送货时必须要附带送货单(没有送货单和QC检验合格报告的仓库一律拒绝收货)，请知悉，谢谢！</t>
  </si>
  <si>
    <t>ZMPO251087-30</t>
  </si>
  <si>
    <t>78套散件</t>
  </si>
  <si>
    <t>Remark:78套散件(只需要齐全套散件，不是PDQ的散件）要组装说明书，散件不要用纸袋装，麻烦用胶袋分装好一套为一袋
备注：收到样品订单后尽快安排 ，注意样板品质质量要求要高于大货品质要求 ，送货时必须要附带送货单(没有送货单和QC检验合格报告的仓库一律拒绝收货)，请知悉，谢谢！</t>
  </si>
  <si>
    <t>*</t>
  </si>
  <si>
    <t>4500184256-10</t>
  </si>
  <si>
    <t>一张西班牙环保标和客户进口商贴纸++一张PDQ贴纸含EAN条码</t>
  </si>
  <si>
    <t>日期码格式：ZURU INC(BVI) 标准格式 日期：按实际生产日期
Packaging Info: 1.77711GQ2：最新【MA 3L EAN INT版本包装+一张西班牙环保标和客户进口商贴纸】+MA 23L 警告语说明书+MA 5L 收藏指南+【MA 3L PDQ+一张PDQ贴纸含EAN条码】
;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</si>
  <si>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4500184256-20</t>
  </si>
  <si>
    <t>一张客户进口商贴纸含西班牙环保标+一张贴纸含EAN条码</t>
  </si>
  <si>
    <t>日期码格式：ZURU INC(BVI) 标准格式 日期：按实际生产日期
Packaging Info:
2.77711SK1：最新【MA 3L EAN版本包装+一张客户进口商贴纸含西班牙环保标】+【MA 3L SK+一张贴纸含EAN条码】；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</si>
  <si>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4500184204-10</t>
  </si>
  <si>
    <t>一张进口商贴纸（含西班牙环保标）+一张PDQ贴纸含EAN条码++一张PDQ贴纸含EAN条码</t>
  </si>
  <si>
    <t>日期码格式：ZURU INC(BVI) 标准格式 日期：按实际生产日期
Packaging Info: 1.77711GQ1：最新【MA 3L EAN版本收缩膜+一张进口商贴纸（含西班牙环保标）】+【MA 3L PDQ+一张PDQ贴纸含EAN条码】+最新MA 5L收藏指南；
注意： 有关PDQ的贴纸位置图，客户要求我们贴在PDQ的底部，这样客户在打开外箱的 时候不需要取出产品，即可以扫描PDQ条码，在做大货前需帮忙复查下设计提
供的贴纸位置图是否都贴到了底部，避免后续客诉发生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</si>
  <si>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4500184204-20</t>
  </si>
  <si>
    <t>日期码格式：ZURU INC(BVI) 标准格式 日期：按实际生产日期
Packaging Info: 
2.77711SK1：最新【MA 3L EAN版本收缩膜+一张进口商贴纸（含西班牙环保标）】+【MA 3L 展示架+一张展示架贴纸含EAN条码】+最新MA 5L收藏指南；
注意： 有关PDQ的贴纸位置图，客户要求我们贴在PDQ的底部，这样客户在打开外箱的 时候不需要取出产品，即可以扫描PDQ条码，在做大货前需帮忙复查下设计提
供的贴纸位置图是否都贴到了底部，避免后续客诉发生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</si>
  <si>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4500183983-20</t>
  </si>
  <si>
    <t>日期码格式：ZURU INC(BVI) 标准格式 日期：按实际生产日期
Packaging Info: 
77782GQ1:客版收缩膜+客版收藏指南+客版PDQ+进口商贴纸+箱唛，客版资料翻单PO4500161302
Remark:</t>
  </si>
  <si>
    <t>PO#2896Z7</t>
  </si>
  <si>
    <t>4500184930-10</t>
  </si>
  <si>
    <t>12/31 100% VT测试抽板 + 验货</t>
  </si>
  <si>
    <t>12月30前完成100%大货生产并入进外箱并当天下午1点前发送ZURU验货报告</t>
  </si>
  <si>
    <t>翻4500176962 &lt;(&gt;&amp;&lt;)&gt; 4500181787。</t>
  </si>
  <si>
    <t>日期码格式：DOLLAR GENERAL 客日期码 日期：
Packaging Info: 
#77711GQ5-S002-NA-PKC 客版PDQ + 内袋警示语AWS + 客版收缩膜，请有说明书收藏指南等，请优先使用MA 1L。
Remark: 1.包装：
#77711GQ5-S002-NA-PKC 客版PDQ + 内袋警示语AWS + 客版收缩膜，请有说明书收藏指南等，请优先使用MA 1L。客aws跟单邮件发送 。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#77711GQ5：31328202A26
(2)产品日期码：
#77711GQ5：DOLGEN31328202A26（打在球壳上）
后三位L25代表25年12月的ETD 。
（3）UPC条形码：
#77711GQ5:193052080127
3. 无价贴。
4. 无样板需求
5. 验货抽样事宜：
#77711GQ5-S002-NA-PKC 无第三方验货和抽样测试。
6. 箱唛：翻4500176962 &lt;(&gt;&amp;&lt;)&gt;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</si>
  <si>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ZMPO251112</t>
  </si>
  <si>
    <t>ZMPO251112-10</t>
  </si>
  <si>
    <t>55套散件</t>
  </si>
  <si>
    <t>Remark:大货最新版/只需要左图中14款散件每款55PCS共770PCS/麻烦用胶袋分装好一款为一袋
备注：收到样品订单后尽快安排 ，谢谢！</t>
  </si>
  <si>
    <t>55套</t>
  </si>
  <si>
    <t>ZMPO251118</t>
  </si>
  <si>
    <t>ZMPO251118-10</t>
  </si>
  <si>
    <t>指定60套散件</t>
  </si>
  <si>
    <t>Remark：大货最新版/只需要左图中14款散件每款60PCS共840PCS/麻烦用胶袋分装好一款为一袋
备注：收到样品订单后尽快安排 ，谢谢！</t>
  </si>
  <si>
    <t>60套</t>
  </si>
  <si>
    <t>10001581613-0
581</t>
  </si>
  <si>
    <t>4500185525-10</t>
  </si>
  <si>
    <t>Marshalls
PO#534821,SKU
#892797
DC#881-48PCS,
DC#884-180PCS
,
DC#886-624PCS
,
DC#887-144PCS</t>
  </si>
  <si>
    <t>4500183807-40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</si>
  <si>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分4-5个DC出货，每款产品每个DC的箱唛资料不同。具体分DC数量，请参考后面行项目备注。
3. ZURU QC验货。</t>
  </si>
  <si>
    <t>Marshalls
PO#533219,SKU
#892566
DC#881-216PCS
,
DC#884-168PCS
,
DC#886-216PCS
,
DC#887-204PCS
,
DC#888-192PCS</t>
  </si>
  <si>
    <t>4500183805-60</t>
  </si>
  <si>
    <t>TJ MAXX
PO#534824,
SKU#171213</t>
  </si>
  <si>
    <t>4500183811-40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</si>
  <si>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1个DC#893出货。
3. ZURU QC验货</t>
  </si>
  <si>
    <t>TJ MAXX
PO#533283,SKU
#170962
DC#891-264PCS
,
DC#894-180PCS
,
DC#896-288PCS
,
DC#897-228PCS
,
DC#898-240PCS</t>
  </si>
  <si>
    <t>4500183809-60</t>
  </si>
  <si>
    <t>MANOR AG</t>
  </si>
  <si>
    <t>P015788486/S</t>
  </si>
  <si>
    <t>4500187019-10</t>
  </si>
  <si>
    <t>款号贴纸+DE IT警语贴纸</t>
  </si>
  <si>
    <t>日期码格式：ZURU INC(BVI) 标准格式 日期：按实际生产日期
Packaging Info:
77711GQ1：（INT版）MA A版3L EAN收缩膜+款号贴纸+DE IT警语贴纸，MA B版5L收藏指南，MA 5L玩法说明书，MA B版 23L黑白说明是，MA 3L PDQ
Remark: 1.此单出瑞士，微塑料需符合法规。
2.此单务必准时出货，如有推期会有罚款和空运。
其中推期1至7天扣款5%，推期8至14天扣款10%，推期15至21天扣款20%, 如此类推。
3.此单无须客户第三方验货，但是需要在12/31提供客人格式验货报告，待客人放货后才会放SO安排走货。
4.此单出货前要寄2套大货签办给到客户办公室+1套大货签办到罗湖办公室
5.所有出往欧洲订单的电子产品需增加一张客版 B版 WEEE声明说明书，区分带电池(WEEE 带电池走货 B版 通用30L 说明书)和不带电池版本(WEEE 不带电池走货
B版 通用30L 说明书)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t>
  </si>
  <si>
    <t>4500185285-10</t>
  </si>
  <si>
    <t>日期码格式：ZURU INC(BVI) 标准格式 日期：按实际生产日期
Packaging Info: 1. Cus Item ： MA UPC 现有包装+PVC桶, 铜板纸+客供价格贴纸，优先使用MA 1L最新版本
Remark: 1. Cus Item ： MA UPC 现有包装+PVC桶, 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</si>
  <si>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4500186184-20</t>
  </si>
  <si>
    <t>DC运输贴纸（所有产品均需要），PDQ 标识贴纸（带PDQ的item需要此贴纸，如果不带PDQ则不需要）贴纸尺寸以提供的箱唛资料为准，每个贴
 纸一箱一张</t>
  </si>
  <si>
    <t>日期码格式：ZURUDG20251210 日期：
Packaging Info: 1. 指定tracking code: ZURUDG20251210; 产品、彩盒、外箱的日期码需要按照我们提供的Tracking code做。
2.
#77711GQ2: MA 2L UPC版本彩膜, 2L_B版本收藏指南，MA 2L PDQ; UPC#193052080127;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</si>
  <si>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25HJV5</t>
  </si>
  <si>
    <t>4500186337-20</t>
  </si>
  <si>
    <t>1.6早上做第三方TUV的100%大货验货+抽样。第三方验货和抽样点数会按照几单的总数，抽板数量成品随机12pcs球+5套光身板+足量干漆面/油墨。
 请在1月5前完成ZURU QC验货，并当天14点前提供验货报告+大货图片给跟单。</t>
  </si>
  <si>
    <t>翻4500176962 &amp; 4500181787</t>
  </si>
  <si>
    <t>日期码格式：DOLLAR GENERAL 客日期码 日期：
Packaging Info: 
#77711GQ5-S002-NA-PKC 客版PDQ + 内袋警示语AWS + 客版收缩膜，请有说明书收藏指南等，请优先使用MA 1L。
Remark: 1.包装：
#77711GQ5-S002-NA-PKC 客版PDQ（翻4500184930 ） + 内袋警示语AWS（翻已出货订单） + 客版收缩膜(AWS跟单邮件发)，请有说明书收藏指南等，请优先使用MA 1
L.
以上包材需要跟第三方之前密封在厂的MA内容版本一致，否则会导致第三方验货和抽板fail。如果有不一致，一定在收到订单后三天内告知，我们需要提前做评估以
及找客户审批。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#77711GQ5：31328202B26
(2)产品日期码：
#77711GQ5：DOLGEN31328202B26（打在球壳上）
后三位B26代表26年2月的ETD 。
（3）UPC条形码：
#77711GQ5:193052080127
3. 无价贴。
4. 无样板需求
5. 验货抽样事宜：
1.6早上做第三方TUV的100%大货验货+抽样。第三方验货和抽样点数会按照几单的总数，抽板数量成品随机12pcs球+5套光身板+足量干漆面/油墨。
请在1月5前完成ZURU QC验货，并当天14点前提供验货报告+大货图片给跟单。
6. 箱唛：翻4500176962 &amp;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</si>
  <si>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28HJ36</t>
  </si>
  <si>
    <t>4500186337-40</t>
  </si>
  <si>
    <t>立宛淘</t>
  </si>
  <si>
    <t>4500186648-10</t>
  </si>
  <si>
    <t>进口商贴纸+UPC 条码贴纸</t>
  </si>
  <si>
    <t>日期码格式：ZURU INC(BVI) 标准格式 日期：按实际生产日期
Packaging Info: 77711GQ2：A 版 3L MA 收缩膜+进口商贴纸+UPC 条码贴纸；A 版3L MA PDQ/B 版 5L MA 收藏指南
Remark: 1、若产品有比例使用ZURU STD 比例
2、所有item 均用MA UPC 条码，若包装不是UPC 条码的请告知
3、此单出欧洲需满足EU测试标准要求</t>
  </si>
  <si>
    <t>4500188579-20</t>
  </si>
  <si>
    <t>4500186184 拆单</t>
  </si>
  <si>
    <t>UPC贴纸+DC运输贴纸（所有产品均需要），PDQ 标识贴纸（带PDQ的item需要此贴纸，如果不带PDQ则不需要）</t>
  </si>
  <si>
    <t>4500188596-20</t>
  </si>
  <si>
    <t>4500189510-70</t>
  </si>
  <si>
    <t>4500180436/4500180498拆分</t>
  </si>
  <si>
    <t>(加UPC贴纸+进口商贴纸) +贴纸+进口商贴纸</t>
  </si>
  <si>
    <t>日期码格式：ZURU INC(BVI) 标准格式 日期：按实际生产日期
Packaging Info: 
77803GQ2-S001-PRODCC-INT: MA 收缩膜(加UPC贴纸+进口商贴纸) +贴纸+客版PDQ跟回77782GQ1-S001-INT（翻单号4500161302）+客版收藏指南（客版包装翻单4500
162410）; PDQ+进口商贴纸
客人箱唛排版，印4面，条码内容193052092403
Remark:</t>
  </si>
  <si>
    <t>4500189939-20</t>
  </si>
  <si>
    <t>4500186834转单</t>
  </si>
  <si>
    <t>日期码格式：ZURU INC(BVI) 标准格式 日期：按实际生产日期
Packaging Info: 
77711GQ1:最新MA 3L PDQ+最新 MA 3L EAN 收缩膜 +1*多语折叠警告语贴纸（翻单4500157858） + MA 5L收藏指南+ MA 23L说明书+ MA UV胶黑白警告语 + MA纸袋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所有出往波兰订单的电子产品需增加一张欧洲通用WEEE声明说明书，区分带电池和不带电池版本, 如已做客版说明书可忽略此要求。</t>
  </si>
  <si>
    <t xml:space="preserve">ok </t>
  </si>
  <si>
    <t>77721SLT-77711-S001</t>
  </si>
  <si>
    <t>1/7 出货</t>
  </si>
  <si>
    <t>4500186877-40</t>
  </si>
  <si>
    <t>进口商贴纸+UPC条码贴纸(翻单4500164387)</t>
  </si>
  <si>
    <t>日期码格式：ZURU INC(BVI) 标准格式 日期：按实际生产日期
Packaging Info: 
77711GQ1: MA A版 3L UPC收缩膜+ 进口商贴纸+UPC条码贴纸(翻单4500164387);MA收藏指南;MA PDQ
Remark: 此单出欧洲斯洛文尼亚， 需满足EU测试标准要求，不能含微塑料，需出无闪粉版本</t>
  </si>
  <si>
    <t>4500186899-30</t>
  </si>
  <si>
    <t>EAN条码贴纸+数量贴纸</t>
  </si>
  <si>
    <t>日期码格式：ZURU INC(BVI) 标准格式 日期：按实际生产日期
Packaging Info: 
77711GQ1: MA-3L 配套包装+ 客户EAN条码贴纸覆盖原条码位置,&lt;(&gt;,&lt;)&gt; EAN贴纸返单4500177198，条码请核对5056296049471，PQD右后要加数量贴纸，翻单450017
7198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</si>
  <si>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718559</t>
  </si>
  <si>
    <t>4500186435-30</t>
  </si>
  <si>
    <t>日期码格式：ZURU INC(BVI) 标准格式 日期：按实际生产日期
Packaging Info: MA UPC包装+价格贴纸，价格贴纸客供。
2PK 的球用无条码收缩膜或加空白贴纸覆盖原条码
Remark: 1. 产品和包装上印刷tracking code信息，格式为ZURU常规格式。
2. 分5个DC出货，每款产品每个DC的箱唛资料不同。具体分DC数量，如下：
item#77731: TJ MAXX PO#718559,SKU#176602 DC#891-240PCS, DC#894-204PCS, DC#896-192PCS, DC#897-372PCS, DC#898-192PCS;
3. ZURU QC验货。</t>
  </si>
  <si>
    <t>718558</t>
  </si>
  <si>
    <t>4500186433-30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</si>
  <si>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分4个DC出货，每款产品每个DC的箱唛资料不同。具体分DC数量，如下：
item#77731: Marshalls PO#718558,SKU#898324 DC#881-288PCS, DC#884-84PCS, DC#886-312PCS, DC#887-312PCS;
3. ZURU QC验货。</t>
  </si>
  <si>
    <t>4500187236-50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</si>
  <si>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PO#770793,SKU#178485 DC#891-264PCS, DC#894-204PCS, DC#896-168PCS, DC#897-336PCS, DC#898-228PCS;</t>
  </si>
  <si>
    <t>4500187231-50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</si>
  <si>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每款都只分1个DC出货，明细如下：
item#77731: Marshalls PO#770791,SKU#899836 DC#882-996PCS;</t>
  </si>
  <si>
    <t>4500186234-120</t>
  </si>
  <si>
    <r>
      <rPr>
        <sz val="12"/>
        <rFont val="宋体"/>
        <charset val="134"/>
        <scheme val="minor"/>
      </rPr>
      <t xml:space="preserve">日期码格式：ZURU INC(BVI) 标准格式 日期：按实际生产日期
Packaging Info: 
12. 77711GQ2：3L MA EAN 收缩膜+UPC条码贴纸+进口商贴纸+MA 5L 收藏指南+MA 3L SK+箱唛
Remark:
</t>
    </r>
    <r>
      <rPr>
        <sz val="12"/>
        <color rgb="FFFF0000"/>
        <rFont val="宋体"/>
        <charset val="134"/>
        <scheme val="minor"/>
      </rPr>
      <t>10. 客户有监装要求，每款需要备1pc监装样板</t>
    </r>
  </si>
  <si>
    <t>4500186208-10</t>
  </si>
  <si>
    <t>77711-S005-NA-PKC</t>
  </si>
  <si>
    <t>迷你冰箱球24pcs/胶袋装</t>
  </si>
  <si>
    <t>12/31 ITS 25%大货抽样验货抽办</t>
  </si>
  <si>
    <t>客版产品条码贴纸+客版内袋+外箱贴</t>
  </si>
  <si>
    <t>日期码格式：ZURU INC(BVI) 标准格式 日期：按实际生产日期
Packaging Info: 1.ZURU标准MA包装( UPC 优先1L） +客版产品条码贴纸+客版内袋+外箱贴, AW请使用最新artwork，工厂自行订购。 出口美国
2.产品及包装上都要有日期码，日期码是一致的（但不能为周末)，格式为ZURU标准格式
Remark: 3.配比：
#77711-S005-NA-PKC-MINI BRANDS-FILL THE FRIDGE-SERIES 1-APSULE,6PCS/POLYBAG,24PCS/4POLYBAG/CTN
客版内袋INNER POLYBAG的美国标准警示语内容为：
WARNING: TO AVOID DANGER OF SUFFOCATION, KEEP THIS BAG AWAY FROM BABIES AND CHILDREN. DO NOT USE IN CRIBS, BEDS, CARRIAGES OR PLAY PENS. THIS B
AG IS NOT A TOY. KNOT UP BAG BEFORE THROWING AWAY.
（内袋AWS 跟单稍后提供）
4.#77711-S005 需在2025年12月27日前完成25%大货包装，12月28日早上进行ITS的25%大货抽样验货。100%大货可以在2026年1月8日前完成。收到PASS的测试报告后
，才可安排入仓出货。
25%抽样由客人指定的第三方ITS进行，现场在大货中抽样，具体要求如下面A,B,C,D所列：
A.样板抽取12pcs/每款/每色（带包装，大货中抽取）。
B.产品上有涂层的，每种涂层需要提供两张A4大小喷满同种油漆的底材（油漆喷厚一些避免用料不够，否则需客批才能另外补料给实验室）。
C.如有液体材料，每种需提供50ml。
D.抽样前一天会将测式申请表发出，需打印出来随抽样一起寄给ITS。
5. 大货样板需求：
每款一箱大货满箱样（产品须带客版贴纸+外箱贴纸，并带大货外箱）+ 每款每色各4套大货样（带客版贴纸包装）寄给深圳跟单Blanche， 大货样需在12/28日前寄
出，客户确认后方可出货。
Remark：满箱样/大货样以及测试样板数量不包含在订单数量里，做货需预备所有样板数量。</t>
  </si>
  <si>
    <t>4500187090-40</t>
  </si>
  <si>
    <t>UPC 条码贴纸(UPC#193052080134)+HK客供警语贴纸（1张贴球底部，1张贴说明书，1张贴收藏
 指南）</t>
  </si>
  <si>
    <t>日期码格式：ZURU INC(BVI) 标准格式 日期：按实际生产日期
Packaging Info: 
77711GQ1 （INT): MA 3L 收缩膜+1张UPC 条码贴纸(UPC#193052080134) + MA 3L PDQ+MA 5L 收藏指南+HK客供警语贴纸（1张贴球底部，1张贴说明书，1张贴收藏
指南）具体参考HK客供警语贴纸位置图
Remark: 此单出HK</t>
  </si>
  <si>
    <t>1张空白贴纸覆盖条码+HK客供警语贴纸（1张贴球底部，1张贴说明书，1张贴收藏
 指南）</t>
  </si>
  <si>
    <t>4500187444-10</t>
  </si>
  <si>
    <t>日期码格式：ZURU INC(BVI) 标准格式 日期：按实际生产日期
Packaging Info: "77711GQ2: 最新MA PDQ(优先3L)+MA-3L EAN收缩膜+1张法国sorting label贴纸(翻PO#4500182619) + MA-23L说明书 + MA-5-23L警语收藏指南 + MA-5L creative
说明书
EAN: 4894680043350"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</si>
  <si>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10001581621-0
581</t>
  </si>
  <si>
    <t>4500186417-10</t>
  </si>
  <si>
    <t>77785-S001-77711-NA</t>
  </si>
  <si>
    <t>4500183001-200</t>
  </si>
  <si>
    <t>4500183051-10</t>
  </si>
  <si>
    <t>4500183051-120</t>
  </si>
  <si>
    <t>4500183616-170</t>
  </si>
  <si>
    <t xml:space="preserve">客版物料翻单PO450016130 </t>
  </si>
  <si>
    <t>日期码格式：ZURU INC(BVI) 标准格式 日期：按实际生产日期
Packaging Info: 
77782GQ1:客版 收缩膜+客版收藏指南+客版PDQ+进口商贴纸+箱唛+UPC贴纸，，客版物料翻单PO450016130
Remark: 77782:WITH 4 DEMO; Base on #77711GQ2-S001-INT ver.:Remove Hershey and Kikkoman, Kikkoman-Soy Sauce
Hershey's-Chocolate Syrup 24 oz
Hershey's-Mini Chocolate Syrup 24 oz
Hershey's-Strawberry Syrup 22 oz</t>
  </si>
  <si>
    <t>Amazon UK:
8AXLZI4A</t>
  </si>
  <si>
    <t>4500187194-10</t>
  </si>
  <si>
    <t>日期码格式：ZURU INC(BVI) 标准格式 日期：按实际生产日期
Packaging Info: Amazon UK(77731)
1.77731:2PK#77711-INT In PVC Tube，12tubes/ctn; UV GLUE/ 1 Refrigerator Magnet; MA 3L(3L warning EAN)A收缩膜+1张空白贴纸(覆盖在条码位置，尺寸由
工厂自行测量)+MA 5L(23L warning)B收藏指南+MA 23L B警告语说明书+MA 5L B说明书 +客版3L(5L warning UPC) INT PVC筒彩卡(UPC#+英法德意西5L警示语+FR/ES
环保标+GPSR邮箱care@zuru.com+新FR&lt;(&gt;&amp;&lt;)&gt;DK地址，参考翻单PO#4500186266)+1张IT环保标贴纸(参考翻单PO#4500158623）；
2.最迟验货不得晚于2026/1/12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9.无论是工厂自检还是ZURU验货，验货报告中必须有产品6面图(正面/背面/左面/右面/顶部/底部，不带包装);</t>
  </si>
  <si>
    <t>Amazon UK:
893UEE9L</t>
  </si>
  <si>
    <t>4500187194-20</t>
  </si>
  <si>
    <t>4500185221-130</t>
  </si>
  <si>
    <t>产品/销售包装/外箱日期码要一致</t>
  </si>
  <si>
    <r>
      <rPr>
        <sz val="12"/>
        <rFont val="宋体"/>
        <charset val="134"/>
        <scheme val="minor"/>
      </rPr>
      <t xml:space="preserve">日期码格式：ZURU INC(BVI) 标准格式 日期：按实际生产日期
Packaging Info: 物料要求 SKU
9 77711GQ1 MA PDQ +外挂中文收藏指南+中文说明书+黑白警告语+收缩膜年龄贴（8+） 翻单： 4500178919
</t>
    </r>
    <r>
      <rPr>
        <sz val="12"/>
        <color rgb="FFFF0000"/>
        <rFont val="宋体"/>
        <charset val="134"/>
        <scheme val="minor"/>
      </rPr>
      <t>77711 请提供6套大货样-客版物料变更</t>
    </r>
    <r>
      <rPr>
        <sz val="12"/>
        <rFont val="宋体"/>
        <charset val="134"/>
        <scheme val="minor"/>
      </rPr>
      <t xml:space="preserve">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r>
  </si>
  <si>
    <t>000042367380</t>
  </si>
  <si>
    <t>4500185399-40</t>
  </si>
  <si>
    <t>日期码格式：ZURU INC(BVI) 标准格式 日期：按实际生产日期
Packaging Info: 1、包装方式：
其他款：MA UPC优先1L最新版，出口美国
Remark: 2、无第三方测试&lt;(&gt;&amp;&lt;)&gt;验货要求
3、纸箱4面印ZURU LOGO + 箱唛
4、日期码请按ZURU标准版执行即可
5、ZURU OQC验货</t>
  </si>
  <si>
    <t>77785-S002-77711-NA</t>
  </si>
  <si>
    <t>1pcs迷你冰箱+2pcs迷你球混装-NA/8pcs/箱</t>
  </si>
  <si>
    <t>客供贴纸</t>
  </si>
  <si>
    <t>10001620578-3
891</t>
  </si>
  <si>
    <t>4500187344-10</t>
  </si>
  <si>
    <t>4500187431-10</t>
  </si>
  <si>
    <t>4500187528-30</t>
  </si>
  <si>
    <t>日期码格式：ZURU INC(BVI) 标准格式 日期：按实际生产日期
Packaging Info: 
77711SLB-S001-INT, MA最新UPC包装，UPC :193052080127，请先检查条码是否正确再安排做货。
Slip sheet: 77711GQ1-S002-INT 13pcs/PDQ/CTN 15*5H=75CTN/SLB=975pcs/Slip Sheet;；一共需要3个slip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</si>
  <si>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4500182548-90</t>
  </si>
  <si>
    <t>11/31</t>
  </si>
  <si>
    <t>日期码格式： 标准格式 日期：按实际生产日期
Packaging Info: 
77711GQ1 MA 2L A版（PDQ+收缩膜UPC版本193052080127)
Remark: 出加拿大
Zuru验货.日期跟踪码：产品外包装及产品本身都必须有日期跟踪码，ZURU标准格式日期码</t>
  </si>
  <si>
    <t>ZMPO251147</t>
  </si>
  <si>
    <t>30个满PDQ</t>
  </si>
  <si>
    <t>Remark:大货版本/PDQ里面产品按大货比例入PDQ/大货标准箱装箱/箱唛参照邮件附件;备注： 收到样品订单后尽快安排 ，注意样板品质质量要求要高于大货品质质量 ，送货时必须要附带送货单(没有送货单和QC检验合格报告的仓库一律拒绝收货)，请知悉，谢谢！</t>
  </si>
  <si>
    <t>PO#60X483308</t>
  </si>
  <si>
    <t>4500184978-30</t>
  </si>
  <si>
    <t>1月15日第三方（利丰）到工厂做100%大货现场验货和抽板，验货需打印EPM出来跟客户回签样板供第三方验货参考。</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</si>
  <si>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#77711GQ1-S002-NA；#92129TQ2；#92125；#71126：签样同旧单4500180967 , 但如果签样超过一年或包材有更新需重新寄样重新签。
样板一套我们将给到美国HEB，两套寄到以下深圳利丰地址，到时利丰会回签一套用于第三方100%大货验货。
回签的样板工厂需要长期保存好，只要产品物料没更新样板有效期一年，一年内每次的第三方验货都是用这套样板做参考不再走客户签样流程。
* 4pcs 成品球+1个空PDQ，寄到以下地址
深圳雨禾伟业实业有限公司
地址：广东省深圳市罗湖区东门南路1006号文锦渡口岸大厦B栋7楼
收件人：Elsa
电话：0755 6688 1988 Ext3337
*4pcs成品+2个空PDQ+2套散件（如果产品涉及散件的话））寄到以下地址：
Li Fung　
深圳市福田区绒花路8号深福保大厦附楼3楼。
收件人： Yoland Dai　电话：+0755 8825 3756
4. 验货+ 抽板 （同一天进行）
预约1月15日第三方（利丰）到工厂做100%大货现场验货和抽板，验货需打印EPM出来跟客户回签样板供第三方验货参考。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</si>
  <si>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是</t>
  </si>
  <si>
    <t>收缩膜年龄贴（8+） 翻单： 4500170580</t>
  </si>
  <si>
    <t>3EKTWQLL</t>
  </si>
  <si>
    <t>4500186570-20</t>
  </si>
  <si>
    <t>SSCC label</t>
  </si>
  <si>
    <t>77731-NA-S001-MTS-1L</t>
  </si>
  <si>
    <t>3QAXSYND</t>
  </si>
  <si>
    <t>4500186572-40</t>
  </si>
  <si>
    <t>日期码格式：ZURU INC(BVI) 标准格式 日期：按实际生产日期
Packaging Info: 
#77731：2PK STD #77711入PVC桶，3L 2PK铜版纸，客版无UPC版本收缩膜翻单4500181254。收藏指南，说明书均为MA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</si>
  <si>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7B86IXVV</t>
  </si>
  <si>
    <t>4500186574-70</t>
  </si>
  <si>
    <t>7L8YA6DY</t>
  </si>
  <si>
    <t>4500186574-80</t>
  </si>
  <si>
    <t>2E9BB5CD</t>
  </si>
  <si>
    <t>4500186575-40</t>
  </si>
  <si>
    <t>日期码格式：ZURU INC(BVI) 标准格式 日期：按实际生产日期
Packaging Info:
#77731：2PK STD #77711入PVC桶，3L 2PK铜版纸，客版无UPC版本收缩膜翻单4500181254。收藏指南，说明书均为MA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</si>
  <si>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8L7BIYAT</t>
  </si>
  <si>
    <t>4500186575-50</t>
  </si>
  <si>
    <t>4500185120-90</t>
  </si>
  <si>
    <t>日期码格式：ZURU INC(BVI) 标准格式 日期：按实际生产日期
Packaging Info: 77782GQ1:客版收缩膜+客版收藏指南+客版PDQ+箱唛，无客户贴纸，客版物料翻单PO 4500161302
其余item：MA 多语包装+ UPC贴纸+箱唛，无客户贴纸
Remark: 77782:WITH 4 DEMO; Base on #77711GQ2-S001-INT ver.:Remove Hershey and Kikkoman, Kikkoman-Soy Sauce Hershey's-Chocolate Syrup 24 oz
Hershey's-Mini Chocolate Syrup 24 oz
Hershey's-Strawberry Syrup 22 oz</t>
  </si>
  <si>
    <t>4500188028-10</t>
  </si>
  <si>
    <t>日期码格式：ZURU INC(BVI) 标准格式 日期：按实际生产日期
Packaging Info: 77711GQ1: 最新MA 3L收缩膜+ MA 3L PDQ+其他最新MA包装;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9.做货前请先复核包装条码与订单是否一致再安排，对不上的需与ZURU跟单确认再安排。</t>
  </si>
  <si>
    <t>4500185143-20</t>
  </si>
  <si>
    <t>价贴金额$19.99, 价贴位于PVC桶铜
 版纸UPC条形码附+一面留空贴外箱贴；
 *外箱正面需要额外加贴2张外箱贴（外箱贴客户提供，工厂直接贴）
 近）价贴资料翻单4500182877，工厂采购</t>
  </si>
  <si>
    <r>
      <rPr>
        <sz val="12"/>
        <rFont val="宋体"/>
        <charset val="134"/>
        <scheme val="minor"/>
      </rPr>
      <t xml:space="preserve">日期码格式：ZURU INC(BVI) 标准格式 日期：按实际生产日期
Packaging Info: 1. 包材：ZURU MA 1L UPC 最新版本，出口美国
</t>
    </r>
    <r>
      <rPr>
        <sz val="12"/>
        <color rgb="FFFF0000"/>
        <rFont val="宋体"/>
        <charset val="134"/>
        <scheme val="minor"/>
      </rPr>
      <t>#77731: 球使用客版2L NA空白条码收缩膜（翻单4500182865）+2L 英法版本 收藏指南 + 23L 说明书 + 3L UPC 铜版纸+ 价格贴纸&lt;(&gt;,&lt;)&gt;价贴金额$19.99; 价贴位
于PVC桶铜版纸UPC条形码附近）价贴资料翻单4500182865，工厂采购，出口美国。</t>
    </r>
    <r>
      <rPr>
        <sz val="12"/>
        <rFont val="宋体"/>
        <charset val="134"/>
        <scheme val="minor"/>
      </rPr>
      <t xml:space="preserve">
Remark: 2.日期跟踪码：产品包装及产品本身都必须有日期跟踪码，并且确保两者的日期跟
踪码要一致；ZURU标准格式日期码(请自行调整具体年月日生产期，但不能为周末）。
3. 出货后请尽快发发票给我们文员对账；
4. 订单外箱：
*只需在外箱4面的正上方印ZURU LOGO；3面印MADE INCHINA字样，一面留空贴外箱贴；
*外箱正面需要额外加贴2张外箱贴（外箱贴客户提供，工厂直接贴）；
*外箱贴位置：shipping label贴于外箱正面左下角；product label贴于外箱正面右下角，2张贴纸都需距离外箱边缘至少3CM。
5. 此客户有两个PO:
PO#2056144 ship to NJ
PO#2056145 ship to NV
6. 出货配比：ZURU 标版配比</t>
    </r>
  </si>
  <si>
    <t>4500185143-40</t>
  </si>
  <si>
    <t>4500186008-20</t>
  </si>
  <si>
    <t>1张西班牙环保标贴纸</t>
  </si>
  <si>
    <t>日期码格式：ZURU INC(BVI) 标准格式 日期：按实际生产日期
Packaging Info:
2.77711GQ2：最新MA 3L EAN包装+一张西班牙环保标贴纸+MA 3L PDQ+MA 5L 收藏指南；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5.此单需要准备每款两套大货样，请注意备料；</t>
  </si>
  <si>
    <t>一张空白贴纸覆盖原条码+最新MA5L收藏指南+最新MA23L说明书+最新MA5L creative+最新MA纸袋</t>
  </si>
  <si>
    <t>日期码格式：ZURU INC(BVI) 标准格式 日期：按实际生产日期
Packaging Info: 
5.77785：最新客版彩盒+EAN贴纸；(条码贴纸翻单4500166563）；
子件77711：最新MA3LEAN收缩膜+一张空白贴纸覆盖原条码+最新MA5L收藏指南+最新MA23L说明书+最新MA5L creative+最新MA纸袋；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5.此单需要准备每款两套大货样，请注意备料；</t>
  </si>
  <si>
    <t>4500186566-40</t>
  </si>
  <si>
    <t>日期码格式：ZURU INC(BVI) 标准格式 日期：按实际生产日期
Packaging Info: 1. STD Items: ZURU MA UPC 现有包装+客供价格贴纸，优先使用MA 1L最新版本（可接受多语）,出口美国
Remark: 1. Cus Item
#77731：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</si>
  <si>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4500188043-70</t>
  </si>
  <si>
    <t>一张西班牙环保标</t>
  </si>
  <si>
    <t>日期码格式：ZURU INC(BVI) 标准格式 日期：按实际生产日期
Packaging Info:
77711GQ2： 最新【MA 3L EAN INT版本包装+一张西班牙环保标】+MA 23L 警告语说明书+MA 5L 收藏指南+MA 3L PDQ
Remark: 1. 此单出西班牙市场，需满足EU测试标准要求，微塑料需符合EU法规。
2. 需ZURU OQC验货后才可以安排出货，需要给到客户验货图片审批才可以放货
3. 客户要求提供3套大货样板&lt;(&gt;&amp;&lt;)&gt; 3个折叠好的空盒子(如含有PDQ的话要寄PDQ)， 在1/16前寄到深圳办公室 ，需备料</t>
  </si>
  <si>
    <t>4500187921-40</t>
  </si>
  <si>
    <t>日期码格式：ZURU INC(BVI) 标准格式 日期：按实际生产日期
Packaging Info:
77711GQ1：(INT版)MA 3L EAN收缩膜+DE IT警语贴纸，MA B版5L收藏指南，MA 5L玩法说明书，MA B版 23L UV胶黑白警告语说明书，MA配件袋，MA 3L PDQ
Remark: 1.此单出瑞士，走整柜。
2.出口欧洲，微塑料需符合法规；化学品无硼无香；电池符合欧洲法规要求(如有)。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5.STD配比</t>
  </si>
  <si>
    <t>4500188597-20</t>
  </si>
  <si>
    <t>4500185221-140</t>
  </si>
  <si>
    <r>
      <rPr>
        <sz val="12"/>
        <rFont val="宋体"/>
        <charset val="134"/>
        <scheme val="minor"/>
      </rPr>
      <t xml:space="preserve">日期码格式：ZURU INC(BVI) 标准格式 日期：按实际生产日期
Packaging Info: 物料要求 SKU
9 77711GQ1 MA PDQ +外挂中文收藏指南+中文说明书+黑白警告语+客版收缩膜年龄贴（8+） 翻单： 4500178919
</t>
    </r>
    <r>
      <rPr>
        <sz val="12"/>
        <color rgb="FFFF0000"/>
        <rFont val="宋体"/>
        <charset val="134"/>
        <scheme val="minor"/>
      </rPr>
      <t>77711 请提供6套大货样-客版物料变更</t>
    </r>
    <r>
      <rPr>
        <sz val="12"/>
        <rFont val="宋体"/>
        <charset val="134"/>
        <scheme val="minor"/>
      </rPr>
      <t xml:space="preserve">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r>
  </si>
  <si>
    <t>4500185221-150</t>
  </si>
  <si>
    <t>4500185221-160</t>
  </si>
  <si>
    <t>4500187640-120</t>
  </si>
  <si>
    <t>4500187433-20</t>
  </si>
  <si>
    <t>日期码格式：ZURU INC(BVI) 标准格式 日期：按实际生产日期
Packaging Info:
"77711GQ2: 最新MA PDQ(优先3L)+MA-3L EAN收缩膜+1张法国sorting label贴纸(翻PO#4500182619) + MA-23L说明书 + MA-5-23L警语收藏指南 + MA-5L creative
说明书
EAN: 4894680043350"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</si>
  <si>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I-VISION TOYS.INC</t>
  </si>
  <si>
    <t>韩国</t>
  </si>
  <si>
    <t>IVI-1203EF</t>
  </si>
  <si>
    <t>4500188421-20</t>
  </si>
  <si>
    <t>1张UPC 条码贴纸 （覆盖原条码）+韩语贴纸（新稿）</t>
  </si>
  <si>
    <t>日期码格式：ZURU INC(BVI) 标准格式 日期：按实际生产日期
Packaging Info:
77711GQ1： MA 3L INT 收缩膜+1张UPC 条码贴纸 （覆盖原条码）+韩语贴纸（新稿）， MA PDQ , MA 收藏指南和说明书，箱唛新稿
Remark: 由于韩国法律法规要求，此单92119口水胶出无硼版，无MIT版本，
吸塑需PET材质, 产品需符合韩国KC测试标准。
7 Assortment, Polar bear: Penguin: Walrus: Mammoth: Owl: Seal: Snow man=10:10:10:10:10:8:2. Snow man is the rare item.</t>
  </si>
  <si>
    <t>4500181289-10</t>
  </si>
  <si>
    <t>日期码格式：ZURU INC(BVI) 标准格式 日期：按实际生产日期
Packaging Info: 77782GQ1:客版收缩膜+客版收藏指南+客版PDQ，客版物料翻单POPO4500161302
Remark: 订单需提交自检报告，客户审核通过才可以出货。
外箱上的箱唛资料会显示日期06-FEB-2026,产品/包装/外箱可以按ZURU 标准日期码打，也可以跟回外箱日期码，工厂自行选择,两者均可接受
77782:WITH 4 DEMO; Base on #77711GQ2-S001-INT ver.:Remove Hershey and Kikkoman, Kikkoman-Soy Sauce
Hershey's-Chocolate Syrup 24 oz
Hershey's-Mini Chocolate Syrup 24 oz
Hershey's-Strawberry Syrup 22 oz</t>
  </si>
  <si>
    <t>4500188088-10</t>
  </si>
  <si>
    <t>日期码格式：ZURU INC(BVI) 标准格式 日期：按实际生产日期
Packaging Info: 77711:.MA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77711扫描结果为7678363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</si>
  <si>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4500186641-20</t>
  </si>
  <si>
    <t>加贴价格贴纸+贴条码贴纸</t>
  </si>
  <si>
    <t>4500185077-30</t>
  </si>
  <si>
    <r>
      <rPr>
        <sz val="12"/>
        <rFont val="宋体"/>
        <charset val="134"/>
        <scheme val="minor"/>
      </rPr>
      <t>日期码格式：ZURU INC(BVI) 标准格式 日期：按实际生产日期
Packaging Info: MA 1L UPC最新包装+ MA PDQ（如果有的话)+其他MA 包装，MA 指南/说明书（如果有的话），请先核对条码无误后安排，配比按MA
77711GQ2：193052080134</t>
    </r>
    <r>
      <rPr>
        <sz val="12"/>
        <color rgb="FFFF0000"/>
        <rFont val="宋体"/>
        <charset val="134"/>
        <scheme val="minor"/>
      </rPr>
      <t>- MA 3L INT版本收缩膜+1张UPC贴纸（UPC#193052080134 翻PO#4500166127）+ MA INT版本5L收藏指南+M
A INT 版本 3L PDQ+其他MA最新包装</t>
    </r>
    <r>
      <rPr>
        <sz val="12"/>
        <rFont val="宋体"/>
        <charset val="134"/>
        <scheme val="minor"/>
      </rPr>
      <t xml:space="preserve">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
黑
白说明书</t>
    </r>
  </si>
  <si>
    <t>F126351-3</t>
  </si>
  <si>
    <t>4500186456-10</t>
  </si>
  <si>
    <t>客户PO#
49878301</t>
  </si>
  <si>
    <t>4500185170-10</t>
  </si>
  <si>
    <t>两张彩色贴纸彩色产品贴纸翻单PO#4500182810.客供防盗贴</t>
  </si>
  <si>
    <t>日期码格式：ZURU INC(BVI) 标准格式 日期：2026-01-16
Packaging Info: 1)客版PDQ翻单PO#4500182810，最新版ZURU MA UPC包装(优先1L)，出口美国。如有说明书请使用ZURU MA说明书，优先放1L英语。
2)ZURU标准日期码格式：工厂城市缩写+生产年月日。此单指定日期码：DG20260116。
3)外箱箱唛正侧相邻两面粘贴产品彩色贴纸，每箱两张彩色贴纸, 彩色产品贴纸翻单PO#4500182810。如侧唛位置放不下彩贴和唛头信息，可改为放两个正唛。无论
是正唛+侧唛或者是两个正唛，唛头信息和彩贴需放在同一个面。箱唛需排版给跟单确认。
4) 每个球贴一张客供防盗贴，贴在收缩膜上，防盗贴由跟单采购，供应商直接发货到工厂。防盗贴贴纸位置和PO#4500182810确认的位置一。
Remark: 客户PO# 49878301
客户SKU# 1004126
1）Item#77711GQ6-S001-NA
2) 此单无第三方验货+抽样测试，ZURU QC验货PASS后，跟单得到客户的approval之后方可安排出货
3) 大货外箱材积绝对不可大于下述数据，材积只接受3%的变小；重量正负不得超过以下列出数据的5%，接受外箱以印章方式印上实际毛重。
大货外箱尺寸请保持：21.3*12.8*29.5 cm (即8.39*5.04*11.61 inch)，材积必须不能大于0.2825 CubeFeet（即0.0080 CBM); 外箱毛重 1.45 LBS（即0.66 KGS）
4) 大货配比：
Item#77711GQ6-S001-NA
S001-NA-MINI BRANDS-FILL THE FRIDGE-SERIES 1-CAPSULE,1FACING6PCS/GRAVITY PDQ,6PCS/PDQ/CTN
UPC:193052080127
Contain UV GLUE/ 1 Refrigerator Magnet.
1FACING 6PCS/GRAVITY PDQ/CTN;1W*2D*3H=6PCS/PDQ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</si>
  <si>
    <t>4500188145-20</t>
  </si>
  <si>
    <r>
      <rPr>
        <sz val="12"/>
        <rFont val="宋体"/>
        <charset val="134"/>
        <scheme val="minor"/>
      </rPr>
      <t xml:space="preserve">日期码格式：ZURU INC(BVI) 标准格式 日期：按实际生产日期
Packaging Info: 
2. 77711GQ2：3L MA EAN 收缩膜+UPC条码贴纸+进口商贴纸+MA 5L 收藏指南+MA 3L PDQ+箱唛
Remark:
</t>
    </r>
    <r>
      <rPr>
        <sz val="12"/>
        <color rgb="FFFF0000"/>
        <rFont val="宋体"/>
        <charset val="134"/>
        <scheme val="minor"/>
      </rPr>
      <t>客户有监装要求，每款需要多备1pc监柜样板用于监装，监柜样板要和大货一致</t>
    </r>
  </si>
  <si>
    <t>4500186392-20</t>
  </si>
  <si>
    <t>4500187984-20</t>
  </si>
  <si>
    <t>欠一张UPC 条码贴纸</t>
  </si>
  <si>
    <t>日期码格式：ZURU INC(BVI) 标准格式 日期：按实际生产日期
Packaging Info: 1. 包装方式：MA UPC优先1L最新包装，出口美国；
2. 产品和包装上印刷tracking code信息，格式为ZURU常规；
3. ZURU QC 验货合格后即可出货.
Remark: 
5. 77711GQ2-S002-NA PDQ上需要贴一张UPC 条码贴纸,UPC显示：193052080127，贴纸AW跟单提供，工厂自行采购；</t>
  </si>
  <si>
    <t>4500188208-20</t>
  </si>
  <si>
    <t>4500188288-30</t>
  </si>
  <si>
    <t>日期码格式：ZURU INC(BVI) 标准格式 日期：按实际生产日期
Packaging Info: 
77782：客版3L UPC收缩膜/客版收藏指南/客版PDQ+箱唛
Remark:</t>
  </si>
  <si>
    <r>
      <rPr>
        <sz val="12"/>
        <rFont val="宋体"/>
        <charset val="134"/>
        <scheme val="minor"/>
      </rPr>
      <t>日期码格式：ZURU INC(BVI) 标准格式 日期：按实际生产日期
Packaging Info: Amazon UK(9565ABDE/15752B/15754B/15755ABDE/77731/77785/77809)/DE(9565ABDE/77673/15728ABG))</t>
    </r>
    <r>
      <rPr>
        <sz val="12"/>
        <color rgb="FFFF0000"/>
        <rFont val="宋体"/>
        <charset val="134"/>
        <scheme val="minor"/>
      </rPr>
      <t>/-PO:4ILCYXLX/4GW1TX1I/21CQRD5P/3DJTQAQP
ES(77785/92119D/15710A/15728ABE)/-PO:2ND8X5VU/1A7PV2ZC
IT(71152/15710B/15728AG/15763E)-PO:2H7MF2MP/2NZ4JX5R</t>
    </r>
    <r>
      <rPr>
        <sz val="12"/>
        <rFont val="宋体"/>
        <charset val="134"/>
        <scheme val="minor"/>
      </rPr>
      <t xml:space="preserve">
4. 77785：1pk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A收藏指南+1张贴纸（Spielzeugpreis Alles fürs Kinderherz，仅出DE需要&lt;(&gt;,&lt;)&gt;参考翻单PO#4500166480)+77711: MA 3L(3L warning E
AN)A收缩膜+MA 5L(23L warning)B收藏指南+MA 23L警告语说明书+MA 5L A说明书 +客版彩盒（新FR&lt;(&gt;&amp;&lt;)&gt;DK地址，参考翻单PO#4500186500）+WEEE电子产品说明
书30L(带电池走货B版)；
14.最迟验货不得晚于2026/1/27;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r>
  </si>
  <si>
    <t>5WCY1FYY</t>
  </si>
  <si>
    <t>4500186739-130</t>
  </si>
  <si>
    <r>
      <rPr>
        <sz val="12"/>
        <rFont val="宋体"/>
        <charset val="134"/>
        <scheme val="minor"/>
      </rPr>
      <t>日期码格式：ZURU INC(BVI) 标准格式 日期：按实际生产日期
Packaging Info: Amazon UK(9565ABDE/15752B/15754B/15755ABDE/77731/77785/77809)/DE(9565ABDE/77673/15728ABG)</t>
    </r>
    <r>
      <rPr>
        <sz val="12"/>
        <color rgb="FFFF0000"/>
        <rFont val="宋体"/>
        <charset val="134"/>
        <scheme val="minor"/>
      </rPr>
      <t>/-PO:4ILCYXLX/4GW1TX1I/21CQRD5P/3DJTQAQP
ES(77785/92119D/15710A/15728ABE)/-PO:2ND8X5VU/1A7PV2ZC
IT(71152/15710B/15728AG/15763E)-PO:2H7MF2MP/2NZ4JX5R</t>
    </r>
    <r>
      <rPr>
        <sz val="12"/>
        <rFont val="宋体"/>
        <charset val="134"/>
        <scheme val="minor"/>
      </rPr>
      <t xml:space="preserve">
3. 77731：2PK#77711-INT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ES环保标+GPSR邮箱care@zuru.com+新FR&lt;(&gt;&amp;&lt;)&gt;DK地址，</t>
    </r>
    <r>
      <rPr>
        <sz val="12"/>
        <color rgb="FFFF0000"/>
        <rFont val="宋体"/>
        <charset val="134"/>
        <scheme val="minor"/>
      </rPr>
      <t>参考翻单PO#4500186266)+1张IT环保标贴纸(参考翻单PO#4500158623）；</t>
    </r>
    <r>
      <rPr>
        <sz val="12"/>
        <rFont val="宋体"/>
        <charset val="134"/>
        <scheme val="minor"/>
      </rPr>
      <t xml:space="preserve">
14.最迟验货不得晚于2026/1/27;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r>
  </si>
  <si>
    <t>4500187429-10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</si>
  <si>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PO#4500188118一起合并计算</t>
  </si>
  <si>
    <t>4500188598-20</t>
  </si>
  <si>
    <t>4500188599-20</t>
  </si>
  <si>
    <t>4500188600-20</t>
  </si>
  <si>
    <t>日期码格式：ZURUDG20251210 日期：
Packaging Info: 1. 指定tracking code: ZURUDG20251210; 产品、彩盒、外箱的日期码需要按照我们提供的Tracking code做。
2.
#77711GQ2: MA 2L UPC版本彩膜, 2L_B版本收藏指南，MA 2L PDQ; UPC#193052080127;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</si>
  <si>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4500188871-10</t>
  </si>
  <si>
    <t xml:space="preserve"> 一张UPC条码贴+ 防盗贴纸（两款贴纸以及防盗贴纸位置图翻单PO#4500160026）</t>
  </si>
  <si>
    <t>日期码格式：ZURU INC(BVI) 标准格式 日期：按实际生产日期
Packaging Info: 77711GQ1-S002-INT: MA 3L包装（MA收缩膜和说明书） + 一张UPC条码贴+ 防盗贴纸（两款贴纸以及防盗贴纸位置图翻单PO#4500160026）+ 箱唛 + 外箱贴纸SSCC L
abel
配比信息：7 assortment (6 common + 1 rare)=CORGI(Rare):SHEPHERD:POODLE:DALMATIAN:SCHNAUZER:BROWN DALNATIAN:HOUND DOG=2:8:10:10:10:10:10;
其他款：MA说明书+1张说明书纽扣电池警告语贴纸+ 1张收缩膜纽扣电池警告语贴纸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PO#4500188875一起合并计算</t>
  </si>
  <si>
    <t>4500188875-10</t>
  </si>
  <si>
    <t>日期码格式：ZURU INC(BVI) 标准格式 日期：按实际生产日期
Packaging Info: 77711GQ1-S002-INT: MA 3L包装（MA收缩膜和说明书） + 一张UPC条码贴+ 防盗贴纸（两款贴纸以及防盗贴纸位置图翻单PO#4500160026）+ 箱唛 + 外箱贴纸SSCC L
abel
其他款：MA说明书+1张说明书纽扣电池警告语贴纸+ 1张收缩膜纽扣电池警告语贴纸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PO#4500188871一起合并计算</t>
  </si>
  <si>
    <t>4500189254-30</t>
  </si>
  <si>
    <t>欠DE IT警语贴纸+客供价格贴纸</t>
  </si>
  <si>
    <t>日期码格式：ZURU INC(BVI) 标准格式 日期：按实际生产日期
Packaging Info:
此单有客供价格贴纸，预计1/2前提供
77711GQ1：(INT版)MA 3L EAN收缩膜+DE IT警语贴纸（翻4500187921），MA B版5L收藏指南，MA 5L玩法说明书，MA B版 23L UV胶黑白警告语说明书，MA配件袋，MA
3L PDQ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5.大货样品一套
6.STD配比</t>
  </si>
  <si>
    <t>4500185221-170</t>
  </si>
  <si>
    <t>7IMKVJLJ</t>
  </si>
  <si>
    <t>4500189841-20</t>
  </si>
  <si>
    <t>空白外箱加印ZURU Logo+MADE IN CHINA+SSCC LABEL(客供贴纸），无shippingmark,日期使用ZURU 标准版本。SSCC Label显示的是客人自己的item#，SSCC Lab
el 贴在外箱正面的正中间，贴一面即可，跟单订购，贴纸离外箱距必须至少3cm
,每一张SSCC Label都是唯一且有不同流水及条码的，没有损耗，绝对不可贴错，否
则贴错或损坏一张会导致全部都错，千万要注意！</t>
  </si>
  <si>
    <t>空白贴纸覆盖EAN 条码+SSCC lable
 +进口商贴纸</t>
  </si>
  <si>
    <r>
      <rPr>
        <sz val="12"/>
        <rFont val="宋体"/>
        <charset val="134"/>
        <scheme val="minor"/>
      </rPr>
      <t>日期码格式：ZURU INC(BVI) 标准格式 日期：按实际生产日期
Packaging Info:
2.77731：</t>
    </r>
    <r>
      <rPr>
        <sz val="12"/>
        <color rgb="FFFF0000"/>
        <rFont val="宋体"/>
        <charset val="134"/>
        <scheme val="minor"/>
      </rPr>
      <t>2PK MA 3L 77711 INT版本的球+空白贴纸入PVC桶，3L 铜板纸（两个球的配比不能重复）</t>
    </r>
    <r>
      <rPr>
        <sz val="12"/>
        <rFont val="宋体"/>
        <charset val="134"/>
        <scheme val="minor"/>
      </rPr>
      <t>，SSCC lable+进口商贴纸
Remark: Amazon FOB订单，出口Mexico，外箱最长边不能超过25" （超过了，casepack只能为1），不符合要求的大货，一律不接受。
1.空白外箱加印ZURU Logo+MADE IN CHINA+SSCC LABEL(客供贴纸），无shippingmark,日期使用ZURU 标准版本。SSCC Label显示的是客人自己的item#，SSCC Lab
el 贴在外箱正面的正中间，贴一面即可，跟单订购，贴纸离外箱距必须至少3cm
,每一张SSCC Label都是唯一且有不同流水及条码的，没有损耗，绝对不可贴错，否
则贴错或损坏一张会导致全部都错，千万要注意！
2. 日期码使用ZURU标准版</t>
    </r>
  </si>
  <si>
    <t>Candy Liu</t>
  </si>
  <si>
    <t>7LENVZTH</t>
  </si>
  <si>
    <t>4500189841-30</t>
  </si>
  <si>
    <t>4500187657-140</t>
  </si>
  <si>
    <t>进口商贴纸唛+UPC贴纸</t>
  </si>
  <si>
    <t>客版物料翻单PO4500161</t>
  </si>
  <si>
    <t>4500188881-80</t>
  </si>
  <si>
    <r>
      <rPr>
        <sz val="12"/>
        <rFont val="宋体"/>
        <charset val="134"/>
        <scheme val="minor"/>
      </rPr>
      <t>日期码格式：ZURU INC(BVI) 标准格式 日期：按实际生产日期
Packaging Info: 
77782GQ1:</t>
    </r>
    <r>
      <rPr>
        <sz val="12"/>
        <color rgb="FFFF0000"/>
        <rFont val="宋体"/>
        <charset val="134"/>
        <scheme val="minor"/>
      </rPr>
      <t>MA 多语包装（用77711的收缩膜）</t>
    </r>
    <r>
      <rPr>
        <sz val="12"/>
        <rFont val="宋体"/>
        <charset val="134"/>
        <scheme val="minor"/>
      </rPr>
      <t xml:space="preserve">+客版收藏指南+客版PDQ+进口商贴纸+条码贴纸+箱唛
其余item：MA 多语包装+进口商贴纸+条码贴纸+箱唛
Remark: 进口商贴纸请多备料5pcs,出货后需要寄给客户
</t>
    </r>
    <r>
      <rPr>
        <sz val="12"/>
        <color rgb="FFFF0000"/>
        <rFont val="宋体"/>
        <charset val="134"/>
        <scheme val="minor"/>
      </rPr>
      <t>7782GQ1:WITH 4 DEMO; Base on #77711GQ2-S001-INT ver.:Remove Hershey and Kikkoman, Kikkoman-Soy SauceHershey's-Chocolate Syrup 24 oz Hershey's-
Mini Chocolate Syrup 24 oz ershey's-Strawberry Syrup 22 oz</t>
    </r>
  </si>
  <si>
    <t>4500189088-40</t>
  </si>
  <si>
    <t>一张西班牙环保标贴纸（贴纸翻单4500154244）</t>
  </si>
  <si>
    <t>日期码格式：ZURU INC(BVI) 标准格式 日期：按实际生产日期
Packaging Info: 
77711GQ2：最新MA 3L EAN包装+一张西班牙环保标贴纸+MA 3L PDQ+MA 5L 收藏指南；(贴纸翻单4500186008）；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</si>
  <si>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4500187980-10</t>
  </si>
  <si>
    <t>一张进口商贴纸+（贴纸翻单4500169530）</t>
  </si>
  <si>
    <t>日期码格式：ZURU INC(BVI) 标准格式 日期：按实际生产日期
Packaging Info: 1.77711GQ2:最新MA 3L EAN INT版本包装+一张进口商贴纸+MA 23L 警告语说明书+MA 5L 收藏指南+MA 3L PDQ；（贴纸翻单4500169530）；
Remark: 1.此单出西班牙市场，需满足EU测试标准要求，微塑料需符合EU法规。
2.包装必须要含西班牙环保标和 care@zuru.com 邮箱地址以及CE LOGO；
3.毛绒玩具需要西班牙语言的洗涤说明；
4.电子产品需要WEEE说明书；</t>
  </si>
  <si>
    <t>4500189691-30</t>
  </si>
  <si>
    <t>日期码格式：ZURU INC(BVI) 标准格式 日期：按实际生产日期
Packaging Info: 请确保包装上的条形码是UPC，如果是babyUPC，需要用mother UPC覆盖，如有不一致，请及时提出。谢谢!
77782GQ1,,客版3L UPC收缩膜/客版收藏指南/客版PDQ，客版物料消耗PO 4500161302的库存,,
Remark:
77782GQ1,,With 4pcs demo(14.6G)/PDQ; Base on #77711GQ2-S001-INT ver.:Remove Hershey and Kikkoman, Kikkoman-Soy Sauce
Hershey's-Chocolate Syrup 24 oz
Hershey's-Mini Chocolate Syrup 24 oz
Hershey's-Strawberry Syrup 22 oz,,
Common: Equal ratio,,</t>
  </si>
  <si>
    <t>4500188307-130</t>
  </si>
  <si>
    <t>日期码格式：ZURU INC(BVI) 标准格式 日期：按实际生产日期
Packaging Info: 1.请确保包装上的条形码是UPC，如果是babyUPC，需要用mother UPC覆盖，如有不一致，请及时提出。谢谢!
2. 包材请按照ZURU MA 生产 +语言必须含有西语+箱唛
3. 如果是EAN条码请用UPC 贴纸覆盖
Remark:
Common: Equal ratio</t>
  </si>
  <si>
    <t>4500188248-70</t>
  </si>
  <si>
    <t>客版物料消耗PO 4500161302的库存</t>
  </si>
  <si>
    <r>
      <rPr>
        <sz val="12"/>
        <rFont val="宋体"/>
        <charset val="134"/>
        <scheme val="minor"/>
      </rPr>
      <t xml:space="preserve">日期码格式：ZURU INC(BVI) 标准格式 日期：按实际生产日期
Packaging Info: 请确保包装上的条形码是UPC，如果是babyUPC，需要用mother UPC覆盖，如有不一致，请及时提出。谢谢!
</t>
    </r>
    <r>
      <rPr>
        <sz val="12"/>
        <color rgb="FFFF0000"/>
        <rFont val="宋体"/>
        <charset val="134"/>
        <scheme val="minor"/>
      </rPr>
      <t>77782GQ1,,客版3L UPC收缩膜/客版收藏指南/客版PDQ，客版物料消耗PO 4500161302的库存,,</t>
    </r>
    <r>
      <rPr>
        <sz val="12"/>
        <rFont val="宋体"/>
        <charset val="134"/>
        <scheme val="minor"/>
      </rPr>
      <t xml:space="preserve">
Remark: </t>
    </r>
  </si>
  <si>
    <t>4500188302-30</t>
  </si>
  <si>
    <t>4500189455-10</t>
  </si>
  <si>
    <t>77711SLB-S003-NA</t>
  </si>
  <si>
    <t>此款需要加UPC贴纸覆盖ZURU MA UPC。</t>
  </si>
  <si>
    <r>
      <rPr>
        <sz val="12"/>
        <rFont val="宋体"/>
        <charset val="134"/>
        <scheme val="minor"/>
      </rPr>
      <t>日期码格式：ZURU MA格式 日期：按实际生产日期
Packaging Info: 包装： ZURU MA 包装 + ZURU MA PDQ（如带PDQ）+ ZURU说明书或收藏指南（如带有）+ 个别item需要加客户永久性粘度的UPC贴纸。贴纸aws跟单邮件发送。MA包材
优选1L。
Remark: 1. 包装： ZURU MA 包装 + ZURU MA PDQ（如带PDQ）+ ZURU说明书或收藏指南（如带有）+ 个别item需要加客户永久性粘度的UPC贴纸。贴纸aws跟单邮件发送。MA
包材优选1L。
大货外箱材质用ZURU MA的标准规格即可。
客户要求： "产品和包装不能含有PFAS 物质以及1,4 dioxane"出口美国，客户指定实验室做产品测美国标准的实际测试。On and after 20 April 2024, toys mus
t comply with ASTM F963-23.
2.日期码：产品和包装上必须有ZURU MA格式日期码。2者保持一致，避开周末。
3. 此单无价贴。
4. 样板：请尽力1月10日左右初寄出：
不带PDQ的，需要每款每色各两套
带PDQ的，需要2FULL PDQ+3空PDQ大货样给Hailey/Minny，转寄美国 （1PDQ POG样+1PDQ SMSB拍照样）。
5.此单是DDP term，无第三方验货要求。
6.箱唛：此客人要求严格，外箱不接受水贴纸，外箱唛头是客户版本的，跟单邮件发送。
7.此客人不接受任何理由的延期，会有高额罚金产生.
8.此单每款打SLIP SHEET纸滑托后整柜出货.跟单邮件发送打SLIP SHEET的装载图和具体要求。
9.出货配比：MA配比。
10.以下是每款的spec：
#77711SLB-S003-NA-MINI BRANDS-FILL THE FRIDGE-SERIES 1-CAPSULE,WITH DEMO,25PCS/GRAVITY PDQ/CTN</t>
    </r>
    <r>
      <rPr>
        <sz val="12"/>
        <color rgb="FFFF0000"/>
        <rFont val="宋体"/>
        <charset val="134"/>
        <scheme val="minor"/>
      </rPr>
      <t xml:space="preserve">&lt;(&gt;,&lt;)&gt; 750PCS/30CTN/SLIP </t>
    </r>
    <r>
      <rPr>
        <sz val="12"/>
        <rFont val="宋体"/>
        <charset val="134"/>
        <scheme val="minor"/>
      </rPr>
      <t>SHEET
具体的产品item#77711GQ2-S002-NA
客户SKU#31328202
客户描述：MN BRANDS FILL THE FRIDGE
客户UPC# 193052106377, 此款需要加UPC贴纸覆盖ZURU MA UPC。</t>
    </r>
  </si>
  <si>
    <t>4500189943-10</t>
  </si>
  <si>
    <t>4500185103转单</t>
  </si>
  <si>
    <t>1张UPC 条码贴纸（覆盖原条码）+1张进口商贴纸（贴球底部</t>
  </si>
  <si>
    <r>
      <rPr>
        <sz val="12"/>
        <rFont val="宋体"/>
        <charset val="134"/>
        <scheme val="minor"/>
      </rPr>
      <t xml:space="preserve">日期码格式：ZURU INC(BVI) 标准格式 日期：按实际生产日期
Packaging Info: 77711GQ1: MA PDQ， MA 3L EAN 收缩膜+1张UPC 条码贴纸（覆盖原条码）+1张进口商贴纸（贴球底部）+
MA 5L 收藏指南， MA说明书
贴纸不得遮挡日期码
Remark: </t>
    </r>
    <r>
      <rPr>
        <sz val="12"/>
        <color rgb="FFFF0000"/>
        <rFont val="宋体"/>
        <charset val="134"/>
        <scheme val="minor"/>
      </rPr>
      <t>此单77711GQ1 和77673TQ1 可直接挪用canceled PO# 4500185103 : 77711GQ1(780PCS) ,77673TQ1 (400PCS) , 但外箱需加水贴纸更正信息，剩余77711GQ1 (780PCS
)和77673TQ1 (560PCS) 数量可正常走生产流程完货。</t>
    </r>
  </si>
  <si>
    <t>4500181047-40</t>
  </si>
  <si>
    <t>4500181047拆分，总数量不变</t>
  </si>
  <si>
    <t>UPC条码贴纸+1个小的红色logo贴纸+进口商贴纸</t>
  </si>
  <si>
    <t>日期码格式：ZURU INC(BVI) 标准格式 日期：按实际生产日期
Packaging Info: 
4. 77711GQ2：3L MA EAN 收缩膜+UPC条码贴纸+1个小的红色logo贴纸+进口商贴纸+MA 收藏指南+MA 3L PDQ+箱唛；
Remark: 1. 集装箱及装柜要求：集装箱不能有破洞；不能太脏
2.每个item需要放1整箱在每个集装箱门口
3.装柜的时候要前、中、后拍照
4. 此单有监柜要求，每款需要准备1pc监柜样板用于监装</t>
  </si>
  <si>
    <t>4500181047-170</t>
  </si>
  <si>
    <t>日期码格式：ZURU INC(BVI) 标准格式 日期：按实际生产日期
Packaging Info:
4. 77711GQ2：3L MA EAN 收缩膜+UPC条码贴纸+1个小的红色logo贴纸+进口商贴纸+MA 收藏指南+MA 3L PDQ+箱唛；
Remark: 1. 集装箱及装柜要求：集装箱不能有破洞；不能太脏
2.每个item需要放1整箱在每个集装箱门口
3.装柜的时候要前、中、后拍照
4. 此单有监柜要求，每款需要准备1pc监柜样板用于监装</t>
  </si>
  <si>
    <t>4500181047-300</t>
  </si>
  <si>
    <t>4500189941-90</t>
  </si>
  <si>
    <t>日期码格式：ZURU INC(BVI) 标准格式 日期：按实际生产日期
Packaging Info: 出加拿大
每款产品都需要加进口商贴纸
Zuru验货.日期跟踪码：产品外包装及产品本身都必须有日期跟踪码，ZURU标准格式日期码
Remark: 
77711GQ1： MA NA 2L UPC</t>
  </si>
  <si>
    <t>4500188241-10</t>
  </si>
  <si>
    <t>4500188243-10</t>
  </si>
  <si>
    <t>MEC305-S001-NA-77711</t>
  </si>
  <si>
    <t>1张EAN条码贴纸++空白贴纸覆盖球上面的条码（77711</t>
  </si>
  <si>
    <t>4500188835-10</t>
  </si>
  <si>
    <t>日期码格式：ZURU INC(BVI) 标准格式 日期：按实际生产日期
Packaging Info: 􏁬 MA UPC 英语包装（优先1L英语版本，或者3L/5L含英语都可）
Remark:</t>
  </si>
  <si>
    <t>4500188846-110</t>
  </si>
  <si>
    <t>日期码格式：ZURU INC(BVI) 标准格式 日期：按实际生产日期
Packaging Info: MA UPC包装(优先1L)+进口商贴纸,Fuggler的items需mother UPC barcode 信息,会跟进口商贴纸做在一起
贴纸图稿及位置图翻单如下,其他items待提供
77803GQ2-4500180194
77803GQ2是基于STD版本77711GQ2-S001-INT建立的客制spec,移除掉了提到猪肉"pork"的2个minis和4个有license的minis：Veggie Original Sausage Patties(Co
ntains pork words)
Singles The Original- Pepperoni (Contains pork words)
Kikkoman-Soy Sauce (license)
Hershey's-Chocolate Syrup 24 oz (license)
Hershey's-Mini Chocolate Syrup 24 oz (license)
Hershey's-Strawberry Syrup 22 oz (license)
除了PDQ和收藏指南，其他包材如收缩膜等都跟STD版本77711GQ2-S001-INT- MA 3L版。
所以，77803GQ2-MA EAN包装（3L)+1张进口商贴纸+1张UPC条码贴纸覆盖原条码(UPC贴纸显示款号77803，条码193052092403）。贴纸资料翻单4500165640。
客版PDQ+收藏指南跟回拉美的订单4500161302,但是收藏指南要加贴纸遮住以下两个LOGOs,贴纸资料翻单4500165640;
Veggie Original Sausage Patties(Contains pork words)
Singles The Original- Pepperoni (Contains pork words)
Remark:</t>
  </si>
  <si>
    <t>4500189099-20</t>
  </si>
  <si>
    <t>1张UPC 条码贴纸(UPC#193052080134)HK客供警语贴纸</t>
  </si>
  <si>
    <t>日期码格式：ZURU INC(BVI) 标准格式 日期：按实际生产日期
Packaging Info: 
77711GQ1 （INT): MA 3L 收缩膜+1张UPC 条码贴纸(UPC#193052080134) + MA 3L PDQ+MA 5L 收藏指南+HK客供警语贴纸（1张贴球底部，1张贴说明书，1张贴收藏
指南）具体参考HK客供警语贴纸位置图
Remark: 此单出HK , EXW+送货运费实报实销。
客户自提，请按船务出货通知及时送货</t>
  </si>
  <si>
    <t>1张空白贴纸覆盖条码+球底部贴1张客供警语贴纸，收藏指南贴一张客供警语贴纸，说明书贴一张客供警语贴纸</t>
  </si>
  <si>
    <t>4500189631-10</t>
  </si>
  <si>
    <t>2/2 自检</t>
  </si>
  <si>
    <t>日期码格式：ZURU INC(BVI) 标准格式 日期：按实际生产日期
Packaging Info: #77711:
客版3L,PDQ(NA版,16装)+MA2L收缩膜(NA版,UPC:193052080127)+MA2L收藏指南(NA版B版)+MA配件袋+MA5L说明书+MA23L警告语说明书(B)
翻单：4500186723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</si>
  <si>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4500185221-180</t>
  </si>
  <si>
    <t>4500185221-190</t>
  </si>
  <si>
    <t>4500185221-200</t>
  </si>
  <si>
    <t>4500185221-210</t>
  </si>
  <si>
    <t>4500190234-30</t>
  </si>
  <si>
    <t>日期码格式：ZURU INC(BVI) 标准格式 日期：按实际生产日期
Packaging Info: 1.优先多语 MA UPC或者3L/5L MA EAN 包装
2.请确保包装上的条形码是UPC，如果是babyUPC、需要用mother UPC覆盖，如有不一致，请及时提出。谢谢!
Remark: 77782GQ1：With 4pcs demo(14.6G)/PDQ; Base on #77711GQ2-S001-INT ver.:Remove Hershey and Kikkoman, Kikkoman-Soy Sauce
Hershey's-Chocolate Syrup 24 oz
Hershey's-Mini Chocolate Syrup 24 oz
Hershey's-Strawberry Syrup 22 oz</t>
  </si>
  <si>
    <t>4500189267-100</t>
  </si>
  <si>
    <t>进口商和西班牙环保标贴纸+MA 23L 警告语说明书+MA 5L 收藏指南+MA 3L SK；（贴纸翻单4500169530）</t>
  </si>
  <si>
    <t>1张进口商和西班牙环保标贴纸（贴纸翻单4500169530）</t>
  </si>
  <si>
    <t>日期码格式：ZURU INC(BVI) 标准格式 日期：按实际生产日期
Packaging Info:
77711SK1：最新MA 3L EAN INT版本包装+一张进口商和西班牙环保标贴纸+MA 23L 警告语说明书+MA 5L 收藏指南+MA 3L SK；（贴纸翻单4500169530）；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</si>
  <si>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4500183158-20</t>
  </si>
  <si>
    <t>4500183158-40</t>
  </si>
  <si>
    <t>4500186609-10</t>
  </si>
  <si>
    <t>4500189966-10</t>
  </si>
  <si>
    <t>日期码格式：ZURU INC(BVI) 标准格式 日期：按实际生产日期
Packaging Info: MA NA 2L UPC
Remark: 出加拿大
Zuru验货.日期跟踪码：产品外包装及产品本身都必须有日期跟踪码，ZURU标准格式日期码</t>
  </si>
  <si>
    <t>01519015</t>
  </si>
  <si>
    <t>4500189973-10</t>
  </si>
  <si>
    <t>01519019</t>
  </si>
  <si>
    <t>4500189971-10</t>
  </si>
  <si>
    <t xml:space="preserve">翻单 </t>
  </si>
  <si>
    <t>中文3C贴纸+防窜码贴纸</t>
  </si>
  <si>
    <t>日期码格式：ZURU INC(BVI) 标准格式 日期：按实际生产日期
Packaging Info: 物料要求 SKU
6.77785 ：2部分子件构成
物料要求：UPC:193052089786 UPC部分：所有子件UPC要求统一或者覆盖
MA+77785 中文3C贴纸+77785 中文收藏指南 +芯片码
子件 B : 77711- 2个 ： MA+77711 中文DIY 说明书+77711 中文黑白说明书
翻单：4500178919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</si>
  <si>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4500190045-220</t>
  </si>
  <si>
    <t>日期码格式：ZURU INC(BVI) 标准格式 日期：按实际生产日期
Packaging Info:
22. 77711GQ2：3L MA EAN 收缩膜+UPC条码贴纸+进口商贴纸+MA 收藏指南+MA 3L PDQ+箱唛
所有带电产品的保证书是通用的
Remark:</t>
  </si>
  <si>
    <t>彩盒+冰箱说明书新资料</t>
  </si>
  <si>
    <r>
      <rPr>
        <sz val="12"/>
        <rFont val="宋体"/>
        <charset val="134"/>
        <scheme val="minor"/>
      </rPr>
      <t>日期码格式：ZURU INC(BVI) 标准格式 日期：按实际生产日期
Packaging Info: 1. 77758SLT: 客版彩盒(英法西瑞典冰岛语言-</t>
    </r>
    <r>
      <rPr>
        <sz val="12"/>
        <color rgb="FFFF0000"/>
        <rFont val="宋体"/>
        <charset val="134"/>
        <scheme val="minor"/>
      </rPr>
      <t>翻订单4500188369</t>
    </r>
    <r>
      <rPr>
        <sz val="12"/>
        <rFont val="宋体"/>
        <charset val="134"/>
        <scheme val="minor"/>
      </rPr>
      <t>)+客版球的收缩膜(英法西瑞典冰岛语言)+客版冰箱收缩膜(英法西瑞典冰岛语言)+客版冰箱收藏指
南(英法西瑞典冰岛语言)+客版球的收藏指南(英法西瑞典冰岛语言)+客版Manual for three kinds of mini creates(英法西瑞典冰岛语言) +客版球的黑白说明书(
英法西瑞典冰岛语言)+客版内纸袋(英法西瑞典冰岛语言) +客版UV glue bottle sticker(英法西瑞典冰岛语言) +客版冰箱电池警告语和说明书(英法西瑞典冰岛语
言-</t>
    </r>
    <r>
      <rPr>
        <sz val="12"/>
        <color rgb="FFFF0000"/>
        <rFont val="宋体"/>
        <charset val="134"/>
        <scheme val="minor"/>
      </rPr>
      <t>翻订单4500188369</t>
    </r>
    <r>
      <rPr>
        <sz val="12"/>
        <rFont val="宋体"/>
        <charset val="134"/>
        <scheme val="minor"/>
      </rPr>
      <t>) + 客版PDQ（翻Costco US PO#4500156301）
除了放新稿的两个和客版PDQ翻显示订单外，剩下的客版包装都翻Costco Spain PO#4500163768
3PK 77711-INT(capsules)+1PK 77673 combo in color box
#77673( Fridge with extra 5 exclusive mini,But "pizza" in different versions of packaging for INT market)
77673:UV GLUE / 7 magnets（6 magnets and 1 Refrigerator magnet）
77711:UV GLUE/ 1 Refrigerator Magnet
77673:3PCS AG13 BATTERIES(INCLUDED)
1F*5D=5PCS/PDQ, 5PDQ/LAYER=25PCS/LAYER, 25PDQ/Tray*3=75PCS/PALLET
Remark: 1. 所有日期码印在彩卡上，产品(枪)上也需印日期码，按实际生产日期，ZURU 标准版格式的日期码。
2. 纸箱唛头：纸箱四面，印刷2个正面，侧唛不印, 按照箱唛模板要求排版。
3. 确保展示架在入外箱的时候一定要正面对着有印刷箱唛的那面,不可以装反。
4.出英国/冰岛/瑞典三个国家，产品需要打UKCA Mark，包装也需要有UKCA，否则不符合法规客人会退货有罚款产生</t>
    </r>
  </si>
  <si>
    <t>4500189851-50</t>
  </si>
  <si>
    <t>价格贴纸，价格贴纸客供。2PK的球用无条码收缩膜或加空白贴纸覆盖原条码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</si>
  <si>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PO#951857,SKU#182176 DC#891-264PCS, DC#894-204PCS, DC#896-168PCS, DC#897-336PCS, DC#898-228PCS</t>
  </si>
  <si>
    <t>4500189850-50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</si>
  <si>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Marshalls PO#951854,SKU#903568 DC#881-216PCS, DC#884-168PCS, DC#886-216PCS, DC#887-192PCS, DC#888-204PCS</t>
  </si>
  <si>
    <t>4500190462-90</t>
  </si>
  <si>
    <t>欠进口商贴纸+说明书贴纸</t>
  </si>
  <si>
    <t>日期码格式：ZURU INC(BVI) 标准格式 日期：按实际生产日期
Packaging Info: 1. 优先多语 MA UPC或者3L/5L MA EAN 包装+进口商贴纸
2. 带有说明书需要说明书贴纸
3. 不带电只有一个贴纸贴在包装上,带电产品会有两个贴纸，分别贴到产品电池门+包装+一张保证书
5. 请确保包装上的条形码是UPC，如果是babyUPC、需要用mother UPC覆盖，如有不一致，请及时提出。谢谢
Remark:</t>
  </si>
  <si>
    <t>日期码格式：ZURU INC(BVI) 标准格式 日期：按实际生产日期
Packaging Info: 1. Cus Item
#77785：MA UPC + 客版3L 彩盒 + 客供贴纸, 优先使用MA 1L最新版本
Remark: 1. Cus Item
#77785：MA UPC + 客版3L 彩盒 + 客供贴纸, 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请注意#77785一个彩盒中的两个球不允许重复，且一个彩盒不能拆出2个即以上的重复散件。</t>
  </si>
  <si>
    <t>COOP FAGHANDEL (NON-FOOD)</t>
  </si>
  <si>
    <t>4500189777-10</t>
  </si>
  <si>
    <t>日期码格式：ZURU INC(BVI) 标准格式 日期：按实际生产日期
Packaging Info: 77711GQ2:MA EAN 3L+挪威语警语贴纸(翻单4500162231)
Remark: 1.工厂货号-客户货号-彩盒条码-外箱条码
77711GQ2-7254555-4894680043350-10193052080131
2.产品和包装要求无硼无香，包装不能含有PVC
3.微塑料必须合规欧洲标准，并增加IFUD声明。
4.此订单有第三方验货, 77711的签样用于上单4500162231
5.带电池出货的产品所用到的电池需要符合欧洲电池新规(EU)2023-1542；</t>
  </si>
  <si>
    <t>4500189161-10</t>
  </si>
  <si>
    <t xml:space="preserve">箱唛资料翻单PO#4500160492 </t>
  </si>
  <si>
    <t>UPC贴纸资料和PDQ翻单PO#4500175352</t>
  </si>
  <si>
    <t>4500189161-20</t>
  </si>
  <si>
    <t>4500189161-30</t>
  </si>
  <si>
    <t>4500186623-20</t>
  </si>
  <si>
    <t>日期码格式：ZURU INC(BVI) 标准格式 日期：按实际生产日期
Packaging Info: 1. Cus Item
#77731： MA UPC 现有包装+PVC桶,铜板纸+客供价格贴纸，优先使用MA 1L最新版本
Remark: 1. Cus Item
 #77731：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</si>
  <si>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日期码格式：ZURU INC(BVI) 标准格式 日期：按实际生产日期
Packaging Info: 1. Cus Item
#77785：MA UPC + 客版3L 彩盒 + 客供贴纸, 优先使用MA 1L最新版本
Remark: 1. Cus Item
#77785：MA UPC + 客版3L 彩盒 + 客供贴纸, 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</si>
  <si>
    <t>77785-S002-NA</t>
  </si>
  <si>
    <t>4500186630-20</t>
  </si>
  <si>
    <t>4500189797-10</t>
  </si>
  <si>
    <r>
      <rPr>
        <sz val="12"/>
        <rFont val="宋体"/>
        <charset val="134"/>
        <scheme val="minor"/>
      </rPr>
      <t xml:space="preserve">日期码格式：ZURU INC(BVI) 标准格式 日期：按实际生产日期
Packaging Info: "77711GQ1: 最新MA 3L EAN收缩膜+MA 3L PDQ+其他最新MA包装;
EAN#4894680043350"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
</t>
    </r>
    <r>
      <rPr>
        <sz val="12"/>
        <color rgb="FFFF0000"/>
        <rFont val="宋体"/>
        <charset val="134"/>
        <scheme val="minor"/>
      </rPr>
      <t>11.包装和布标上的法国丹麦地址需要保持一致。</t>
    </r>
  </si>
  <si>
    <t>4500187827-40</t>
  </si>
  <si>
    <t>日期码格式：ZURU INC(BVI) 标准格式 日期：按实际生产日期
Packaging Info:
77711:.MA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77711扫描结果为7678363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</si>
  <si>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4500189333-10</t>
  </si>
  <si>
    <t>2/24 第三方验货</t>
  </si>
  <si>
    <t>1张RFID贴纸</t>
  </si>
  <si>
    <t>4500189333-20</t>
  </si>
  <si>
    <t>4500189333-30</t>
  </si>
  <si>
    <t>Amazon ES:
891VD1RY</t>
  </si>
  <si>
    <t>4500189248-40</t>
  </si>
  <si>
    <t>空白外箱（加印带Zuru字样的最新logo，除了邮包盒直接做外箱的产品</t>
  </si>
  <si>
    <t>1张空白贴纸(覆盖在条码位置，尺寸由工厂自行测量)+1张IT环保标贴纸(参考翻单PO#4500158623）</t>
  </si>
  <si>
    <t>日期码格式：ZURU INC(BVI) 标准格式 日期：按实际生产日期
Packaging Info: Amazon UK(15728AG/77806/71152/77731)/DE(15710B)/ES(15726A/15728E/77731/71152/15714D/15710B/9565ABD)/IT(15726K/9565ABD)
4.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ES环保标+GPSR邮箱care@zuru.com+新FR&lt;(&gt;&amp;&lt;)&gt;DK地址，参考翻单PO#4500186266)+1张IT环保标贴纸(参考翻单PO#4500158623）；
9. 验货时间不迟于2026/2/27.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</si>
  <si>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Amazon UK:
43H71N5J</t>
  </si>
  <si>
    <t>4500189248-190</t>
  </si>
  <si>
    <t>4500190678-20</t>
  </si>
  <si>
    <t>一张进口商贴纸（含西班牙环保标）+一张PDQ贴纸含EAN条码</t>
  </si>
  <si>
    <r>
      <rPr>
        <sz val="12"/>
        <rFont val="宋体"/>
        <charset val="134"/>
        <scheme val="minor"/>
      </rPr>
      <t xml:space="preserve">日期码格式：ZURU INC(BVI) 标准格式 日期：按实际生产日期
Packaging Info: 
2. 77711GQ1：最新【MA 3L EAN版本收缩膜+一张进口商贴纸（含西班牙环保标）】+【MA 3L PDQ+一张PDQ贴纸含EAN条码】+最新MA 5L收藏指南；
</t>
    </r>
    <r>
      <rPr>
        <sz val="12"/>
        <color rgb="FFFF0000"/>
        <rFont val="宋体"/>
        <charset val="134"/>
        <scheme val="minor"/>
      </rPr>
      <t>此单资料都翻4500184256</t>
    </r>
    <r>
      <rPr>
        <sz val="12"/>
        <rFont val="宋体"/>
        <charset val="134"/>
        <scheme val="minor"/>
      </rPr>
      <t xml:space="preserve">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r>
  </si>
  <si>
    <t>4500190678-30</t>
  </si>
  <si>
    <t>一张进口商贴纸（含西班牙环保标）+一张展示架贴纸含EAN条码</t>
  </si>
  <si>
    <r>
      <rPr>
        <sz val="12"/>
        <rFont val="宋体"/>
        <charset val="134"/>
        <scheme val="minor"/>
      </rPr>
      <t xml:space="preserve">日期码格式：ZURU INC(BVI) 标准格式 日期：按实际生产日期
Packaging Info:
3.77711SK1：最新【MA 3L EAN版本收缩膜+一张进口商贴纸（含西班牙环保标）】+【MA 3L 展示架+一张展示架贴纸含EAN条码】+最新MA 5L收藏指南；
</t>
    </r>
    <r>
      <rPr>
        <sz val="12"/>
        <color rgb="FFFF0000"/>
        <rFont val="宋体"/>
        <charset val="134"/>
        <scheme val="minor"/>
      </rPr>
      <t>此单资料都翻4500184256</t>
    </r>
    <r>
      <rPr>
        <sz val="12"/>
        <rFont val="宋体"/>
        <charset val="134"/>
        <scheme val="minor"/>
      </rPr>
      <t xml:space="preserve">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r>
  </si>
  <si>
    <t>4500189773-80</t>
  </si>
  <si>
    <t>4500186204-50</t>
  </si>
  <si>
    <t>待更新PO</t>
  </si>
  <si>
    <t>外箱只需四面印Zurulogo，再加2张贴纸，1张mu贴纸(条码贴)，1张ASN贴纸(尺寸6.5cm*6.3cm
潘通色号2597C)，都贴于侧唛，只需贴1面(HU贴纸和ASN贴纸客供)</t>
  </si>
  <si>
    <t>UPC贴纸+进口商贴纸+价标贴纸,,1张mu贴纸(条码贴)，1张ASN贴纸</t>
  </si>
  <si>
    <t>日期码格式：ZURU INC(BVI) 标准格式 日期：按实际生产日期
Packaging Info:
77711GQ2,,MA 3L EAN 包装+UPC贴纸++MA PDQ +MA 多语收藏指南+进口商贴纸+价标贴,,
Remark: 1.外箱只需四面印Zurulogo，再加2张贴纸，1张mu贴纸(条码贴)，1张ASN贴纸(尺寸6.5cm*6.3cm
潘通色号2597C)，都贴于侧唛，只需贴1面(HU贴纸和ASN贴纸客供)
2.一个外箱对应一个H’S(条形码)不可以混条码包装
3.含有说明书需要增加说明书贴纸
4.价格贴纸覆盖原有包装的条形码
5. 此单有监柜要求，需要每款多准备一套完整物料，用于监柜，不可以随大货走
6. 请确保包装上的条形码是UPC，如果是babyUPC，需要用mother UPC覆盖，如有不一致，请及时提出。谢谢</t>
  </si>
  <si>
    <t>4500191213-60</t>
  </si>
  <si>
    <t>4500190510-10</t>
  </si>
  <si>
    <t>一张客户警语贴纸（含ES环保标）（贴纸翻单4500178109）；</t>
  </si>
  <si>
    <t>日期码格式：ZURU INC(BVI) 标准格式 日期：按实际生产日期
Packaging Info: 1.77711GQ1：最新MA 3L EAN版本包装+一张客户警语贴纸（含ES环保标）+MA 5L 收藏指南+MA 3L PDQ；（贴纸翻单4500178109）；
备注：整单CRD为2/6，因价格有效期维护限制，9296暂开到12月底，后续更新PO；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
6.此单LC条款，延迟出货有罚款；
7.需要准备每款1套大货样，请注意备料。</t>
  </si>
  <si>
    <t>4500189585-50</t>
  </si>
  <si>
    <t>日期码格式：ZURU INC(BVI) 标准格式 日期：按实际生产日期
Packaging Info:
77711GQ2: MA EAN 3L + MA PDQ + 警语贴纸（翻单4500162375）
Remark: 1. 产品配比：
2. 产品和包装要求无硼无香，包装不能含有PVC
3. 如有微塑料，必须合规欧洲标准，并增加微塑料合规IFUD声明在说明书上
4. 带电池出货的产品，所用到的电池需要符合欧洲电池新规(EU)2023-1542，并增加对应WEEE 说明书</t>
  </si>
  <si>
    <t>4500190283-20</t>
  </si>
  <si>
    <r>
      <rPr>
        <sz val="12"/>
        <rFont val="宋体"/>
        <charset val="134"/>
        <scheme val="minor"/>
      </rPr>
      <t>日期码格式：ZURU INC(BVI) 标准格式 日期：按实际生产日期
Packaging Info:</t>
    </r>
    <r>
      <rPr>
        <sz val="12"/>
        <color rgb="FFFF0000"/>
        <rFont val="宋体"/>
        <charset val="134"/>
        <scheme val="minor"/>
      </rPr>
      <t xml:space="preserve"> 77711GQ1-MA 3L EAN 包装+1张固定进口商贴纸+1 张UPC 条码贴纸;</t>
    </r>
    <r>
      <rPr>
        <sz val="12"/>
        <rFont val="宋体"/>
        <charset val="134"/>
        <scheme val="minor"/>
      </rPr>
      <t xml:space="preserve">
2款的贴纸图稿及位置图翻4500163177
因系统问题, 77711GQ1 的交期暂开到2/1,待更新为3/6
Remark: 77673-Filxed Collection
77711GQ1-2.3692%The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t>
    </r>
  </si>
  <si>
    <t>4500189636-10</t>
  </si>
  <si>
    <t>1/22 寄出</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</si>
  <si>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出货方式：货代自提</t>
  </si>
  <si>
    <t>4500191102-10</t>
  </si>
  <si>
    <t>1*多语折叠警告语贴纸（翻单4500157858）</t>
  </si>
  <si>
    <t>日期码格式：ZURU INC(BVI) 标准格式 日期：按实际生产日期
Packaging Info: 77711GQ1:最新MA 3L PDQ+最新 MA 3L EAN 收缩膜 +1*多语折叠警告语贴纸（翻单4500157858） + MA 5L收藏指南+ MA 23L说明书+ MA UV胶黑白警告语 + MA纸袋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所有出往波兰订单的电子产品需增加一张欧洲通用WEEE声明说明书，区分带电池和不带电池版本, 如已做客版说明书可忽略此要求。</t>
  </si>
  <si>
    <t>4500190618-20</t>
  </si>
  <si>
    <t>一张UPC条码贴+ 防盗贴纸（两款贴纸以及防盗贴纸位置图翻单PO#4500160026）+ 箱唛 + 1/19外箱贴纸SSCC Label</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</si>
  <si>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PO#4500190616一起合并计算</t>
  </si>
  <si>
    <t>4500190616-20</t>
  </si>
  <si>
    <r>
      <rPr>
        <sz val="11"/>
        <rFont val="宋体"/>
        <charset val="134"/>
        <scheme val="minor"/>
      </rPr>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PO#4500190618一起合并计算，</t>
    </r>
    <r>
      <rPr>
        <sz val="11"/>
        <color rgb="FFFF0000"/>
        <rFont val="宋体"/>
        <charset val="134"/>
        <scheme val="minor"/>
      </rPr>
      <t>另外77711务必在CRD当天完成验货</t>
    </r>
  </si>
  <si>
    <t>ZURU</t>
  </si>
  <si>
    <t>ZMPO260137</t>
  </si>
  <si>
    <t>ZMPO260137-10</t>
  </si>
  <si>
    <t xml:space="preserve">sally Li
</t>
  </si>
  <si>
    <t>4500190742-10</t>
  </si>
  <si>
    <t>4500187028-40</t>
  </si>
  <si>
    <t>日期码格式：ZURU INC(BVI) 标准格式 日期：按实际生产日期
Packaging Info: MA 1L UPC最新包装+ MA PDQ（如果有的话)+其他MA 包装，MA 指南/说明书（如果有的话），请先核对条码无误后安排，配比按MA
77711GQ2-S003-INT： MA 3L INT版本收缩膜+1张UPC贴纸（UPC#193052080134 翻PO#4500166127）+ MA INT版本5L收藏指南+MA INT 版本 3L PDQ+其他MA最新包装
15750-S001：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
黑白说明书</t>
  </si>
  <si>
    <t>4500191055-10</t>
  </si>
  <si>
    <t>PDQ上需要贴一张UPC 条码贴纸</t>
  </si>
  <si>
    <t>日期码格式：ZURU INC(BVI) 标准格式 日期：按实际生产日期
Packaging Info: 1. 包装方式：MA UPC优先1L最新包装，出口美国；
2. 产品和包装上印刷tracking code信息，格式为ZURU常规；
3. ZURU QC 验货合格后即可出货.
Remark: 4. 77711GQ2-S002-NA PDQ上需要贴一张UPC 条码贴纸,UPC显示：193052080127，贴纸AW跟单提供，工厂自行采购；</t>
  </si>
  <si>
    <t>4500191070-10</t>
  </si>
  <si>
    <t>ZMPO260161</t>
  </si>
  <si>
    <t>ZMPO260161-10</t>
  </si>
  <si>
    <t>4500184338-10</t>
  </si>
  <si>
    <t>日期码格式：ZURU INC(BVI) 标准格式 日期：按实际生产日期
Packaging Info: 1.#77731, MA UPC 最新版本（优先1L）+客制包材（PVC 桶）+客供贴纸。
Remark: 1.#77731, MA UPC 最新版本（优先1L）+客制包材（PVC 桶）+客供贴纸。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</si>
  <si>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4500190991-110</t>
  </si>
  <si>
    <t>1 UPC 条码贴纸+ PDQ底部贴一张带条码35063389172313并可扫描的贴纸(ZURU 跟单提供模板）</t>
  </si>
  <si>
    <r>
      <rPr>
        <sz val="12"/>
        <rFont val="宋体"/>
        <charset val="134"/>
        <scheme val="minor"/>
      </rPr>
      <t>日期码格式：ZURU INC(BVI) 标准格式 日期：按实际生产日期
Packaging Info:
77711GQ2:</t>
    </r>
    <r>
      <rPr>
        <sz val="12"/>
        <color rgb="FFFF0000"/>
        <rFont val="宋体"/>
        <charset val="134"/>
        <scheme val="minor"/>
      </rPr>
      <t xml:space="preserve"> MA EAN 3L+1 UPC 条码贴纸</t>
    </r>
    <r>
      <rPr>
        <sz val="12"/>
        <rFont val="宋体"/>
        <charset val="134"/>
        <scheme val="minor"/>
      </rPr>
      <t>+ PDQ底部贴一张带条码35063389172313并可扫描的贴纸(ZURU 跟单提供模板）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4.产品条码以订单显示为准 ，请安排生产前先核对再生产。
5.外箱上的条码请确保清晰可扫描，有PDQ， 需要在PDQ底部贴一张带条码并可扫描的贴纸(ZURU 跟单提供模板）。
6.所有产品按符合欧洲标准走货，微塑料需合规并增加IFUD声明，含电池的需要增加WEEE说明书。
7.涉及到硼的，需要符合欧洲标准
8.包装不能用PVC材质</t>
    </r>
  </si>
  <si>
    <t>4500190370-30</t>
  </si>
  <si>
    <t>UPC条码贴+ 防盗贴纸（两款贴纸以及防盗贴纸位置图翻单PO#4500160026）</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</si>
  <si>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PO#4500190371一起合并计算</t>
  </si>
  <si>
    <t>4500190371-20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</si>
  <si>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PO#4500190370一起合并计算</t>
  </si>
  <si>
    <t>4500190606-60</t>
  </si>
  <si>
    <t>进口商贴纸和UPC贴纸 翻单PO4500189773</t>
  </si>
  <si>
    <r>
      <rPr>
        <sz val="12"/>
        <rFont val="宋体"/>
        <charset val="134"/>
        <scheme val="minor"/>
      </rPr>
      <t xml:space="preserve">日期码格式：ZURU INC(BVI) 标准格式 日期：按实际生产日期
Packaging Info:
</t>
    </r>
    <r>
      <rPr>
        <sz val="12"/>
        <color rgb="FFFF0000"/>
        <rFont val="宋体"/>
        <charset val="134"/>
        <scheme val="minor"/>
      </rPr>
      <t>77711GQ2:MA 多语包装+进口商贴纸+UPC贴纸+箱唛,进口商贴纸和UPC贴纸 翻单PO4500189773</t>
    </r>
    <r>
      <rPr>
        <sz val="12"/>
        <rFont val="宋体"/>
        <charset val="134"/>
        <scheme val="minor"/>
      </rPr>
      <t xml:space="preserve">
Remark:</t>
    </r>
  </si>
  <si>
    <t>4500191234-220</t>
  </si>
  <si>
    <t>欠进口商贴纸+空白条码贴纸</t>
  </si>
  <si>
    <t>日期码格式：ZURU INC(BVI) 标准格式 日期：按实际生产日期
Packaging Info:
13. 77731：3L UPC铜版纸+进口商贴纸+箱唛，2个77711入1个PVC管，2个球不能是相同配比。77711用MA 3L包装+空白条码贴纸
Remark: 
71137：2PCS AAA BATTERIES(NOT INCLUDED)</t>
  </si>
  <si>
    <t>4500191819-10</t>
  </si>
  <si>
    <t>UPC贴纸193052090157</t>
  </si>
  <si>
    <r>
      <rPr>
        <sz val="12"/>
        <rFont val="宋体"/>
        <charset val="134"/>
        <scheme val="minor"/>
      </rPr>
      <t xml:space="preserve">日期码格式：ZURU INC(BVI) 标准格式 日期：按实际生产日期
Packaging Info: MA UPC 英语包装（优先1L英语版本，或者3L/5L含英语都可）
</t>
    </r>
    <r>
      <rPr>
        <sz val="12"/>
        <color rgb="FFFF0000"/>
        <rFont val="宋体"/>
        <charset val="134"/>
        <scheme val="minor"/>
      </rPr>
      <t>#77711:加UPC贴纸193052090157</t>
    </r>
    <r>
      <rPr>
        <sz val="12"/>
        <rFont val="宋体"/>
        <charset val="134"/>
        <scheme val="minor"/>
      </rPr>
      <t xml:space="preserve">
Remark: #77711GQ2:2.3692%The Original;2.3692%Pepperoni Pizza-Global Version;2.3692%Cheese Pizza-Global Version;2.3692%Hawaiian Pizza-Global Version;2.36
92%Big Dinner Box-Global Version;2.3692%Traditional Wings-Global Version;3.3117%Cooked Loboster;3.3117%Fishes;3.3117%Lamp Chops;3.3117%Broccoli
Florets;3.9658%Eggplant;3.9658%Fruit Tray;3.9658%Oats Jar;3.9658%Kombucha;4.0791%Turmeric Shot;4.0791%Milk;4.0791%Juice;4.0791%Water;1.4215%Che
ese Pasta;1.4215%Mashed Potatoes;1.4215%Honey Deli Ham;1.4215%Deli Turkey;1.8953%Morning Star Farms Sausage Patties;1.8953%Thick Cut Bacon;1.895
3%Thick Cut Stack Pack;1.9709%Homestyle Waffles;1.9709%Soft Pretzels;1.9709%Pretzel Dogs;0.8241%Chow Mein;0.8241%Broccoli Beef;0.8241%Orange Chi
cken;0.8241%Jamoca Almond Fudge Ice Cream;0.9477%Oreo Cookies'N Cream Ice Cream;0.9477%Tropical Punch;0.9477%Classic Grape;0.8241%O-mazing Orang
e;0.8241%The OG;0.8241%Sweet Strawberry;0.8241%Original;0.6249%Unicorn Cake;0.6249%Pancakes;0.6249%Burgers and Fries;0.5686%Sushi;0.5686%Frozen
Chicken;0.5686%Tiramisu;0.5686%Eggs;0.5686%Ice;0.5253%Mini Chocolate;0.5253%Mini Strawberry Vanilla;0.5253%Mini The OG;0.5253%Mini Oreo Cookies
'N Cream Ice Cream;0.3399%Pudding;0.3399%Pops</t>
    </r>
  </si>
  <si>
    <t>4500191819-20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</si>
  <si>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此订单与NZ PO4500190629一起合并计算</t>
  </si>
  <si>
    <t>4500190629-10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</si>
  <si>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PO#4500190626一起合并计算</t>
  </si>
  <si>
    <t>4500186809-10</t>
  </si>
  <si>
    <t>日期码格式：ZURU INC(BVI) 标准格式 日期：按实际生产日期
Packaging Info: 1. Cus Item
#77731： MA UPC 现有包装+PVC桶,铜板纸+客供价格贴纸，优先使用MA 1L最新版本
Remark: 1. Cus Item
#77731：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</si>
  <si>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6QSE7USH</t>
  </si>
  <si>
    <t>4500191480-80</t>
  </si>
  <si>
    <t>欠SSCC label</t>
  </si>
  <si>
    <t>客版无UPC版本收缩膜翻单4500186575</t>
  </si>
  <si>
    <t>日期码格式：ZURU INC(BVI) 标准格式 日期：按实际生产日期
Packaging Info:
#77731：2PK STD #77711入PVC桶，3L 2PK铜版纸，客版无UPC版本收缩膜翻单4500186575。收藏指南，说明书均为MA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</si>
  <si>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1NJM5YSY</t>
  </si>
  <si>
    <t>4500191499-50</t>
  </si>
  <si>
    <t>4500191577-110</t>
  </si>
  <si>
    <t>日期码格式：ZURU INC(BVI) 标准格式 日期：按实际生产日期
Packaging Info: 77782GQ1:MA 多语包装（用77711的收缩膜）+客版收藏指南+客版PDQ+进口商贴纸+UPC贴纸+箱唛
Remark:</t>
  </si>
  <si>
    <t>5VJU1GMQ</t>
  </si>
  <si>
    <t>4500191560-80</t>
  </si>
  <si>
    <t>27GRF7MZ</t>
  </si>
  <si>
    <t>4500191531-20</t>
  </si>
  <si>
    <t>日期码格式：ZURU INC(BVI) 标准格式 日期：按实际生产日期
Packaging Info: 
#77731：2PK STD #77711入PVC桶，3L 2PK铜版纸，客版无UPC版本收缩膜翻单4500186575。收藏指南，说明书均为MA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</si>
  <si>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WAVE DISTRIBUTION GMBH</t>
  </si>
  <si>
    <t>220100002452</t>
  </si>
  <si>
    <t>4500191903-10</t>
  </si>
  <si>
    <t>德语警语贴纸(翻单#4500180408)</t>
  </si>
  <si>
    <t>大货样品2套，请多备料。</t>
  </si>
  <si>
    <t>日期码格式：ZURU INC(BVI) 标准格式 日期：按实际生产日期
Packaging Info: 77711: 最新MA 3LEAN包装+德语警语贴纸(翻单#4500180408)+5L收藏指南/DIY说明书+23L说明书
Remark: 1. 此单出德国，需要满足Zuru Standard欧洲标准测试要求；
2. 请准时出货，推期会有罚款；
3. 出口欧洲，微塑料需符合法规；
4.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5. 所有电子产品需增加一张欧洲通用WEEE声明说明书，区分带电池和不带电池版本, 如已做客版说明书可忽略此要求。
6. 所有出往德国订单，化学品需无堋无香版本。
7. 标准配比
8. 大货样品2套，请多备料。</t>
  </si>
  <si>
    <t>draft PO 77711GQ2</t>
  </si>
  <si>
    <t>4500192218-10</t>
  </si>
  <si>
    <r>
      <rPr>
        <sz val="12"/>
        <rFont val="宋体"/>
        <charset val="134"/>
        <scheme val="minor"/>
      </rPr>
      <t xml:space="preserve">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出货方式：货代自提
</t>
    </r>
    <r>
      <rPr>
        <sz val="12"/>
        <color rgb="FFFF0000"/>
        <rFont val="宋体"/>
        <charset val="134"/>
        <scheme val="minor"/>
      </rPr>
      <t>6.此单消耗4500190566和4500190568 77773GQ2产生的呆滞外箱1720个，加贴水贴纸。</t>
    </r>
  </si>
  <si>
    <t>4500192091-20</t>
  </si>
  <si>
    <t>日期码格式：ZURU INC(BVI) 标准格式 日期：按实际生产日期
Packaging Info: 1.优先多语 MA UPC或者3L/5L MA EAN 包装
2.请确保包装上的条形码是UPC，如果是babyUPC、需要用mother UPC覆盖，如有不一致，请及时提出。谢谢!
3,带电产品取决于客户测试机构以及产品，有可能只有一张贴纸，也有可能会有2-3张贴纸，具体按客人做完测试后提供的资料。（我司会提供图稿安排做货）
77711GQ2 MA多语EAN包装+UPC贴纸+MA多语收藏指南+MA 多语 PDQ+进口商贴纸+箱唛
Remark: 
Common: Equal ratio" 3PCS AG13 BATTERIES(INCLUDED)
77711GQ2 TBC</t>
  </si>
  <si>
    <t>4500192064-20</t>
  </si>
  <si>
    <t>日期码格式：ZURU INC(BVI) 标准格式 日期：按实际生产日期
Packaging Info: 
77711GQ1: 最新MA PDQ+最新MA 3L EAN 收缩膜 +1*多语折叠警告语贴纸（翻单4500157858） + MA5L收藏指南+ MA 23L说明书+ MA UV胶黑白警告语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</si>
  <si>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4500191722-20</t>
  </si>
  <si>
    <r>
      <rPr>
        <sz val="12"/>
        <rFont val="宋体"/>
        <charset val="134"/>
        <scheme val="minor"/>
      </rPr>
      <t xml:space="preserve">日期码格式：ZURU INC(BVI) 标准格式 日期：按实际生产日期
Packaging Info: </t>
    </r>
    <r>
      <rPr>
        <sz val="12"/>
        <color rgb="FFFF0000"/>
        <rFont val="宋体"/>
        <charset val="134"/>
        <scheme val="minor"/>
      </rPr>
      <t>注意此单出：EL SALVADOR 萨尔瓦多</t>
    </r>
    <r>
      <rPr>
        <sz val="12"/>
        <rFont val="宋体"/>
        <charset val="134"/>
        <scheme val="minor"/>
      </rPr>
      <t xml:space="preserve">
1.优先多语 MA UPC或者3L/5L MA EAN 包装
2.请确保包装上的条形码是UPC，如果是babyUPC、需要用mother UPC覆盖，如有不一致，请及时提出。谢谢!
</t>
    </r>
    <r>
      <rPr>
        <sz val="12"/>
        <color rgb="FFFF0000"/>
        <rFont val="宋体"/>
        <charset val="134"/>
        <scheme val="minor"/>
      </rPr>
      <t>3.确定要贴进口商贴纸</t>
    </r>
    <r>
      <rPr>
        <sz val="12"/>
        <rFont val="宋体"/>
        <charset val="134"/>
        <scheme val="minor"/>
      </rPr>
      <t xml:space="preserve">
77782GQ1:客版3L UPC收缩膜/客版收藏指南/客版PDQ+箱唛
Remark:</t>
    </r>
  </si>
  <si>
    <t>4500192740-20</t>
  </si>
  <si>
    <t>日期码格式：ZURU INC(BVI) 标准格式 日期：按实际生产日期
Packaging Info: 注意此单出：GUATEMALA 危地马拉
1.优先多语 MA UPC或者3L/5L MA EAN 包装
2.请确保包装上的条形码是UPC，如果是babyUPC、需要用mother UPC覆盖，如有不一致，请及时提出。谢谢!
77782GQ1 客版3L UPC收缩膜/客版收藏指南/客版PDQ+箱唛+进口商贴纸
Remark:</t>
  </si>
  <si>
    <t>4500192757-20</t>
  </si>
  <si>
    <t>日期码格式：ZURU INC(BVI) 标准格式 日期：按实际生产日期
Packaging Info: 注意此单出： NICARAGUA 尼加拉瓜
1.优先多语 MA UPC或者3L/5L MA EAN 包装
2.请确保包装上的条形码是UPC，如果是babyUPC、需要用mother UPC覆盖，如有不一致，请及时提出。谢谢!
77782GQ1 客版3L UPC收缩膜/客版收藏指南/客版PDQ+箱唛+进口商贴纸
Remark: 
77782GQ1 TBC</t>
  </si>
  <si>
    <t>4500192767-20</t>
  </si>
  <si>
    <t>日期码格式：ZURU INC(BVI) 标准格式 日期：按实际生产日期
Packaging Info: 注意此单出： COSTA RICA 哥斯达黎加
1.优先多语 MA UPC或者3L/5L MA EAN 包装
2.请确保包装上的条形码是UPC，如果是babyUPC、需要用mother UPC覆盖，如有不一致，请及时提出。谢谢!
77782GQ1 客版3L UPC收缩膜/客版收藏指南/客版PDQ+箱唛+进口商贴纸
Remark:</t>
  </si>
  <si>
    <t>10001620580-0
581</t>
  </si>
  <si>
    <t>4500190319-10</t>
  </si>
  <si>
    <t>1/27提供资料，此单消耗订单4500184412和4500184413 77770GQ2 呆滞外箱共1415个，加贴水贴纸</t>
  </si>
  <si>
    <r>
      <rPr>
        <sz val="12"/>
        <rFont val="宋体"/>
        <charset val="134"/>
        <scheme val="minor"/>
      </rPr>
      <t xml:space="preserve">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出货方式：货代自提；
</t>
    </r>
    <r>
      <rPr>
        <sz val="12"/>
        <color rgb="FFFF0000"/>
        <rFont val="宋体"/>
        <charset val="134"/>
        <scheme val="minor"/>
      </rPr>
      <t>6.此单消耗订单4500184412和4500184413 77770GQ2 呆滞外箱共1415个，加贴水贴纸覆盖。
Order Modifiable Records</t>
    </r>
  </si>
  <si>
    <t>4500186326-20</t>
  </si>
  <si>
    <t>日期码格式：ZURU INC(BVI) 标准格式 日期：按实际生产日期
Packaging Info: 1. STD Items: ZURU MA UPC 现有包装+客供价格贴纸，优先使用MA 1L最新版本（可接受多语）,出口美国
Remark: 1. Cus Item
77731 : MA UPC 现有包装+PVC桶, 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</si>
  <si>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4500192425-130</t>
  </si>
  <si>
    <t>日期码格式：ZURU INC(BVI) 标准格式 日期：按实际生产日期
Packaging Info: 1. 出口美国，MA UPC 版本包装，优先1L。
Remark: 2. ZURU QC 验货即可。</t>
  </si>
  <si>
    <t>4500192252-70</t>
  </si>
  <si>
    <t>翻单： 4500185221</t>
  </si>
  <si>
    <t>日期码格式：ZURU INC(BVI) 标准格式 日期：按实际生产日期
Packaging Info: 物料要求 SKU
1 77711GQ1 MA PDQ +外挂中文收藏指南+中文说明书+黑白警告语+收缩膜年龄贴（8+） 翻单： 4500185221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</si>
  <si>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日期码格式：ZURU INC(BVI) 标准格式 日期：按实际生产日期
Packaging Info: 物料要求 SKU
6.77785 ：2部分子件构成 翻单：4500185221
物料要求：UPC:193052089786 UPC部分：所有子件UPC要求统一或者覆盖
MA+77785 中文3C贴纸+77785 中文收藏指南 +芯片码
子件 B : 77711- 2个 ： MA+77711 中文DIY 说明书+77711 中文黑白说明书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</si>
  <si>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4500192550-10</t>
  </si>
  <si>
    <r>
      <rPr>
        <sz val="12"/>
        <rFont val="宋体"/>
        <charset val="134"/>
        <scheme val="minor"/>
      </rPr>
      <t>日期码格式：ZURU INC(BVI) 标准格式 日期：按实际生产日期
Packaging Info: MA UPC包装(优先1L)+1张固定的进口商贴纸,可统一订购;</t>
    </r>
    <r>
      <rPr>
        <sz val="12"/>
        <color rgb="FFFF0000"/>
        <rFont val="宋体"/>
        <charset val="134"/>
        <scheme val="minor"/>
      </rPr>
      <t>77711需一张UPC条码贴纸;</t>
    </r>
    <r>
      <rPr>
        <sz val="12"/>
        <rFont val="宋体"/>
        <charset val="134"/>
        <scheme val="minor"/>
      </rPr>
      <t xml:space="preserve">
2单的贴纸图稿跟位置图均翻单4500167360
Remark: 77711GQ2-2.3692%The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
77673TQ1-Filxed Collection</t>
    </r>
  </si>
  <si>
    <t>4500192220-10</t>
  </si>
  <si>
    <r>
      <rPr>
        <sz val="12"/>
        <rFont val="宋体"/>
        <charset val="134"/>
        <scheme val="minor"/>
      </rPr>
      <t xml:space="preserve">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2"/>
        <color rgb="FFFF0000"/>
        <rFont val="宋体"/>
        <charset val="134"/>
        <scheme val="minor"/>
      </rPr>
      <t>请注意此订单与NZ PO#4500192221一起合并计算</t>
    </r>
  </si>
  <si>
    <t>4500192221-10</t>
  </si>
  <si>
    <r>
      <rPr>
        <sz val="12"/>
        <rFont val="宋体"/>
        <charset val="134"/>
        <scheme val="minor"/>
      </rPr>
      <t xml:space="preserve">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2"/>
        <color rgb="FFFF0000"/>
        <rFont val="宋体"/>
        <charset val="134"/>
        <scheme val="minor"/>
      </rPr>
      <t>请注意此订单与AU PO#4500192220一起合并计算</t>
    </r>
  </si>
  <si>
    <r>
      <rPr>
        <sz val="12"/>
        <rFont val="宋体"/>
        <charset val="134"/>
        <scheme val="minor"/>
      </rPr>
      <t>日期码格式：ZURU INC(BVI) 标准格式 日期：按实际生产日期
Packaging Info: 
77785：</t>
    </r>
    <r>
      <rPr>
        <sz val="12"/>
        <color rgb="FFFF0000"/>
        <rFont val="宋体"/>
        <charset val="134"/>
        <scheme val="minor"/>
      </rPr>
      <t>客版 3L UPC</t>
    </r>
    <r>
      <rPr>
        <sz val="12"/>
        <rFont val="宋体"/>
        <charset val="134"/>
        <scheme val="minor"/>
      </rPr>
      <t xml:space="preserve"> 彩盒包装 + 箱唛 + 外箱贴纸SSCC Label
子件77711:3L</t>
    </r>
    <r>
      <rPr>
        <sz val="12"/>
        <color rgb="FFFF0000"/>
        <rFont val="宋体"/>
        <charset val="134"/>
        <scheme val="minor"/>
      </rPr>
      <t xml:space="preserve"> MA 3L包装收缩膜+一张空白贴纸（覆盖原条码处）</t>
    </r>
    <r>
      <rPr>
        <sz val="12"/>
        <rFont val="宋体"/>
        <charset val="134"/>
        <scheme val="minor"/>
      </rPr>
      <t>+MA 5L 收藏指南+MA 23L 说明书+MA 5L creative+MA纸袋;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PO#4500192221一起合并计算</t>
    </r>
  </si>
  <si>
    <r>
      <rPr>
        <sz val="12"/>
        <rFont val="宋体"/>
        <charset val="134"/>
        <scheme val="minor"/>
      </rPr>
      <t xml:space="preserve">日期码格式：ZURU INC(BVI) 标准格式 日期：按实际生产日期
Packaging Info: 
77785：MA </t>
    </r>
    <r>
      <rPr>
        <sz val="12"/>
        <color rgb="FFFF0000"/>
        <rFont val="宋体"/>
        <charset val="134"/>
        <scheme val="minor"/>
      </rPr>
      <t>客版</t>
    </r>
    <r>
      <rPr>
        <sz val="12"/>
        <rFont val="宋体"/>
        <charset val="134"/>
        <scheme val="minor"/>
      </rPr>
      <t xml:space="preserve"> 3L UPC 彩盒包装 + 箱唛 + 外箱贴纸SSCC Label
子件77711:3L</t>
    </r>
    <r>
      <rPr>
        <sz val="12"/>
        <color rgb="FFFF0000"/>
        <rFont val="宋体"/>
        <charset val="134"/>
        <scheme val="minor"/>
      </rPr>
      <t xml:space="preserve"> MA 3L包装收缩膜+一张空白贴纸（覆盖条码处，贴纸资料以及位置图翻单PO#4500192220）</t>
    </r>
    <r>
      <rPr>
        <sz val="12"/>
        <rFont val="宋体"/>
        <charset val="134"/>
        <scheme val="minor"/>
      </rPr>
      <t>+MA 5L 收藏指南+MA 23L 说明书+MA 5L creative+MA纸袋
;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PO#4500192220一起合并计算</t>
    </r>
  </si>
  <si>
    <t>条码贴纸（贴彩盒）+两张空白贴纸（贴在球的条码上）+一张进口商贴纸+一张产品贴纸+一张WEEE说明书纸,都翻4500163211</t>
  </si>
  <si>
    <t>10001702808-0581</t>
  </si>
  <si>
    <t>4500192219-10</t>
  </si>
  <si>
    <t>4500192944-110</t>
  </si>
  <si>
    <t>法国sorting label贴纸(翻PO#4500182619)</t>
  </si>
  <si>
    <t>日期码格式：ZURU INC(BVI) 标准格式 日期：按实际生产日期
Packaging Info:
"77711GQ2: 最新MA PDQ(优先3L)+MA-3L EAN收缩膜+1张法国sorting label贴纸(翻PO#4500182619) + MA-23L说明书 + MA-5-23L警语收藏指南 + MA-5L creative
说明书
EAN: 4894680043350"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</si>
  <si>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4500192944-130</t>
  </si>
  <si>
    <t>4500192935-10</t>
  </si>
  <si>
    <t>MINISO TRADING CANADA INC.</t>
  </si>
  <si>
    <t>4500191753-10</t>
  </si>
  <si>
    <r>
      <rPr>
        <sz val="12"/>
        <rFont val="宋体"/>
        <charset val="134"/>
        <scheme val="minor"/>
      </rPr>
      <t>日期码格式：ZURU INC(BVI) 标准格式 日期：按实际生产日期
Packaging Info: 1. 包装方式：出口加拿大；</t>
    </r>
    <r>
      <rPr>
        <sz val="12"/>
        <color rgb="FFFF0000"/>
        <rFont val="宋体"/>
        <charset val="134"/>
        <scheme val="minor"/>
      </rPr>
      <t>#77711GQ2用MA 2L UPC包装；</t>
    </r>
    <r>
      <rPr>
        <sz val="12"/>
        <rFont val="宋体"/>
        <charset val="134"/>
        <scheme val="minor"/>
      </rPr>
      <t xml:space="preserve">
2. 产品和包装上印刷tracking code信息，格式为ZURU常规；
3. ZURU QC 验货合格后即可出货.
Remark: 4. 77711GQ2-S002-NA PDQ上需要贴一张UPC 条码贴纸,UPC显示：193052080127，贴纸AW跟单提供，工厂自行采购；</t>
    </r>
  </si>
  <si>
    <t>4500192140-40</t>
  </si>
  <si>
    <t>日期码格式：ZURU INC(BVI) 标准格式 日期：按实际生产日期
Packaging Info: 1. 包材：；
#77731: 球使用NA版本2L的空白条码贴纸+2L 英法版本 收藏指南 + 23L 说明书 + 3L UPC 铜版纸 + 价格贴纸(价贴金额$19.99, 价贴位于PVC桶铜版纸UPC条形码附
近）价贴资料翻单4500191041，工厂采购，出口美国。
PS: 如包材语言版本有更新，需要联系跟单确认是否需要修改贴纸资料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PO#02116349 SHIP TO NJ,
PO#02116350 SHIP TO NV,
5. 出货配比：ZURU 标准配比</t>
  </si>
  <si>
    <t>4500192140-80</t>
  </si>
  <si>
    <t>4500192301-10</t>
  </si>
  <si>
    <t>日期码格式：ZURU INC(BVI) 标准格式 日期：按实际生产日期
Packaging Info: 1.77711GQ2-S001-INT：B 版5L MA 收缩膜+UPC LABEL+警语+收藏指南+MA PDQ+进口商贴纸
Remark: 1、若产品有比例使用ZURU STD 比例
2、所有item 需要CE logo均用MA UPC 条码，若包装不是UPC 条码的请告知
3、此单出欧洲需满足EU测试标准要求，另外不能出闪粉（若产品本身不含闪粉则忽略这句话），电池产品（带电池/不带电池走货）需要添加WEEE通用说明书</t>
  </si>
  <si>
    <t>LISA LXL</t>
  </si>
  <si>
    <t>4500190738-20</t>
  </si>
  <si>
    <t>日期码格式：ZURU INC(BVI) 标准格式 日期：按实际生产日期
Packaging Info: 
77711GQ2：产品包装(UPC版)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以上Items：
1. 产品和包装上均要印刷tracking code信息，格式为ZURU常规格式；
2. 需要我司QC验货之后才能安排出货
3. 出货方式： 货代自提</t>
  </si>
  <si>
    <t>4500184344-10</t>
  </si>
  <si>
    <t>日期码格式：ZURU INC(BVI) 标准格式 日期：按实际生产日期
Packaging Info: 1.MA UPC 最新版本（优先1L）+客制包材（PVC 桶）+客供贴纸。
Remark: 1.MA UPC 最新版本（优先1L）+客制包材（PVC 桶）+客供贴纸。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</si>
  <si>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4500192252-10</t>
  </si>
  <si>
    <t>4500192252-80</t>
  </si>
  <si>
    <t>4500193066-40</t>
  </si>
  <si>
    <t>欠进口商贴纸+空白贴纸</t>
  </si>
  <si>
    <t>日期码格式：ZURU INC(BVI) 标准格式 日期：按实际生产日期
Packaging Info: 
77711GQ2:MA 3L包装+进口商贴纸+空白贴纸+箱唛（空白贴纸覆盖原条码）
Remark: 封箱胶带要用客版CANDIDE版本</t>
  </si>
  <si>
    <t>4500192252-140</t>
  </si>
  <si>
    <t>4500192711-20</t>
  </si>
  <si>
    <t>丹麦/挪威/瑞典/芬兰语警告语贴在纸袋子上(贴纸和位置图翻PO#4500183825)</t>
  </si>
  <si>
    <t>日期码格式：ZURU INC(BVI) 标准格式 日期：按实际生产日期
Packaging Info: 
2.77711GQ2:MA 3L EAN版收缩膜+丹麦瑞典芬兰挪威警告语贴纸+MA paper bag+丹麦/挪威/瑞典/芬兰语警告语贴在纸袋子上(贴纸和位置图翻PO#4500183825)+MA 3L
PDQ+MA 5L(23L warning)收藏指南+MA 23L说明书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
7.产品条码如下: 请先检查条码是否正确再安排做货，如有问题请告知
ZURU ITEM#&lt;(&gt;&amp;&lt;)&gt;EAN
77711GQ2-S002-INT:4894680043350</t>
  </si>
  <si>
    <t>4500192711-30</t>
  </si>
  <si>
    <t>丹麦瑞典芬兰挪威警告语贴纸(贴纸和位置图共用#77711GQ2)新资料+MA paper bag+丹麦/挪威/瑞典/芬兰语警告语贴在纸袋子上(贴纸和位
置图翻PO#4500183825)</t>
  </si>
  <si>
    <t>日期码格式：ZURU INC(BVI) 标准格式 日期：按实际生产日期
Packaging Info:
3.77711SK1:MA 3L EAN版收缩膜+丹麦瑞典芬兰挪威警告语贴纸(贴纸和位置图共用#77711GQ2)+MA paper bag+丹麦/挪威/瑞典/芬兰语警告语贴在纸袋子上(贴纸和位
置图翻PO#4500183825)+MA 3L PDQ+MA 5L(23L warning)收藏指南+MA 23L说明书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
7.产品条码如下: 请先检查条码是否正确再安排做货，如有问题请告知
ZURU ITEM#&lt;(&gt;&amp;&lt;)&gt;EAN
77711SK1-S002-INT:4894680043350</t>
  </si>
  <si>
    <t>4500193186-30</t>
  </si>
  <si>
    <t>日期码格式：ZURU INC(BVI) 标准格式 日期：按实际生产日期
Packaging Info: 
"77711GQ2: 最新MA 3L PDQ+客版收缩膜(英法德callout/英法德意荷警语/法国环保logo)翻单4500155592 +MA23L 说明书+MA 5+23L警语收藏指南+ MA 5L creative
说明书 + creative说明书荷兰语贴纸(翻单4500155592）
EAN: 4894680043350"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9.包装必须含法国回收标(Sorting Label)，如没有，请提醒跟单提供贴纸资料。</t>
  </si>
  <si>
    <t>4500192252-160</t>
  </si>
  <si>
    <t>IVI-0205PMD</t>
  </si>
  <si>
    <t>4500194073-20</t>
  </si>
  <si>
    <t>日期码格式：ZURU INC(BVI) 标准格式 日期：按实际生产日期
Packaging Info: 
77711GQ1： MA 3L INT 收缩膜+1张UPC 条码贴纸 （覆盖原条码）+2 张韩语贴纸（新稿）， MA PDQ ,
MA 收藏指南和说明书，箱唛翻单4500188421
Remark: 由于韩国法律法规要求，吸塑需PET材质，产品需符合韩国KC测试标准。
9548需出 无硼，无MIT防腐剂的口水胶， 大货品质需严格跟到测试办一致</t>
  </si>
  <si>
    <t>4500191041-20</t>
  </si>
  <si>
    <t>价格贴纸(价贴金额$19.99, 价贴位于PVC桶铜版纸UPC条形码附
 近）价贴资料翻单4500182865，</t>
  </si>
  <si>
    <t>日期码格式：ZURU INC(BVI) 标准格式 日期：按实际生产日期
Packaging Info: 1. 包材：；
#77731: 球使用NA版本2L的空白条码贴纸+2L 英法版本 收藏指南 + 23L 说明书 + 3L UPC 铜版纸 + 价格贴纸(价贴金额$19.99, 价贴位于PVC桶铜版纸UPC条形码附
近）价贴资料翻单4500182865，工厂采购，出口美国。
PS: 如包材语言版本有更新，需要联系跟单确认是否需要修改贴纸资料
Remark: 2.日期跟踪码：产品包装及产品本身都必须有日期跟踪码，并且确保两者的日期跟
踪码要一致；ZURU标准格式日期码(请自行调整具体年月日生产期，但不能为周末）。
3. 订单外箱：
*只需在外箱4面的正上方印ZURU LOGO；3面印MADE INCHINA字样，一面留空贴外箱贴；
*外箱正面需要额外加贴2张外箱贴（外箱贴客户提供，工厂直接贴）；
*外箱贴位置：shipping label贴于外箱正面左下角；product label贴于外箱正面右下角，2张贴纸都需距离外箱边缘至少3CM。
4. 此客户有两个PO:
PO#2105688 SHIP TO NJ
PO#2105690 SHIP TO NV
5. 出货配比：
ZURU 标版配比
6.测试样板
#7127需于3月8日前寄出ZURU MA 版本每款每色2pcs样板做测试，样板寄到以下地址做测试：
注： 需打印TRF随样板寄出（TRF由跟单提供）
测试行：BV(必维）
地址：广东省深圳市深圳市龙华区鸿创科技中心4栋1楼
收件人：Maggie Yang
电话: +86(0)755 8618 5331</t>
  </si>
  <si>
    <t>4500191041-40</t>
  </si>
  <si>
    <t>10001690052-3890</t>
  </si>
  <si>
    <t>4500193353-10</t>
  </si>
  <si>
    <t>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出货方式：货代自提；</t>
  </si>
  <si>
    <t>4500193286-10</t>
  </si>
  <si>
    <t>日期码格式：ZURU INC(BVI) 标准格式 日期：按实际生产日期
Packaging Info: 1. Cus Item：
MA UPC 现有包装+PVC桶, 铜板纸+客供价格贴纸，优先使用MA 1L最新版本（可接受多语），出口美国。
Remark: 1. Cus Item：
MA UPC 现有包装+PVC桶, 铜板纸+客供价格贴纸，优先使用MA 1L最新版本（可接受多语），出口美国。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</si>
  <si>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4500192550-30</t>
  </si>
  <si>
    <t>日期码格式：ZURU INC(BVI) 标准格式 日期：按实际生产日期
Packaging Info: MA UPC包装(优先1L)+1张固定的进口商贴纸,可统一订购;77711需一张UPC条码贴纸;
2款的贴纸图稿跟位置图均翻单4500167360
Remark: 77711GQ2-2.3692%The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
77673TQ1-Filxed Collection</t>
  </si>
  <si>
    <t>4500191650-50</t>
  </si>
  <si>
    <t>4500191650-140</t>
  </si>
  <si>
    <t>4500193165-10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</si>
  <si>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PO#4500193164一起合并计算</t>
  </si>
  <si>
    <t>4500193164-10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</si>
  <si>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PO#4500193165一起合并计算</t>
  </si>
  <si>
    <t>4500193051-30</t>
  </si>
  <si>
    <t>日期码格式：ZURU INC(BVI) 标准格式 日期：按实际生产日期
Packaging Info:
77785：客版彩盒+价格贴纸
77673: MA EAN收缩膜3L-A版本（+德语意大利警告语贴纸）+MA电池+UV胶警告语23L说明书+MA纸袋+MA收藏指南5L-A版本+WEEE 带电池走货 B版通用30L 说明书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</si>
  <si>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ALDI STORES LIMITED</t>
  </si>
  <si>
    <t>4500193104-10</t>
  </si>
  <si>
    <t>Product Requirement
Remark: 兴信子件：#77711 Fill the Fridge S1 193052080134 15pcs/Bin 兴信
产品是INT 版本+MA 3L EAN 收缩膜+1*UPC 贴纸+MA 23L 警语说明书+MA 制作说明书+MA 5L 纸袋+MA 5L 收藏指南
请先检查条码是否正确再安排做货；
① 订单的所有测试与样品要求以跟单的要求为准，且为了避免QC验货拆货来不及补货，请准备适量的贴纸和产品备品。此订单数量只作为大货生产，不包含
样板与备品。
② 关于混装展示架，各工厂交子件到最终母件工厂时，务必要 "带卡板出+围好围膜"。
如果没按要求的，请各工厂自行安排人手卸货。
③ 请贵司确保交货数量准确，与收货方交收清楚，如收货方提出任何异常，请立即安排处理解决。</t>
  </si>
  <si>
    <t>4500192264-40</t>
  </si>
  <si>
    <t>无箱唛但需提供每款实际外箱尺寸排版确认定位框，store 订单的定位框位置要在：箱子的最大面朝上后，定位框在箱子的第二大面的右下角，距离箱子右边3
英寸，距离底部1.25英寸, 贴纸要按定位框贴，位置与方向贴不对会有客户罚款需由工厂承担</t>
  </si>
  <si>
    <t>日期码格式：ZURU INC(BVI) 标准格式 日期：按实际生产日期
Packaging Info: 1. 此为Kohl's store 订单, MA UPC包装(首选1L) + 价格贴纸 （覆盖产品UPC 条码，不能覆盖到made in China 字样）+ 客供外箱贴纸
77711GQ1-S002-NA 价格贴和位置翻4500169087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
英寸，距离底部1.25英寸, 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外箱毛重超过35LB/15.88KG 外箱四面需要加黄标贴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</si>
  <si>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t>4500186354-20</t>
  </si>
  <si>
    <t>日期码格式：ZURU INC(BVI) 标准格式 日期：按实际生产日期
Packaging Info: 1. Cus Item
#77731 ： MA UPC 现有包装+PVC桶，铜板纸+客供价格贴纸，优先使用MA 1L最新版本
Remark: 1. Cus Item
#77731：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</si>
  <si>
    <t>4500190084-10</t>
  </si>
  <si>
    <t>彩色贴纸，每箱两张彩色贴纸, 彩色产品贴纸翻单PO#4500182810。客供防盗贴</t>
  </si>
  <si>
    <t>此单指定日期码：DG20260409</t>
  </si>
  <si>
    <t>日期码格式：ZURU INC(BVI) 标准格式 日期：2026-04-09
Packaging Info: 1)客版PDQ翻单PO#4500182810，最新版ZURU MA UPC包装(优先1L)，出口美国。如有说明书请使用ZURU MA说明书，优先放1L英语。
2)ZURU标准日期码格式：工厂城市缩写+生产年月日。此单指定日期码：DG20260409。
3)外箱箱唛正侧相邻两面粘贴产品彩色贴纸，每箱两张彩色贴纸, 彩色产品贴纸翻单PO#4500182810。如侧唛位置放不下彩贴和唛头信息，可改为放两个正唛。无论
是正唛+侧唛或者是两个正唛，唛头信息和彩贴需放在同一个面。箱唛需排版给跟单确认。
4) 每个球贴一张客供防盗贴，贴在收缩膜上，防盗贴由跟单采购，供应商直接发货到工厂。防盗贴贴纸位置和PO#4500182810确认的位置一。
Remark: 客户PO# 49878306
客户SKU# 1004126
1）Item#77711GQ6-S001-NA
2) 此单无第三方验货+抽样测试，ZURU QC验货PASS后，跟单得到客户的approval之后方可安排出货
3) 大货外箱材积绝对不可大于下述数据，材积只接受3%的变小；重量正负不得超过以下列出数据的5%，接受外箱以印章方式印上实际毛重。
大货外箱尺寸请保持：21.3*12.8*29.5 cm (即8.39*5.04*11.61 inch)，材积必须不能大于0.2825 CubeFeet（即0.0080 CBM); 外箱毛重 1.45 LBS（即0.66 KGS）
4) 大货配比：
Item#77711GQ6-S001-NA
S001-NA-MINI BRANDS-FILL THE FRIDGE-SERIES 1-CAPSULE,1FACING6PCS/GRAVITY PDQ,6PCS/PDQ/CTN
UPC:193052080127
Contain UV GLUE/ 1 Refrigerator Magnet.
1FACING 6PCS/GRAVITY PDQ/CTN;1W*2D*3H=6PCS/PDQ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</si>
  <si>
    <t>4500186369-10</t>
  </si>
  <si>
    <t>日期码格式：ZURU INC(BVI) 标准格式 日期：按实际生产日期
Packaging Info: 1. Cus Item
#77731:MA UPC 现有包装+PVC桶&lt;(&gt;&amp;&lt;)&gt;铜板纸+客供价格贴纸，优先使用MA 1L最新版本
Remark: 1. Cus Item
#77731 ： MA UPC 现有包装+PVC桶&lt;(&gt;&amp;&lt;)&gt;铜板纸+客供价格贴纸，优先使用MA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</si>
  <si>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4500186375-20</t>
  </si>
  <si>
    <t>日期码格式：ZURU INC(BVI) 标准格式 日期：按实际生产日期
Packaging Info: 1. STD Items: ZURU MA UPC 现有包装+客供价格贴纸，优先使用MA 1L最新版本（可接受多语）,出口美国
Remark: 1. Cus Item
77731 ： MA UPC 现有包装+PVC桶&lt;(&gt;&amp;&lt;)&gt;铜板纸+客供价格贴纸，优先使用MA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</si>
  <si>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4500192272-10</t>
  </si>
  <si>
    <t>外箱箱唛正侧相邻两面粘贴产品彩色贴纸，每箱两张彩色贴纸, 彩色产品贴纸翻单PO#4500182810。如侧唛位置放不下彩贴和唛头信息，可改为放两个正唛。无论
是正唛+侧唛或者是两个正唛，唛头信息和彩贴需放在同一个面。箱唛需排版给跟单确认。</t>
  </si>
  <si>
    <t>此单指定日期码：DG20260521。</t>
  </si>
  <si>
    <t>日期码格式：ZURU INC(BVI) 标准格式 日期：2026-05-21
Packaging Info: 1)客版PDQ翻单PO#4500182810，最新版ZURU MA UPC包装(优先1L)，出口美国。如有说明书请使用ZURU MA说明书，优先放1L英语。
2)ZURU标准日期码格式：工厂城市缩写+生产年月日。此单指定日期码：DG20260521。
3)外箱箱唛正侧相邻两面粘贴产品彩色贴纸，每箱两张彩色贴纸, 彩色产品贴纸翻单PO#4500182810。如侧唛位置放不下彩贴和唛头信息，可改为放两个正唛。无论
是正唛+侧唛或者是两个正唛，唛头信息和彩贴需放在同一个面。箱唛需排版给跟单确认。
4) 每个球贴一张客供防盗贴，贴在收缩膜上，防盗贴由跟单采购，供应商直接发货到工厂。防盗贴贴纸位置和PO#4500182810确认的位置一。
Remark: 客户PO# 49878308
客户SKU# 1004126
1）Item#77711GQ6-S001-NA
2) 此单无第三方验货+抽样测试，ZURU QC验货PASS后，跟单得到客户的approval之后方可安排出货
3) 大货外箱材积绝对不可大于下述数据，材积只接受3%的变小；重量正负不得超过以下列出数据的5%，接受外箱以印章方式印上实际毛重。
大货外箱尺寸请保持：21.3*12.8*29.5 cm (即8.39*5.04*11.61 inch)，材积必须不能大于0.2825 CubeFeet（即0.0080 CBM); 外箱毛重 1.45 LBS（即0.66 KGS）
4) 大货配比：
Item#77711GQ6-S001-NA
S001-NA-MINI BRANDS-FILL THE FRIDGE-SERIES 1-CAPSULE,1FACING6PCS/GRAVITY PDQ,6PCS/PDQ/CTN
UPC:193052080127
Contain UV GLUE/ 1 Refrigerator Magnet.
1FACING 6PCS/GRAVITY PDQ/CTN;1W*2D*3H=6PCS/PDQ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</si>
  <si>
    <t>放MA日期</t>
  </si>
  <si>
    <t>PO号码</t>
  </si>
  <si>
    <t>MA订单号码</t>
  </si>
  <si>
    <t>货号</t>
  </si>
  <si>
    <t>数量</t>
  </si>
  <si>
    <t>名称</t>
  </si>
  <si>
    <t>语言</t>
  </si>
  <si>
    <t>1L 收缩膜</t>
  </si>
  <si>
    <t>收藏指南 5L</t>
  </si>
  <si>
    <t>3L 收缩膜</t>
  </si>
  <si>
    <t>1L TQ1</t>
  </si>
  <si>
    <t>3L TQ1</t>
  </si>
  <si>
    <t>客版说明书</t>
  </si>
  <si>
    <t>77785彩盒</t>
  </si>
  <si>
    <t>版本</t>
  </si>
  <si>
    <t>1000026155</t>
  </si>
  <si>
    <t>17009852</t>
  </si>
  <si>
    <t xml:space="preserve">shrink wrap  (1L) </t>
  </si>
  <si>
    <t>1L</t>
  </si>
  <si>
    <t>A</t>
  </si>
  <si>
    <t>Playset，内&amp;外膜配套放数</t>
  </si>
  <si>
    <t>1000026156</t>
  </si>
  <si>
    <t>17009853</t>
  </si>
  <si>
    <t xml:space="preserve">shrink wrap  (3L) </t>
  </si>
  <si>
    <t>3L</t>
  </si>
  <si>
    <t>1000026157</t>
  </si>
  <si>
    <t>17009854</t>
  </si>
  <si>
    <t>Collections guide(5L)</t>
  </si>
  <si>
    <t>5L</t>
  </si>
  <si>
    <t>Playset</t>
  </si>
  <si>
    <t>1000026158</t>
  </si>
  <si>
    <t>17009855</t>
  </si>
  <si>
    <t>TQ1 PDQ (1L)</t>
  </si>
  <si>
    <t>1000026418</t>
  </si>
  <si>
    <t>1000026419</t>
  </si>
  <si>
    <t>1000026420</t>
  </si>
  <si>
    <t>1000026421</t>
  </si>
  <si>
    <t>1000026425</t>
  </si>
  <si>
    <t>17009947</t>
  </si>
  <si>
    <t>TQ1 PDQ (3L)</t>
  </si>
  <si>
    <t>1000026592</t>
  </si>
  <si>
    <t>Jenny Shen</t>
  </si>
  <si>
    <t>77673TQ1</t>
  </si>
  <si>
    <t>Shrink Wrap</t>
  </si>
  <si>
    <t>客版</t>
  </si>
  <si>
    <t>Jade用于订单Smyths FR:1,000PCS(#4500156861)+Smyths CE:3,008PCS(#4500155594)+Smyth UKI:1,504PCS(#4500156861)+剩余14,488pcs待消耗</t>
  </si>
  <si>
    <t>1000026593</t>
  </si>
  <si>
    <t>Collector guide</t>
  </si>
  <si>
    <t>1000026655</t>
  </si>
  <si>
    <t>Ouniy用于Target US订单4500159604/4500158149/4500159315/4500166259/4500166249</t>
  </si>
  <si>
    <t>1000026646</t>
  </si>
  <si>
    <t>1000026824</t>
  </si>
  <si>
    <t>1000026825</t>
  </si>
  <si>
    <t>1000027322</t>
  </si>
  <si>
    <t>Jamie Liu</t>
  </si>
  <si>
    <t>1000027323</t>
  </si>
  <si>
    <t>1000027324</t>
  </si>
  <si>
    <t>1000027325</t>
  </si>
  <si>
    <t>1000027673</t>
  </si>
  <si>
    <t>1000027672</t>
  </si>
  <si>
    <t>1000027674</t>
  </si>
  <si>
    <t>1000027752</t>
  </si>
  <si>
    <t>1000028068</t>
  </si>
  <si>
    <t>1000028069</t>
  </si>
  <si>
    <t>1000027344</t>
  </si>
  <si>
    <t>Fiona Huang</t>
  </si>
  <si>
    <t>Window BOX</t>
  </si>
  <si>
    <t>Chelsea用于订单4500161438及后续订单</t>
  </si>
  <si>
    <t>1000028529</t>
  </si>
  <si>
    <t>1000028531</t>
  </si>
  <si>
    <t>1000028535</t>
  </si>
  <si>
    <t>1000028540</t>
  </si>
  <si>
    <t>1000028502</t>
  </si>
  <si>
    <t>Ouniy用于订单4500168202/4500166232/4500168202/4500171338/4500170675/4500170533/4500170676/4500170547/4500170678</t>
  </si>
  <si>
    <t>1000028504</t>
  </si>
  <si>
    <t>1000028612</t>
  </si>
  <si>
    <t>Louise用于Kmart AU/NZ首单3600pcs 8/1CRD余下按交期下单</t>
  </si>
  <si>
    <t>1000028603</t>
  </si>
  <si>
    <t>Babbit Zhong</t>
  </si>
  <si>
    <t>Joan用于Smyths FR:600PCS(#4500168001)
                     剩余19,400PCS待消耗</t>
  </si>
  <si>
    <t>1000028604</t>
  </si>
  <si>
    <t>Joan用于Smyths FR:600PCS(#4500168001)
                     剩余4,400PCS待消耗</t>
  </si>
  <si>
    <t>1000029002</t>
  </si>
  <si>
    <t>1000029118</t>
  </si>
  <si>
    <t>Mina Pan</t>
  </si>
  <si>
    <t>77721SLT</t>
  </si>
  <si>
    <t>Collection guide</t>
  </si>
  <si>
    <t>3L inside fridge</t>
  </si>
  <si>
    <t>Cynthia用于COSTCO CA订单4500161371/4500161390/4500161400/4500161402/4500161405/4500161406</t>
  </si>
  <si>
    <t>1000029115</t>
  </si>
  <si>
    <t>Shrink wrap(for fridge)</t>
  </si>
  <si>
    <t>1000029235</t>
  </si>
  <si>
    <t>B</t>
  </si>
  <si>
    <t>Playset，内&amp;外膜配套放数，B版</t>
  </si>
  <si>
    <t>1000029236</t>
  </si>
  <si>
    <t>1000029244</t>
  </si>
  <si>
    <t>1000029701</t>
  </si>
  <si>
    <t>1000029702</t>
  </si>
  <si>
    <t>1000029703</t>
  </si>
  <si>
    <t>1000029704</t>
  </si>
  <si>
    <t>1000029705</t>
  </si>
  <si>
    <t>1000030057</t>
  </si>
  <si>
    <t>1000030058</t>
  </si>
  <si>
    <t>1000030059</t>
  </si>
  <si>
    <t>1000030060</t>
  </si>
  <si>
    <t>1000030503</t>
  </si>
  <si>
    <t>Christine Yuan</t>
  </si>
  <si>
    <t>Ouniy用于订单4500174721/4500174008/4500175215/4500175217</t>
  </si>
  <si>
    <t>1000030504</t>
  </si>
  <si>
    <t>Collector Guide</t>
  </si>
  <si>
    <t>1000030533</t>
  </si>
  <si>
    <t>1000030782</t>
  </si>
  <si>
    <t xml:space="preserve">Crystal用于 PO#4500174199 </t>
  </si>
  <si>
    <t>1000030783</t>
  </si>
  <si>
    <t>1000030784</t>
  </si>
  <si>
    <t>1000030785</t>
  </si>
  <si>
    <t>1000030869</t>
  </si>
  <si>
    <t>Ariel Peng</t>
  </si>
  <si>
    <t>Chelsea用于订单4500174818 -300PCS，4500176637，剩余数量后续订单消耗</t>
  </si>
  <si>
    <t>1000030943</t>
  </si>
  <si>
    <t>Violet Chen</t>
  </si>
  <si>
    <t>Ouniy用于订单4500176828/4500176563/4500173789/4500175701/4500175702/4500175703</t>
  </si>
  <si>
    <t>1000030944</t>
  </si>
  <si>
    <t>1000030015</t>
  </si>
  <si>
    <t>Cherish用于COSTCO USA订单4500156323/4500156301/4500156328/4500156330/4500156332</t>
  </si>
  <si>
    <t>1000030016</t>
  </si>
  <si>
    <t>Color box</t>
  </si>
  <si>
    <t>1000030017</t>
  </si>
  <si>
    <t>Collection guide(inside fridge)</t>
  </si>
  <si>
    <t>1000030019</t>
  </si>
  <si>
    <t>Tray</t>
  </si>
  <si>
    <t>1000029128</t>
  </si>
  <si>
    <t>Cynthia用于COSTCO USA订单4500156322/4500156313/4500156325/4500156314/ 4500156315/4500156326/4500156318/4500156319/4500156324</t>
  </si>
  <si>
    <t>1000029130</t>
  </si>
  <si>
    <t>Judy Zhu</t>
  </si>
  <si>
    <t>1000031634</t>
  </si>
  <si>
    <t>Louise用于Kmart AU/NZ订单#4500170842/4500170843/4500170993/4500170994/4500172403/4500172405/4500172407/4500172408/4500172409/4500172411</t>
  </si>
  <si>
    <t>1000031778</t>
  </si>
  <si>
    <t>Ouniy用于订单4500177142/4500177143</t>
  </si>
  <si>
    <t>1000031779</t>
  </si>
  <si>
    <t>1000031842</t>
  </si>
  <si>
    <t>77758SLT</t>
  </si>
  <si>
    <t>Shrink Wrap(Fridge)</t>
  </si>
  <si>
    <t>/</t>
  </si>
  <si>
    <t>Eva用于订单#4500178828</t>
  </si>
  <si>
    <t>1000031844</t>
  </si>
  <si>
    <t>Instruction Sheet(Fridge)</t>
  </si>
  <si>
    <t>1000032165</t>
  </si>
  <si>
    <t>C</t>
  </si>
  <si>
    <t>Ouniy用于订单4500177144-17000pcs，剩余数量待后续订单消耗</t>
  </si>
  <si>
    <t>1000032166</t>
  </si>
  <si>
    <t>1000032932</t>
  </si>
  <si>
    <t>1000032933</t>
  </si>
  <si>
    <t>1000032934</t>
  </si>
  <si>
    <t>1000033665</t>
  </si>
  <si>
    <t>1000033526</t>
  </si>
  <si>
    <t>Curry用于订单4500183690/4500183692/4500182971，剩余5000pcs待后续订单消耗</t>
  </si>
  <si>
    <t>1000033528</t>
  </si>
  <si>
    <t>Curry用于订单4500183690/4500183692/4500182971</t>
  </si>
  <si>
    <t>1000034515</t>
  </si>
  <si>
    <t>Curry用于订单4500187335/4500187337/4500187340/4500187341</t>
  </si>
  <si>
    <t>1000034516</t>
  </si>
  <si>
    <t>1000035057</t>
  </si>
  <si>
    <t>Curry用于订单4500189432-10000pcs，4500189636--10000pcs</t>
  </si>
  <si>
    <t>1000035059</t>
  </si>
  <si>
    <t>1000035523</t>
  </si>
  <si>
    <t>Curry用于订单4500190515/4500190516，4500189636--16252pcs</t>
  </si>
  <si>
    <t>1000035524</t>
  </si>
  <si>
    <t>1000035715</t>
  </si>
  <si>
    <t>1000036523</t>
  </si>
  <si>
    <t>Kristin Li</t>
  </si>
  <si>
    <t xml:space="preserve">77673TQ1 </t>
  </si>
  <si>
    <t>Curry用于订单4500190738（3380个）和4500190665（22000），剩余16624个后续订单消耗</t>
  </si>
  <si>
    <t>1000036524</t>
  </si>
  <si>
    <t>补齐订单</t>
  </si>
  <si>
    <t>包材合计</t>
  </si>
  <si>
    <t>接单汇总数</t>
  </si>
  <si>
    <t>迷你冰箱小产品</t>
  </si>
  <si>
    <t>负责</t>
  </si>
  <si>
    <t>MA 1L 收缩膜（NA）</t>
  </si>
  <si>
    <t>2L收缩膜（NA）</t>
  </si>
  <si>
    <t>2L无条码收缩膜</t>
  </si>
  <si>
    <t>3L无条码收缩膜</t>
  </si>
  <si>
    <t>MA 3L   收缩膜（INT）</t>
  </si>
  <si>
    <t>COSTCO 托盘</t>
  </si>
  <si>
    <t>GQ1 1L 13PCS</t>
  </si>
  <si>
    <t>GQ1 2L  13PCS</t>
  </si>
  <si>
    <t>GQ1 3L  13PCS（INT）</t>
  </si>
  <si>
    <t xml:space="preserve">GQ2 1L 25pcs
</t>
  </si>
  <si>
    <t xml:space="preserve">GQ2 2L 25pcs
</t>
  </si>
  <si>
    <t>GQ2 3L 25pcs
（INT）</t>
  </si>
  <si>
    <t>1L GQ4-S001</t>
  </si>
  <si>
    <t>3L-77711GQ5-S001-INT</t>
  </si>
  <si>
    <t>SK-S001无底座 (MA-2L)</t>
  </si>
  <si>
    <t>SK-S002 底座 (MA-2L)</t>
  </si>
  <si>
    <t>SK-S002 带底座(MA-3L)</t>
  </si>
  <si>
    <t>2L SK1-S002 30pcs带底座</t>
  </si>
  <si>
    <t>3L SK1-S002 30pcs带底座</t>
  </si>
  <si>
    <t>MEC305/356</t>
  </si>
  <si>
    <t>77731 圆筒</t>
  </si>
  <si>
    <t>77731 彩纸</t>
  </si>
  <si>
    <t>77731 贴纸</t>
  </si>
  <si>
    <t>1000026125</t>
  </si>
  <si>
    <t>PVC  Tube(2PK)</t>
  </si>
  <si>
    <t>Mandy用于Amazon EU&amp;UK订单4500158623-1044pcs/4500158582-5256pcs/4500158588-1488pcs/4500158810-1488pcs</t>
  </si>
  <si>
    <t>1000026126</t>
  </si>
  <si>
    <t>Art Paper（2PK)</t>
  </si>
  <si>
    <t>1000026127</t>
  </si>
  <si>
    <t>Lid sticker(2PK)</t>
  </si>
  <si>
    <t>1000026147</t>
  </si>
  <si>
    <t>NA 球，内&amp;外膜配套放数</t>
  </si>
  <si>
    <t>1000026148</t>
  </si>
  <si>
    <t xml:space="preserve">shrink wrap  (2L) </t>
  </si>
  <si>
    <t>2L</t>
  </si>
  <si>
    <t>1000026149</t>
  </si>
  <si>
    <t xml:space="preserve">collector guide(MA 5L) </t>
  </si>
  <si>
    <t>NA 球</t>
  </si>
  <si>
    <t>1000026150</t>
  </si>
  <si>
    <t>77711GQ2-NA</t>
  </si>
  <si>
    <t>GQ2 PDQ(MA-1L)</t>
  </si>
  <si>
    <t>1000026151</t>
  </si>
  <si>
    <t>GQ2 PDQ(MA-2L)</t>
  </si>
  <si>
    <t>1000026152</t>
  </si>
  <si>
    <t>INT 球，内&amp;外膜配套放数</t>
  </si>
  <si>
    <t>1000026153</t>
  </si>
  <si>
    <t>INT 球</t>
  </si>
  <si>
    <t>1000026154</t>
  </si>
  <si>
    <t>GQ2 PDQ(MA-3L)</t>
  </si>
  <si>
    <t>1000026410</t>
  </si>
  <si>
    <t>1000026411</t>
  </si>
  <si>
    <t>1000026412</t>
  </si>
  <si>
    <t xml:space="preserve">collector guide(MA 2L) </t>
  </si>
  <si>
    <t>1000026413</t>
  </si>
  <si>
    <t>1000026414</t>
  </si>
  <si>
    <t>1000026422</t>
  </si>
  <si>
    <t>GQ1 PDQ(MA-2L)</t>
  </si>
  <si>
    <t>1000026415</t>
  </si>
  <si>
    <t>1000026416</t>
  </si>
  <si>
    <t>1000026423</t>
  </si>
  <si>
    <t>SK (MA-3L)</t>
  </si>
  <si>
    <t>1000026417</t>
  </si>
  <si>
    <t>1000026424</t>
  </si>
  <si>
    <t>GQ1 PDQ(MA-3L)</t>
  </si>
  <si>
    <t>1000026463</t>
  </si>
  <si>
    <t>PVC  Tube</t>
  </si>
  <si>
    <t>Peggy用于Amazon US Domestic 订单4500160498</t>
  </si>
  <si>
    <t>1000026464</t>
  </si>
  <si>
    <t>Art Paper</t>
  </si>
  <si>
    <t>1000026465</t>
  </si>
  <si>
    <t>Sticker</t>
  </si>
  <si>
    <t>1000026401</t>
  </si>
  <si>
    <t>Mandy用于Amazon EU&amp;UK订单4500159555-2124pcs，剩余数量请优先消耗</t>
  </si>
  <si>
    <t>1000026402</t>
  </si>
  <si>
    <t>1000026403</t>
  </si>
  <si>
    <t>1000026214</t>
  </si>
  <si>
    <t>Daisy.Li</t>
  </si>
  <si>
    <t>77711GQ4</t>
  </si>
  <si>
    <t>PDQ</t>
  </si>
  <si>
    <t>Maggie 用于订单4500159672;4500159673;4500159675;4500159676;</t>
  </si>
  <si>
    <t>1000026826</t>
  </si>
  <si>
    <t>Maggie 用于订单4500162160;4500162161;4500162162;4500162168;4500162169;4500162170;</t>
  </si>
  <si>
    <t>1000026621</t>
  </si>
  <si>
    <t>Shrink Wrap(without UPC)</t>
  </si>
  <si>
    <t>1000026817</t>
  </si>
  <si>
    <t>1000026818</t>
  </si>
  <si>
    <t>1000026819</t>
  </si>
  <si>
    <t>1000026830</t>
  </si>
  <si>
    <t>GQ1 PDQ(MA-1L)</t>
  </si>
  <si>
    <t>1000026820</t>
  </si>
  <si>
    <t>1000026821</t>
  </si>
  <si>
    <t>1000026831</t>
  </si>
  <si>
    <t>SK1 (MA-3L)</t>
  </si>
  <si>
    <t>1000026822</t>
  </si>
  <si>
    <t>1000027043</t>
  </si>
  <si>
    <t>77782GQ1</t>
  </si>
  <si>
    <t>3L(EN/FR/ES）</t>
  </si>
  <si>
    <t>Ever用于订单PO4500161302/4500161306/4500161312，Aimee用于订单4500162966，Eva用于4500162780/4500159848等订单</t>
  </si>
  <si>
    <t>1000027044</t>
  </si>
  <si>
    <t>1000027045</t>
  </si>
  <si>
    <t>Ever用于订单PO4500161302/4500161306/4500161312，Nora用于订单4500162410/4500162474/4500162426，Aimee用于订单4500162966，Eva用于4500159848等订单</t>
  </si>
  <si>
    <t>1000027294</t>
  </si>
  <si>
    <t>Mandy用于订单4500164250-1008PCS，后续来单消耗</t>
  </si>
  <si>
    <t>1000027295</t>
  </si>
  <si>
    <t>1000027296</t>
  </si>
  <si>
    <t>1000027318</t>
  </si>
  <si>
    <t>1000027319</t>
  </si>
  <si>
    <t>1000027320</t>
  </si>
  <si>
    <t>1000027321</t>
  </si>
  <si>
    <t>1000027326</t>
  </si>
  <si>
    <t>Endcap</t>
  </si>
  <si>
    <t>MA-3L, 混装</t>
  </si>
  <si>
    <t>Nina Liu</t>
  </si>
  <si>
    <t>SIDEKICK(2L)</t>
  </si>
  <si>
    <t>BASE</t>
  </si>
  <si>
    <t>NA 球,仅底座</t>
  </si>
  <si>
    <t>1000027666</t>
  </si>
  <si>
    <t>1000027667</t>
  </si>
  <si>
    <t>1000027668</t>
  </si>
  <si>
    <t>1000027669</t>
  </si>
  <si>
    <t>1000027670</t>
  </si>
  <si>
    <t>1000027671</t>
  </si>
  <si>
    <t>1000027955</t>
  </si>
  <si>
    <t>Maggie 用于订单4500162791;4500162824;4500162828;4500162963;4500162965
;4500162979</t>
  </si>
  <si>
    <t>1000028029</t>
  </si>
  <si>
    <t>Iris用于MO20250516</t>
  </si>
  <si>
    <t>1000028194</t>
  </si>
  <si>
    <t>Maggie 用于订单4500167380</t>
  </si>
  <si>
    <t>1000028055</t>
  </si>
  <si>
    <t>1000028049</t>
  </si>
  <si>
    <t>1000028050</t>
  </si>
  <si>
    <t>1000028051</t>
  </si>
  <si>
    <t>1000028052</t>
  </si>
  <si>
    <t>1000028053</t>
  </si>
  <si>
    <t>1000028054</t>
  </si>
  <si>
    <t>1000028517</t>
  </si>
  <si>
    <t>1000028518</t>
  </si>
  <si>
    <t>1000028519</t>
  </si>
  <si>
    <t>1000028520</t>
  </si>
  <si>
    <t>1000028521</t>
  </si>
  <si>
    <t>1000028522</t>
  </si>
  <si>
    <t>1000028524</t>
  </si>
  <si>
    <t>1000028525</t>
  </si>
  <si>
    <t>1000028527</t>
  </si>
  <si>
    <t>1000028514</t>
  </si>
  <si>
    <t>Maggie 用于订单4500168367；4500168379；4500168376
4500168369</t>
  </si>
  <si>
    <t>1000028855</t>
  </si>
  <si>
    <t>Maggie 用于订单4500169408；4500169409</t>
  </si>
  <si>
    <t>1000028970</t>
  </si>
  <si>
    <t>1000028996</t>
  </si>
  <si>
    <t>1000028997</t>
  </si>
  <si>
    <t>1000028998</t>
  </si>
  <si>
    <t>1000028999</t>
  </si>
  <si>
    <t>77711SK1-S002</t>
  </si>
  <si>
    <t>SK1 (MA-2L)</t>
  </si>
  <si>
    <t>1000029000</t>
  </si>
  <si>
    <t>1000029001</t>
  </si>
  <si>
    <t>1000029003</t>
  </si>
  <si>
    <t>3L for fridge</t>
  </si>
  <si>
    <t>1000029117</t>
  </si>
  <si>
    <t>1000029121</t>
  </si>
  <si>
    <t>Collection guide(inside ball)</t>
  </si>
  <si>
    <t>3L inside ball</t>
  </si>
  <si>
    <t>1000029123</t>
  </si>
  <si>
    <t>1000029188</t>
  </si>
  <si>
    <t>Lluvia Zeng</t>
  </si>
  <si>
    <t>Maggie用于订单4500170587；4500170593</t>
  </si>
  <si>
    <t>1000029237</t>
  </si>
  <si>
    <t>1000029233</t>
  </si>
  <si>
    <t>NA 球, B版</t>
  </si>
  <si>
    <t>1000029238</t>
  </si>
  <si>
    <t>1000029239</t>
  </si>
  <si>
    <t>1000029240</t>
  </si>
  <si>
    <t>1000029241</t>
  </si>
  <si>
    <t>1000029234</t>
  </si>
  <si>
    <t>INT 球，B版</t>
  </si>
  <si>
    <t>1000029242</t>
  </si>
  <si>
    <t>1000029243</t>
  </si>
  <si>
    <t>1000029697</t>
  </si>
  <si>
    <t>1000029698</t>
  </si>
  <si>
    <t>1000029699</t>
  </si>
  <si>
    <t>1000029700</t>
  </si>
  <si>
    <t>1000029431</t>
  </si>
  <si>
    <t>Louise用于4500170842&amp;4500170843-7200 PCS 收缩膜，4500170993&amp;4500170994-6000 PCS 收缩膜，剩下10800 pcs用于后续订单</t>
  </si>
  <si>
    <t>1000030052</t>
  </si>
  <si>
    <t>1000030053</t>
  </si>
  <si>
    <t>1000030054</t>
  </si>
  <si>
    <t>1000030055</t>
  </si>
  <si>
    <t>1000030056</t>
  </si>
  <si>
    <t>按实单订</t>
  </si>
  <si>
    <t>兴信自行订购</t>
  </si>
  <si>
    <t>1000029576</t>
  </si>
  <si>
    <t>用于Ava/Eva订单#4500169604/4500172288，Emma订单#4500170501，Aimee订单#4500171272/4500171286/4500172103</t>
  </si>
  <si>
    <t>1000029572</t>
  </si>
  <si>
    <t>Mandy用于订单PO#4500164946-1248PCS</t>
  </si>
  <si>
    <t>Crystal用于4500167501、4500167394各504PCS</t>
  </si>
  <si>
    <t>1000029658</t>
  </si>
  <si>
    <t>Kelly用于Amazon US订单4500172507/4500172422/4500172430/4500172435/4500172492</t>
  </si>
  <si>
    <t>1000029659</t>
  </si>
  <si>
    <t>1000029660</t>
  </si>
  <si>
    <t>1000029661</t>
  </si>
  <si>
    <t>1000030205</t>
  </si>
  <si>
    <t>Crystal用于PO#4500174196-2604PCS，后续来单消耗</t>
  </si>
  <si>
    <t>1000030206</t>
  </si>
  <si>
    <t>1000030207</t>
  </si>
  <si>
    <t>1000030775</t>
  </si>
  <si>
    <t>1000030776</t>
  </si>
  <si>
    <t>1000030777</t>
  </si>
  <si>
    <t>1000030778</t>
  </si>
  <si>
    <t>1000030779</t>
  </si>
  <si>
    <t>1000030780</t>
  </si>
  <si>
    <t>1000030781</t>
  </si>
  <si>
    <t>1000030456</t>
  </si>
  <si>
    <t>Mina pan</t>
  </si>
  <si>
    <t>Shrink wrap(for capsule)</t>
  </si>
  <si>
    <t>Cynthia用于COSTCO USA订单4500156334</t>
  </si>
  <si>
    <t>1000030018</t>
  </si>
  <si>
    <t>1000029131</t>
  </si>
  <si>
    <t>Chelsea用于订单4500174818 -300PCS，Mandy用于Amazon EU&amp;UK订单4500176637-1962PCS，4500179336-720pcs，4500181824-300pcs，剩余1718PCS后续订单消耗。</t>
  </si>
  <si>
    <t>1000030938</t>
  </si>
  <si>
    <t>77711GQ6</t>
  </si>
  <si>
    <t>Candice用于订单#4500176603&amp;4500175352，各500pcs。</t>
  </si>
  <si>
    <t>1000029133</t>
  </si>
  <si>
    <t xml:space="preserve"> Cynthia用于COSTCO USA订单4500156322/4500156313/4500156325/4500156314/ 4500156315/4500156326/4500156318/4500156319/4500156324</t>
  </si>
  <si>
    <t>Cherish用于COSTCO USA订单4500156323/4500156301/4500156321/4500156328/4500156330</t>
  </si>
  <si>
    <t>1000029955</t>
  </si>
  <si>
    <t>Maggie用于订单4500178136； 4500178137； 4500178130</t>
  </si>
  <si>
    <t>1000031531</t>
  </si>
  <si>
    <t>1000031774</t>
  </si>
  <si>
    <t>1000031841</t>
  </si>
  <si>
    <t>Color Box</t>
  </si>
  <si>
    <t>1000031843</t>
  </si>
  <si>
    <t>Instruction Sheet(Capsules)</t>
  </si>
  <si>
    <t>1000031845</t>
  </si>
  <si>
    <t>1000031870</t>
  </si>
  <si>
    <t>Shrink Wrap(Capsules)</t>
  </si>
  <si>
    <t>1000031793</t>
  </si>
  <si>
    <t>Crystal用于PO#4500177504</t>
  </si>
  <si>
    <t>1000032037</t>
  </si>
  <si>
    <t>Maggie用于订单4500179943</t>
  </si>
  <si>
    <t>1000032042</t>
  </si>
  <si>
    <t xml:space="preserve">Maggie用于订单4500179417；4500179405
</t>
  </si>
  <si>
    <t>1000032188</t>
  </si>
  <si>
    <t>1000032189</t>
  </si>
  <si>
    <t>1000032190</t>
  </si>
  <si>
    <t>1000032381</t>
  </si>
  <si>
    <t xml:space="preserve">Maggie用于订单4500180340
</t>
  </si>
  <si>
    <t>1000032385</t>
  </si>
  <si>
    <t>Ariel</t>
  </si>
  <si>
    <t>77711GQ5</t>
  </si>
  <si>
    <r>
      <rPr>
        <sz val="12"/>
        <rFont val="Calibri"/>
        <charset val="134"/>
      </rPr>
      <t>Aimee/Shery</t>
    </r>
    <r>
      <rPr>
        <sz val="12"/>
        <rFont val="宋体"/>
        <charset val="134"/>
      </rPr>
      <t>用于订单#</t>
    </r>
    <r>
      <rPr>
        <sz val="12"/>
        <rFont val="Calibri"/>
        <charset val="134"/>
      </rPr>
      <t xml:space="preserve">4500179260 </t>
    </r>
  </si>
  <si>
    <t>1000032735</t>
  </si>
  <si>
    <t>Maggie用于订单4500181113</t>
  </si>
  <si>
    <t>1000032421</t>
  </si>
  <si>
    <t>2500pcs-Emma PO#4500180194
250pcs-Eva  PO#4500176094
500pcs-Eva PO#4500181141
9000pcs-
Cemaco(NUEVOS ALMACENES, S.A.) Guatemala-PO#4500181289</t>
  </si>
  <si>
    <t>1000032930</t>
  </si>
  <si>
    <t>1000032931</t>
  </si>
  <si>
    <t>1000032935</t>
  </si>
  <si>
    <t>1000032936</t>
  </si>
  <si>
    <t>1000032859</t>
  </si>
  <si>
    <t>Crystal用于PO#4500181162</t>
  </si>
  <si>
    <t>1000032879</t>
  </si>
  <si>
    <t>1000032860</t>
  </si>
  <si>
    <t>1000033151</t>
  </si>
  <si>
    <t xml:space="preserve">Maggie用于订单4500184387；4500184388；4500184391
</t>
  </si>
  <si>
    <t>1000033206</t>
  </si>
  <si>
    <t>Mandy用于4500182289-1524PCS、4500182321-984PCS</t>
  </si>
  <si>
    <t>1000033207</t>
  </si>
  <si>
    <t>1000033208</t>
  </si>
  <si>
    <t>1000033209</t>
  </si>
  <si>
    <t>Mandy用于4500182290 -504</t>
  </si>
  <si>
    <t>此单按实单订购，不另建MAPO#</t>
  </si>
  <si>
    <t>COLOR BOX</t>
  </si>
  <si>
    <t>Emily用于4500182502</t>
  </si>
  <si>
    <t>77785TQ1</t>
  </si>
  <si>
    <t>此单按单订购不另建MA PO</t>
  </si>
  <si>
    <t>Peggy用于Amazon US 订单4500182436</t>
  </si>
  <si>
    <t>1000033295</t>
  </si>
  <si>
    <t>Peggy用于Amazon US 订单4500182436-13848pcs，剩余数量可用于后续订单</t>
  </si>
  <si>
    <t>1000033568</t>
  </si>
  <si>
    <t>1000033666</t>
  </si>
  <si>
    <t>1000033667</t>
  </si>
  <si>
    <t>1000033717</t>
  </si>
  <si>
    <t>1000033819</t>
  </si>
  <si>
    <t>Eva：PO#4500181289(9000pcs)/4500183983(5000pcs)/4500183616(3600pcs)/DISTRUIBUCIONES UNIVERSALES, SA - DIUNSA（300pcs)/4500185120 (1500pcs)/MCD BRANDS SAS(600 pcs)/2000pcs-用于后面新单
Ever：4500184355/4500184316/4500184399/4500184422-3800pcs
Aimee:：NASA PANAMA (17300pcs)</t>
  </si>
  <si>
    <t>1000033820</t>
  </si>
  <si>
    <t>Eva：PO 4500183983(5000pcs)/4500183616(3600pcs)/DISTRUIBUCIONES UNIVERSALES, SA - DIUNSA（300pcs)/4500185120 (1500pcs)/MCD BRANDS SAS(600 pcs)/2000pcs-用于后面新单
Ever：4500184355/4500184316/4500184399/4500184422-3800pcs
Aimee：NASA PANAMA (17300pcs)</t>
  </si>
  <si>
    <t>1000033821</t>
  </si>
  <si>
    <t xml:space="preserve">Eva：PO 4500183983(200pcs)/4500183616(144pcs)/DISTRUIBUCIONES UNIVERSALES, SA - DIUNSA（12pcs)/4500185120(60pcs)/MCD BRANDS SAS(24 pcs)/80pcs-用于后面新单
Ever：4500184355/4500184316/4500184399/4500184422-152pcs
Aimee：NASA PANAMA (692pcs)
Emma：4500185573-160pcs  </t>
  </si>
  <si>
    <t>1000034214</t>
  </si>
  <si>
    <t>1000034217</t>
  </si>
  <si>
    <t>1000034216</t>
  </si>
  <si>
    <t>1000034749</t>
  </si>
  <si>
    <t>Crystal用于PO#4500187223</t>
  </si>
  <si>
    <t>1000034750</t>
  </si>
  <si>
    <t xml:space="preserve">Crystal用于PO#4500187194  </t>
  </si>
  <si>
    <t>1000034751</t>
  </si>
  <si>
    <t>1000034752</t>
  </si>
  <si>
    <t>1000035007</t>
  </si>
  <si>
    <t>Eva用于订单#4500188881-600PCS，4500191577 -1950pcs，剩余7450PCS用于后续订单</t>
  </si>
  <si>
    <t>1000035008</t>
  </si>
  <si>
    <t>Eva用于订单#4500188881-24PCS，4500191577 -78pcs，剩余398PCS用于后续订单</t>
  </si>
  <si>
    <t>1000035038</t>
  </si>
  <si>
    <t xml:space="preserve">Maggie用于订单4500189333
</t>
  </si>
  <si>
    <t>1000035716</t>
  </si>
  <si>
    <t>1000035717</t>
  </si>
  <si>
    <t>1000035718</t>
  </si>
  <si>
    <t>1000035719</t>
  </si>
  <si>
    <t>MA Order No. :</t>
  </si>
  <si>
    <t>MA-RR-1546</t>
  </si>
  <si>
    <t>MA-RR-1619</t>
  </si>
  <si>
    <t>MA-RR-1656</t>
  </si>
  <si>
    <t>MA-RR-1684</t>
  </si>
  <si>
    <t>MA-RR-1727</t>
  </si>
  <si>
    <t>MA-RR-1738</t>
  </si>
  <si>
    <t>MA-RR-1789</t>
  </si>
  <si>
    <t>MA-RR-1843</t>
  </si>
  <si>
    <t>MA-RR-1857</t>
  </si>
  <si>
    <t>MA-RR-1876</t>
  </si>
  <si>
    <t>MA-RR-1910</t>
  </si>
  <si>
    <t>MA-RR-1925</t>
  </si>
  <si>
    <t>MA-RR-1953</t>
  </si>
  <si>
    <t>MA-RR-1979</t>
  </si>
  <si>
    <t>MA-RR-2008</t>
  </si>
  <si>
    <t>Order Date:</t>
  </si>
  <si>
    <t>Required CRD:</t>
  </si>
  <si>
    <t>NA合计</t>
  </si>
  <si>
    <t>INT合计</t>
  </si>
  <si>
    <t>New Code (New Matrix)</t>
  </si>
  <si>
    <t>NA 配比</t>
  </si>
  <si>
    <t>INT 配比</t>
  </si>
  <si>
    <t>NA MA QTY</t>
  </si>
  <si>
    <t>INT MA QTY</t>
  </si>
  <si>
    <t>NA Grand Total</t>
  </si>
  <si>
    <t>INT Grand Total</t>
  </si>
  <si>
    <t>NA 实际订单</t>
  </si>
  <si>
    <t>INT  实际订单</t>
  </si>
  <si>
    <r>
      <rPr>
        <b/>
        <sz val="12"/>
        <color theme="0"/>
        <rFont val="Tahoma"/>
        <charset val="134"/>
      </rPr>
      <t xml:space="preserve"> NA MA</t>
    </r>
    <r>
      <rPr>
        <b/>
        <sz val="12"/>
        <color theme="0"/>
        <rFont val="宋体"/>
        <charset val="134"/>
      </rPr>
      <t>剩余数量</t>
    </r>
  </si>
  <si>
    <r>
      <rPr>
        <b/>
        <sz val="12"/>
        <color theme="0"/>
        <rFont val="Tahoma"/>
        <charset val="134"/>
      </rPr>
      <t>INT MA</t>
    </r>
    <r>
      <rPr>
        <b/>
        <sz val="12"/>
        <color theme="0"/>
        <rFont val="宋体"/>
        <charset val="134"/>
      </rPr>
      <t>剩余数量</t>
    </r>
  </si>
  <si>
    <t>Remark</t>
  </si>
  <si>
    <t>两款合计MA数</t>
  </si>
  <si>
    <r>
      <rPr>
        <sz val="12"/>
        <rFont val="Tahoma"/>
        <charset val="0"/>
      </rPr>
      <t xml:space="preserve">1). 77711-NA, </t>
    </r>
    <r>
      <rPr>
        <sz val="12"/>
        <rFont val="宋体"/>
        <charset val="0"/>
      </rPr>
      <t>截至此次配套</t>
    </r>
    <r>
      <rPr>
        <sz val="12"/>
        <rFont val="Tahoma"/>
        <charset val="0"/>
      </rPr>
      <t>MA</t>
    </r>
    <r>
      <rPr>
        <sz val="12"/>
        <rFont val="宋体"/>
        <charset val="0"/>
      </rPr>
      <t>总数</t>
    </r>
    <r>
      <rPr>
        <sz val="12"/>
        <rFont val="Tahoma"/>
        <charset val="0"/>
      </rPr>
      <t xml:space="preserve">1400K;
2). </t>
    </r>
    <r>
      <rPr>
        <sz val="12"/>
        <rFont val="宋体"/>
        <charset val="0"/>
      </rPr>
      <t>配套采购相关的配件</t>
    </r>
    <r>
      <rPr>
        <sz val="12"/>
        <rFont val="Tahoma"/>
        <charset val="0"/>
      </rPr>
      <t>;</t>
    </r>
  </si>
  <si>
    <t>展示吸塑</t>
  </si>
  <si>
    <t>GQ2/GQ4</t>
  </si>
  <si>
    <t>SK</t>
  </si>
  <si>
    <t>MINIS</t>
  </si>
  <si>
    <t>Item NO.</t>
  </si>
  <si>
    <t>S1 Capsules &amp; playset Minis</t>
  </si>
  <si>
    <t>FRIDGEM_S1_P12</t>
  </si>
  <si>
    <t>NA/GLOBAL</t>
  </si>
  <si>
    <r>
      <rPr>
        <b/>
        <sz val="11"/>
        <color theme="1"/>
        <rFont val="Tahoma"/>
        <charset val="134"/>
      </rPr>
      <t>MA</t>
    </r>
    <r>
      <rPr>
        <b/>
        <sz val="11"/>
        <color theme="1"/>
        <rFont val="宋体"/>
        <charset val="134"/>
      </rPr>
      <t>数</t>
    </r>
  </si>
  <si>
    <t>FRIDGEM_S1_P15</t>
  </si>
  <si>
    <t>NA only</t>
  </si>
  <si>
    <t>订单数</t>
  </si>
  <si>
    <t>FRIDGEM_S1_P13</t>
  </si>
  <si>
    <t>剩余数</t>
  </si>
  <si>
    <t>FRIDGEM_S1_P14</t>
  </si>
  <si>
    <t>FRIDGEM_S1_P17</t>
  </si>
  <si>
    <t>FRIDGEM_S1_P19</t>
  </si>
  <si>
    <t>FRIDGEM_S1_F02</t>
  </si>
  <si>
    <t>FRIDGEM_S1_F03</t>
  </si>
  <si>
    <t>FRIDGEM_S1_C06</t>
  </si>
  <si>
    <t>FRIDGEM_S1_F04</t>
  </si>
  <si>
    <t>FRIDGEM_S1_P20</t>
  </si>
  <si>
    <t>FRIDGEM_S1_P21</t>
  </si>
  <si>
    <t>FRIDGEM_S1_P55</t>
  </si>
  <si>
    <t>FRIDGEM_S1_P56</t>
  </si>
  <si>
    <t>FRIDGEM_S1_P57</t>
  </si>
  <si>
    <t>FRIDGEM_S1_P58</t>
  </si>
  <si>
    <t>FRIDGEM_S1_P59</t>
  </si>
  <si>
    <t>FRIDGEM_S1_P60</t>
  </si>
  <si>
    <t>FRIDGEM_S1_P61</t>
  </si>
  <si>
    <t>NA/GLOBAL, SK DEMO</t>
  </si>
  <si>
    <t>FRIDGEM_S1_P62</t>
  </si>
  <si>
    <t>FRIDGEM_S1_P63</t>
  </si>
  <si>
    <t>FRIDGEM_S1_P64</t>
  </si>
  <si>
    <t>FRIDGEM_S1_P65</t>
  </si>
  <si>
    <t>FRIDGEM_S1_P66</t>
  </si>
  <si>
    <t>FRIDGEM_S1_P01</t>
  </si>
  <si>
    <t>NA/GLOBAL, PDQ DEMO</t>
  </si>
  <si>
    <t>FRIDGEM_S1_P02</t>
  </si>
  <si>
    <t>FRIDGEM_S1_P07</t>
  </si>
  <si>
    <t>NA</t>
  </si>
  <si>
    <t>FRIDGEM_S1_P08</t>
  </si>
  <si>
    <t>FRIDGEM_S1_P18</t>
  </si>
  <si>
    <t>FRIDGEM_S1_C01</t>
  </si>
  <si>
    <t>FRIDGEM_S1_C02</t>
  </si>
  <si>
    <t>FRIDGEM_S1_F01</t>
  </si>
  <si>
    <t>FRIDGEM_S1_P03</t>
  </si>
  <si>
    <t>FRIDGEM_S1_P04</t>
  </si>
  <si>
    <t>FRIDGEM_S1_C03</t>
  </si>
  <si>
    <t>FRIDGEM_S1_P09</t>
  </si>
  <si>
    <t>FRIDGEM_S1_P10</t>
  </si>
  <si>
    <t>FRIDGEM_S1_P11</t>
  </si>
  <si>
    <t>FRIDGEM_S1_C04</t>
  </si>
  <si>
    <t>FRIDGEM_S1_C05</t>
  </si>
  <si>
    <t>FRIDGEM_S1_P32</t>
  </si>
  <si>
    <t>FRIDGEM_S1_P33</t>
  </si>
  <si>
    <t>FRIDGEM_S1_P34</t>
  </si>
  <si>
    <t>FRIDGEM_S1_P35</t>
  </si>
  <si>
    <t>NA/GLOBAL,PDQ DEMO</t>
  </si>
  <si>
    <t>FRIDGEM_S1_P36</t>
  </si>
  <si>
    <t>FRIDGEM_S1_P41</t>
  </si>
  <si>
    <t>FRIDGEM_S1_P42</t>
  </si>
  <si>
    <t>FRIDGEM_S1_P43</t>
  </si>
  <si>
    <t>FRIDGEM_S1_P44</t>
  </si>
  <si>
    <t>FRIDGEM_S1_P46</t>
  </si>
  <si>
    <t>FRIDGEM_S1_P47</t>
  </si>
  <si>
    <t>FRIDGEM_S1_P38</t>
  </si>
  <si>
    <t>FRIDGEM_S1_P48</t>
  </si>
  <si>
    <t>FRIDGEM_S1_P49</t>
  </si>
  <si>
    <t>FRIDGEM_S1_P53</t>
  </si>
  <si>
    <t>FRIDGEM_S1_P52</t>
  </si>
  <si>
    <t>FRIDGEM_S1_P68</t>
  </si>
  <si>
    <t>FRIDGEM_S1_P51</t>
  </si>
  <si>
    <t>FRIDGEM_S1_P54</t>
  </si>
  <si>
    <t>FRIDGEM_S1_P40</t>
  </si>
  <si>
    <t>FRIDGEM_S1_P45</t>
  </si>
  <si>
    <t>FRIDGEM_S1_P37</t>
  </si>
  <si>
    <t>FRIDGEM_S1_P70</t>
  </si>
  <si>
    <t>NA/GLOBAL, PDQ &amp;SK DEMO</t>
  </si>
  <si>
    <t>FRIDGEM_S1_P69</t>
  </si>
  <si>
    <t>FRIDGEM_S1_P22</t>
  </si>
  <si>
    <t>FRIDGEM_S1_P27</t>
  </si>
  <si>
    <t>GLOBAL only</t>
  </si>
  <si>
    <t>FRIDGEM_S1_P23</t>
  </si>
  <si>
    <t>FRIDGEM_S1_P28</t>
  </si>
  <si>
    <t>FRIDGEM_S1_P24</t>
  </si>
  <si>
    <t>FRIDGEM_S1_P29</t>
  </si>
  <si>
    <t>FRIDGEM_S1_P25</t>
  </si>
  <si>
    <t>FRIDGEM_S1_P30</t>
  </si>
  <si>
    <t>FRIDGEM_S1_P26</t>
  </si>
  <si>
    <t>FRIDGEM_S1_P31</t>
  </si>
  <si>
    <t xml:space="preserve"> Minis SUM</t>
  </si>
  <si>
    <t>\</t>
  </si>
  <si>
    <t>CONFIRMED AND ACCEPTED BY:</t>
  </si>
  <si>
    <t>FOR AND ON BEHALF OF ZURU INC</t>
  </si>
  <si>
    <t>SIGNATURE &amp; COMPANY CHOP</t>
  </si>
  <si>
    <t>Material Authorization (Production)</t>
  </si>
  <si>
    <t>放订日期</t>
  </si>
  <si>
    <t>要求完成日期</t>
  </si>
  <si>
    <t>MA号</t>
  </si>
  <si>
    <t>MA-RR-1648</t>
  </si>
  <si>
    <t>MA-RR-1824</t>
  </si>
  <si>
    <t>MA-RR-2036</t>
  </si>
  <si>
    <t>合计</t>
  </si>
  <si>
    <t>接单数</t>
  </si>
  <si>
    <r>
      <rPr>
        <sz val="10"/>
        <rFont val="Times New Roman"/>
        <charset val="0"/>
      </rPr>
      <t xml:space="preserve">STD Playset #77673 </t>
    </r>
    <r>
      <rPr>
        <sz val="10"/>
        <rFont val="宋体"/>
        <charset val="134"/>
      </rPr>
      <t>（胶件）</t>
    </r>
  </si>
  <si>
    <r>
      <rPr>
        <sz val="12"/>
        <color theme="1"/>
        <rFont val="Tahoma"/>
        <charset val="134"/>
      </rPr>
      <t xml:space="preserve">playset </t>
    </r>
    <r>
      <rPr>
        <sz val="12"/>
        <color indexed="8"/>
        <rFont val="宋体"/>
        <charset val="134"/>
      </rPr>
      <t>注塑组件</t>
    </r>
  </si>
  <si>
    <r>
      <rPr>
        <sz val="10"/>
        <rFont val="Times New Roman"/>
        <charset val="0"/>
      </rPr>
      <t xml:space="preserve">CUS #77673 Target-US </t>
    </r>
    <r>
      <rPr>
        <sz val="10"/>
        <rFont val="宋体"/>
        <charset val="0"/>
      </rPr>
      <t>（胶件）</t>
    </r>
  </si>
  <si>
    <r>
      <rPr>
        <sz val="12"/>
        <color theme="1"/>
        <rFont val="Tahoma"/>
        <charset val="134"/>
      </rPr>
      <t xml:space="preserve">playset </t>
    </r>
    <r>
      <rPr>
        <sz val="12"/>
        <color rgb="FF000000"/>
        <rFont val="宋体"/>
        <charset val="134"/>
      </rPr>
      <t>注塑组件</t>
    </r>
  </si>
  <si>
    <r>
      <rPr>
        <sz val="10"/>
        <rFont val="Times New Roman"/>
        <charset val="0"/>
      </rPr>
      <t>CUS #77673 Costco-NA</t>
    </r>
    <r>
      <rPr>
        <sz val="10"/>
        <rFont val="宋体"/>
        <charset val="0"/>
      </rPr>
      <t>（胶件）</t>
    </r>
  </si>
  <si>
    <r>
      <rPr>
        <sz val="10"/>
        <rFont val="Times New Roman"/>
        <charset val="0"/>
      </rPr>
      <t xml:space="preserve">CUS #77673 Costco-INT </t>
    </r>
    <r>
      <rPr>
        <sz val="10"/>
        <rFont val="宋体"/>
        <charset val="134"/>
      </rPr>
      <t>（胶件）</t>
    </r>
  </si>
  <si>
    <t>Item Name</t>
  </si>
  <si>
    <t>Brand</t>
  </si>
  <si>
    <t>Mold no.</t>
  </si>
  <si>
    <t>FRIDGEM_S1_P39</t>
  </si>
  <si>
    <t>Strawberry Vanilla</t>
  </si>
  <si>
    <t>OLIPOP</t>
  </si>
  <si>
    <t>MNFRG-21M-01</t>
  </si>
  <si>
    <t>Playset only</t>
  </si>
  <si>
    <t>FRIDGEM_S1_P67</t>
  </si>
  <si>
    <t>Jelly</t>
  </si>
  <si>
    <t>MNFRG-15M-01;MNFRG-16M-01;MNFRG-23M-01;MNFRG-31M-01;MNFRG-32M-01.</t>
  </si>
  <si>
    <t>FRIDGEM_S1_P71</t>
  </si>
  <si>
    <t>Ice Scoop</t>
  </si>
  <si>
    <t>MNFRG-24M-01</t>
  </si>
  <si>
    <t>FRIDGEM_S1_A20</t>
  </si>
  <si>
    <t>外购件 </t>
  </si>
  <si>
    <t>FRIDGEM_S1_CUS 1</t>
  </si>
  <si>
    <t>perfectly Peach</t>
  </si>
  <si>
    <t>Sangaria Ramune</t>
  </si>
  <si>
    <t>MNFRG-05M-01</t>
  </si>
  <si>
    <t>Playset Target-US only</t>
  </si>
  <si>
    <t>FRIDGEM_S1_CUS 2</t>
  </si>
  <si>
    <t>Classic Root Beer
355ml</t>
  </si>
  <si>
    <t>Olipop</t>
  </si>
  <si>
    <t>FRIDGEM_S1_CUS 3</t>
  </si>
  <si>
    <t>Vintage Cola
355ml</t>
  </si>
  <si>
    <t>FRIDGEM_S1_CUS 4</t>
  </si>
  <si>
    <t>Supreme Pizza</t>
  </si>
  <si>
    <t>Pizza Hut</t>
  </si>
  <si>
    <t>MNFRG-13M-01；MNFRG-28M-01</t>
  </si>
  <si>
    <t>FRIDGEM_S1_CUS 5</t>
  </si>
  <si>
    <t>Extra Hot</t>
  </si>
  <si>
    <t>Mike's Hot Honey</t>
  </si>
  <si>
    <t>MNFRG-01M-01</t>
  </si>
  <si>
    <t>FRIDGEM_S1_CUS 6</t>
  </si>
  <si>
    <t>Great Grape</t>
  </si>
  <si>
    <t>Playset Costco-NA&amp;INT only</t>
  </si>
  <si>
    <t>FRIDGEM_S1_CUS 7</t>
  </si>
  <si>
    <t>Mmm Melon</t>
  </si>
  <si>
    <t>FRIDGEM_S1_CUS 8</t>
  </si>
  <si>
    <t>Orange Squeeze
355ml</t>
  </si>
  <si>
    <t>FRIDGEM_S1_CUS 9</t>
  </si>
  <si>
    <t>Meat Lovers Pizza</t>
  </si>
  <si>
    <t>Playset Costco-NA only</t>
  </si>
  <si>
    <t>FRIDGEM_S1_CUS 11</t>
  </si>
  <si>
    <t xml:space="preserve">Meat Lovers Pizza-global </t>
  </si>
  <si>
    <t>Playset Costco-INT only</t>
  </si>
  <si>
    <t>FRIDGEM_S1_CUS 10</t>
  </si>
  <si>
    <t>Caramel Syrup 
24 oz</t>
  </si>
  <si>
    <t>Hershey's</t>
  </si>
  <si>
    <t>MNFRG-08M-01</t>
  </si>
  <si>
    <r>
      <rPr>
        <b/>
        <sz val="12"/>
        <color rgb="FF0000CC"/>
        <rFont val="Tahoma"/>
        <charset val="134"/>
      </rPr>
      <t xml:space="preserve">Remark: 
1) </t>
    </r>
    <r>
      <rPr>
        <b/>
        <sz val="12"/>
        <color indexed="12"/>
        <rFont val="宋体"/>
        <charset val="134"/>
      </rPr>
      <t>收藏指南标准版是</t>
    </r>
    <r>
      <rPr>
        <b/>
        <sz val="12"/>
        <color indexed="12"/>
        <rFont val="Tahoma"/>
        <charset val="0"/>
      </rPr>
      <t>5</t>
    </r>
    <r>
      <rPr>
        <b/>
        <sz val="12"/>
        <color indexed="12"/>
        <rFont val="宋体"/>
        <charset val="134"/>
      </rPr>
      <t>语，</t>
    </r>
    <r>
      <rPr>
        <b/>
        <sz val="12"/>
        <color indexed="10"/>
        <rFont val="宋体"/>
        <charset val="134"/>
      </rPr>
      <t>新产品待工程放产才能开始生产</t>
    </r>
    <r>
      <rPr>
        <b/>
        <sz val="12"/>
        <color indexed="12"/>
        <rFont val="宋体"/>
        <charset val="134"/>
      </rPr>
      <t>。</t>
    </r>
    <r>
      <rPr>
        <b/>
        <sz val="12"/>
        <color indexed="12"/>
        <rFont val="Tahoma"/>
        <charset val="0"/>
      </rPr>
      <t xml:space="preserve">
2) </t>
    </r>
    <r>
      <rPr>
        <b/>
        <sz val="12"/>
        <color indexed="10"/>
        <rFont val="Tahoma"/>
        <charset val="0"/>
      </rPr>
      <t>Playset</t>
    </r>
    <r>
      <rPr>
        <b/>
        <sz val="12"/>
        <color indexed="10"/>
        <rFont val="宋体"/>
        <charset val="134"/>
      </rPr>
      <t>模具和公仔模具产能紧张</t>
    </r>
    <r>
      <rPr>
        <b/>
        <sz val="12"/>
        <color indexed="12"/>
        <rFont val="宋体"/>
        <charset val="134"/>
      </rPr>
      <t>，请满产能安排啤件备库，请勿中途停机，直至完成</t>
    </r>
    <r>
      <rPr>
        <b/>
        <sz val="12"/>
        <color indexed="12"/>
        <rFont val="Tahoma"/>
        <charset val="0"/>
      </rPr>
      <t>MA</t>
    </r>
    <r>
      <rPr>
        <b/>
        <sz val="12"/>
        <color indexed="12"/>
        <rFont val="宋体"/>
        <charset val="134"/>
      </rPr>
      <t>数量。
3)请安排提前装配，以便最大限度利用产能，待收到大货订单后收缩、包装。</t>
    </r>
  </si>
  <si>
    <t>日期</t>
  </si>
  <si>
    <t>ITEM</t>
  </si>
  <si>
    <t>要求交货日期</t>
  </si>
  <si>
    <t>实际交货时间</t>
  </si>
  <si>
    <t>MA_RR_1449</t>
  </si>
  <si>
    <r>
      <rPr>
        <sz val="12"/>
        <rFont val="宋体"/>
        <charset val="0"/>
      </rPr>
      <t>冰箱</t>
    </r>
    <r>
      <rPr>
        <sz val="12"/>
        <rFont val="Tahoma"/>
        <charset val="0"/>
      </rPr>
      <t xml:space="preserve"> IC</t>
    </r>
  </si>
  <si>
    <t>MA-RR-1531</t>
  </si>
  <si>
    <t>MA-RR-1566</t>
  </si>
  <si>
    <t>MA-RR-1609</t>
  </si>
  <si>
    <t>MA-RR-1657</t>
  </si>
  <si>
    <t>MA-RR-1694</t>
  </si>
  <si>
    <t>MA-RR-1743</t>
  </si>
  <si>
    <t>MA-RR-1767</t>
  </si>
  <si>
    <t>MA-RR-1805</t>
  </si>
  <si>
    <t>MA-RR-1827</t>
  </si>
  <si>
    <t>MA-RR-1844</t>
  </si>
  <si>
    <t>MA-RR-1851</t>
  </si>
  <si>
    <t>MA-RR-1877</t>
  </si>
  <si>
    <t>MA-RR-1898</t>
  </si>
  <si>
    <t>MA-RR-1927</t>
  </si>
  <si>
    <t>MA-RR-1980</t>
  </si>
  <si>
    <t>MA-RR-2024</t>
  </si>
  <si>
    <t>MA-RR-2047</t>
  </si>
  <si>
    <t>扣除半成品剩余数</t>
  </si>
  <si>
    <t>ZURU验货日期</t>
  </si>
  <si>
    <t>ZURU订单走货日期</t>
  </si>
  <si>
    <t>77198散件</t>
  </si>
  <si>
    <t>77198 
有香味</t>
  </si>
  <si>
    <t>77198 
无香味</t>
  </si>
  <si>
    <t>收缩膜
MA 1L</t>
  </si>
  <si>
    <t>收藏指南
MA 1L</t>
  </si>
  <si>
    <r>
      <rPr>
        <b/>
        <sz val="8"/>
        <color theme="1"/>
        <rFont val="宋体"/>
        <charset val="134"/>
        <scheme val="minor"/>
      </rPr>
      <t xml:space="preserve">收缩膜
MA </t>
    </r>
    <r>
      <rPr>
        <b/>
        <sz val="8"/>
        <color rgb="FF0000FF"/>
        <rFont val="宋体"/>
        <charset val="134"/>
        <scheme val="minor"/>
      </rPr>
      <t>B</t>
    </r>
    <r>
      <rPr>
        <b/>
        <sz val="8"/>
        <color theme="1"/>
        <rFont val="宋体"/>
        <charset val="134"/>
        <scheme val="minor"/>
      </rPr>
      <t xml:space="preserve"> 1L</t>
    </r>
  </si>
  <si>
    <r>
      <rPr>
        <b/>
        <sz val="8"/>
        <color theme="1"/>
        <rFont val="宋体"/>
        <charset val="134"/>
        <scheme val="minor"/>
      </rPr>
      <t xml:space="preserve">收藏指南
MA </t>
    </r>
    <r>
      <rPr>
        <b/>
        <sz val="8"/>
        <color rgb="FF0000FF"/>
        <rFont val="宋体"/>
        <charset val="134"/>
        <scheme val="minor"/>
      </rPr>
      <t>B</t>
    </r>
    <r>
      <rPr>
        <b/>
        <sz val="8"/>
        <color theme="1"/>
        <rFont val="宋体"/>
        <charset val="134"/>
        <scheme val="minor"/>
      </rPr>
      <t xml:space="preserve"> 1L</t>
    </r>
  </si>
  <si>
    <t>收缩膜
MA 3L</t>
  </si>
  <si>
    <t>收藏指南
MA 3L</t>
  </si>
  <si>
    <t>59886/63730
收藏指南
德语客版</t>
  </si>
  <si>
    <t>SK
展示架
MA 1L
带demo</t>
  </si>
  <si>
    <t>SK
展示架
MA 3L
带demo</t>
  </si>
  <si>
    <t>SK
展示架
-003客版
带demo</t>
  </si>
  <si>
    <t>MA 1L A
GQ2
无demo</t>
  </si>
  <si>
    <r>
      <rPr>
        <b/>
        <sz val="8"/>
        <color theme="1"/>
        <rFont val="宋体"/>
        <charset val="134"/>
        <scheme val="minor"/>
      </rPr>
      <t xml:space="preserve">MA 1L </t>
    </r>
    <r>
      <rPr>
        <b/>
        <sz val="8"/>
        <color rgb="FFFF0000"/>
        <rFont val="宋体"/>
        <charset val="134"/>
        <scheme val="minor"/>
      </rPr>
      <t>B</t>
    </r>
    <r>
      <rPr>
        <b/>
        <sz val="8"/>
        <color theme="1"/>
        <rFont val="宋体"/>
        <charset val="134"/>
        <scheme val="minor"/>
      </rPr>
      <t xml:space="preserve">
GQ2
带demo</t>
    </r>
  </si>
  <si>
    <t>MA 3L A
GQ2
带demo</t>
  </si>
  <si>
    <t>客版
GQ1
带demo</t>
  </si>
  <si>
    <t>63730/59886
客版GQ2</t>
  </si>
  <si>
    <t>客版
GQ3</t>
  </si>
  <si>
    <t>客版
GQ4</t>
  </si>
  <si>
    <t>客版
SQ1</t>
  </si>
  <si>
    <t>客版
SQ2</t>
  </si>
  <si>
    <t>Jiwildy Ltd</t>
  </si>
  <si>
    <t>毛里求斯</t>
  </si>
  <si>
    <t>4500163069-20</t>
  </si>
  <si>
    <t>日期码格式：ZURU INC(BVI) 标准格式 日期：按实际生产日期
Packaging Info: MA 3L PKG+1 张UPC Label
Remark:</t>
  </si>
  <si>
    <t>4500157858-90</t>
  </si>
  <si>
    <t>日期码格式：ZURU INC(BVI) 标准格式 日期：按实际生产日期
Packaging Info: 
77673TQ1：MA_3L PDQ + MA 3L EAN 收缩膜 + 多语折叠警告语贴纸（含环保标） +MA5L收藏指南+ MA 23L说明书+MA纸袋 + WEEE通用黑色书纸带电池走货 ( EAN #
4894680042773)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</si>
  <si>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5200006637</t>
  </si>
  <si>
    <t>4500165161-20</t>
  </si>
  <si>
    <t>日期码格式：ZURU INC(BVI) 标准格式 日期：按实际生产日期
Packaging Info:
"77785:最新客版彩盒+ EAN贴纸（翻4500163212）
子件77711：最新MA 3L EAN收缩膜+最新MA 5L收藏指南+最新MA 23L说明书+最新MA 5L creative+最新MA纸袋+多语警语折叠贴纸（含包装缺失的法/意/西环保标）（
翻4500162314）
Remark: MTS Spain: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带电池产品都需要包含WEEE黑白说明书。
8，MTS所有订单，SMASHERS 或含Slime产品，所有化合物使用无硼版本出；如有香味产品，出无香版本。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</si>
  <si>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日期码格式：ZURU INC(BVI) 标准格式 日期：按实际生产日期
Packaging Info: 
"77785:最新客版彩盒+ EAN贴纸（翻4500163212）
子件77673：最新MA 3L EAN收缩膜+最新MA 5L收藏指南+最新MA 23L说明书+最新MA纸袋+多语警语折叠贴纸（含包装缺失的法/意/西环保标）+ 多语版WEEE电池垃圾
桶的回收声明说明书（ included）（贴纸和WEEE翻4500162314）"
Remark: MTS Spain: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带电池产品都需要包含WEEE黑白说明书。
8，MTS所有订单，SMASHERS 或含Slime产品，所有化合物使用无硼版本出；如有香味产品，出无香版本。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</si>
  <si>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无BOM</t>
  </si>
  <si>
    <t xml:space="preserve"> FAR EAST BROKERS AND CONSULTANTS, I</t>
  </si>
  <si>
    <t>客户PO
25PO-3646</t>
  </si>
  <si>
    <t>4500166848-30</t>
  </si>
  <si>
    <t>日期码格式：ZURU INC(BVI) 标准格式 日期：按实际生产日期
Packaging Info: 
 77711GQ1 MA 1L UPC 版本包装 UPC 193052080127
Remark: 出美国
 每一行分别备注了客户的PO号， 请注意唛头的一一对应
 Zuru验货，日期跟踪码：产品包装必须有日期跟踪码，ZURU标准格式日期码"</t>
  </si>
  <si>
    <t>4500165161-50</t>
  </si>
  <si>
    <t>替代单</t>
  </si>
  <si>
    <t>日期码格式：ZURU INC(BVI) 标准格式 日期：按实际生产日期
Packaging Info:
77711GQ1:最新MA 3L EAN收缩膜+最新MA 5L收藏指南+最新MA 23L说明书+最新MA 5L creative+最新MA纸袋+最新MA 3L PDQ+多语警语折叠贴纸（含包装缺失的法/意/
西环保标）（翻4500162314）
Remark: MTS Spain: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带电池产品都需要包含WEEE黑白说明书。
8，MTS所有订单，SMASHERS 或含Slime产品，所有化合物使用无硼版本出；如有香味产品，出无香版本。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</si>
  <si>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4500165161-70</t>
  </si>
  <si>
    <t>日期码格式：ZURU INC(BVI) 标准格式 日期：按实际生产日期
Packaging Info:
77711SK1:最新MA 3L EAN收缩膜+最新MA 5L收藏指南+最新MA 23L说明书+最新MA 5L creative+最新MA纸袋+最新MA展示架+多语警语折叠贴纸（含包装缺失的法/意/
西环保标）（翻4500162314）
Remark: MTS Spain: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带电池产品都需要包含WEEE黑白说明书。
8，MTS所有订单，SMASHERS 或含Slime产品，所有化合物使用无硼版本出；如有香味产品，出无香版本。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</si>
  <si>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4500167444-20</t>
  </si>
  <si>
    <t>6.12取消</t>
  </si>
  <si>
    <t>日期码格式：ZURU INC(BVI) 标准格式 日期：按实际生产日期
Packaging Info:
#77731：2PK STD #77711入PVC桶，3L 2PK铜版纸，客版无UPC版本收缩膜跟单提供。收藏指南，说明书均为MA 1L标版。（两个球的配比不能重复）。
Remark: 1.Amazon domestic 订单。出口美国。外箱最长边不能超过25" （超过了，case pack只能为1），不符合要求的大货，一律不接受。
2.无第三方验货/测试要求。
3.日期码使用ZURU标准版本。
4.邮包盒要印刷日期码。</t>
  </si>
  <si>
    <t>4500167852-20</t>
  </si>
  <si>
    <t>取消订单</t>
  </si>
  <si>
    <t>日期码格式：ZURU INC(BVI) 标准格式 日期：按实际生产日期
Packaging Info: 
2.77711GQ1-S002-INT: MA NA版本1L UPC收缩膜+MA INT 版本5L收藏指南+MA INT版本3L PDQ+MA 23L说明书+其他MA最新包材
UPC#193052080127,请先检查条码是否正确再安排做货
3.以上产品如果是电子产品带电池出货，请加上WEEE带电池走货欧洲30语通用黑白说明书,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 此单空运</t>
  </si>
  <si>
    <t>Draft PO-77673TQ1（2）</t>
  </si>
  <si>
    <t>4500170548-10</t>
  </si>
  <si>
    <t>10001401738-3891</t>
  </si>
  <si>
    <t>4500170526-10</t>
  </si>
  <si>
    <t>0923292897</t>
  </si>
  <si>
    <t>4500170460-50</t>
  </si>
  <si>
    <t>2025/7/7 取消</t>
  </si>
  <si>
    <t>日期码格式：ZURU DGYYYYMMDD CHINA(日期避开周末和法定节假日即可） 日期：按实际生产日期
Packaging Info: 77711
77711-S003-NA：MA 1L A版收缩膜+MA 5L A版收藏指南+MA 说明书
每pcs产品上要贴1张RFID贴纸，贴纸由ZURU提供，贴纸位置请严格按照我们签回的签板；
Remark: 77711
77711-S003-NA：MA 1L A版收缩膜+MA 5L A版收藏指南+MA 说明书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77711箱唛翻单：4500159672；77673箱唛翻单：4500159641；77685箱唛翻单：4500159701
3. 在产品上和包装上要有日期码、以及要有MADE IN CHINA和ZURU字样；
4. 产品如有扎带口要剪平，不能刮手。
5. 此单需要验货，请多备料
6. 此单以loose carton出货，
77711：16pcs/CTN</t>
  </si>
  <si>
    <t>0923292910</t>
  </si>
  <si>
    <t>4500170460-60</t>
  </si>
  <si>
    <t>0923292916</t>
  </si>
  <si>
    <t>4500170460-70</t>
  </si>
  <si>
    <t>0923292927</t>
  </si>
  <si>
    <t>4500170460-80</t>
  </si>
  <si>
    <t>4500170460-90</t>
  </si>
  <si>
    <t>日期码格式：ZURU DGYYYYMMDD CHINA(日期避开周末和法定节假日即可） 日期：按实际生产日期
Packaging Info:77673
77673-S004：MA 1L A版收缩膜+MA 5L 收藏指南+MA 说明书
每pcs产品上要贴1张RFID贴纸，贴纸由ZURU提供，贴纸位置请严格按照我们签回的签板；
Remark: 77673
77673-S004：MA 1L A版收缩膜+MA 5L 收藏指南+MA 说明书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77711箱唛翻单：4500159672；77673箱唛翻单：4500159641；77685箱唛翻单：4500159701
3. 在产品上和包装上要有日期码、以及要有MADE IN CHINA和ZURU字样；
4. 产品如有扎带口要剪平，不能刮手。
5. 此单需要验货，请多备料
6. 此单以loose carton出货，
77673：4 pcs/CTN</t>
  </si>
  <si>
    <t>4500170460-100</t>
  </si>
  <si>
    <t>4500170460-110</t>
  </si>
  <si>
    <t>4500170460-120</t>
  </si>
  <si>
    <t>4500156320-10</t>
  </si>
  <si>
    <t>CBI DISTRIBUTING CORPORATION</t>
  </si>
  <si>
    <t>4500169801-10</t>
  </si>
  <si>
    <t>暂停生产</t>
  </si>
  <si>
    <t>日期码格式：ZURU INC(BVI) 标准格式 日期：按实际生产日期
Packaging Info: MA2L收缩膜+MA2LPDQ+客供价格贴纸
Remark: 价格贴纸需覆盖收缩膜上的UPC,贴大货之前先贴一个球给跟单确认位置图</t>
  </si>
  <si>
    <t>002620625279</t>
  </si>
  <si>
    <t>4500156321-10</t>
  </si>
  <si>
    <t>009600625372</t>
  </si>
  <si>
    <t>013860625222</t>
  </si>
  <si>
    <t>4500156327-10</t>
  </si>
  <si>
    <t>001710625322</t>
  </si>
  <si>
    <t>4500156329-10</t>
  </si>
  <si>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纸箱唛头：纸箱四面，正唛和背面两面都需印刷，其他2面侧面留空,按照箱唛要求排版。
4. 确保展示架在入外箱的时候一定要正面对着有印刷箱唛的那面,不可以装反。</t>
  </si>
  <si>
    <t>001790625261</t>
  </si>
  <si>
    <t>4500156331-10</t>
  </si>
  <si>
    <t>002670625256</t>
  </si>
  <si>
    <t>4500156333-10</t>
  </si>
  <si>
    <t>001750625302</t>
  </si>
  <si>
    <t>4500156317-10</t>
  </si>
  <si>
    <t>6/24 更新</t>
  </si>
  <si>
    <t>Draft PO-77711GQ2</t>
  </si>
  <si>
    <t>4500173996-10</t>
  </si>
  <si>
    <t>Wal-mart US</t>
  </si>
  <si>
    <t>MO20250710</t>
  </si>
  <si>
    <t>TBA</t>
  </si>
  <si>
    <t>已转实单</t>
  </si>
  <si>
    <t>外箱印刷带条码的RFID箱唛：RFID紫色色带+WM Dept.图标+RFID图标+ITF-14条码，四面右下角印刷ZURU logo, ITFF条码只印刷在正唛一面，在加印的时候确保条形码能扫描出来，外箱侧面任一角落加印："MADE IN CHINA" 字样；</t>
  </si>
  <si>
    <t>77711GQ4-S001-NA
1.包装要求：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在产品上和包装上要有日期码、以及要有MADE IN CHINA和ZURU字样；
4. 产品如有扎带口要剪平，不能刮手。
5. 此单验货，请多备料
6. 此单以loose carton出货，16pcs/PDQ/CTN</t>
  </si>
  <si>
    <t>Wal-mart USA</t>
  </si>
  <si>
    <t>MO20250620</t>
  </si>
  <si>
    <t>欠RFID贴纸</t>
  </si>
  <si>
    <t>1.包装要求：
77673TQ1-S001: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在产品上和包装上要有日期码、以及要有MADE IN CHINA和ZURU字样；
4. 产品如有扎带口要剪平，不能刮手。
5. 此单验货，请多备料
6. 此单以loose carton出货，77673：4pcs/PDQ/CTN</t>
  </si>
  <si>
    <t>4500178828-20</t>
  </si>
  <si>
    <t>MO20250904</t>
  </si>
  <si>
    <t>日期码格式：ZURU DGYYYYMMDD CHINA(日期避开周末和法定节假日即可） 日期：按实际生产日期
77711GQ4-S001-NA
1.包装要求：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在产品上和包装上要有日期码、以及要有MADE IN CHINA和ZURU字样；
4. 产品如有扎带口要剪平，不能刮手。
5. 此单验货，请多备料
6. 此单以loose carton出货，16pcs/PDQ/CTN</t>
  </si>
  <si>
    <t>欠客PO</t>
  </si>
  <si>
    <t>日期码格式：ZURU INC(BVI) 标准格式 日期：按实际生产日期
77673TQ1-S001
1.包装要求：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在产品上和包装上要有日期码、以及要有MADE IN CHINA和ZURU字样；
4. 产品如有扎带口要剪平，不能刮手。
5. 此单需要验货，请多备料
6. 此单以loose carton出货，4pcs/PDQ/CTN</t>
  </si>
  <si>
    <t>4500179455-20</t>
  </si>
  <si>
    <t>MO20250912</t>
  </si>
  <si>
    <t>已转实单4500179943</t>
  </si>
  <si>
    <t>外箱侧面任一角落加印："MADE IN CHINA" 字样；</t>
  </si>
  <si>
    <t>4500179469-10</t>
  </si>
  <si>
    <t>4500177872-10</t>
  </si>
  <si>
    <t>日期码格式：ZURU INC(BVI) 标准格式 日期：按实际生产日期
Packaging Info: 77673TQ1:最新MA PDQ(优先3L )+客版收缩膜(英法德callout/英法德意荷警语/法国环保logo---翻订单4500173265)+23L说明书+客版收藏指南(英法德意荷)（翻#45
00155594）+WEEE_带电池走货 _ 说明书欧洲EN+30L-B版（或更新版本)
Remark: 1）包装日期码按ZURU格式即可，请确保不迟于外箱日期码，可等于或者早于外箱日期码，必须为法定工作日，印刷前请先检查外箱日期码。
2）订单出爱尔兰，请注意检查产品及包装应带UKCA图标（14+产品除外），包装显示ZURU UK LTD/ZURU France地址信息，QC部门请查核，如有问题与跟单确认
3) 微塑料需符合欧洲标准，否则不合法规会有客诉产生</t>
  </si>
  <si>
    <t>4500177985-10</t>
  </si>
  <si>
    <t>返工，出给转由客户360 Sales Solutions Inc代理空运出货给WMCA</t>
  </si>
  <si>
    <t>BV自检10/8</t>
  </si>
  <si>
    <t>4500180534-30</t>
  </si>
  <si>
    <t>10001502369-3891</t>
  </si>
  <si>
    <t>4500182103-20</t>
  </si>
  <si>
    <t>贴条码箱贴纸</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</si>
  <si>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以上所有item均：
1. 产品和包装上均要印刷tracking code信息，格式为ZURU常规格式;
2. 出货方式：货代自提</t>
  </si>
  <si>
    <t>4500182103-10</t>
  </si>
  <si>
    <t>日期码格式：ZURU INC(BVI) 标准格式 日期：按实际生产日期
Packaging Info: 77673TQ1 产品包装 客版收缩膜(C版)+客版收藏指南+MA说明书+ MA 1L PDQ；客版收藏指南翻单4500174008；
Remark: 77673TQ1
1. 77673TQ1-S001-CC-MINI BRANDS-FILL THE FRIDGE PLAYSET-SERIES 1-SHRINK WRAP,4PCS/PDQ,4PCS/PDQ/CTN
2. 产品包装 客版收缩膜(C版)+客版收藏指南+MA说明书+ MA 1L PDQ；客版收缩膜上的UPC显示193052079404；客版收藏指南翻单4500174008；
3. 外箱正唛左上角位置粘贴条码箱贴纸，每箱只贴一张，由ZURU订购。来料贴纸上显示的客户DPCI# 086-02-3468， UPC显示10193052079401;
以上所有item均：
1. 产品和包装上均要印刷tracking code信息，格式为ZURU常规格式;
2. 出货方式：货代自提</t>
  </si>
  <si>
    <t>4500184399-120</t>
  </si>
  <si>
    <t>4500184399-110</t>
  </si>
  <si>
    <t>0952702535</t>
  </si>
  <si>
    <t>4500184391-20</t>
  </si>
  <si>
    <t>0952702561</t>
  </si>
  <si>
    <t>4500184391-30</t>
  </si>
  <si>
    <t>0952702417</t>
  </si>
  <si>
    <t>4500184387-10</t>
  </si>
  <si>
    <t>0952702528</t>
  </si>
  <si>
    <t>4500183718-30</t>
  </si>
  <si>
    <t>PO#2818W3</t>
  </si>
  <si>
    <t>4500183277-10</t>
  </si>
  <si>
    <t>12.2早上做第三方TUV的100%大货验货+抽样</t>
  </si>
  <si>
    <t>箱唛翻单4500163953</t>
  </si>
  <si>
    <t>日期码格式：DOLLAR GENERAL 客日期码 日期：
Packaging Info: 
#77711GQ5-S002-NA-PKC 客版PDQ + 内袋警示语AWS + 客版收缩膜，请有说明书收藏指南等，请优先使用MA 1L。
Remark: 1.包装：
#77711GQ5-S002-NA-PKC 客版PDQ + 内袋警示语AWS + 客版收缩膜，请有说明书收藏指南等，请优先使用MA 1L。全部包材翻单4500181787 。
客户要求： "产品和包装不能含有PFAS 物质以及1,4 dioxane" 客户指定实验室做测试，请确保产品可以过美国标准ASTM F963-23测试。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#77711GQ5：31328202L25
(2)产品日期码：
#77711GQ5：DOLGEN31328202L25（打在球壳上）
后三位L25代表25年12月的ETD 。
（3）UPC条形码：
#77711GQ5:193052080127
3. 无价贴。
4. 无样板需求
5. 验货抽样事宜：
#77711GQ5-S002-NA-PKC （新版冰袋+说明书），此单需要跟4500181787&lt;(&gt;&amp;&lt;)&gt;4500181793&lt;(&gt;&amp;&lt;)&gt;4500182514合并一天在12.2早上做第三方TUV的100%大货验货+抽
样。第三方验货和抽样点数会按照几单的总数，抽板数量只抽一份成品随机12pcs球+5套光身板+足量干漆面/油墨。
请在12月1前完成ZURU QC验货，并当天14点前提供验货报告+大货图片给跟单。
6. 箱唛：翻4500176962 &lt;(&gt;&amp;&lt;)&gt;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</si>
  <si>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PO#2818X3</t>
  </si>
  <si>
    <t>4500183277-30</t>
  </si>
  <si>
    <t>PO#27T2X4</t>
  </si>
  <si>
    <t>4500181793-10</t>
  </si>
  <si>
    <t>12/2有第三方抽板+验货</t>
  </si>
  <si>
    <t>日期码格式：DOLLAR GENERAL 客日期码 日期：
Packaging Info: 客收缩膜+客PDQ，MA指南
Remark: 1.包装：客版收缩膜+客版PDQ 1L(8pcs/GQ)，
 #77711GQ5-S002-NA-PKC 此单全部翻单4500181787
 重要提醒： 如果此单的包材跟上面翻单订单的不同，请务必本周内告知，我们需要提前找客户审批调整第三方验货和测试的安排。我们建议跟我们提到的翻单一致
 ，这样可以减少第三方的次数和费用。
 客户要求： "产品和包装不能含有PFAS 物质以及1,4 dioxane" 客户指定实验室做测试，请确保产品可以过美国标准ASTM F963-23测试。
 大货外箱必须是双坑材质。
2.日期码：产品和包装上必须有客版格式日期码。此单全部翻单4500181787
 客版收缩膜上已印有客版日期码，大货前需核对好这些信息，包装无需额外打ZURU日期码了。但是产品上需打客版日期码。
 (1) 包装日期码（已印在收缩膜上，无需额外添加），内容如：
 #77711GQ5-S002-NA-PKC 31328202L25
 L大写字母代表ETD 12月。
 (2)产品日期码：（打在球壳上）
 #77711GQ5-S002-NA-PKC DOLGEN31328202L25
 （3）UPC条形码：
 #77711GQ5-S002-NA-PKC 193052080127
 3. 无价贴。
 4. 无样板
 5. 
 #77711GQ5-S002-NA-PKC （新版冰袋+说明书），此单需要跟4500181787合并一天在12.2早上做第三方TUV的100%大货验货+抽样。第三方验货和抽样点数会按照几
 单的总数，抽板数量只抽一份成品随机12pcs球+5套光身板+足量干漆面/油墨。
 6. 箱唛：此单全部翻单4500181787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#77711GQ5-S002-NA-PKC 内袋翻单4500163953</t>
  </si>
  <si>
    <t>PO#27T2X0</t>
  </si>
  <si>
    <t>4500181793-30</t>
  </si>
  <si>
    <t>PO#27YPD3</t>
  </si>
  <si>
    <t>4500182514-20</t>
  </si>
  <si>
    <t>日期码格式：DOLLAR GENERAL 客日期码 日期：
Packaging Info: 
#77711GQ5-S002-NA-PKC 客版PDQ + 内袋警示语AWS + 客版收缩膜，请有说明书收藏指南等，请优先使用MA 1L。
430001805807
Remark: 1.包装：
#77711GQ5-S002-NA-PKC 客版PDQ + 内袋警示语AWS + 客版收缩膜，请有说明书收藏指南等，请优先使用MA 1L。全部包材翻单4500181787 。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#77711GQ5：31328202L25
(2)产品日期码：
#77711GQ5：DOLGEN31328202L25（打在球壳上）
后三位L25代表25年12月的ETD 。
（3）UPC条形码：
#77711GQ5:193052080127
3. 无价贴。
4. 无样板需求
5. 验货抽样事宜：
#77711GQ5：无第三方验货
请在12月4前完成ZURU QC验货，并当天14点前提供验货报告+大货图片给跟单。
6. 箱唛：翻4500176962 &amp;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</si>
  <si>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PO#27Q9P3</t>
  </si>
  <si>
    <t>4500181787-20</t>
  </si>
  <si>
    <t>日期码格式：DOLLAR GENERAL 客日期码 日期：
Packaging Info: 客1L收缩膜+客PDQ，MA收藏指南
Remark: 1.包装：客版收缩膜（跟单邮件提供）+客版PDQ 1L(8pcs/GQ)，
#77711GQ5-S002-NA-PKC PDQ，这单开始冰袋和说明书用要用新MA版本的、客版收缩膜版本（AWs跟单邮件提供，收缩膜上UPC左边竖排的客户包装tracking code后
三位字母和数字有变化）
重要提醒： 如果此单的包材跟上面翻单订单的不同，请务必本周内告知，我们需要提前找客户审批调整第三方验货和测试的安排。我们建议跟我们提到的翻单一致
，这样可以减少第三方的次数和费用。
客户要求： "产品和包装不能含有PFAS 物质以及1,4 dioxane" 客户指定实验室做测试，请确保产品可以过美国标准ASTM F963-23测试。
大货外箱必须是双坑材质。
2.日期码：产品和包装上必须有客版格式日期码。
客版收缩膜上已印有客版日期码，大货前需核对好这些信息，包装无需额外打ZURU日期码了。但是产品上需打客版日期码。
(1) 包装日期码（已印在收缩膜上，无需额外添加），内容如：
#77711GQ5-S002-NA-PKC 31328202L25
L大写字母代表ETD 12月。
(2)产品日期码：（打在球壳上）
#77711GQ5-S002-NA-PKC DOLGEN31328202L25
（3）UPC条形码：
#77711GQ5-S002-NA-PKC 193052080127
3. 无价贴。
4. 无样板
5. 第三方：
#77711GQ5-S002-NA-PKC 有第三方抽板+验货
12月2日早上进行客人指定TUV的CT抽样+验货（因用了新版冰袋和说明书）。随机抽取每款每色各12pcs + 足量干漆给实验室MT+5套散件光身样（如适用）. 请在12
月1前完成ZURU QC验货，并当天14点前提供验货报告+大货图片给跟单。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
#77711GQ5-S002-NA-PKC 箱唛翻单4500163953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#77711GQ5-S002-NA-PKC 内袋翻单4500163953</t>
  </si>
  <si>
    <t>6006-010027</t>
  </si>
  <si>
    <t>4500185103-10</t>
  </si>
  <si>
    <t>日期码格式：ZURU INC(BVI) 标准格式 日期：按实际生产日期
Packaging Info: 77711GQ1: MA PDQ， MA 3L EAN 收缩膜+1张UPC 条码贴纸（覆盖原条码）+1张进口商贴纸（贴球底部）+
MA 5L 收藏指南， MA说明书
Remark:</t>
  </si>
  <si>
    <t>4500185103-20</t>
  </si>
  <si>
    <t>日期码格式：ZURU INC(BVI) 标准格式 日期：按实际生产日期
Packaging Info: 
77673TQ1：MA PDQ，1L 收缩膜+1张进口商贴纸（贴背面，不得遮挡日期码）
Remark:</t>
  </si>
  <si>
    <t>Kmart AU</t>
  </si>
  <si>
    <t>TBC</t>
  </si>
  <si>
    <t>PRODUCT REQUERIMENTS
Tracking Code:Date code format：ZURU Standard format                  Date：Manufactory Date
Packaging Info:77711GQ1-S002-INT: MA 3L包装（MA收缩膜和说明书） + 一张UPC条码贴+ 防盗贴纸（两款贴纸以及防盗贴纸位置图翻单PO#4500160026）+ 箱唛 + 外箱贴纸SSCC Label
Remark:1.请务必按时完货，验货。并且按期送货入货代指定仓库，如果晚了导致船期Delay将会有罚金产生或者客户要求空运，所产生的罚金和空运费由工厂承担。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</si>
  <si>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safety stock draft PO 77673TQ1</t>
  </si>
  <si>
    <t>4500191621-10</t>
  </si>
  <si>
    <t>01591515</t>
  </si>
  <si>
    <t>Customer</t>
  </si>
  <si>
    <t>Category Name /Buyer</t>
  </si>
  <si>
    <t>Season</t>
  </si>
  <si>
    <t>Factory</t>
  </si>
  <si>
    <t>Merchant.</t>
  </si>
  <si>
    <t>WM PO#</t>
  </si>
  <si>
    <t>PO Type</t>
  </si>
  <si>
    <t>SAP PI#</t>
  </si>
  <si>
    <t>Line</t>
  </si>
  <si>
    <t>CO PI#</t>
  </si>
  <si>
    <t>ZURU SAP PO#</t>
  </si>
  <si>
    <t>Spec#</t>
  </si>
  <si>
    <t>Vendor Stock Number</t>
  </si>
  <si>
    <t>Desc</t>
  </si>
  <si>
    <t>WM Item ID</t>
  </si>
  <si>
    <t>Quantity</t>
  </si>
  <si>
    <t>Case Pack</t>
  </si>
  <si>
    <t>Total Carton</t>
  </si>
  <si>
    <t>Loose  Carton</t>
  </si>
  <si>
    <t>Product Barcode</t>
  </si>
  <si>
    <t>Payment Term</t>
  </si>
  <si>
    <t>Destination</t>
  </si>
  <si>
    <t>DC#</t>
  </si>
  <si>
    <t>State</t>
  </si>
  <si>
    <t>CRD</t>
  </si>
  <si>
    <t>Inspection Date</t>
  </si>
  <si>
    <t>Wal-mart US D07</t>
  </si>
  <si>
    <t>Exploratory</t>
  </si>
  <si>
    <t>DG Hanson</t>
  </si>
  <si>
    <t>Lorraine</t>
  </si>
  <si>
    <t>40 REP</t>
  </si>
  <si>
    <t>71152-S002</t>
  </si>
  <si>
    <t>ROBO ALIVE RAPTOR</t>
  </si>
  <si>
    <t>193052079190   </t>
  </si>
  <si>
    <t>OA60DAYS</t>
  </si>
  <si>
    <t>ELWOOD</t>
  </si>
  <si>
    <t>IL</t>
  </si>
  <si>
    <t>71137SLB-S001</t>
  </si>
  <si>
    <t>ROBO ALIVE COBRA</t>
  </si>
  <si>
    <t>193052069641   </t>
  </si>
  <si>
    <t>HOUSTON</t>
  </si>
  <si>
    <t>TX</t>
  </si>
  <si>
    <t>MOBILE</t>
  </si>
  <si>
    <t>AL</t>
  </si>
  <si>
    <t>Plush</t>
  </si>
  <si>
    <t>Sandy</t>
  </si>
  <si>
    <t>15731SLB-S001-PKGC</t>
  </si>
  <si>
    <t>BUTT UGLY PETS 9INCH</t>
  </si>
  <si>
    <t>193052082985   </t>
  </si>
  <si>
    <t>EASTVALE</t>
  </si>
  <si>
    <t>CA</t>
  </si>
  <si>
    <t>SUFFOLK</t>
  </si>
  <si>
    <t>VA</t>
  </si>
  <si>
    <t>RIDGEVILLE SC</t>
  </si>
  <si>
    <t>SC</t>
  </si>
  <si>
    <t>STATESBORO</t>
  </si>
  <si>
    <t>GA</t>
  </si>
  <si>
    <t>15728SLB-S001-PKGC</t>
  </si>
  <si>
    <t>FART FACE 9INCH</t>
  </si>
  <si>
    <t>193052077455   </t>
  </si>
  <si>
    <t>15727SLB-S001-PKGC</t>
  </si>
  <si>
    <t>HAIRY FUGGS 9INCH</t>
  </si>
  <si>
    <t>193052077387   </t>
  </si>
  <si>
    <t>15704SLB-S001</t>
  </si>
  <si>
    <t>BABY FUGG S4 3.5INCH</t>
  </si>
  <si>
    <t>193052074850   </t>
  </si>
  <si>
    <t>Dot.com</t>
  </si>
  <si>
    <t>43 DOT COM</t>
  </si>
  <si>
    <t>15714M-S001</t>
  </si>
  <si>
    <t>15714M</t>
  </si>
  <si>
    <t>COD FATHER-MULTI</t>
  </si>
  <si>
    <t>193052074775   </t>
  </si>
  <si>
    <t>15714G-S001</t>
  </si>
  <si>
    <t>15714G</t>
  </si>
  <si>
    <t>SIRSPLODGEALOT-MULTI</t>
  </si>
  <si>
    <t>193052074720   </t>
  </si>
  <si>
    <t>15714A-S001</t>
  </si>
  <si>
    <t>15714A</t>
  </si>
  <si>
    <t>SKETCHYSQUIRREL-PINK</t>
  </si>
  <si>
    <t>193052074683   </t>
  </si>
  <si>
    <t>Unboxing</t>
  </si>
  <si>
    <t>Iris</t>
  </si>
  <si>
    <t>Fridge Playset</t>
  </si>
  <si>
    <t>193052079404   </t>
  </si>
  <si>
    <t>77685SLB-S001</t>
  </si>
  <si>
    <t>Dino Mix Match</t>
  </si>
  <si>
    <t>193052079053   </t>
  </si>
  <si>
    <t>Fill the Fridge S1</t>
  </si>
  <si>
    <t>193052080127   </t>
  </si>
  <si>
    <t>Victoria</t>
  </si>
  <si>
    <t>9296SLB-S001</t>
  </si>
  <si>
    <t>EGGZANIA MINI</t>
  </si>
  <si>
    <t>193052057129   </t>
  </si>
  <si>
    <t>9298SLB-S002</t>
  </si>
  <si>
    <t>PUPPYCORN SCENT</t>
  </si>
  <si>
    <t>193052057426   </t>
  </si>
  <si>
    <t>77555SLB-S002</t>
  </si>
  <si>
    <t>MINI BRANDS HOME</t>
  </si>
  <si>
    <t>193052064264   </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</si>
</sst>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yyyy/m/d;@"/>
    <numFmt numFmtId="178" formatCode="yyyy/m/d&quot;周&quot;aaa"/>
    <numFmt numFmtId="179" formatCode="0.0000_);[Red]\(0.0000\)"/>
    <numFmt numFmtId="180" formatCode="0_);[Red]\(0\)"/>
    <numFmt numFmtId="181" formatCode="0_ "/>
    <numFmt numFmtId="182" formatCode="m/d;@"/>
    <numFmt numFmtId="183" formatCode="0.00_);[Red]\(0.00\)"/>
    <numFmt numFmtId="184" formatCode="0.0000_ "/>
    <numFmt numFmtId="185" formatCode="0_ ;[Red]\-0\ "/>
    <numFmt numFmtId="186" formatCode="#,##0_);[Red]\(#,##0\)"/>
    <numFmt numFmtId="187" formatCode="#,##0_ "/>
    <numFmt numFmtId="188" formatCode="[$-409]d/mmm/yy;@"/>
    <numFmt numFmtId="189" formatCode="_-* #,##0_-;\-* #,##0_-;_-* &quot;-&quot;??_-;_-@_-"/>
    <numFmt numFmtId="190" formatCode="0.000%"/>
    <numFmt numFmtId="191" formatCode="_ * #,##0_ ;_ * \-#,##0_ ;_ * &quot;-&quot;??_ ;_ @_ "/>
    <numFmt numFmtId="192" formatCode="yyyy/mm/dd\ aaaa\ "/>
  </numFmts>
  <fonts count="172">
    <font>
      <sz val="11"/>
      <color theme="1"/>
      <name val="宋体"/>
      <charset val="134"/>
      <scheme val="minor"/>
    </font>
    <font>
      <b/>
      <sz val="10"/>
      <color rgb="FFFFFFFF"/>
      <name val="Calibri"/>
      <charset val="134"/>
    </font>
    <font>
      <sz val="10"/>
      <color rgb="FF000000"/>
      <name val="Calibri"/>
      <charset val="134"/>
    </font>
    <font>
      <sz val="10"/>
      <color rgb="FF9C0006"/>
      <name val="Calibri"/>
      <charset val="134"/>
    </font>
    <font>
      <sz val="10"/>
      <color rgb="FFFF0000"/>
      <name val="Calibri"/>
      <charset val="134"/>
    </font>
    <font>
      <sz val="10"/>
      <color rgb="FF000000"/>
      <name val="宋体"/>
      <charset val="134"/>
    </font>
    <font>
      <sz val="8"/>
      <color theme="1"/>
      <name val="宋体"/>
      <charset val="134"/>
      <scheme val="minor"/>
    </font>
    <font>
      <sz val="12"/>
      <color rgb="FFFF0000"/>
      <name val="宋体"/>
      <charset val="134"/>
      <scheme val="minor"/>
    </font>
    <font>
      <sz val="11"/>
      <color rgb="FFFF0000"/>
      <name val="宋体"/>
      <charset val="134"/>
      <scheme val="minor"/>
    </font>
    <font>
      <sz val="12"/>
      <color rgb="FFF7241F"/>
      <name val="宋体"/>
      <charset val="134"/>
      <scheme val="minor"/>
    </font>
    <font>
      <b/>
      <sz val="8"/>
      <name val="宋体"/>
      <charset val="134"/>
      <scheme val="minor"/>
    </font>
    <font>
      <sz val="11"/>
      <color rgb="FFFF0000"/>
      <name val="宋体"/>
      <charset val="134"/>
    </font>
    <font>
      <sz val="11"/>
      <color rgb="FFF7241F"/>
      <name val="宋体"/>
      <charset val="134"/>
    </font>
    <font>
      <sz val="11"/>
      <color rgb="FFF7241F"/>
      <name val="宋体"/>
      <charset val="134"/>
      <scheme val="minor"/>
    </font>
    <font>
      <b/>
      <sz val="8"/>
      <name val="等线"/>
      <charset val="134"/>
    </font>
    <font>
      <b/>
      <sz val="8"/>
      <color rgb="FF0000FF"/>
      <name val="宋体"/>
      <charset val="134"/>
      <scheme val="minor"/>
    </font>
    <font>
      <b/>
      <sz val="8"/>
      <color rgb="FF7030A0"/>
      <name val="宋体"/>
      <charset val="134"/>
      <scheme val="minor"/>
    </font>
    <font>
      <b/>
      <sz val="8"/>
      <color theme="1"/>
      <name val="宋体"/>
      <charset val="134"/>
      <scheme val="minor"/>
    </font>
    <font>
      <b/>
      <sz val="8"/>
      <color rgb="FFFF0000"/>
      <name val="宋体"/>
      <charset val="134"/>
      <scheme val="minor"/>
    </font>
    <font>
      <sz val="12"/>
      <name val="Tahoma"/>
      <charset val="0"/>
    </font>
    <font>
      <sz val="11"/>
      <color theme="1"/>
      <name val="Tahoma"/>
      <charset val="134"/>
    </font>
    <font>
      <b/>
      <sz val="12"/>
      <name val="Tahoma"/>
      <charset val="0"/>
    </font>
    <font>
      <sz val="12"/>
      <name val="宋体"/>
      <charset val="0"/>
    </font>
    <font>
      <b/>
      <u/>
      <sz val="18"/>
      <name val="Tahoma"/>
      <charset val="0"/>
    </font>
    <font>
      <sz val="10"/>
      <name val="Times New Roman"/>
      <charset val="0"/>
    </font>
    <font>
      <sz val="11"/>
      <name val="宋体"/>
      <charset val="0"/>
    </font>
    <font>
      <sz val="12"/>
      <color theme="1"/>
      <name val="Tahoma"/>
      <charset val="134"/>
    </font>
    <font>
      <sz val="12"/>
      <color theme="1"/>
      <name val="宋体"/>
      <charset val="134"/>
    </font>
    <font>
      <sz val="11"/>
      <name val="Times New Roman"/>
      <charset val="0"/>
    </font>
    <font>
      <b/>
      <sz val="12"/>
      <color theme="0"/>
      <name val="Tahoma"/>
      <charset val="134"/>
    </font>
    <font>
      <sz val="12"/>
      <color theme="0"/>
      <name val="Tahoma"/>
      <charset val="134"/>
    </font>
    <font>
      <b/>
      <sz val="10"/>
      <color theme="1"/>
      <name val="Tahoma"/>
      <charset val="134"/>
    </font>
    <font>
      <sz val="10"/>
      <name val="Tahoma"/>
      <charset val="0"/>
    </font>
    <font>
      <b/>
      <sz val="12"/>
      <color rgb="FF0000CC"/>
      <name val="Tahoma"/>
      <charset val="134"/>
    </font>
    <font>
      <b/>
      <sz val="12"/>
      <color indexed="9"/>
      <name val="Tahoma"/>
      <charset val="0"/>
    </font>
    <font>
      <sz val="14"/>
      <color theme="1"/>
      <name val="宋体"/>
      <charset val="134"/>
      <scheme val="minor"/>
    </font>
    <font>
      <b/>
      <sz val="12"/>
      <name val="宋体"/>
      <charset val="0"/>
    </font>
    <font>
      <sz val="12"/>
      <name val="Tahoma"/>
      <charset val="134"/>
    </font>
    <font>
      <b/>
      <sz val="12"/>
      <name val="宋体"/>
      <charset val="134"/>
    </font>
    <font>
      <sz val="11"/>
      <color rgb="FF0070C0"/>
      <name val="Tahoma"/>
      <charset val="134"/>
    </font>
    <font>
      <sz val="12"/>
      <color theme="0" tint="-0.499984740745262"/>
      <name val="Times New Roman"/>
      <charset val="134"/>
    </font>
    <font>
      <b/>
      <sz val="12"/>
      <name val="Times New Roman"/>
      <charset val="134"/>
    </font>
    <font>
      <b/>
      <sz val="12"/>
      <color theme="8" tint="0.4"/>
      <name val="宋体"/>
      <charset val="134"/>
    </font>
    <font>
      <b/>
      <sz val="12"/>
      <color theme="0"/>
      <name val="宋体"/>
      <charset val="134"/>
    </font>
    <font>
      <b/>
      <sz val="12"/>
      <color theme="8" tint="0.4"/>
      <name val="Tahoma"/>
      <charset val="134"/>
    </font>
    <font>
      <b/>
      <sz val="12"/>
      <color rgb="FFFFFF00"/>
      <name val="Times New Roman"/>
      <charset val="134"/>
    </font>
    <font>
      <b/>
      <sz val="12"/>
      <color rgb="FFFFFF00"/>
      <name val="宋体"/>
      <charset val="134"/>
    </font>
    <font>
      <b/>
      <sz val="11"/>
      <color theme="1"/>
      <name val="宋体"/>
      <charset val="134"/>
    </font>
    <font>
      <b/>
      <sz val="11"/>
      <color theme="1"/>
      <name val="Tahoma"/>
      <charset val="134"/>
    </font>
    <font>
      <sz val="11"/>
      <name val="Tahoma"/>
      <charset val="0"/>
    </font>
    <font>
      <u/>
      <sz val="12"/>
      <name val="Tahoma"/>
      <charset val="0"/>
    </font>
    <font>
      <b/>
      <sz val="20"/>
      <color theme="1"/>
      <name val="宋体"/>
      <charset val="134"/>
      <scheme val="minor"/>
    </font>
    <font>
      <sz val="9"/>
      <name val="宋体"/>
      <charset val="134"/>
      <scheme val="minor"/>
    </font>
    <font>
      <b/>
      <sz val="9"/>
      <color theme="1"/>
      <name val="宋体"/>
      <charset val="134"/>
      <scheme val="minor"/>
    </font>
    <font>
      <b/>
      <sz val="9"/>
      <color rgb="FFFF0000"/>
      <name val="宋体"/>
      <charset val="134"/>
      <scheme val="minor"/>
    </font>
    <font>
      <b/>
      <sz val="9"/>
      <color rgb="FF00B0F0"/>
      <name val="宋体"/>
      <charset val="134"/>
      <scheme val="minor"/>
    </font>
    <font>
      <sz val="9"/>
      <color theme="1"/>
      <name val="宋体"/>
      <charset val="134"/>
      <scheme val="minor"/>
    </font>
    <font>
      <b/>
      <sz val="9"/>
      <name val="宋体"/>
      <charset val="134"/>
      <scheme val="minor"/>
    </font>
    <font>
      <b/>
      <sz val="9"/>
      <color theme="8"/>
      <name val="宋体"/>
      <charset val="134"/>
      <scheme val="minor"/>
    </font>
    <font>
      <b/>
      <sz val="9"/>
      <color rgb="FF000000"/>
      <name val="宋体"/>
      <charset val="134"/>
      <scheme val="minor"/>
    </font>
    <font>
      <sz val="9"/>
      <name val="仿宋"/>
      <charset val="134"/>
    </font>
    <font>
      <sz val="9"/>
      <color theme="1"/>
      <name val="仿宋"/>
      <charset val="134"/>
    </font>
    <font>
      <b/>
      <sz val="11"/>
      <color theme="1"/>
      <name val="宋体"/>
      <charset val="134"/>
      <scheme val="minor"/>
    </font>
    <font>
      <sz val="12"/>
      <color rgb="FF0000FF"/>
      <name val="宋体"/>
      <charset val="134"/>
      <scheme val="minor"/>
    </font>
    <font>
      <sz val="11"/>
      <color rgb="FF0000FF"/>
      <name val="宋体"/>
      <charset val="134"/>
      <scheme val="minor"/>
    </font>
    <font>
      <sz val="12"/>
      <color rgb="FF010CDD"/>
      <name val="宋体"/>
      <charset val="134"/>
      <scheme val="minor"/>
    </font>
    <font>
      <sz val="12"/>
      <color rgb="FF3E2CEA"/>
      <name val="宋体"/>
      <charset val="134"/>
      <scheme val="minor"/>
    </font>
    <font>
      <sz val="11"/>
      <color rgb="FF010CDD"/>
      <name val="宋体"/>
      <charset val="134"/>
      <scheme val="minor"/>
    </font>
    <font>
      <sz val="12"/>
      <name val="宋体"/>
      <charset val="134"/>
      <scheme val="minor"/>
    </font>
    <font>
      <sz val="11"/>
      <name val="宋体"/>
      <charset val="134"/>
      <scheme val="minor"/>
    </font>
    <font>
      <sz val="11"/>
      <color rgb="FF7030A0"/>
      <name val="宋体"/>
      <charset val="134"/>
      <scheme val="minor"/>
    </font>
    <font>
      <b/>
      <sz val="11"/>
      <color rgb="FF2727F0"/>
      <name val="宋体"/>
      <charset val="134"/>
      <scheme val="minor"/>
    </font>
    <font>
      <b/>
      <sz val="10"/>
      <name val="宋体"/>
      <charset val="134"/>
      <scheme val="minor"/>
    </font>
    <font>
      <sz val="11"/>
      <color rgb="FF0000FF"/>
      <name val="宋体"/>
      <charset val="134"/>
    </font>
    <font>
      <b/>
      <sz val="10"/>
      <color theme="1"/>
      <name val="宋体"/>
      <charset val="134"/>
      <scheme val="minor"/>
    </font>
    <font>
      <b/>
      <sz val="10"/>
      <name val="等线"/>
      <charset val="134"/>
    </font>
    <font>
      <sz val="10"/>
      <color rgb="FF0000FF"/>
      <name val="等线"/>
      <charset val="134"/>
    </font>
    <font>
      <sz val="12"/>
      <color theme="9" tint="-0.5"/>
      <name val="宋体"/>
      <charset val="134"/>
      <scheme val="minor"/>
    </font>
    <font>
      <b/>
      <sz val="10"/>
      <color rgb="FF0000FF"/>
      <name val="宋体"/>
      <charset val="134"/>
      <scheme val="minor"/>
    </font>
    <font>
      <b/>
      <sz val="10"/>
      <color rgb="FF7030A0"/>
      <name val="宋体"/>
      <charset val="134"/>
      <scheme val="minor"/>
    </font>
    <font>
      <sz val="10"/>
      <color rgb="FF0000FF"/>
      <name val="宋体"/>
      <charset val="134"/>
      <scheme val="minor"/>
    </font>
    <font>
      <b/>
      <sz val="10"/>
      <color rgb="FF2727F0"/>
      <name val="宋体"/>
      <charset val="134"/>
      <scheme val="minor"/>
    </font>
    <font>
      <b/>
      <sz val="10"/>
      <color theme="9" tint="-0.25"/>
      <name val="宋体"/>
      <charset val="134"/>
      <scheme val="minor"/>
    </font>
    <font>
      <b/>
      <sz val="11"/>
      <color rgb="FF0000FF"/>
      <name val="宋体"/>
      <charset val="134"/>
      <scheme val="minor"/>
    </font>
    <font>
      <b/>
      <sz val="10"/>
      <color rgb="FFFF0000"/>
      <name val="宋体"/>
      <charset val="134"/>
      <scheme val="minor"/>
    </font>
    <font>
      <b/>
      <sz val="10"/>
      <color rgb="FF00B0F0"/>
      <name val="宋体"/>
      <charset val="134"/>
      <scheme val="minor"/>
    </font>
    <font>
      <b/>
      <sz val="10"/>
      <color theme="8"/>
      <name val="宋体"/>
      <charset val="134"/>
      <scheme val="minor"/>
    </font>
    <font>
      <sz val="10"/>
      <name val="宋体"/>
      <charset val="134"/>
      <scheme val="minor"/>
    </font>
    <font>
      <sz val="10"/>
      <color rgb="FFFF0000"/>
      <name val="宋体"/>
      <charset val="134"/>
      <scheme val="minor"/>
    </font>
    <font>
      <b/>
      <sz val="10"/>
      <color rgb="FF000000"/>
      <name val="宋体"/>
      <charset val="134"/>
      <scheme val="minor"/>
    </font>
    <font>
      <sz val="11"/>
      <color rgb="FF2727F0"/>
      <name val="宋体"/>
      <charset val="134"/>
      <scheme val="minor"/>
    </font>
    <font>
      <sz val="10"/>
      <color rgb="FF0000FF"/>
      <name val="宋体"/>
      <charset val="134"/>
    </font>
    <font>
      <sz val="12"/>
      <color rgb="FF2727F0"/>
      <name val="Arial"/>
      <charset val="0"/>
    </font>
    <font>
      <sz val="11"/>
      <color rgb="FF2727F0"/>
      <name val="Arial"/>
      <charset val="0"/>
    </font>
    <font>
      <sz val="11"/>
      <color rgb="FF010CDD"/>
      <name val="宋体"/>
      <charset val="134"/>
    </font>
    <font>
      <sz val="11"/>
      <color rgb="FF3E2CEA"/>
      <name val="宋体"/>
      <charset val="134"/>
      <scheme val="minor"/>
    </font>
    <font>
      <sz val="11"/>
      <color rgb="FF3E2CEA"/>
      <name val="宋体"/>
      <charset val="134"/>
    </font>
    <font>
      <sz val="10.5"/>
      <color rgb="FF3E2CEA"/>
      <name val="等线"/>
      <charset val="134"/>
    </font>
    <font>
      <sz val="9"/>
      <color rgb="FF3E2CEA"/>
      <name val="宋体"/>
      <charset val="134"/>
      <scheme val="minor"/>
    </font>
    <font>
      <sz val="12"/>
      <color rgb="FF000000"/>
      <name val="宋体"/>
      <charset val="134"/>
      <scheme val="minor"/>
    </font>
    <font>
      <sz val="14"/>
      <color rgb="FF0000FF"/>
      <name val="宋体"/>
      <charset val="134"/>
    </font>
    <font>
      <sz val="10"/>
      <color rgb="FF010CDD"/>
      <name val="Arial"/>
      <charset val="0"/>
    </font>
    <font>
      <sz val="11"/>
      <color rgb="FF010CDD"/>
      <name val="Arial"/>
      <charset val="0"/>
    </font>
    <font>
      <sz val="11"/>
      <name val="宋体"/>
      <charset val="134"/>
    </font>
    <font>
      <sz val="12"/>
      <color theme="1"/>
      <name val="宋体"/>
      <charset val="134"/>
      <scheme val="minor"/>
    </font>
    <font>
      <sz val="11"/>
      <color theme="1"/>
      <name val="宋体"/>
      <charset val="134"/>
    </font>
    <font>
      <sz val="12"/>
      <name val="宋体"/>
      <charset val="0"/>
      <scheme val="minor"/>
    </font>
    <font>
      <sz val="12"/>
      <name val="等线"/>
      <charset val="134"/>
    </font>
    <font>
      <sz val="11"/>
      <color rgb="FF000000"/>
      <name val="宋体"/>
      <charset val="134"/>
    </font>
    <font>
      <sz val="11"/>
      <color rgb="FF000000"/>
      <name val="宋体"/>
      <charset val="134"/>
      <scheme val="minor"/>
    </font>
    <font>
      <sz val="10"/>
      <color theme="1"/>
      <name val="宋体"/>
      <charset val="134"/>
      <scheme val="minor"/>
    </font>
    <font>
      <b/>
      <sz val="11"/>
      <name val="宋体"/>
      <charset val="134"/>
      <scheme val="minor"/>
    </font>
    <font>
      <sz val="10"/>
      <color rgb="FF2727F0"/>
      <name val="宋体"/>
      <charset val="134"/>
      <scheme val="minor"/>
    </font>
    <font>
      <sz val="12"/>
      <color rgb="FF3E2CEA"/>
      <name val="宋体"/>
      <charset val="134"/>
    </font>
    <font>
      <sz val="12"/>
      <color rgb="FF010CDD"/>
      <name val="宋体"/>
      <charset val="134"/>
    </font>
    <font>
      <sz val="10"/>
      <color rgb="FF1C05ED"/>
      <name val="宋体"/>
      <charset val="134"/>
    </font>
    <font>
      <sz val="11"/>
      <color rgb="FF0F49C1"/>
      <name val="Arial"/>
      <charset val="0"/>
    </font>
    <font>
      <sz val="11"/>
      <color rgb="FF010CDD"/>
      <name val="等线"/>
      <charset val="134"/>
    </font>
    <font>
      <sz val="10"/>
      <color rgb="FF010CDD"/>
      <name val="等线"/>
      <charset val="134"/>
    </font>
    <font>
      <sz val="9"/>
      <color rgb="FF010CDD"/>
      <name val="Tahoma"/>
      <charset val="134"/>
    </font>
    <font>
      <sz val="9"/>
      <name val="Tahoma"/>
      <charset val="134"/>
    </font>
    <font>
      <sz val="12"/>
      <color rgb="FF2727F0"/>
      <name val="宋体"/>
      <charset val="134"/>
      <scheme val="minor"/>
    </font>
    <font>
      <sz val="12"/>
      <color rgb="FF7030A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0"/>
    </font>
    <font>
      <sz val="12"/>
      <name val="宋体"/>
      <charset val="134"/>
    </font>
    <font>
      <sz val="12"/>
      <name val="新細明體"/>
      <charset val="136"/>
    </font>
    <font>
      <sz val="10"/>
      <name val="Arial"/>
      <charset val="0"/>
    </font>
    <font>
      <sz val="10"/>
      <name val="Arial"/>
      <charset val="134"/>
    </font>
    <font>
      <sz val="12"/>
      <name val="Calibri"/>
      <charset val="134"/>
    </font>
    <font>
      <sz val="10"/>
      <name val="宋体"/>
      <charset val="0"/>
    </font>
    <font>
      <b/>
      <sz val="12"/>
      <color indexed="12"/>
      <name val="宋体"/>
      <charset val="134"/>
    </font>
    <font>
      <b/>
      <sz val="12"/>
      <color indexed="12"/>
      <name val="Tahoma"/>
      <charset val="0"/>
    </font>
    <font>
      <b/>
      <sz val="12"/>
      <color indexed="10"/>
      <name val="宋体"/>
      <charset val="134"/>
    </font>
    <font>
      <b/>
      <sz val="12"/>
      <color indexed="10"/>
      <name val="Tahoma"/>
      <charset val="0"/>
    </font>
    <font>
      <b/>
      <sz val="12"/>
      <color rgb="FF000000"/>
      <name val="宋体"/>
      <charset val="134"/>
      <scheme val="minor"/>
    </font>
    <font>
      <sz val="10"/>
      <name val="宋体"/>
      <charset val="134"/>
    </font>
    <font>
      <sz val="9"/>
      <color theme="1"/>
      <name val="Tahoma"/>
      <charset val="134"/>
    </font>
    <font>
      <sz val="9"/>
      <color theme="1"/>
      <name val="宋体"/>
      <charset val="134"/>
    </font>
    <font>
      <sz val="9"/>
      <color rgb="FF3E2CEA"/>
      <name val="宋体"/>
      <charset val="134"/>
    </font>
    <font>
      <sz val="12"/>
      <color indexed="8"/>
      <name val="宋体"/>
      <charset val="134"/>
    </font>
    <font>
      <sz val="12"/>
      <color rgb="FF000000"/>
      <name val="宋体"/>
      <charset val="134"/>
    </font>
    <font>
      <sz val="9"/>
      <color rgb="FF010CDD"/>
      <name val="宋体"/>
      <charset val="134"/>
    </font>
    <font>
      <sz val="9"/>
      <color rgb="FF000000"/>
      <name val="宋体"/>
      <charset val="134"/>
    </font>
    <font>
      <sz val="9"/>
      <color rgb="FF000000"/>
      <name val="STSong-Light-Identity-H"/>
      <charset val="134"/>
    </font>
    <font>
      <sz val="11"/>
      <name val="宋体"/>
      <charset val="134"/>
    </font>
    <font>
      <b/>
      <sz val="9"/>
      <name val="宋体"/>
      <charset val="134"/>
    </font>
    <font>
      <sz val="16"/>
      <name val="宋体"/>
      <charset val="134"/>
    </font>
    <font>
      <sz val="12"/>
      <name val="宋体"/>
      <charset val="134"/>
    </font>
    <font>
      <sz val="9"/>
      <name val="宋体"/>
      <charset val="134"/>
    </font>
    <font>
      <sz val="14"/>
      <name val="宋体"/>
      <charset val="134"/>
    </font>
    <font>
      <b/>
      <sz val="12"/>
      <name val="宋体"/>
      <charset val="134"/>
    </font>
    <font>
      <b/>
      <sz val="11"/>
      <name val="宋体"/>
      <charset val="134"/>
    </font>
    <font>
      <sz val="10"/>
      <name val="宋体"/>
      <charset val="134"/>
    </font>
  </fonts>
  <fills count="50">
    <fill>
      <patternFill patternType="none"/>
    </fill>
    <fill>
      <patternFill patternType="gray125"/>
    </fill>
    <fill>
      <patternFill patternType="solid">
        <fgColor rgb="FF000000"/>
        <bgColor indexed="64"/>
      </patternFill>
    </fill>
    <fill>
      <patternFill patternType="solid">
        <fgColor rgb="FFFFFFFF"/>
        <bgColor indexed="64"/>
      </patternFill>
    </fill>
    <fill>
      <patternFill patternType="solid">
        <fgColor rgb="FFFFC7CE"/>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5FF1BE"/>
        <bgColor indexed="64"/>
      </patternFill>
    </fill>
    <fill>
      <patternFill patternType="solid">
        <fgColor indexed="9"/>
        <bgColor indexed="64"/>
      </patternFill>
    </fill>
    <fill>
      <patternFill patternType="solid">
        <fgColor rgb="FF99FF99"/>
        <bgColor indexed="64"/>
      </patternFill>
    </fill>
    <fill>
      <patternFill patternType="solid">
        <fgColor theme="8" tint="0.799981688894314"/>
        <bgColor indexed="64"/>
      </patternFill>
    </fill>
    <fill>
      <patternFill patternType="solid">
        <fgColor theme="1" tint="0.349986266670736"/>
        <bgColor indexed="64"/>
      </patternFill>
    </fill>
    <fill>
      <patternFill patternType="solid">
        <fgColor theme="6" tint="0.799981688894314"/>
        <bgColor indexed="64"/>
      </patternFill>
    </fill>
    <fill>
      <patternFill patternType="solid">
        <fgColor rgb="FFFFFF99"/>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3" tint="0.8"/>
        <bgColor indexed="64"/>
      </patternFill>
    </fill>
    <fill>
      <patternFill patternType="solid">
        <fgColor theme="1" tint="0.499984740745262"/>
        <bgColor indexed="64"/>
      </patternFill>
    </fill>
    <fill>
      <patternFill patternType="solid">
        <fgColor theme="4" tint="0.6"/>
        <bgColor indexed="64"/>
      </patternFill>
    </fill>
    <fill>
      <patternFill patternType="solid">
        <fgColor theme="0"/>
        <bgColor indexed="64"/>
      </patternFill>
    </fill>
    <fill>
      <patternFill patternType="solid">
        <fgColor theme="9" tint="0.6"/>
        <bgColor indexed="64"/>
      </patternFill>
    </fill>
    <fill>
      <patternFill patternType="solid">
        <fgColor rgb="FF92D050"/>
        <bgColor indexed="64"/>
      </patternFill>
    </fill>
    <fill>
      <patternFill patternType="solid">
        <fgColor theme="6"/>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6">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top/>
      <bottom style="medium">
        <color auto="1"/>
      </bottom>
      <diagonal/>
    </border>
    <border>
      <left/>
      <right style="medium">
        <color auto="1"/>
      </right>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top style="medium">
        <color auto="1"/>
      </top>
      <bottom style="medium">
        <color auto="1"/>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right style="thin">
        <color auto="1"/>
      </right>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3"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0" fillId="25" borderId="38" applyNumberFormat="0" applyFont="0" applyAlignment="0" applyProtection="0">
      <alignment vertical="center"/>
    </xf>
    <xf numFmtId="0" fontId="125"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8" fillId="0" borderId="39" applyNumberFormat="0" applyFill="0" applyAlignment="0" applyProtection="0">
      <alignment vertical="center"/>
    </xf>
    <xf numFmtId="0" fontId="129" fillId="0" borderId="39" applyNumberFormat="0" applyFill="0" applyAlignment="0" applyProtection="0">
      <alignment vertical="center"/>
    </xf>
    <xf numFmtId="0" fontId="130" fillId="0" borderId="40" applyNumberFormat="0" applyFill="0" applyAlignment="0" applyProtection="0">
      <alignment vertical="center"/>
    </xf>
    <xf numFmtId="0" fontId="130" fillId="0" borderId="0" applyNumberFormat="0" applyFill="0" applyBorder="0" applyAlignment="0" applyProtection="0">
      <alignment vertical="center"/>
    </xf>
    <xf numFmtId="0" fontId="131" fillId="26" borderId="41" applyNumberFormat="0" applyAlignment="0" applyProtection="0">
      <alignment vertical="center"/>
    </xf>
    <xf numFmtId="0" fontId="132" fillId="27" borderId="42" applyNumberFormat="0" applyAlignment="0" applyProtection="0">
      <alignment vertical="center"/>
    </xf>
    <xf numFmtId="0" fontId="133" fillId="27" borderId="41" applyNumberFormat="0" applyAlignment="0" applyProtection="0">
      <alignment vertical="center"/>
    </xf>
    <xf numFmtId="0" fontId="134" fillId="28" borderId="43" applyNumberFormat="0" applyAlignment="0" applyProtection="0">
      <alignment vertical="center"/>
    </xf>
    <xf numFmtId="0" fontId="135" fillId="0" borderId="44" applyNumberFormat="0" applyFill="0" applyAlignment="0" applyProtection="0">
      <alignment vertical="center"/>
    </xf>
    <xf numFmtId="0" fontId="136" fillId="0" borderId="45" applyNumberFormat="0" applyFill="0" applyAlignment="0" applyProtection="0">
      <alignment vertical="center"/>
    </xf>
    <xf numFmtId="0" fontId="137" fillId="29" borderId="0" applyNumberFormat="0" applyBorder="0" applyAlignment="0" applyProtection="0">
      <alignment vertical="center"/>
    </xf>
    <xf numFmtId="0" fontId="138" fillId="4" borderId="0" applyNumberFormat="0" applyBorder="0" applyAlignment="0" applyProtection="0">
      <alignment vertical="center"/>
    </xf>
    <xf numFmtId="0" fontId="139" fillId="30" borderId="0" applyNumberFormat="0" applyBorder="0" applyAlignment="0" applyProtection="0">
      <alignment vertical="center"/>
    </xf>
    <xf numFmtId="0" fontId="140" fillId="31" borderId="0" applyNumberFormat="0" applyBorder="0" applyAlignment="0" applyProtection="0">
      <alignment vertical="center"/>
    </xf>
    <xf numFmtId="0" fontId="141" fillId="32" borderId="0" applyNumberFormat="0" applyBorder="0" applyAlignment="0" applyProtection="0">
      <alignment vertical="center"/>
    </xf>
    <xf numFmtId="0" fontId="141" fillId="33" borderId="0" applyNumberFormat="0" applyBorder="0" applyAlignment="0" applyProtection="0">
      <alignment vertical="center"/>
    </xf>
    <xf numFmtId="0" fontId="140" fillId="34" borderId="0" applyNumberFormat="0" applyBorder="0" applyAlignment="0" applyProtection="0">
      <alignment vertical="center"/>
    </xf>
    <xf numFmtId="0" fontId="140" fillId="35" borderId="0" applyNumberFormat="0" applyBorder="0" applyAlignment="0" applyProtection="0">
      <alignment vertical="center"/>
    </xf>
    <xf numFmtId="0" fontId="141" fillId="36" borderId="0" applyNumberFormat="0" applyBorder="0" applyAlignment="0" applyProtection="0">
      <alignment vertical="center"/>
    </xf>
    <xf numFmtId="0" fontId="141" fillId="37" borderId="0" applyNumberFormat="0" applyBorder="0" applyAlignment="0" applyProtection="0">
      <alignment vertical="center"/>
    </xf>
    <xf numFmtId="0" fontId="140" fillId="38" borderId="0" applyNumberFormat="0" applyBorder="0" applyAlignment="0" applyProtection="0">
      <alignment vertical="center"/>
    </xf>
    <xf numFmtId="0" fontId="140" fillId="23" borderId="0" applyNumberFormat="0" applyBorder="0" applyAlignment="0" applyProtection="0">
      <alignment vertical="center"/>
    </xf>
    <xf numFmtId="0" fontId="141" fillId="13" borderId="0" applyNumberFormat="0" applyBorder="0" applyAlignment="0" applyProtection="0">
      <alignment vertical="center"/>
    </xf>
    <xf numFmtId="0" fontId="141" fillId="16" borderId="0" applyNumberFormat="0" applyBorder="0" applyAlignment="0" applyProtection="0">
      <alignment vertical="center"/>
    </xf>
    <xf numFmtId="0" fontId="140" fillId="39" borderId="0" applyNumberFormat="0" applyBorder="0" applyAlignment="0" applyProtection="0">
      <alignment vertical="center"/>
    </xf>
    <xf numFmtId="0" fontId="140" fillId="40" borderId="0" applyNumberFormat="0" applyBorder="0" applyAlignment="0" applyProtection="0">
      <alignment vertical="center"/>
    </xf>
    <xf numFmtId="0" fontId="141" fillId="41" borderId="0" applyNumberFormat="0" applyBorder="0" applyAlignment="0" applyProtection="0">
      <alignment vertical="center"/>
    </xf>
    <xf numFmtId="0" fontId="141" fillId="42" borderId="0" applyNumberFormat="0" applyBorder="0" applyAlignment="0" applyProtection="0">
      <alignment vertical="center"/>
    </xf>
    <xf numFmtId="0" fontId="140" fillId="43" borderId="0" applyNumberFormat="0" applyBorder="0" applyAlignment="0" applyProtection="0">
      <alignment vertical="center"/>
    </xf>
    <xf numFmtId="0" fontId="140" fillId="44" borderId="0" applyNumberFormat="0" applyBorder="0" applyAlignment="0" applyProtection="0">
      <alignment vertical="center"/>
    </xf>
    <xf numFmtId="0" fontId="141" fillId="11" borderId="0" applyNumberFormat="0" applyBorder="0" applyAlignment="0" applyProtection="0">
      <alignment vertical="center"/>
    </xf>
    <xf numFmtId="0" fontId="141" fillId="45" borderId="0" applyNumberFormat="0" applyBorder="0" applyAlignment="0" applyProtection="0">
      <alignment vertical="center"/>
    </xf>
    <xf numFmtId="0" fontId="140" fillId="46" borderId="0" applyNumberFormat="0" applyBorder="0" applyAlignment="0" applyProtection="0">
      <alignment vertical="center"/>
    </xf>
    <xf numFmtId="0" fontId="140" fillId="47" borderId="0" applyNumberFormat="0" applyBorder="0" applyAlignment="0" applyProtection="0">
      <alignment vertical="center"/>
    </xf>
    <xf numFmtId="0" fontId="141" fillId="15" borderId="0" applyNumberFormat="0" applyBorder="0" applyAlignment="0" applyProtection="0">
      <alignment vertical="center"/>
    </xf>
    <xf numFmtId="0" fontId="141" fillId="48" borderId="0" applyNumberFormat="0" applyBorder="0" applyAlignment="0" applyProtection="0">
      <alignment vertical="center"/>
    </xf>
    <xf numFmtId="0" fontId="140" fillId="49" borderId="0" applyNumberFormat="0" applyBorder="0" applyAlignment="0" applyProtection="0">
      <alignment vertical="center"/>
    </xf>
    <xf numFmtId="0" fontId="142" fillId="0" borderId="0"/>
    <xf numFmtId="0" fontId="143" fillId="0" borderId="0">
      <alignment vertical="center"/>
    </xf>
    <xf numFmtId="0" fontId="144" fillId="0" borderId="0">
      <alignment vertical="center"/>
    </xf>
    <xf numFmtId="0" fontId="0" fillId="0" borderId="0"/>
    <xf numFmtId="0" fontId="143" fillId="0" borderId="0"/>
    <xf numFmtId="176" fontId="145" fillId="0" borderId="0" applyFont="0" applyFill="0" applyBorder="0" applyAlignment="0" applyProtection="0">
      <alignment vertical="center"/>
    </xf>
    <xf numFmtId="0" fontId="146" fillId="0" borderId="0"/>
  </cellStyleXfs>
  <cellXfs count="886">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5" fillId="3" borderId="5" xfId="0" applyFont="1" applyFill="1" applyBorder="1" applyAlignment="1">
      <alignment horizontal="center" vertical="center" wrapText="1"/>
    </xf>
    <xf numFmtId="14" fontId="2" fillId="3" borderId="4" xfId="0" applyNumberFormat="1" applyFont="1" applyFill="1" applyBorder="1" applyAlignment="1">
      <alignment horizontal="center" vertical="center" wrapText="1"/>
    </xf>
    <xf numFmtId="14" fontId="2" fillId="3" borderId="5" xfId="0" applyNumberFormat="1" applyFont="1" applyFill="1" applyBorder="1" applyAlignment="1">
      <alignment horizontal="center" vertical="center" wrapText="1"/>
    </xf>
    <xf numFmtId="14" fontId="4" fillId="3" borderId="5" xfId="0" applyNumberFormat="1" applyFont="1" applyFill="1" applyBorder="1" applyAlignment="1">
      <alignment horizontal="center" vertical="center" wrapText="1"/>
    </xf>
    <xf numFmtId="0" fontId="6" fillId="0" borderId="0" xfId="0" applyFont="1">
      <alignment vertical="center"/>
    </xf>
    <xf numFmtId="0" fontId="7" fillId="0" borderId="9" xfId="0" applyFont="1" applyFill="1" applyBorder="1" applyAlignment="1">
      <alignment horizontal="center" vertical="center"/>
    </xf>
    <xf numFmtId="0" fontId="8" fillId="0" borderId="9" xfId="0" applyFont="1" applyFill="1" applyBorder="1" applyAlignment="1">
      <alignment horizontal="center" vertical="center"/>
    </xf>
    <xf numFmtId="0" fontId="7" fillId="5" borderId="9" xfId="0" applyFont="1" applyFill="1" applyBorder="1" applyAlignment="1">
      <alignment horizontal="center" vertical="center"/>
    </xf>
    <xf numFmtId="0" fontId="9" fillId="0" borderId="9" xfId="0" applyFont="1" applyFill="1" applyBorder="1" applyAlignment="1">
      <alignment horizontal="center" vertical="center"/>
    </xf>
    <xf numFmtId="0" fontId="8" fillId="0" borderId="0" xfId="0" applyFont="1" applyFill="1" applyAlignment="1">
      <alignment horizontal="center" vertical="center"/>
    </xf>
    <xf numFmtId="0" fontId="7" fillId="0" borderId="9" xfId="0" applyFont="1" applyFill="1" applyBorder="1" applyAlignment="1" applyProtection="1">
      <alignment horizontal="center" vertical="center"/>
      <protection locked="0"/>
    </xf>
    <xf numFmtId="0" fontId="8" fillId="0" borderId="9" xfId="0" applyFont="1" applyFill="1" applyBorder="1" applyAlignment="1" applyProtection="1">
      <alignment horizontal="center" vertical="center"/>
      <protection locked="0"/>
    </xf>
    <xf numFmtId="0" fontId="7" fillId="5" borderId="9" xfId="0" applyFont="1" applyFill="1" applyBorder="1" applyAlignment="1" applyProtection="1">
      <alignment horizontal="center" vertical="center"/>
      <protection locked="0"/>
    </xf>
    <xf numFmtId="0" fontId="8" fillId="0" borderId="0" xfId="0" applyFont="1" applyFill="1" applyProtection="1">
      <alignment vertical="center"/>
      <protection locked="0"/>
    </xf>
    <xf numFmtId="177" fontId="10" fillId="0" borderId="9" xfId="0" applyNumberFormat="1" applyFont="1" applyFill="1" applyBorder="1" applyAlignment="1">
      <alignment horizontal="center" vertical="center" wrapText="1" shrinkToFit="1"/>
    </xf>
    <xf numFmtId="0" fontId="10" fillId="0" borderId="9" xfId="0" applyFont="1" applyFill="1" applyBorder="1" applyAlignment="1">
      <alignment horizontal="center" vertical="center" wrapText="1" shrinkToFit="1"/>
    </xf>
    <xf numFmtId="49" fontId="10" fillId="0" borderId="9" xfId="0" applyNumberFormat="1" applyFont="1" applyFill="1" applyBorder="1" applyAlignment="1">
      <alignment horizontal="center" vertical="center" wrapText="1" shrinkToFit="1"/>
    </xf>
    <xf numFmtId="178" fontId="11" fillId="0" borderId="10" xfId="0" applyNumberFormat="1" applyFont="1" applyFill="1" applyBorder="1" applyAlignment="1">
      <alignment horizontal="center" vertical="center" wrapText="1" shrinkToFit="1"/>
    </xf>
    <xf numFmtId="0" fontId="8" fillId="0" borderId="9" xfId="0" applyFont="1" applyFill="1" applyBorder="1" applyAlignment="1">
      <alignment horizontal="center" vertical="center" wrapText="1"/>
    </xf>
    <xf numFmtId="0" fontId="8" fillId="0" borderId="9" xfId="0" applyFont="1" applyFill="1" applyBorder="1" applyAlignment="1">
      <alignment horizontal="center" vertical="center" wrapText="1" shrinkToFit="1"/>
    </xf>
    <xf numFmtId="0" fontId="7" fillId="0" borderId="9" xfId="0" applyFont="1" applyFill="1" applyBorder="1" applyAlignment="1">
      <alignment horizontal="center" vertical="center" wrapText="1" shrinkToFit="1"/>
    </xf>
    <xf numFmtId="49" fontId="8" fillId="0" borderId="9" xfId="0" applyNumberFormat="1" applyFont="1" applyFill="1" applyBorder="1" applyAlignment="1">
      <alignment horizontal="center" vertical="center" wrapText="1" shrinkToFit="1"/>
    </xf>
    <xf numFmtId="178" fontId="11" fillId="5" borderId="10" xfId="0" applyNumberFormat="1" applyFont="1" applyFill="1" applyBorder="1" applyAlignment="1">
      <alignment horizontal="center" vertical="center" wrapText="1" shrinkToFit="1"/>
    </xf>
    <xf numFmtId="0" fontId="8" fillId="5" borderId="9" xfId="0" applyFont="1" applyFill="1" applyBorder="1" applyAlignment="1">
      <alignment horizontal="center" vertical="center" wrapText="1"/>
    </xf>
    <xf numFmtId="0" fontId="8" fillId="5" borderId="9" xfId="0" applyFont="1" applyFill="1" applyBorder="1" applyAlignment="1">
      <alignment horizontal="center" vertical="center" wrapText="1" shrinkToFit="1"/>
    </xf>
    <xf numFmtId="49" fontId="8" fillId="5" borderId="9" xfId="0" applyNumberFormat="1" applyFont="1" applyFill="1" applyBorder="1" applyAlignment="1">
      <alignment horizontal="center" vertical="center" wrapText="1" shrinkToFit="1"/>
    </xf>
    <xf numFmtId="0" fontId="7" fillId="5" borderId="9" xfId="0" applyFont="1" applyFill="1" applyBorder="1" applyAlignment="1">
      <alignment horizontal="center" vertical="center" wrapText="1" shrinkToFit="1"/>
    </xf>
    <xf numFmtId="178" fontId="12" fillId="0" borderId="10" xfId="0" applyNumberFormat="1" applyFont="1" applyFill="1" applyBorder="1" applyAlignment="1">
      <alignment horizontal="center" vertical="center" wrapText="1" shrinkToFit="1"/>
    </xf>
    <xf numFmtId="0" fontId="13" fillId="0" borderId="9" xfId="0" applyFont="1" applyFill="1" applyBorder="1" applyAlignment="1">
      <alignment horizontal="center" vertical="center" wrapText="1"/>
    </xf>
    <xf numFmtId="0" fontId="13" fillId="0" borderId="9" xfId="0" applyFont="1" applyFill="1" applyBorder="1" applyAlignment="1">
      <alignment horizontal="center" vertical="center" wrapText="1" shrinkToFit="1"/>
    </xf>
    <xf numFmtId="0" fontId="9" fillId="0" borderId="9" xfId="0" applyFont="1" applyFill="1" applyBorder="1" applyAlignment="1">
      <alignment horizontal="center" vertical="center" wrapText="1" shrinkToFit="1"/>
    </xf>
    <xf numFmtId="178" fontId="11" fillId="0" borderId="9" xfId="0" applyNumberFormat="1" applyFont="1" applyFill="1" applyBorder="1" applyAlignment="1">
      <alignment horizontal="center" vertical="center" wrapText="1" shrinkToFit="1"/>
    </xf>
    <xf numFmtId="0" fontId="8" fillId="6" borderId="9" xfId="0" applyFont="1" applyFill="1" applyBorder="1" applyAlignment="1">
      <alignment horizontal="center" vertical="center" wrapText="1"/>
    </xf>
    <xf numFmtId="0" fontId="8" fillId="6" borderId="9" xfId="0" applyFont="1" applyFill="1" applyBorder="1" applyAlignment="1">
      <alignment horizontal="center" vertical="center" wrapText="1" shrinkToFit="1"/>
    </xf>
    <xf numFmtId="0" fontId="8" fillId="0" borderId="9" xfId="0" applyNumberFormat="1" applyFont="1" applyFill="1" applyBorder="1" applyAlignment="1">
      <alignment horizontal="center" vertical="center" wrapText="1" shrinkToFit="1"/>
    </xf>
    <xf numFmtId="178" fontId="11" fillId="0" borderId="10" xfId="0" applyNumberFormat="1" applyFont="1" applyFill="1" applyBorder="1" applyAlignment="1" applyProtection="1">
      <alignment horizontal="center" vertical="center" wrapText="1" shrinkToFit="1"/>
    </xf>
    <xf numFmtId="0" fontId="8" fillId="0" borderId="9" xfId="0" applyFont="1" applyFill="1" applyBorder="1" applyAlignment="1" applyProtection="1">
      <alignment horizontal="center" vertical="center" wrapText="1"/>
      <protection locked="0"/>
    </xf>
    <xf numFmtId="0" fontId="8" fillId="0" borderId="9" xfId="0" applyFont="1" applyFill="1" applyBorder="1" applyAlignment="1" applyProtection="1">
      <alignment horizontal="center" vertical="center" wrapText="1" shrinkToFit="1"/>
      <protection locked="0"/>
    </xf>
    <xf numFmtId="0" fontId="7" fillId="0" borderId="9" xfId="0" applyFont="1" applyFill="1" applyBorder="1" applyAlignment="1" applyProtection="1">
      <alignment horizontal="center" vertical="center" wrapText="1" shrinkToFit="1"/>
      <protection locked="0"/>
    </xf>
    <xf numFmtId="49" fontId="8" fillId="0" borderId="9" xfId="0" applyNumberFormat="1" applyFont="1" applyFill="1" applyBorder="1" applyAlignment="1" applyProtection="1">
      <alignment horizontal="center" vertical="center" wrapText="1" shrinkToFit="1"/>
      <protection locked="0"/>
    </xf>
    <xf numFmtId="178" fontId="11" fillId="0" borderId="9" xfId="0" applyNumberFormat="1" applyFont="1" applyFill="1" applyBorder="1" applyAlignment="1" applyProtection="1">
      <alignment horizontal="center" vertical="center" wrapText="1" shrinkToFit="1"/>
    </xf>
    <xf numFmtId="178" fontId="11" fillId="5" borderId="9" xfId="0" applyNumberFormat="1" applyFont="1" applyFill="1" applyBorder="1" applyAlignment="1" applyProtection="1">
      <alignment horizontal="center" vertical="center" wrapText="1" shrinkToFit="1"/>
    </xf>
    <xf numFmtId="0" fontId="8" fillId="5" borderId="9" xfId="0" applyFont="1" applyFill="1" applyBorder="1" applyAlignment="1" applyProtection="1">
      <alignment horizontal="center" vertical="center" wrapText="1"/>
      <protection locked="0"/>
    </xf>
    <xf numFmtId="0" fontId="8" fillId="5" borderId="9" xfId="0" applyFont="1" applyFill="1" applyBorder="1" applyAlignment="1" applyProtection="1">
      <alignment horizontal="center" vertical="center" wrapText="1" shrinkToFit="1"/>
      <protection locked="0"/>
    </xf>
    <xf numFmtId="0" fontId="7" fillId="5" borderId="9" xfId="0" applyFont="1" applyFill="1" applyBorder="1" applyAlignment="1" applyProtection="1">
      <alignment horizontal="center" vertical="center" wrapText="1" shrinkToFit="1"/>
      <protection locked="0"/>
    </xf>
    <xf numFmtId="179" fontId="14" fillId="0" borderId="9" xfId="0" applyNumberFormat="1" applyFont="1" applyFill="1" applyBorder="1" applyAlignment="1">
      <alignment horizontal="center" vertical="center" wrapText="1" shrinkToFit="1"/>
    </xf>
    <xf numFmtId="180" fontId="14" fillId="0" borderId="9" xfId="0" applyNumberFormat="1" applyFont="1" applyFill="1" applyBorder="1" applyAlignment="1">
      <alignment horizontal="center" vertical="center" wrapText="1" shrinkToFit="1"/>
    </xf>
    <xf numFmtId="178" fontId="10" fillId="0" borderId="9" xfId="0" applyNumberFormat="1" applyFont="1" applyFill="1" applyBorder="1" applyAlignment="1">
      <alignment horizontal="center" vertical="center" wrapText="1" shrinkToFit="1"/>
    </xf>
    <xf numFmtId="0" fontId="10" fillId="0" borderId="9" xfId="0" applyNumberFormat="1" applyFont="1" applyFill="1" applyBorder="1" applyAlignment="1">
      <alignment horizontal="center" vertical="center" wrapText="1" shrinkToFit="1"/>
    </xf>
    <xf numFmtId="181" fontId="7" fillId="0" borderId="9" xfId="0" applyNumberFormat="1" applyFont="1" applyFill="1" applyBorder="1" applyAlignment="1">
      <alignment horizontal="center" vertical="center" wrapText="1" shrinkToFit="1"/>
    </xf>
    <xf numFmtId="178" fontId="7" fillId="0" borderId="9" xfId="0" applyNumberFormat="1" applyFont="1" applyFill="1" applyBorder="1" applyAlignment="1">
      <alignment horizontal="center" vertical="center" wrapText="1" shrinkToFit="1"/>
    </xf>
    <xf numFmtId="0" fontId="7" fillId="0" borderId="9" xfId="0" applyNumberFormat="1" applyFont="1" applyFill="1" applyBorder="1" applyAlignment="1">
      <alignment horizontal="center" vertical="center" wrapText="1" shrinkToFit="1"/>
    </xf>
    <xf numFmtId="181" fontId="8" fillId="0" borderId="9" xfId="0" applyNumberFormat="1" applyFont="1" applyFill="1" applyBorder="1" applyAlignment="1">
      <alignment horizontal="center" vertical="center" wrapText="1" shrinkToFit="1"/>
    </xf>
    <xf numFmtId="178" fontId="8" fillId="0" borderId="9" xfId="0" applyNumberFormat="1" applyFont="1" applyFill="1" applyBorder="1" applyAlignment="1">
      <alignment horizontal="center" vertical="center" wrapText="1" shrinkToFit="1"/>
    </xf>
    <xf numFmtId="181" fontId="7" fillId="5" borderId="9" xfId="0" applyNumberFormat="1" applyFont="1" applyFill="1" applyBorder="1" applyAlignment="1">
      <alignment horizontal="center" vertical="center" wrapText="1" shrinkToFit="1"/>
    </xf>
    <xf numFmtId="178" fontId="7" fillId="5" borderId="9" xfId="0" applyNumberFormat="1" applyFont="1" applyFill="1" applyBorder="1" applyAlignment="1">
      <alignment horizontal="center" vertical="center" wrapText="1" shrinkToFit="1"/>
    </xf>
    <xf numFmtId="0" fontId="7" fillId="5" borderId="9" xfId="0" applyNumberFormat="1" applyFont="1" applyFill="1" applyBorder="1" applyAlignment="1">
      <alignment horizontal="center" vertical="center" wrapText="1" shrinkToFit="1"/>
    </xf>
    <xf numFmtId="181" fontId="9" fillId="0" borderId="9" xfId="0" applyNumberFormat="1" applyFont="1" applyFill="1" applyBorder="1" applyAlignment="1">
      <alignment horizontal="center" vertical="center" wrapText="1" shrinkToFit="1"/>
    </xf>
    <xf numFmtId="178" fontId="9" fillId="0" borderId="9" xfId="0" applyNumberFormat="1" applyFont="1" applyFill="1" applyBorder="1" applyAlignment="1">
      <alignment horizontal="center" vertical="center" wrapText="1" shrinkToFit="1"/>
    </xf>
    <xf numFmtId="178" fontId="9" fillId="7" borderId="9" xfId="0" applyNumberFormat="1" applyFont="1" applyFill="1" applyBorder="1" applyAlignment="1">
      <alignment horizontal="center" vertical="center" wrapText="1" shrinkToFit="1"/>
    </xf>
    <xf numFmtId="0" fontId="9" fillId="0" borderId="9" xfId="0" applyNumberFormat="1" applyFont="1" applyFill="1" applyBorder="1" applyAlignment="1">
      <alignment horizontal="center" vertical="center" wrapText="1" shrinkToFit="1"/>
    </xf>
    <xf numFmtId="178" fontId="8" fillId="7" borderId="9" xfId="0" applyNumberFormat="1" applyFont="1" applyFill="1" applyBorder="1" applyAlignment="1">
      <alignment horizontal="center" vertical="center" wrapText="1" shrinkToFit="1"/>
    </xf>
    <xf numFmtId="177" fontId="8" fillId="0" borderId="9" xfId="0" applyNumberFormat="1" applyFont="1" applyFill="1" applyBorder="1" applyAlignment="1">
      <alignment horizontal="center" vertical="center" wrapText="1" shrinkToFit="1"/>
    </xf>
    <xf numFmtId="178" fontId="7" fillId="6" borderId="9" xfId="0" applyNumberFormat="1" applyFont="1" applyFill="1" applyBorder="1" applyAlignment="1">
      <alignment horizontal="center" vertical="center" wrapText="1" shrinkToFit="1"/>
    </xf>
    <xf numFmtId="178" fontId="8" fillId="6" borderId="9" xfId="0" applyNumberFormat="1" applyFont="1" applyFill="1" applyBorder="1" applyAlignment="1">
      <alignment horizontal="center" vertical="center" wrapText="1" shrinkToFit="1"/>
    </xf>
    <xf numFmtId="181" fontId="7" fillId="0" borderId="9" xfId="0" applyNumberFormat="1" applyFont="1" applyFill="1" applyBorder="1" applyAlignment="1" applyProtection="1">
      <alignment horizontal="center" vertical="center" wrapText="1" shrinkToFit="1"/>
      <protection locked="0"/>
    </xf>
    <xf numFmtId="178" fontId="7" fillId="0" borderId="9" xfId="0" applyNumberFormat="1" applyFont="1" applyFill="1" applyBorder="1" applyAlignment="1" applyProtection="1">
      <alignment horizontal="center" vertical="center" wrapText="1" shrinkToFit="1"/>
      <protection locked="0"/>
    </xf>
    <xf numFmtId="0" fontId="7" fillId="0" borderId="9" xfId="0" applyNumberFormat="1" applyFont="1" applyFill="1" applyBorder="1" applyAlignment="1" applyProtection="1">
      <alignment horizontal="center" vertical="center" wrapText="1" shrinkToFit="1"/>
      <protection locked="0"/>
    </xf>
    <xf numFmtId="181" fontId="8" fillId="0" borderId="9" xfId="0" applyNumberFormat="1" applyFont="1" applyFill="1" applyBorder="1" applyAlignment="1" applyProtection="1">
      <alignment horizontal="center" vertical="center" wrapText="1" shrinkToFit="1"/>
      <protection locked="0"/>
    </xf>
    <xf numFmtId="178" fontId="8" fillId="6" borderId="9" xfId="0" applyNumberFormat="1" applyFont="1" applyFill="1" applyBorder="1" applyAlignment="1" applyProtection="1">
      <alignment horizontal="center" vertical="center" wrapText="1" shrinkToFit="1"/>
      <protection locked="0"/>
    </xf>
    <xf numFmtId="177" fontId="8" fillId="0" borderId="9" xfId="0" applyNumberFormat="1" applyFont="1" applyFill="1" applyBorder="1" applyAlignment="1" applyProtection="1">
      <alignment horizontal="center" vertical="center" wrapText="1" shrinkToFit="1"/>
      <protection locked="0"/>
    </xf>
    <xf numFmtId="178" fontId="8" fillId="0" borderId="9" xfId="0" applyNumberFormat="1" applyFont="1" applyFill="1" applyBorder="1" applyAlignment="1" applyProtection="1">
      <alignment horizontal="center" vertical="center" wrapText="1" shrinkToFit="1"/>
      <protection locked="0"/>
    </xf>
    <xf numFmtId="181" fontId="8" fillId="5" borderId="9" xfId="0" applyNumberFormat="1" applyFont="1" applyFill="1" applyBorder="1" applyAlignment="1" applyProtection="1">
      <alignment horizontal="center" vertical="center" wrapText="1" shrinkToFit="1"/>
      <protection locked="0"/>
    </xf>
    <xf numFmtId="178" fontId="8" fillId="5" borderId="9" xfId="0" applyNumberFormat="1" applyFont="1" applyFill="1" applyBorder="1" applyAlignment="1" applyProtection="1">
      <alignment horizontal="center" vertical="center" wrapText="1" shrinkToFit="1"/>
      <protection locked="0"/>
    </xf>
    <xf numFmtId="0" fontId="7" fillId="5" borderId="9" xfId="0" applyNumberFormat="1" applyFont="1" applyFill="1" applyBorder="1" applyAlignment="1" applyProtection="1">
      <alignment horizontal="center" vertical="center" wrapText="1" shrinkToFit="1"/>
      <protection locked="0"/>
    </xf>
    <xf numFmtId="0" fontId="15" fillId="0" borderId="9" xfId="0" applyFont="1" applyFill="1" applyBorder="1" applyAlignment="1">
      <alignment horizontal="center" vertical="center" wrapText="1" shrinkToFit="1"/>
    </xf>
    <xf numFmtId="182" fontId="10" fillId="0" borderId="9" xfId="0" applyNumberFormat="1" applyFont="1" applyFill="1" applyBorder="1" applyAlignment="1">
      <alignment horizontal="center" vertical="center" wrapText="1" shrinkToFit="1"/>
    </xf>
    <xf numFmtId="182" fontId="7" fillId="0" borderId="11" xfId="0" applyNumberFormat="1" applyFont="1" applyFill="1" applyBorder="1" applyAlignment="1">
      <alignment horizontal="center" vertical="center" wrapText="1" shrinkToFit="1"/>
    </xf>
    <xf numFmtId="0" fontId="7" fillId="5" borderId="9" xfId="0" applyFont="1" applyFill="1" applyBorder="1" applyAlignment="1">
      <alignment horizontal="center" vertical="center" wrapText="1"/>
    </xf>
    <xf numFmtId="0" fontId="7" fillId="0" borderId="9" xfId="0" applyFont="1" applyFill="1" applyBorder="1" applyAlignment="1">
      <alignment horizontal="center" vertical="center" wrapText="1"/>
    </xf>
    <xf numFmtId="182" fontId="8" fillId="0" borderId="9" xfId="0" applyNumberFormat="1" applyFont="1" applyFill="1" applyBorder="1" applyAlignment="1">
      <alignment horizontal="center" vertical="center" wrapText="1" shrinkToFit="1"/>
    </xf>
    <xf numFmtId="183" fontId="8" fillId="0" borderId="9" xfId="0" applyNumberFormat="1" applyFont="1" applyFill="1" applyBorder="1" applyAlignment="1">
      <alignment horizontal="center" vertical="center" wrapText="1" shrinkToFit="1"/>
    </xf>
    <xf numFmtId="182" fontId="8" fillId="5" borderId="11" xfId="0" applyNumberFormat="1" applyFont="1" applyFill="1" applyBorder="1" applyAlignment="1">
      <alignment horizontal="center" vertical="center" wrapText="1" shrinkToFit="1"/>
    </xf>
    <xf numFmtId="182"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wrapText="1"/>
    </xf>
    <xf numFmtId="178" fontId="8" fillId="5" borderId="9" xfId="0" applyNumberFormat="1" applyFont="1" applyFill="1" applyBorder="1" applyAlignment="1">
      <alignment horizontal="center" vertical="center" wrapText="1" shrinkToFit="1"/>
    </xf>
    <xf numFmtId="184" fontId="7" fillId="5" borderId="9" xfId="0" applyNumberFormat="1" applyFont="1" applyFill="1" applyBorder="1" applyAlignment="1">
      <alignment horizontal="center" vertical="center" wrapText="1"/>
    </xf>
    <xf numFmtId="182" fontId="13" fillId="0" borderId="11" xfId="0" applyNumberFormat="1" applyFont="1" applyFill="1" applyBorder="1" applyAlignment="1">
      <alignment horizontal="center" vertical="center" wrapText="1" shrinkToFit="1"/>
    </xf>
    <xf numFmtId="182" fontId="13" fillId="0" borderId="9" xfId="0" applyNumberFormat="1" applyFont="1" applyFill="1" applyBorder="1" applyAlignment="1">
      <alignment horizontal="center" vertical="center" wrapText="1" shrinkToFit="1"/>
    </xf>
    <xf numFmtId="182" fontId="9" fillId="0" borderId="11" xfId="0" applyNumberFormat="1" applyFont="1" applyFill="1" applyBorder="1" applyAlignment="1">
      <alignment horizontal="center" vertical="center" wrapText="1" shrinkToFit="1"/>
    </xf>
    <xf numFmtId="182" fontId="9" fillId="0" borderId="12" xfId="0" applyNumberFormat="1" applyFont="1" applyFill="1" applyBorder="1" applyAlignment="1">
      <alignment horizontal="center" vertical="center" wrapText="1" shrinkToFit="1"/>
    </xf>
    <xf numFmtId="0" fontId="9" fillId="0" borderId="9" xfId="0" applyFont="1" applyFill="1" applyBorder="1" applyAlignment="1">
      <alignment horizontal="center" vertical="center" wrapText="1"/>
    </xf>
    <xf numFmtId="0" fontId="9" fillId="0" borderId="13" xfId="0" applyFont="1" applyFill="1" applyBorder="1" applyAlignment="1">
      <alignment horizontal="center" vertical="center" wrapText="1"/>
    </xf>
    <xf numFmtId="182" fontId="7" fillId="0" borderId="9" xfId="0" applyNumberFormat="1" applyFont="1" applyFill="1" applyBorder="1" applyAlignment="1">
      <alignment horizontal="center" vertical="center" wrapText="1" shrinkToFit="1"/>
    </xf>
    <xf numFmtId="0" fontId="7" fillId="0" borderId="10" xfId="0" applyFont="1" applyFill="1" applyBorder="1" applyAlignment="1">
      <alignment horizontal="center" vertical="center" wrapText="1"/>
    </xf>
    <xf numFmtId="184" fontId="7" fillId="0" borderId="9" xfId="0" applyNumberFormat="1" applyFont="1" applyFill="1" applyBorder="1" applyAlignment="1">
      <alignment horizontal="center" vertical="center" wrapText="1"/>
    </xf>
    <xf numFmtId="0" fontId="7" fillId="0" borderId="11" xfId="0" applyFont="1" applyFill="1" applyBorder="1" applyAlignment="1">
      <alignment horizontal="center" vertical="center" wrapText="1"/>
    </xf>
    <xf numFmtId="182" fontId="8" fillId="0" borderId="11" xfId="0" applyNumberFormat="1" applyFont="1" applyFill="1" applyBorder="1" applyAlignment="1">
      <alignment horizontal="center" vertical="center" wrapText="1" shrinkToFit="1"/>
    </xf>
    <xf numFmtId="0" fontId="7" fillId="6" borderId="11" xfId="0" applyFont="1" applyFill="1" applyBorder="1" applyAlignment="1">
      <alignment horizontal="center" vertical="center" wrapText="1"/>
    </xf>
    <xf numFmtId="182" fontId="8" fillId="0" borderId="10" xfId="0" applyNumberFormat="1" applyFont="1" applyFill="1" applyBorder="1" applyAlignment="1">
      <alignment horizontal="center" vertical="center" wrapText="1" shrinkToFit="1"/>
    </xf>
    <xf numFmtId="0" fontId="7" fillId="6" borderId="10"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8" fillId="6" borderId="10" xfId="0" applyFont="1" applyFill="1" applyBorder="1" applyAlignment="1">
      <alignment horizontal="center" vertical="center" wrapText="1"/>
    </xf>
    <xf numFmtId="0" fontId="7" fillId="6" borderId="14" xfId="0" applyFont="1" applyFill="1" applyBorder="1" applyAlignment="1">
      <alignment horizontal="center" vertical="center" wrapText="1"/>
    </xf>
    <xf numFmtId="182" fontId="8" fillId="0" borderId="11" xfId="0" applyNumberFormat="1" applyFont="1" applyFill="1" applyBorder="1" applyAlignment="1" applyProtection="1">
      <alignment horizontal="center" vertical="center" wrapText="1" shrinkToFit="1"/>
      <protection locked="0"/>
    </xf>
    <xf numFmtId="182" fontId="7" fillId="0" borderId="11" xfId="0" applyNumberFormat="1" applyFont="1" applyFill="1" applyBorder="1" applyAlignment="1" applyProtection="1">
      <alignment horizontal="center" vertical="center" wrapText="1" shrinkToFit="1"/>
      <protection locked="0"/>
    </xf>
    <xf numFmtId="0" fontId="7" fillId="6" borderId="9" xfId="0" applyFont="1" applyFill="1" applyBorder="1" applyAlignment="1" applyProtection="1">
      <alignment horizontal="center" vertical="center" wrapText="1"/>
      <protection locked="0"/>
    </xf>
    <xf numFmtId="0" fontId="7" fillId="0" borderId="9" xfId="0" applyFont="1" applyFill="1" applyBorder="1" applyAlignment="1" applyProtection="1">
      <alignment horizontal="center" vertical="center" wrapText="1"/>
      <protection locked="0"/>
    </xf>
    <xf numFmtId="182" fontId="8" fillId="0" borderId="9" xfId="0" applyNumberFormat="1" applyFont="1" applyFill="1" applyBorder="1" applyAlignment="1" applyProtection="1">
      <alignment horizontal="center" vertical="center" wrapText="1" shrinkToFit="1"/>
      <protection locked="0"/>
    </xf>
    <xf numFmtId="0" fontId="7" fillId="0" borderId="11" xfId="0" applyFont="1" applyFill="1" applyBorder="1" applyAlignment="1" applyProtection="1">
      <alignment horizontal="center" vertical="center" wrapText="1"/>
      <protection locked="0"/>
    </xf>
    <xf numFmtId="184" fontId="7" fillId="0" borderId="9" xfId="0" applyNumberFormat="1" applyFont="1" applyFill="1" applyBorder="1" applyAlignment="1" applyProtection="1">
      <alignment horizontal="center" vertical="center" wrapText="1"/>
      <protection locked="0"/>
    </xf>
    <xf numFmtId="182" fontId="7" fillId="5" borderId="11" xfId="0" applyNumberFormat="1" applyFont="1" applyFill="1" applyBorder="1" applyAlignment="1" applyProtection="1">
      <alignment horizontal="center" vertical="center" wrapText="1" shrinkToFit="1"/>
      <protection locked="0"/>
    </xf>
    <xf numFmtId="182" fontId="8" fillId="5" borderId="11" xfId="0" applyNumberFormat="1" applyFont="1" applyFill="1" applyBorder="1" applyAlignment="1" applyProtection="1">
      <alignment horizontal="center" vertical="center" wrapText="1" shrinkToFit="1"/>
      <protection locked="0"/>
    </xf>
    <xf numFmtId="182" fontId="8" fillId="5" borderId="9" xfId="0" applyNumberFormat="1" applyFont="1" applyFill="1" applyBorder="1" applyAlignment="1" applyProtection="1">
      <alignment horizontal="center" vertical="center" wrapText="1" shrinkToFit="1"/>
      <protection locked="0"/>
    </xf>
    <xf numFmtId="0" fontId="7" fillId="5" borderId="11" xfId="0" applyFont="1" applyFill="1" applyBorder="1" applyAlignment="1" applyProtection="1">
      <alignment horizontal="center" vertical="center" wrapText="1"/>
      <protection locked="0"/>
    </xf>
    <xf numFmtId="0" fontId="7" fillId="5" borderId="9" xfId="0" applyFont="1" applyFill="1" applyBorder="1" applyAlignment="1" applyProtection="1">
      <alignment horizontal="center" vertical="center" wrapText="1"/>
      <protection locked="0"/>
    </xf>
    <xf numFmtId="0" fontId="16" fillId="0" borderId="9" xfId="0" applyFont="1" applyFill="1" applyBorder="1" applyAlignment="1">
      <alignment horizontal="center" vertical="center" wrapText="1" shrinkToFit="1"/>
    </xf>
    <xf numFmtId="0" fontId="17" fillId="0" borderId="9" xfId="0" applyFont="1" applyFill="1" applyBorder="1" applyAlignment="1">
      <alignment horizontal="center" vertical="center" wrapText="1"/>
    </xf>
    <xf numFmtId="180" fontId="7" fillId="0" borderId="9" xfId="0" applyNumberFormat="1" applyFont="1" applyFill="1" applyBorder="1" applyAlignment="1">
      <alignment horizontal="center" vertical="center" wrapText="1" shrinkToFit="1"/>
    </xf>
    <xf numFmtId="0" fontId="7" fillId="0" borderId="10" xfId="0" applyFont="1" applyFill="1" applyBorder="1" applyAlignment="1">
      <alignment horizontal="center" vertical="center" wrapText="1" shrinkToFit="1"/>
    </xf>
    <xf numFmtId="0" fontId="7" fillId="6" borderId="10" xfId="0" applyFont="1" applyFill="1" applyBorder="1" applyAlignment="1">
      <alignment horizontal="center" vertical="center" wrapText="1" shrinkToFit="1"/>
    </xf>
    <xf numFmtId="0" fontId="7" fillId="6" borderId="11" xfId="0" applyFont="1" applyFill="1" applyBorder="1" applyAlignment="1">
      <alignment horizontal="center" vertical="center" wrapText="1" shrinkToFit="1"/>
    </xf>
    <xf numFmtId="0" fontId="7" fillId="6" borderId="9" xfId="0" applyFont="1" applyFill="1" applyBorder="1" applyAlignment="1">
      <alignment horizontal="center" vertical="center" wrapText="1" shrinkToFit="1"/>
    </xf>
    <xf numFmtId="180" fontId="8" fillId="0" borderId="9" xfId="0" applyNumberFormat="1" applyFont="1" applyFill="1" applyBorder="1" applyAlignment="1">
      <alignment horizontal="center" vertical="center" wrapText="1" shrinkToFit="1"/>
    </xf>
    <xf numFmtId="0" fontId="8" fillId="0" borderId="10" xfId="0" applyNumberFormat="1" applyFont="1" applyFill="1" applyBorder="1" applyAlignment="1">
      <alignment horizontal="center" vertical="center" wrapText="1" shrinkToFit="1"/>
    </xf>
    <xf numFmtId="0" fontId="7" fillId="0" borderId="11" xfId="0" applyFont="1" applyFill="1" applyBorder="1" applyAlignment="1">
      <alignment horizontal="center" vertical="center" wrapText="1" shrinkToFit="1"/>
    </xf>
    <xf numFmtId="0" fontId="8" fillId="5" borderId="9" xfId="0" applyFont="1" applyFill="1" applyBorder="1" applyAlignment="1">
      <alignment horizontal="center" vertical="center"/>
    </xf>
    <xf numFmtId="180" fontId="7" fillId="5" borderId="9" xfId="0" applyNumberFormat="1" applyFont="1" applyFill="1" applyBorder="1" applyAlignment="1">
      <alignment horizontal="center" vertical="center" wrapText="1" shrinkToFit="1"/>
    </xf>
    <xf numFmtId="0" fontId="7" fillId="5" borderId="10" xfId="0" applyFont="1" applyFill="1" applyBorder="1" applyAlignment="1">
      <alignment horizontal="center" vertical="center" wrapText="1" shrinkToFit="1"/>
    </xf>
    <xf numFmtId="0" fontId="7" fillId="5" borderId="11" xfId="0" applyFont="1" applyFill="1" applyBorder="1" applyAlignment="1">
      <alignment horizontal="center" vertical="center" wrapText="1" shrinkToFit="1"/>
    </xf>
    <xf numFmtId="180" fontId="9" fillId="0" borderId="9" xfId="0" applyNumberFormat="1" applyFont="1" applyFill="1" applyBorder="1" applyAlignment="1">
      <alignment horizontal="center" vertical="center" wrapText="1" shrinkToFit="1"/>
    </xf>
    <xf numFmtId="0" fontId="9" fillId="5" borderId="9" xfId="0" applyFont="1" applyFill="1" applyBorder="1" applyAlignment="1">
      <alignment horizontal="center" vertical="center" wrapText="1" shrinkToFit="1"/>
    </xf>
    <xf numFmtId="0" fontId="9" fillId="6" borderId="10" xfId="0" applyFont="1" applyFill="1" applyBorder="1" applyAlignment="1">
      <alignment horizontal="center" vertical="center" wrapText="1" shrinkToFit="1"/>
    </xf>
    <xf numFmtId="0" fontId="9" fillId="6" borderId="9" xfId="0" applyFont="1" applyFill="1" applyBorder="1" applyAlignment="1">
      <alignment horizontal="center" vertical="center" wrapText="1" shrinkToFit="1"/>
    </xf>
    <xf numFmtId="0" fontId="8" fillId="8" borderId="9" xfId="0" applyFont="1" applyFill="1" applyBorder="1" applyAlignment="1">
      <alignment horizontal="center" vertical="center"/>
    </xf>
    <xf numFmtId="0" fontId="8" fillId="0" borderId="9" xfId="0" applyFont="1" applyBorder="1" applyAlignment="1">
      <alignment horizontal="center" vertical="center"/>
    </xf>
    <xf numFmtId="0" fontId="8" fillId="0" borderId="10" xfId="0" applyFont="1" applyFill="1" applyBorder="1" applyAlignment="1">
      <alignment horizontal="center" vertical="center"/>
    </xf>
    <xf numFmtId="180" fontId="7" fillId="0" borderId="9" xfId="0" applyNumberFormat="1" applyFont="1" applyFill="1" applyBorder="1" applyAlignment="1" applyProtection="1">
      <alignment horizontal="center" vertical="center" wrapText="1" shrinkToFit="1"/>
      <protection locked="0"/>
    </xf>
    <xf numFmtId="0" fontId="7" fillId="0" borderId="10" xfId="0" applyFont="1" applyFill="1" applyBorder="1" applyAlignment="1" applyProtection="1">
      <alignment horizontal="center" vertical="center" wrapText="1" shrinkToFit="1"/>
      <protection locked="0"/>
    </xf>
    <xf numFmtId="0" fontId="7" fillId="0" borderId="11" xfId="0" applyFont="1" applyFill="1" applyBorder="1" applyAlignment="1" applyProtection="1">
      <alignment horizontal="center" vertical="center" wrapText="1" shrinkToFit="1"/>
      <protection locked="0"/>
    </xf>
    <xf numFmtId="183" fontId="8" fillId="0" borderId="9" xfId="0" applyNumberFormat="1" applyFont="1" applyFill="1" applyBorder="1" applyAlignment="1" applyProtection="1">
      <alignment horizontal="center" vertical="center" wrapText="1" shrinkToFit="1"/>
      <protection locked="0"/>
    </xf>
    <xf numFmtId="180" fontId="8" fillId="0" borderId="9" xfId="0" applyNumberFormat="1" applyFont="1" applyFill="1" applyBorder="1" applyAlignment="1" applyProtection="1">
      <alignment horizontal="center" vertical="center" wrapText="1" shrinkToFit="1"/>
      <protection locked="0"/>
    </xf>
    <xf numFmtId="0" fontId="8" fillId="0" borderId="11" xfId="0" applyFont="1" applyFill="1" applyBorder="1" applyAlignment="1" applyProtection="1">
      <alignment horizontal="center" vertical="center" wrapText="1" shrinkToFit="1"/>
      <protection locked="0"/>
    </xf>
    <xf numFmtId="180" fontId="7" fillId="5" borderId="9" xfId="0" applyNumberFormat="1" applyFont="1" applyFill="1" applyBorder="1" applyAlignment="1" applyProtection="1">
      <alignment horizontal="center" vertical="center" wrapText="1" shrinkToFit="1"/>
      <protection locked="0"/>
    </xf>
    <xf numFmtId="183" fontId="8" fillId="5" borderId="9" xfId="0" applyNumberFormat="1" applyFont="1" applyFill="1" applyBorder="1" applyAlignment="1" applyProtection="1">
      <alignment horizontal="center" vertical="center" wrapText="1" shrinkToFit="1"/>
      <protection locked="0"/>
    </xf>
    <xf numFmtId="180" fontId="8" fillId="5" borderId="9" xfId="0" applyNumberFormat="1" applyFont="1" applyFill="1" applyBorder="1" applyAlignment="1" applyProtection="1">
      <alignment horizontal="center" vertical="center" wrapText="1" shrinkToFit="1"/>
      <protection locked="0"/>
    </xf>
    <xf numFmtId="0" fontId="7" fillId="5" borderId="10" xfId="0" applyFont="1" applyFill="1" applyBorder="1" applyAlignment="1" applyProtection="1">
      <alignment horizontal="center" vertical="center" wrapText="1" shrinkToFit="1"/>
      <protection locked="0"/>
    </xf>
    <xf numFmtId="0" fontId="7" fillId="5" borderId="11" xfId="0" applyFont="1" applyFill="1" applyBorder="1" applyAlignment="1" applyProtection="1">
      <alignment horizontal="center" vertical="center" wrapText="1" shrinkToFit="1"/>
      <protection locked="0"/>
    </xf>
    <xf numFmtId="0" fontId="18" fillId="0" borderId="9" xfId="0" applyFont="1" applyFill="1" applyBorder="1" applyAlignment="1">
      <alignment horizontal="center" vertical="center" wrapText="1"/>
    </xf>
    <xf numFmtId="0" fontId="7" fillId="6" borderId="11" xfId="0" applyFont="1" applyFill="1" applyBorder="1" applyAlignment="1">
      <alignment vertical="center" wrapText="1" shrinkToFit="1"/>
    </xf>
    <xf numFmtId="0" fontId="8" fillId="0" borderId="10" xfId="0" applyFont="1" applyFill="1" applyBorder="1" applyAlignment="1">
      <alignment horizontal="center" vertical="center" wrapText="1" shrinkToFit="1"/>
    </xf>
    <xf numFmtId="0" fontId="7" fillId="0" borderId="11" xfId="0" applyFont="1" applyFill="1" applyBorder="1" applyAlignment="1">
      <alignment vertical="center" wrapText="1" shrinkToFit="1"/>
    </xf>
    <xf numFmtId="0" fontId="7" fillId="5" borderId="11" xfId="0" applyFont="1" applyFill="1" applyBorder="1" applyAlignment="1">
      <alignment vertical="center" wrapText="1" shrinkToFit="1"/>
    </xf>
    <xf numFmtId="0" fontId="9" fillId="6" borderId="9" xfId="0" applyFont="1" applyFill="1" applyBorder="1" applyAlignment="1">
      <alignment vertical="center" wrapText="1" shrinkToFit="1"/>
    </xf>
    <xf numFmtId="0" fontId="7" fillId="0" borderId="9" xfId="0" applyFont="1" applyFill="1" applyBorder="1" applyAlignment="1">
      <alignment vertical="center" wrapText="1" shrinkToFit="1"/>
    </xf>
    <xf numFmtId="185" fontId="7" fillId="0" borderId="9" xfId="0" applyNumberFormat="1" applyFont="1" applyFill="1" applyBorder="1" applyAlignment="1">
      <alignment horizontal="center" vertical="center"/>
    </xf>
    <xf numFmtId="0" fontId="7" fillId="0" borderId="11" xfId="0" applyFont="1" applyFill="1" applyBorder="1" applyAlignment="1" applyProtection="1">
      <alignment vertical="center" wrapText="1" shrinkToFit="1"/>
      <protection locked="0"/>
    </xf>
    <xf numFmtId="185" fontId="7" fillId="0" borderId="9" xfId="0" applyNumberFormat="1" applyFont="1" applyFill="1" applyBorder="1" applyAlignment="1" applyProtection="1">
      <alignment horizontal="center" vertical="center"/>
      <protection locked="0"/>
    </xf>
    <xf numFmtId="0" fontId="8" fillId="0" borderId="10" xfId="0" applyNumberFormat="1" applyFont="1" applyFill="1" applyBorder="1" applyAlignment="1" applyProtection="1">
      <alignment horizontal="center" vertical="center" wrapText="1" shrinkToFit="1"/>
      <protection locked="0"/>
    </xf>
    <xf numFmtId="0" fontId="8" fillId="0" borderId="10" xfId="0" applyFont="1" applyFill="1" applyBorder="1" applyAlignment="1" applyProtection="1">
      <alignment horizontal="center" vertical="center" wrapText="1" shrinkToFit="1"/>
      <protection locked="0"/>
    </xf>
    <xf numFmtId="0" fontId="8" fillId="0" borderId="10" xfId="0" applyFont="1" applyFill="1" applyBorder="1" applyAlignment="1" applyProtection="1">
      <alignment horizontal="center" vertical="center"/>
      <protection locked="0"/>
    </xf>
    <xf numFmtId="0" fontId="7" fillId="5" borderId="11" xfId="0" applyFont="1" applyFill="1" applyBorder="1" applyAlignment="1" applyProtection="1">
      <alignment vertical="center" wrapText="1" shrinkToFit="1"/>
      <protection locked="0"/>
    </xf>
    <xf numFmtId="0" fontId="8" fillId="5" borderId="10" xfId="0" applyNumberFormat="1" applyFont="1" applyFill="1" applyBorder="1" applyAlignment="1" applyProtection="1">
      <alignment horizontal="center" vertical="center" wrapText="1" shrinkToFit="1"/>
      <protection locked="0"/>
    </xf>
    <xf numFmtId="0" fontId="8" fillId="5" borderId="9" xfId="0" applyFont="1" applyFill="1" applyBorder="1" applyAlignment="1" applyProtection="1">
      <alignment horizontal="center" vertical="center"/>
      <protection locked="0"/>
    </xf>
    <xf numFmtId="0" fontId="8" fillId="5" borderId="10" xfId="0" applyFont="1" applyFill="1" applyBorder="1" applyAlignment="1" applyProtection="1">
      <alignment horizontal="center" vertical="center"/>
      <protection locked="0"/>
    </xf>
    <xf numFmtId="0" fontId="15" fillId="0" borderId="9" xfId="0" applyFont="1" applyFill="1" applyBorder="1" applyAlignment="1">
      <alignment horizontal="center" vertical="center" wrapText="1"/>
    </xf>
    <xf numFmtId="181" fontId="8" fillId="0" borderId="9" xfId="0" applyNumberFormat="1" applyFont="1" applyFill="1" applyBorder="1" applyAlignment="1">
      <alignment horizontal="center" vertical="center"/>
    </xf>
    <xf numFmtId="181" fontId="8" fillId="5" borderId="9" xfId="0" applyNumberFormat="1" applyFont="1" applyFill="1" applyBorder="1" applyAlignment="1">
      <alignment horizontal="center" vertical="center"/>
    </xf>
    <xf numFmtId="0" fontId="13" fillId="0" borderId="9" xfId="0" applyFont="1" applyFill="1" applyBorder="1" applyAlignment="1">
      <alignment horizontal="center" vertical="center"/>
    </xf>
    <xf numFmtId="181" fontId="13" fillId="0" borderId="9" xfId="0" applyNumberFormat="1" applyFont="1" applyFill="1" applyBorder="1" applyAlignment="1">
      <alignment horizontal="center" vertical="center"/>
    </xf>
    <xf numFmtId="181" fontId="7" fillId="0" borderId="9" xfId="0" applyNumberFormat="1" applyFont="1" applyFill="1" applyBorder="1" applyAlignment="1">
      <alignment horizontal="center" vertical="center"/>
    </xf>
    <xf numFmtId="180" fontId="7" fillId="0" borderId="9" xfId="0" applyNumberFormat="1" applyFont="1" applyFill="1" applyBorder="1" applyAlignment="1">
      <alignment horizontal="center" vertical="center"/>
    </xf>
    <xf numFmtId="181" fontId="8" fillId="0" borderId="9" xfId="0" applyNumberFormat="1" applyFont="1" applyFill="1" applyBorder="1" applyAlignment="1" applyProtection="1">
      <alignment horizontal="center" vertical="center"/>
      <protection locked="0"/>
    </xf>
    <xf numFmtId="181" fontId="8" fillId="5" borderId="9" xfId="0" applyNumberFormat="1" applyFont="1" applyFill="1" applyBorder="1" applyAlignment="1" applyProtection="1">
      <alignment horizontal="center" vertical="center"/>
      <protection locked="0"/>
    </xf>
    <xf numFmtId="0" fontId="17" fillId="0" borderId="9" xfId="0" applyFont="1" applyFill="1" applyBorder="1" applyAlignment="1">
      <alignment horizontal="center" vertical="center"/>
    </xf>
    <xf numFmtId="0" fontId="8" fillId="0" borderId="9" xfId="0" applyFont="1" applyFill="1" applyBorder="1">
      <alignment vertical="center"/>
    </xf>
    <xf numFmtId="0" fontId="8" fillId="6" borderId="9" xfId="0" applyFont="1" applyFill="1" applyBorder="1" applyAlignment="1">
      <alignment horizontal="center" vertical="center"/>
    </xf>
    <xf numFmtId="180" fontId="7" fillId="0" borderId="9" xfId="0" applyNumberFormat="1" applyFont="1" applyFill="1" applyBorder="1" applyAlignment="1" applyProtection="1">
      <alignment horizontal="center" vertical="center"/>
      <protection locked="0"/>
    </xf>
    <xf numFmtId="185" fontId="7" fillId="5" borderId="9" xfId="0" applyNumberFormat="1" applyFont="1" applyFill="1" applyBorder="1" applyAlignment="1">
      <alignment horizontal="center" vertical="center"/>
    </xf>
    <xf numFmtId="185" fontId="9" fillId="0" borderId="9" xfId="0" applyNumberFormat="1" applyFont="1" applyFill="1" applyBorder="1" applyAlignment="1">
      <alignment horizontal="center" vertical="center"/>
    </xf>
    <xf numFmtId="185" fontId="7" fillId="5" borderId="9" xfId="0" applyNumberFormat="1" applyFont="1" applyFill="1" applyBorder="1" applyAlignment="1" applyProtection="1">
      <alignment horizontal="center" vertical="center"/>
      <protection locked="0"/>
    </xf>
    <xf numFmtId="14" fontId="11" fillId="5" borderId="9" xfId="0" applyNumberFormat="1" applyFont="1" applyFill="1" applyBorder="1" applyAlignment="1" applyProtection="1">
      <alignment horizontal="center" vertical="center" wrapText="1" shrinkToFit="1"/>
    </xf>
    <xf numFmtId="0" fontId="8" fillId="5" borderId="0" xfId="0" applyFont="1" applyFill="1" applyProtection="1">
      <alignment vertical="center"/>
      <protection locked="0"/>
    </xf>
    <xf numFmtId="0" fontId="7" fillId="6" borderId="9" xfId="0" applyFont="1" applyFill="1" applyBorder="1" applyAlignment="1" applyProtection="1">
      <alignment horizontal="center" vertical="center" wrapText="1" shrinkToFit="1"/>
      <protection locked="0"/>
    </xf>
    <xf numFmtId="178" fontId="7" fillId="6" borderId="9" xfId="0" applyNumberFormat="1" applyFont="1" applyFill="1" applyBorder="1" applyAlignment="1" applyProtection="1">
      <alignment horizontal="center" vertical="center" wrapText="1" shrinkToFit="1"/>
      <protection locked="0"/>
    </xf>
    <xf numFmtId="3" fontId="7" fillId="5" borderId="9" xfId="0" applyNumberFormat="1" applyFont="1" applyFill="1" applyBorder="1" applyAlignment="1" applyProtection="1">
      <alignment horizontal="center" vertical="center"/>
      <protection locked="0"/>
    </xf>
    <xf numFmtId="181" fontId="7" fillId="5" borderId="9" xfId="0" applyNumberFormat="1" applyFont="1" applyFill="1" applyBorder="1" applyAlignment="1" applyProtection="1">
      <alignment horizontal="center" vertical="center" wrapText="1" shrinkToFit="1"/>
      <protection locked="0"/>
    </xf>
    <xf numFmtId="178" fontId="7" fillId="5" borderId="9" xfId="0" applyNumberFormat="1" applyFont="1" applyFill="1" applyBorder="1" applyAlignment="1" applyProtection="1">
      <alignment horizontal="center" vertical="center" wrapText="1" shrinkToFit="1"/>
      <protection locked="0"/>
    </xf>
    <xf numFmtId="3" fontId="7" fillId="5" borderId="9" xfId="0" applyNumberFormat="1" applyFont="1" applyFill="1" applyBorder="1" applyAlignment="1" applyProtection="1">
      <alignment horizontal="center" vertical="center" wrapText="1" shrinkToFit="1"/>
      <protection locked="0"/>
    </xf>
    <xf numFmtId="14" fontId="7" fillId="5" borderId="9" xfId="0" applyNumberFormat="1" applyFont="1" applyFill="1" applyBorder="1" applyAlignment="1" applyProtection="1">
      <alignment horizontal="center" vertical="center" wrapText="1" shrinkToFit="1"/>
      <protection locked="0"/>
    </xf>
    <xf numFmtId="182" fontId="7" fillId="0" borderId="9" xfId="0" applyNumberFormat="1" applyFont="1" applyFill="1" applyBorder="1" applyAlignment="1" applyProtection="1">
      <alignment horizontal="center" vertical="center" wrapText="1" shrinkToFit="1"/>
      <protection locked="0"/>
    </xf>
    <xf numFmtId="0" fontId="7" fillId="6" borderId="11" xfId="0" applyFont="1" applyFill="1" applyBorder="1" applyAlignment="1" applyProtection="1">
      <alignment horizontal="center" vertical="center" wrapText="1"/>
      <protection locked="0"/>
    </xf>
    <xf numFmtId="182" fontId="7" fillId="5" borderId="9" xfId="0" applyNumberFormat="1" applyFont="1" applyFill="1" applyBorder="1" applyAlignment="1" applyProtection="1">
      <alignment horizontal="center" vertical="center" wrapText="1" shrinkToFit="1"/>
      <protection locked="0"/>
    </xf>
    <xf numFmtId="184" fontId="7" fillId="5" borderId="9" xfId="0" applyNumberFormat="1" applyFont="1" applyFill="1" applyBorder="1" applyAlignment="1" applyProtection="1">
      <alignment horizontal="center" vertical="center" wrapText="1"/>
      <protection locked="0"/>
    </xf>
    <xf numFmtId="0" fontId="7" fillId="6" borderId="11" xfId="0" applyFont="1" applyFill="1" applyBorder="1" applyAlignment="1" applyProtection="1">
      <alignment horizontal="center" vertical="center" wrapText="1" shrinkToFit="1"/>
      <protection locked="0"/>
    </xf>
    <xf numFmtId="0" fontId="7" fillId="6" borderId="10" xfId="0" applyFont="1" applyFill="1" applyBorder="1" applyAlignment="1" applyProtection="1">
      <alignment horizontal="center" vertical="center" wrapText="1" shrinkToFit="1"/>
      <protection locked="0"/>
    </xf>
    <xf numFmtId="0" fontId="8" fillId="0" borderId="11" xfId="0" applyFont="1" applyFill="1" applyBorder="1" applyAlignment="1" applyProtection="1">
      <alignment horizontal="center" vertical="center" wrapText="1"/>
      <protection locked="0"/>
    </xf>
    <xf numFmtId="0" fontId="8" fillId="5" borderId="0" xfId="0" applyFont="1" applyFill="1" applyAlignment="1" applyProtection="1">
      <alignment horizontal="center" vertical="center" wrapText="1"/>
      <protection locked="0"/>
    </xf>
    <xf numFmtId="0" fontId="8" fillId="0" borderId="9" xfId="0" applyNumberFormat="1" applyFont="1" applyFill="1" applyBorder="1" applyAlignment="1" applyProtection="1">
      <alignment horizontal="center" vertical="center" wrapText="1" shrinkToFit="1"/>
      <protection locked="0"/>
    </xf>
    <xf numFmtId="0" fontId="8" fillId="0" borderId="11" xfId="0" applyFont="1" applyFill="1" applyBorder="1" applyAlignment="1" applyProtection="1">
      <alignment horizontal="center" vertical="center"/>
      <protection locked="0"/>
    </xf>
    <xf numFmtId="0" fontId="7" fillId="5" borderId="9" xfId="0" applyFont="1" applyFill="1" applyBorder="1" applyAlignment="1" applyProtection="1">
      <alignment vertical="center" wrapText="1" shrinkToFit="1"/>
      <protection locked="0"/>
    </xf>
    <xf numFmtId="0" fontId="8" fillId="5" borderId="9" xfId="0" applyFont="1" applyFill="1" applyBorder="1" applyProtection="1">
      <alignment vertical="center"/>
      <protection locked="0"/>
    </xf>
    <xf numFmtId="0" fontId="7" fillId="0" borderId="13" xfId="0" applyFont="1" applyFill="1" applyBorder="1" applyAlignment="1" applyProtection="1">
      <alignment horizontal="center" vertical="center"/>
      <protection locked="0"/>
    </xf>
    <xf numFmtId="185" fontId="8" fillId="5" borderId="9" xfId="0" applyNumberFormat="1" applyFont="1" applyFill="1" applyBorder="1" applyProtection="1">
      <alignment vertical="center"/>
      <protection locked="0"/>
    </xf>
    <xf numFmtId="0" fontId="8" fillId="0" borderId="0" xfId="0" applyFont="1" applyFill="1" applyAlignment="1" applyProtection="1">
      <alignment horizontal="center" vertical="center"/>
      <protection locked="0"/>
    </xf>
    <xf numFmtId="180" fontId="7" fillId="0" borderId="11" xfId="0" applyNumberFormat="1" applyFont="1" applyFill="1" applyBorder="1" applyAlignment="1" applyProtection="1">
      <alignment horizontal="center" vertical="center"/>
      <protection locked="0"/>
    </xf>
    <xf numFmtId="0" fontId="19" fillId="0" borderId="0" xfId="0" applyFont="1" applyFill="1" applyBorder="1" applyAlignment="1">
      <alignment horizontal="center" vertical="center"/>
    </xf>
    <xf numFmtId="0" fontId="20" fillId="0" borderId="0" xfId="0" applyFont="1" applyFill="1" applyBorder="1" applyAlignment="1">
      <alignment horizontal="center" vertical="center"/>
    </xf>
    <xf numFmtId="0" fontId="21" fillId="0" borderId="0" xfId="0" applyFont="1" applyFill="1" applyBorder="1" applyAlignment="1">
      <alignment horizontal="center" vertical="center"/>
    </xf>
    <xf numFmtId="0" fontId="19" fillId="9" borderId="15" xfId="0" applyFont="1" applyFill="1" applyBorder="1" applyAlignment="1">
      <alignment horizontal="center" vertical="center"/>
    </xf>
    <xf numFmtId="0" fontId="19" fillId="9" borderId="0" xfId="0" applyFont="1" applyFill="1" applyBorder="1" applyAlignment="1">
      <alignment horizontal="center" vertical="center"/>
    </xf>
    <xf numFmtId="0" fontId="22" fillId="9" borderId="0" xfId="0" applyFont="1" applyFill="1" applyBorder="1" applyAlignment="1">
      <alignment horizontal="center" vertical="center"/>
    </xf>
    <xf numFmtId="0" fontId="23" fillId="10" borderId="0" xfId="0" applyFont="1" applyFill="1" applyAlignment="1">
      <alignment horizontal="center" vertical="center"/>
    </xf>
    <xf numFmtId="0" fontId="21" fillId="0" borderId="9" xfId="0" applyFont="1" applyFill="1" applyBorder="1" applyAlignment="1">
      <alignment horizontal="center" vertical="center" wrapText="1"/>
    </xf>
    <xf numFmtId="0" fontId="24" fillId="11" borderId="9" xfId="0" applyFont="1" applyFill="1" applyBorder="1" applyAlignment="1">
      <alignment horizontal="center" vertical="center" shrinkToFit="1"/>
    </xf>
    <xf numFmtId="58" fontId="25" fillId="11" borderId="9" xfId="0" applyNumberFormat="1" applyFont="1" applyFill="1" applyBorder="1" applyAlignment="1">
      <alignment horizontal="center" vertical="center" shrinkToFit="1"/>
    </xf>
    <xf numFmtId="0" fontId="21" fillId="11" borderId="9" xfId="0" applyFont="1" applyFill="1" applyBorder="1" applyAlignment="1">
      <alignment horizontal="center" vertical="center"/>
    </xf>
    <xf numFmtId="0" fontId="26" fillId="0" borderId="9" xfId="0" applyFont="1" applyFill="1" applyBorder="1" applyAlignment="1">
      <alignment horizontal="center" vertical="center"/>
    </xf>
    <xf numFmtId="177" fontId="21" fillId="10" borderId="9" xfId="0" applyNumberFormat="1" applyFont="1" applyFill="1" applyBorder="1" applyAlignment="1">
      <alignment horizontal="center" vertical="center"/>
    </xf>
    <xf numFmtId="0" fontId="27" fillId="0" borderId="9" xfId="0" applyFont="1" applyFill="1" applyBorder="1" applyAlignment="1">
      <alignment horizontal="center" vertical="center"/>
    </xf>
    <xf numFmtId="58" fontId="28" fillId="11" borderId="9" xfId="0" applyNumberFormat="1" applyFont="1" applyFill="1" applyBorder="1" applyAlignment="1">
      <alignment horizontal="center" vertical="center" shrinkToFit="1"/>
    </xf>
    <xf numFmtId="186" fontId="21" fillId="10" borderId="9" xfId="0" applyNumberFormat="1" applyFont="1" applyFill="1" applyBorder="1" applyAlignment="1">
      <alignment horizontal="center" vertical="center"/>
    </xf>
    <xf numFmtId="58" fontId="24" fillId="11" borderId="9" xfId="0" applyNumberFormat="1" applyFont="1" applyFill="1" applyBorder="1" applyAlignment="1">
      <alignment horizontal="center" vertical="center" shrinkToFit="1"/>
    </xf>
    <xf numFmtId="0" fontId="29" fillId="12" borderId="16" xfId="0" applyFont="1" applyFill="1" applyBorder="1" applyAlignment="1">
      <alignment horizontal="center" vertical="center"/>
    </xf>
    <xf numFmtId="0" fontId="29" fillId="12" borderId="17" xfId="0" applyFont="1" applyFill="1" applyBorder="1" applyAlignment="1">
      <alignment horizontal="center" vertical="center"/>
    </xf>
    <xf numFmtId="0" fontId="30" fillId="12" borderId="18" xfId="0" applyFont="1" applyFill="1" applyBorder="1" applyAlignment="1">
      <alignment horizontal="center" vertical="center"/>
    </xf>
    <xf numFmtId="0" fontId="30" fillId="12" borderId="9" xfId="0" applyFont="1" applyFill="1" applyBorder="1" applyAlignment="1">
      <alignment horizontal="center" vertical="center"/>
    </xf>
    <xf numFmtId="186" fontId="29" fillId="12" borderId="13" xfId="0" applyNumberFormat="1" applyFont="1" applyFill="1" applyBorder="1" applyAlignment="1">
      <alignment horizontal="center" vertical="center"/>
    </xf>
    <xf numFmtId="0" fontId="21" fillId="0" borderId="19" xfId="0" applyFont="1" applyFill="1" applyBorder="1" applyAlignment="1">
      <alignment horizontal="center" vertical="center" wrapText="1"/>
    </xf>
    <xf numFmtId="0" fontId="31" fillId="6" borderId="9" xfId="0" applyFont="1" applyFill="1" applyBorder="1" applyAlignment="1">
      <alignment horizontal="center" vertical="center" shrinkToFit="1"/>
    </xf>
    <xf numFmtId="0" fontId="31" fillId="13" borderId="9" xfId="0" applyFont="1" applyFill="1" applyBorder="1" applyAlignment="1">
      <alignment horizontal="center" vertical="center" shrinkToFit="1"/>
    </xf>
    <xf numFmtId="0" fontId="32" fillId="0" borderId="9" xfId="0" applyFont="1" applyFill="1" applyBorder="1" applyAlignment="1">
      <alignment horizontal="center" vertical="center"/>
    </xf>
    <xf numFmtId="186" fontId="19" fillId="10" borderId="13" xfId="0" applyNumberFormat="1" applyFont="1" applyFill="1" applyBorder="1" applyAlignment="1">
      <alignment horizontal="center" vertical="center"/>
    </xf>
    <xf numFmtId="0" fontId="21" fillId="12" borderId="20" xfId="0" applyFont="1" applyFill="1" applyBorder="1" applyAlignment="1">
      <alignment horizontal="center" vertical="center" wrapText="1"/>
    </xf>
    <xf numFmtId="0" fontId="29" fillId="12" borderId="21" xfId="0" applyFont="1" applyFill="1" applyBorder="1" applyAlignment="1">
      <alignment horizontal="center" vertical="center"/>
    </xf>
    <xf numFmtId="0" fontId="30" fillId="12" borderId="6" xfId="0" applyFont="1" applyFill="1" applyBorder="1" applyAlignment="1">
      <alignment horizontal="center" vertical="center"/>
    </xf>
    <xf numFmtId="0" fontId="30" fillId="12" borderId="22" xfId="0" applyFont="1" applyFill="1" applyBorder="1" applyAlignment="1">
      <alignment horizontal="center" vertical="center"/>
    </xf>
    <xf numFmtId="187" fontId="29" fillId="12" borderId="9" xfId="0" applyNumberFormat="1" applyFont="1" applyFill="1" applyBorder="1" applyAlignment="1">
      <alignment horizontal="center" vertical="center"/>
    </xf>
    <xf numFmtId="0" fontId="33" fillId="0" borderId="23" xfId="0" applyFont="1" applyFill="1" applyBorder="1" applyAlignment="1">
      <alignment horizontal="left" vertical="center" wrapText="1"/>
    </xf>
    <xf numFmtId="0" fontId="33" fillId="0" borderId="3" xfId="0" applyFont="1" applyFill="1" applyBorder="1" applyAlignment="1">
      <alignment horizontal="left" vertical="center"/>
    </xf>
    <xf numFmtId="0" fontId="33" fillId="0" borderId="6" xfId="0" applyFont="1" applyFill="1" applyBorder="1" applyAlignment="1">
      <alignment horizontal="left" vertical="center"/>
    </xf>
    <xf numFmtId="0" fontId="19" fillId="0" borderId="24" xfId="0" applyFont="1" applyFill="1" applyBorder="1" applyAlignment="1">
      <alignment horizontal="center" vertical="center"/>
    </xf>
    <xf numFmtId="2" fontId="19" fillId="0" borderId="24" xfId="0" applyNumberFormat="1" applyFont="1" applyFill="1" applyBorder="1" applyAlignment="1">
      <alignment horizontal="center" vertical="center"/>
    </xf>
    <xf numFmtId="4" fontId="19" fillId="0" borderId="24" xfId="0" applyNumberFormat="1" applyFont="1" applyFill="1" applyBorder="1" applyAlignment="1">
      <alignment horizontal="center" vertical="center"/>
    </xf>
    <xf numFmtId="4" fontId="19" fillId="0" borderId="0" xfId="0" applyNumberFormat="1" applyFont="1" applyFill="1" applyBorder="1" applyAlignment="1">
      <alignment horizontal="center" vertical="center"/>
    </xf>
    <xf numFmtId="0" fontId="34" fillId="0" borderId="0" xfId="0" applyFont="1" applyFill="1" applyBorder="1" applyAlignment="1">
      <alignment horizontal="center" vertical="center"/>
    </xf>
    <xf numFmtId="188" fontId="35" fillId="0" borderId="25" xfId="0" applyNumberFormat="1" applyFont="1" applyFill="1" applyBorder="1" applyAlignment="1">
      <alignment horizontal="center" vertical="center"/>
    </xf>
    <xf numFmtId="0" fontId="35" fillId="0" borderId="26" xfId="0" applyNumberFormat="1" applyFont="1" applyFill="1" applyBorder="1" applyAlignment="1">
      <alignment horizontal="center" vertical="center"/>
    </xf>
    <xf numFmtId="188" fontId="35" fillId="0" borderId="0" xfId="0" applyNumberFormat="1" applyFont="1" applyFill="1" applyBorder="1" applyAlignment="1">
      <alignment horizontal="center" vertical="center"/>
    </xf>
    <xf numFmtId="58" fontId="19" fillId="0" borderId="9" xfId="0" applyNumberFormat="1" applyFont="1" applyFill="1" applyBorder="1" applyAlignment="1">
      <alignment horizontal="center" vertical="center"/>
    </xf>
    <xf numFmtId="0" fontId="19" fillId="0" borderId="9" xfId="0" applyFont="1" applyFill="1" applyBorder="1" applyAlignment="1">
      <alignment horizontal="center" vertical="center"/>
    </xf>
    <xf numFmtId="0" fontId="22" fillId="0" borderId="9" xfId="0" applyFont="1" applyFill="1" applyBorder="1" applyAlignment="1">
      <alignment horizontal="center" vertical="center"/>
    </xf>
    <xf numFmtId="58" fontId="19" fillId="0" borderId="0" xfId="0" applyNumberFormat="1" applyFont="1" applyFill="1" applyBorder="1" applyAlignment="1">
      <alignment horizontal="center" vertical="center"/>
    </xf>
    <xf numFmtId="58" fontId="19" fillId="6" borderId="9" xfId="0" applyNumberFormat="1" applyFont="1" applyFill="1" applyBorder="1" applyAlignment="1">
      <alignment horizontal="center" vertical="center"/>
    </xf>
    <xf numFmtId="0" fontId="19" fillId="6" borderId="9" xfId="0" applyFont="1" applyFill="1" applyBorder="1" applyAlignment="1">
      <alignment horizontal="center" vertical="center"/>
    </xf>
    <xf numFmtId="0" fontId="22" fillId="6" borderId="9" xfId="0" applyFont="1" applyFill="1" applyBorder="1" applyAlignment="1">
      <alignment horizontal="center" vertical="center"/>
    </xf>
    <xf numFmtId="0" fontId="23" fillId="10" borderId="27" xfId="0" applyFont="1" applyFill="1" applyBorder="1" applyAlignment="1">
      <alignment horizontal="center" vertical="center"/>
    </xf>
    <xf numFmtId="189" fontId="19" fillId="0" borderId="0" xfId="54" applyNumberFormat="1" applyFont="1" applyAlignment="1">
      <alignment horizontal="center" vertical="center"/>
    </xf>
    <xf numFmtId="186" fontId="36" fillId="14" borderId="9" xfId="0" applyNumberFormat="1" applyFont="1" applyFill="1" applyBorder="1" applyAlignment="1">
      <alignment horizontal="center" vertical="center"/>
    </xf>
    <xf numFmtId="0" fontId="37" fillId="11" borderId="9" xfId="0" applyFont="1" applyFill="1" applyBorder="1" applyAlignment="1">
      <alignment horizontal="center" vertical="center" wrapText="1"/>
    </xf>
    <xf numFmtId="186" fontId="21" fillId="14" borderId="9" xfId="0" applyNumberFormat="1" applyFont="1" applyFill="1" applyBorder="1" applyAlignment="1">
      <alignment horizontal="center" vertical="center"/>
    </xf>
    <xf numFmtId="0" fontId="38" fillId="6" borderId="9" xfId="0" applyFont="1" applyFill="1" applyBorder="1" applyAlignment="1">
      <alignment horizontal="center" vertical="center" wrapText="1"/>
    </xf>
    <xf numFmtId="0" fontId="29" fillId="12" borderId="28" xfId="0" applyFont="1" applyFill="1" applyBorder="1" applyAlignment="1">
      <alignment horizontal="center" vertical="center"/>
    </xf>
    <xf numFmtId="186" fontId="21" fillId="14" borderId="13" xfId="0" applyNumberFormat="1" applyFont="1" applyFill="1" applyBorder="1" applyAlignment="1">
      <alignment horizontal="center" vertical="center"/>
    </xf>
    <xf numFmtId="0" fontId="39" fillId="15" borderId="17" xfId="0" applyFont="1" applyFill="1" applyBorder="1" applyAlignment="1">
      <alignment horizontal="center" vertical="center" wrapText="1"/>
    </xf>
    <xf numFmtId="0" fontId="39" fillId="15" borderId="13" xfId="0" applyFont="1" applyFill="1" applyBorder="1" applyAlignment="1">
      <alignment horizontal="center" vertical="center" wrapText="1"/>
    </xf>
    <xf numFmtId="187" fontId="30" fillId="0" borderId="0" xfId="0" applyNumberFormat="1" applyFont="1" applyFill="1" applyBorder="1" applyAlignment="1">
      <alignment horizontal="center" vertical="center"/>
    </xf>
    <xf numFmtId="189" fontId="21" fillId="0" borderId="0" xfId="1" applyNumberFormat="1" applyFont="1" applyFill="1" applyAlignment="1">
      <alignment horizontal="center" vertical="center"/>
    </xf>
    <xf numFmtId="14" fontId="20" fillId="0" borderId="0" xfId="0" applyNumberFormat="1" applyFont="1" applyFill="1" applyBorder="1" applyAlignment="1">
      <alignment horizontal="center" vertical="center"/>
    </xf>
    <xf numFmtId="186" fontId="29" fillId="12" borderId="9" xfId="0" applyNumberFormat="1" applyFont="1" applyFill="1" applyBorder="1" applyAlignment="1">
      <alignment horizontal="center" vertical="center"/>
    </xf>
    <xf numFmtId="0" fontId="30" fillId="12" borderId="21" xfId="0" applyFont="1" applyFill="1" applyBorder="1" applyAlignment="1">
      <alignment horizontal="center" vertical="center"/>
    </xf>
    <xf numFmtId="0" fontId="29" fillId="12" borderId="5" xfId="0" applyFont="1" applyFill="1" applyBorder="1" applyAlignment="1">
      <alignment horizontal="center" vertical="center"/>
    </xf>
    <xf numFmtId="189" fontId="19" fillId="0" borderId="0" xfId="54" applyNumberFormat="1" applyFont="1" applyFill="1" applyAlignment="1">
      <alignment horizontal="center" vertical="center"/>
    </xf>
    <xf numFmtId="0" fontId="33" fillId="0" borderId="2" xfId="0" applyFont="1" applyFill="1" applyBorder="1" applyAlignment="1">
      <alignment horizontal="left" vertical="center"/>
    </xf>
    <xf numFmtId="186" fontId="19" fillId="0" borderId="0" xfId="0" applyNumberFormat="1" applyFont="1" applyFill="1" applyBorder="1" applyAlignment="1">
      <alignment horizontal="center" vertical="center"/>
    </xf>
    <xf numFmtId="4" fontId="21" fillId="0" borderId="0" xfId="0" applyNumberFormat="1" applyFont="1" applyFill="1" applyBorder="1" applyAlignment="1">
      <alignment horizontal="center" vertical="center"/>
    </xf>
    <xf numFmtId="186" fontId="34" fillId="0" borderId="0" xfId="0" applyNumberFormat="1" applyFont="1" applyFill="1" applyBorder="1" applyAlignment="1">
      <alignment horizontal="center" vertical="center"/>
    </xf>
    <xf numFmtId="189" fontId="19" fillId="0" borderId="0" xfId="54" applyNumberFormat="1" applyFont="1" applyFill="1" applyBorder="1" applyAlignment="1">
      <alignment horizontal="center" vertical="center"/>
    </xf>
    <xf numFmtId="0" fontId="26" fillId="0" borderId="0" xfId="0" applyFont="1" applyFill="1" applyBorder="1" applyAlignment="1">
      <alignment horizontal="left" vertical="center"/>
    </xf>
    <xf numFmtId="0" fontId="20" fillId="0" borderId="0" xfId="0" applyFont="1" applyFill="1" applyBorder="1" applyAlignment="1">
      <alignment horizontal="left" vertical="center"/>
    </xf>
    <xf numFmtId="0" fontId="21" fillId="0" borderId="0" xfId="0" applyFont="1" applyFill="1" applyBorder="1" applyAlignment="1">
      <alignment horizontal="left" vertical="center"/>
    </xf>
    <xf numFmtId="0" fontId="19" fillId="0" borderId="0" xfId="0" applyFont="1" applyFill="1" applyBorder="1" applyAlignment="1">
      <alignment horizontal="left" vertical="center"/>
    </xf>
    <xf numFmtId="0" fontId="40" fillId="0" borderId="0" xfId="53" applyFont="1" applyFill="1" applyAlignment="1">
      <alignment horizontal="left" vertical="center"/>
    </xf>
    <xf numFmtId="0" fontId="41" fillId="16" borderId="9" xfId="53" applyFont="1" applyFill="1" applyBorder="1" applyAlignment="1">
      <alignment horizontal="left" vertical="center"/>
    </xf>
    <xf numFmtId="0" fontId="41" fillId="16" borderId="13" xfId="53" applyFont="1" applyFill="1" applyBorder="1" applyAlignment="1">
      <alignment horizontal="left" vertical="center"/>
    </xf>
    <xf numFmtId="58" fontId="41" fillId="16" borderId="13" xfId="53" applyNumberFormat="1" applyFont="1" applyFill="1" applyBorder="1" applyAlignment="1">
      <alignment horizontal="left" vertical="center"/>
    </xf>
    <xf numFmtId="0" fontId="29" fillId="12" borderId="29" xfId="0" applyFont="1" applyFill="1" applyBorder="1" applyAlignment="1">
      <alignment horizontal="left" vertical="center"/>
    </xf>
    <xf numFmtId="0" fontId="29" fillId="12" borderId="10" xfId="0" applyFont="1" applyFill="1" applyBorder="1" applyAlignment="1">
      <alignment horizontal="left" vertical="center" wrapText="1" shrinkToFit="1"/>
    </xf>
    <xf numFmtId="0" fontId="29" fillId="12" borderId="30" xfId="0" applyFont="1" applyFill="1" applyBorder="1" applyAlignment="1">
      <alignment horizontal="left" vertical="center" wrapText="1" shrinkToFit="1"/>
    </xf>
    <xf numFmtId="186" fontId="42" fillId="12" borderId="30" xfId="0" applyNumberFormat="1" applyFont="1" applyFill="1" applyBorder="1" applyAlignment="1">
      <alignment horizontal="left" vertical="center"/>
    </xf>
    <xf numFmtId="186" fontId="43" fillId="12" borderId="30" xfId="0" applyNumberFormat="1" applyFont="1" applyFill="1" applyBorder="1" applyAlignment="1">
      <alignment horizontal="left" vertical="center"/>
    </xf>
    <xf numFmtId="186" fontId="44" fillId="12" borderId="26" xfId="0" applyNumberFormat="1" applyFont="1" applyFill="1" applyBorder="1" applyAlignment="1">
      <alignment horizontal="left" vertical="center"/>
    </xf>
    <xf numFmtId="186" fontId="29" fillId="12" borderId="26" xfId="0" applyNumberFormat="1" applyFont="1" applyFill="1" applyBorder="1" applyAlignment="1">
      <alignment horizontal="left" vertical="center"/>
    </xf>
    <xf numFmtId="186" fontId="29" fillId="12" borderId="31" xfId="0" applyNumberFormat="1" applyFont="1" applyFill="1" applyBorder="1" applyAlignment="1">
      <alignment horizontal="left" vertical="center"/>
    </xf>
    <xf numFmtId="0" fontId="21" fillId="0" borderId="32" xfId="0" applyFont="1" applyFill="1" applyBorder="1" applyAlignment="1">
      <alignment horizontal="left" vertical="center" wrapText="1"/>
    </xf>
    <xf numFmtId="0" fontId="24" fillId="11" borderId="9" xfId="0" applyFont="1" applyFill="1" applyBorder="1" applyAlignment="1">
      <alignment horizontal="left" vertical="center" shrinkToFit="1"/>
    </xf>
    <xf numFmtId="0" fontId="25" fillId="11" borderId="9" xfId="0" applyFont="1" applyFill="1" applyBorder="1" applyAlignment="1">
      <alignment horizontal="left" vertical="center" shrinkToFit="1"/>
    </xf>
    <xf numFmtId="186" fontId="21" fillId="10" borderId="13" xfId="0" applyNumberFormat="1" applyFont="1" applyFill="1" applyBorder="1" applyAlignment="1">
      <alignment horizontal="left" vertical="center"/>
    </xf>
    <xf numFmtId="186" fontId="21" fillId="14" borderId="13" xfId="0" applyNumberFormat="1" applyFont="1" applyFill="1" applyBorder="1" applyAlignment="1">
      <alignment horizontal="left" vertical="center"/>
    </xf>
    <xf numFmtId="0" fontId="29" fillId="12" borderId="16" xfId="0" applyFont="1" applyFill="1" applyBorder="1" applyAlignment="1">
      <alignment horizontal="left" vertical="center"/>
    </xf>
    <xf numFmtId="0" fontId="29" fillId="12" borderId="17" xfId="0" applyFont="1" applyFill="1" applyBorder="1" applyAlignment="1">
      <alignment horizontal="left" vertical="center"/>
    </xf>
    <xf numFmtId="0" fontId="29" fillId="12" borderId="18" xfId="0" applyFont="1" applyFill="1" applyBorder="1" applyAlignment="1">
      <alignment horizontal="left" vertical="center"/>
    </xf>
    <xf numFmtId="186" fontId="29" fillId="12" borderId="13" xfId="0" applyNumberFormat="1" applyFont="1" applyFill="1" applyBorder="1" applyAlignment="1">
      <alignment horizontal="left" vertical="center"/>
    </xf>
    <xf numFmtId="186" fontId="29" fillId="12" borderId="18" xfId="0" applyNumberFormat="1" applyFont="1" applyFill="1" applyBorder="1" applyAlignment="1">
      <alignment horizontal="left" vertical="center"/>
    </xf>
    <xf numFmtId="0" fontId="21" fillId="0" borderId="33" xfId="0" applyFont="1" applyFill="1" applyBorder="1" applyAlignment="1">
      <alignment horizontal="left" vertical="center" wrapText="1"/>
    </xf>
    <xf numFmtId="0" fontId="31" fillId="13" borderId="9" xfId="0" applyFont="1" applyFill="1" applyBorder="1" applyAlignment="1">
      <alignment horizontal="left" vertical="center" shrinkToFit="1"/>
    </xf>
    <xf numFmtId="190" fontId="19" fillId="10" borderId="13" xfId="3" applyNumberFormat="1" applyFont="1" applyFill="1" applyBorder="1" applyAlignment="1">
      <alignment horizontal="left" vertical="center"/>
    </xf>
    <xf numFmtId="186" fontId="21" fillId="14" borderId="18" xfId="0" applyNumberFormat="1" applyFont="1" applyFill="1" applyBorder="1" applyAlignment="1">
      <alignment horizontal="center" vertical="center"/>
    </xf>
    <xf numFmtId="0" fontId="21" fillId="0" borderId="19" xfId="0" applyFont="1" applyFill="1" applyBorder="1" applyAlignment="1">
      <alignment horizontal="left" vertical="center" wrapText="1"/>
    </xf>
    <xf numFmtId="0" fontId="31" fillId="17" borderId="9" xfId="0" applyFont="1" applyFill="1" applyBorder="1" applyAlignment="1">
      <alignment horizontal="left" vertical="center" shrinkToFit="1"/>
    </xf>
    <xf numFmtId="0" fontId="31" fillId="6" borderId="9" xfId="0" applyFont="1" applyFill="1" applyBorder="1" applyAlignment="1">
      <alignment horizontal="left" vertical="center" shrinkToFit="1"/>
    </xf>
    <xf numFmtId="186" fontId="44" fillId="12" borderId="31" xfId="0" applyNumberFormat="1" applyFont="1" applyFill="1" applyBorder="1" applyAlignment="1">
      <alignment horizontal="left" vertical="center"/>
    </xf>
    <xf numFmtId="186" fontId="45" fillId="18" borderId="9" xfId="53" applyNumberFormat="1" applyFont="1" applyFill="1" applyBorder="1" applyAlignment="1">
      <alignment horizontal="left" vertical="center" wrapText="1"/>
    </xf>
    <xf numFmtId="14" fontId="45" fillId="18" borderId="9" xfId="53" applyNumberFormat="1" applyFont="1" applyFill="1" applyBorder="1" applyAlignment="1">
      <alignment horizontal="left" vertical="center" wrapText="1"/>
    </xf>
    <xf numFmtId="14" fontId="46" fillId="18" borderId="9" xfId="53" applyNumberFormat="1" applyFont="1" applyFill="1" applyBorder="1" applyAlignment="1">
      <alignment horizontal="left" vertical="center" wrapText="1"/>
    </xf>
    <xf numFmtId="186" fontId="38" fillId="6" borderId="31" xfId="0" applyNumberFormat="1" applyFont="1" applyFill="1" applyBorder="1" applyAlignment="1">
      <alignment horizontal="left" vertical="center"/>
    </xf>
    <xf numFmtId="186" fontId="38" fillId="6" borderId="31" xfId="0" applyNumberFormat="1" applyFont="1" applyFill="1" applyBorder="1" applyAlignment="1">
      <alignment horizontal="center" vertical="center"/>
    </xf>
    <xf numFmtId="186" fontId="21" fillId="14" borderId="13" xfId="0" applyNumberFormat="1" applyFont="1" applyFill="1" applyBorder="1" applyAlignment="1">
      <alignment horizontal="left" vertical="center" wrapText="1"/>
    </xf>
    <xf numFmtId="186" fontId="21" fillId="14" borderId="17" xfId="0" applyNumberFormat="1" applyFont="1" applyFill="1" applyBorder="1" applyAlignment="1">
      <alignment horizontal="center" vertical="center"/>
    </xf>
    <xf numFmtId="186" fontId="21" fillId="14" borderId="18" xfId="0" applyNumberFormat="1" applyFont="1" applyFill="1" applyBorder="1" applyAlignment="1">
      <alignment horizontal="center" vertical="center" wrapText="1"/>
    </xf>
    <xf numFmtId="186" fontId="21" fillId="14" borderId="13" xfId="0" applyNumberFormat="1" applyFont="1" applyFill="1" applyBorder="1" applyAlignment="1">
      <alignment horizontal="center" vertical="center" wrapText="1"/>
    </xf>
    <xf numFmtId="186" fontId="45" fillId="18" borderId="17" xfId="53" applyNumberFormat="1" applyFont="1" applyFill="1" applyBorder="1" applyAlignment="1">
      <alignment horizontal="left" vertical="center" wrapText="1"/>
    </xf>
    <xf numFmtId="0" fontId="19" fillId="11" borderId="17" xfId="0" applyFont="1" applyFill="1" applyBorder="1" applyAlignment="1">
      <alignment horizontal="left" vertical="center" wrapText="1"/>
    </xf>
    <xf numFmtId="0" fontId="47" fillId="6" borderId="9" xfId="0" applyFont="1" applyFill="1" applyBorder="1" applyAlignment="1">
      <alignment horizontal="left" vertical="center"/>
    </xf>
    <xf numFmtId="0" fontId="48" fillId="6" borderId="9" xfId="0" applyFont="1" applyFill="1" applyBorder="1" applyAlignment="1">
      <alignment horizontal="center" vertical="center"/>
    </xf>
    <xf numFmtId="0" fontId="48" fillId="19" borderId="9" xfId="0" applyFont="1" applyFill="1" applyBorder="1" applyAlignment="1">
      <alignment horizontal="center" vertical="center"/>
    </xf>
    <xf numFmtId="0" fontId="48" fillId="6" borderId="9" xfId="0" applyFont="1" applyFill="1" applyBorder="1" applyAlignment="1">
      <alignment horizontal="left" vertical="center"/>
    </xf>
    <xf numFmtId="0" fontId="48" fillId="0" borderId="9" xfId="0" applyFont="1" applyFill="1" applyBorder="1" applyAlignment="1">
      <alignment horizontal="left" vertical="center"/>
    </xf>
    <xf numFmtId="0" fontId="49" fillId="15" borderId="17" xfId="0" applyFont="1" applyFill="1" applyBorder="1" applyAlignment="1">
      <alignment horizontal="left" vertical="center" wrapText="1"/>
    </xf>
    <xf numFmtId="0" fontId="21" fillId="0" borderId="9" xfId="0" applyFont="1" applyFill="1" applyBorder="1" applyAlignment="1">
      <alignment horizontal="left" vertical="center"/>
    </xf>
    <xf numFmtId="0" fontId="47" fillId="0" borderId="9" xfId="0" applyFont="1" applyFill="1" applyBorder="1" applyAlignment="1">
      <alignment horizontal="left" vertical="center"/>
    </xf>
    <xf numFmtId="0" fontId="21" fillId="12" borderId="20" xfId="0" applyFont="1" applyFill="1" applyBorder="1" applyAlignment="1">
      <alignment horizontal="left" vertical="center" wrapText="1"/>
    </xf>
    <xf numFmtId="0" fontId="29" fillId="12" borderId="21" xfId="0" applyFont="1" applyFill="1" applyBorder="1" applyAlignment="1">
      <alignment horizontal="left" vertical="center"/>
    </xf>
    <xf numFmtId="186" fontId="29" fillId="12" borderId="9" xfId="0" applyNumberFormat="1" applyFont="1" applyFill="1" applyBorder="1" applyAlignment="1">
      <alignment horizontal="left" vertical="center"/>
    </xf>
    <xf numFmtId="187" fontId="29" fillId="12" borderId="9" xfId="0" applyNumberFormat="1" applyFont="1" applyFill="1" applyBorder="1" applyAlignment="1">
      <alignment horizontal="left" vertical="center"/>
    </xf>
    <xf numFmtId="0" fontId="19" fillId="0" borderId="24" xfId="0" applyFont="1" applyFill="1" applyBorder="1" applyAlignment="1">
      <alignment horizontal="left" vertical="center"/>
    </xf>
    <xf numFmtId="4" fontId="19" fillId="0" borderId="0" xfId="0" applyNumberFormat="1" applyFont="1" applyFill="1" applyBorder="1" applyAlignment="1">
      <alignment horizontal="left" vertical="center"/>
    </xf>
    <xf numFmtId="186" fontId="19" fillId="0" borderId="0" xfId="0" applyNumberFormat="1" applyFont="1" applyFill="1" applyBorder="1" applyAlignment="1">
      <alignment horizontal="left" vertical="center"/>
    </xf>
    <xf numFmtId="0" fontId="34" fillId="0" borderId="0" xfId="0" applyFont="1" applyFill="1" applyBorder="1" applyAlignment="1">
      <alignment horizontal="left" vertical="center"/>
    </xf>
    <xf numFmtId="186" fontId="34" fillId="0" borderId="0" xfId="0" applyNumberFormat="1" applyFont="1" applyFill="1" applyBorder="1" applyAlignment="1">
      <alignment horizontal="left" vertical="center"/>
    </xf>
    <xf numFmtId="0" fontId="50" fillId="0" borderId="0" xfId="0" applyFont="1" applyFill="1" applyBorder="1" applyAlignment="1">
      <alignment horizontal="left" vertical="center"/>
    </xf>
    <xf numFmtId="186" fontId="21" fillId="14" borderId="34" xfId="0" applyNumberFormat="1" applyFont="1" applyFill="1" applyBorder="1" applyAlignment="1">
      <alignment horizontal="left" vertical="center"/>
    </xf>
    <xf numFmtId="186" fontId="29" fillId="12" borderId="15" xfId="0" applyNumberFormat="1" applyFont="1" applyFill="1" applyBorder="1" applyAlignment="1">
      <alignment horizontal="center" vertical="center"/>
    </xf>
    <xf numFmtId="186" fontId="29" fillId="12" borderId="27" xfId="0" applyNumberFormat="1" applyFont="1" applyFill="1" applyBorder="1" applyAlignment="1">
      <alignment horizontal="center" vertical="center"/>
    </xf>
    <xf numFmtId="189" fontId="21" fillId="0" borderId="0" xfId="1" applyNumberFormat="1" applyFont="1" applyFill="1" applyAlignment="1">
      <alignment horizontal="left" vertical="center"/>
    </xf>
    <xf numFmtId="14" fontId="20" fillId="0" borderId="0" xfId="0" applyNumberFormat="1" applyFont="1" applyFill="1" applyBorder="1" applyAlignment="1">
      <alignment horizontal="left" vertical="center"/>
    </xf>
    <xf numFmtId="0" fontId="30" fillId="12" borderId="21" xfId="0" applyFont="1" applyFill="1" applyBorder="1" applyAlignment="1">
      <alignment horizontal="left" vertical="center"/>
    </xf>
    <xf numFmtId="189" fontId="19" fillId="0" borderId="0" xfId="54" applyNumberFormat="1" applyFont="1" applyFill="1" applyAlignment="1">
      <alignment horizontal="left" vertical="center"/>
    </xf>
    <xf numFmtId="189" fontId="19" fillId="0" borderId="0" xfId="54" applyNumberFormat="1" applyFont="1" applyFill="1" applyBorder="1" applyAlignment="1">
      <alignment horizontal="left" vertical="center"/>
    </xf>
    <xf numFmtId="0" fontId="0" fillId="0" borderId="0" xfId="0" applyFill="1" applyAlignment="1">
      <alignment horizontal="center" vertical="center"/>
    </xf>
    <xf numFmtId="0" fontId="0" fillId="6" borderId="0" xfId="0" applyFill="1" applyAlignment="1">
      <alignment horizontal="center" vertical="center"/>
    </xf>
    <xf numFmtId="0" fontId="0" fillId="0" borderId="0" xfId="0" applyAlignment="1">
      <alignment horizontal="center" vertical="center"/>
    </xf>
    <xf numFmtId="0" fontId="51" fillId="0" borderId="0" xfId="0" applyFont="1" applyAlignment="1">
      <alignment horizontal="center" vertical="center"/>
    </xf>
    <xf numFmtId="0" fontId="10" fillId="0" borderId="9" xfId="0" applyFont="1" applyFill="1" applyBorder="1" applyAlignment="1">
      <alignment horizontal="center" vertical="center" wrapText="1"/>
    </xf>
    <xf numFmtId="58" fontId="52" fillId="0" borderId="9" xfId="0" applyNumberFormat="1" applyFont="1" applyFill="1" applyBorder="1" applyAlignment="1">
      <alignment horizontal="center" vertical="center"/>
    </xf>
    <xf numFmtId="0" fontId="52" fillId="0" borderId="9" xfId="0" applyFont="1" applyFill="1" applyBorder="1" applyAlignment="1">
      <alignment horizontal="left" vertical="center"/>
    </xf>
    <xf numFmtId="0" fontId="52" fillId="0" borderId="9" xfId="0" applyFont="1" applyFill="1" applyBorder="1" applyAlignment="1">
      <alignment horizontal="center" vertical="center"/>
    </xf>
    <xf numFmtId="0" fontId="52" fillId="0" borderId="9" xfId="0" applyFont="1" applyFill="1" applyBorder="1" applyAlignment="1">
      <alignment horizontal="center" vertical="center" wrapText="1"/>
    </xf>
    <xf numFmtId="0" fontId="53" fillId="20" borderId="9" xfId="0" applyFont="1" applyFill="1" applyBorder="1" applyAlignment="1">
      <alignment horizontal="center" vertical="center" wrapText="1"/>
    </xf>
    <xf numFmtId="0" fontId="54" fillId="20" borderId="9" xfId="0" applyFont="1" applyFill="1" applyBorder="1" applyAlignment="1">
      <alignment horizontal="center" vertical="center" wrapText="1"/>
    </xf>
    <xf numFmtId="0" fontId="55" fillId="20" borderId="9" xfId="0" applyFont="1" applyFill="1" applyBorder="1" applyAlignment="1">
      <alignment horizontal="center" vertical="center" wrapText="1"/>
    </xf>
    <xf numFmtId="0" fontId="56" fillId="0" borderId="9" xfId="0" applyFont="1" applyFill="1" applyBorder="1" applyAlignment="1">
      <alignment horizontal="center" vertical="center"/>
    </xf>
    <xf numFmtId="0" fontId="54" fillId="20" borderId="17" xfId="0" applyFont="1" applyFill="1" applyBorder="1" applyAlignment="1">
      <alignment horizontal="center" vertical="center" wrapText="1"/>
    </xf>
    <xf numFmtId="0" fontId="57" fillId="20" borderId="35" xfId="0" applyFont="1" applyFill="1" applyBorder="1" applyAlignment="1">
      <alignment horizontal="center" vertical="center" wrapText="1"/>
    </xf>
    <xf numFmtId="0" fontId="57" fillId="20" borderId="36" xfId="0" applyFont="1" applyFill="1" applyBorder="1" applyAlignment="1">
      <alignment horizontal="center" vertical="center" wrapText="1"/>
    </xf>
    <xf numFmtId="0" fontId="58" fillId="20" borderId="37" xfId="0" applyFont="1" applyFill="1" applyBorder="1" applyAlignment="1">
      <alignment horizontal="center" vertical="center" wrapText="1"/>
    </xf>
    <xf numFmtId="0" fontId="56" fillId="0" borderId="10" xfId="0" applyFont="1" applyFill="1" applyBorder="1" applyAlignment="1">
      <alignment horizontal="center" vertical="center"/>
    </xf>
    <xf numFmtId="0" fontId="53" fillId="0" borderId="0" xfId="0" applyFont="1" applyAlignment="1">
      <alignment horizontal="center" vertical="center"/>
    </xf>
    <xf numFmtId="0" fontId="53" fillId="20" borderId="35" xfId="0" applyFont="1" applyFill="1" applyBorder="1" applyAlignment="1">
      <alignment horizontal="center" vertical="center" wrapText="1"/>
    </xf>
    <xf numFmtId="0" fontId="54" fillId="20" borderId="36" xfId="0" applyFont="1" applyFill="1" applyBorder="1" applyAlignment="1">
      <alignment horizontal="center" vertical="center" wrapText="1"/>
    </xf>
    <xf numFmtId="0" fontId="55" fillId="20" borderId="37" xfId="0" applyFont="1" applyFill="1" applyBorder="1" applyAlignment="1">
      <alignment horizontal="center" vertical="center" wrapText="1"/>
    </xf>
    <xf numFmtId="0" fontId="59" fillId="20" borderId="13" xfId="0" applyFont="1" applyFill="1" applyBorder="1" applyAlignment="1">
      <alignment horizontal="center" vertical="center" wrapText="1"/>
    </xf>
    <xf numFmtId="0" fontId="59" fillId="20" borderId="9" xfId="0" applyFont="1" applyFill="1" applyBorder="1" applyAlignment="1">
      <alignment horizontal="center" vertical="center" wrapText="1"/>
    </xf>
    <xf numFmtId="0" fontId="57" fillId="20" borderId="9" xfId="0" applyFont="1" applyFill="1" applyBorder="1" applyAlignment="1">
      <alignment horizontal="center" vertical="center" wrapText="1"/>
    </xf>
    <xf numFmtId="0" fontId="54" fillId="0" borderId="9" xfId="0" applyFont="1" applyFill="1" applyBorder="1" applyAlignment="1">
      <alignment horizontal="center" vertical="center" wrapText="1"/>
    </xf>
    <xf numFmtId="0" fontId="53" fillId="0" borderId="9" xfId="0" applyFont="1" applyFill="1" applyBorder="1" applyAlignment="1">
      <alignment horizontal="center" vertical="center"/>
    </xf>
    <xf numFmtId="0" fontId="56" fillId="0" borderId="9" xfId="0" applyFont="1" applyFill="1" applyBorder="1" applyAlignment="1">
      <alignment horizontal="left"/>
    </xf>
    <xf numFmtId="58" fontId="52" fillId="6" borderId="9" xfId="0" applyNumberFormat="1" applyFont="1" applyFill="1" applyBorder="1" applyAlignment="1">
      <alignment horizontal="center" vertical="center"/>
    </xf>
    <xf numFmtId="0" fontId="52" fillId="6" borderId="9" xfId="0" applyFont="1" applyFill="1" applyBorder="1" applyAlignment="1">
      <alignment horizontal="left" vertical="center"/>
    </xf>
    <xf numFmtId="0" fontId="52" fillId="6" borderId="9" xfId="0" applyFont="1" applyFill="1" applyBorder="1" applyAlignment="1">
      <alignment horizontal="center" vertical="center"/>
    </xf>
    <xf numFmtId="0" fontId="52" fillId="6" borderId="9" xfId="0" applyFont="1" applyFill="1" applyBorder="1" applyAlignment="1">
      <alignment horizontal="center" vertical="center" wrapText="1"/>
    </xf>
    <xf numFmtId="0" fontId="56" fillId="6" borderId="9" xfId="0" applyFont="1" applyFill="1" applyBorder="1" applyAlignment="1">
      <alignment horizontal="center" vertical="center"/>
    </xf>
    <xf numFmtId="0" fontId="56" fillId="6" borderId="9" xfId="0" applyFont="1" applyFill="1" applyBorder="1" applyAlignment="1">
      <alignment horizontal="left"/>
    </xf>
    <xf numFmtId="0" fontId="56" fillId="0" borderId="9" xfId="0" applyFont="1" applyFill="1" applyBorder="1" applyAlignment="1">
      <alignment horizontal="left" wrapText="1"/>
    </xf>
    <xf numFmtId="58" fontId="60" fillId="0" borderId="9" xfId="0" applyNumberFormat="1" applyFont="1" applyFill="1" applyBorder="1" applyAlignment="1">
      <alignment horizontal="center" vertical="center"/>
    </xf>
    <xf numFmtId="0" fontId="60" fillId="0" borderId="9" xfId="0" applyFont="1" applyFill="1" applyBorder="1" applyAlignment="1">
      <alignment horizontal="center" vertical="center"/>
    </xf>
    <xf numFmtId="0" fontId="60" fillId="0" borderId="9" xfId="0" applyFont="1" applyFill="1" applyBorder="1" applyAlignment="1">
      <alignment horizontal="center" vertical="center" wrapText="1"/>
    </xf>
    <xf numFmtId="58" fontId="61" fillId="0" borderId="9" xfId="0" applyNumberFormat="1" applyFont="1" applyFill="1" applyBorder="1" applyAlignment="1">
      <alignment horizontal="center" vertical="center"/>
    </xf>
    <xf numFmtId="0" fontId="61" fillId="0" borderId="9" xfId="0" applyFont="1" applyFill="1" applyBorder="1" applyAlignment="1">
      <alignment horizontal="center" vertical="center"/>
    </xf>
    <xf numFmtId="0" fontId="61" fillId="3" borderId="9" xfId="0" applyFont="1" applyFill="1" applyBorder="1" applyAlignment="1">
      <alignment horizontal="center" vertical="center"/>
    </xf>
    <xf numFmtId="0" fontId="61" fillId="0" borderId="9" xfId="0" applyFont="1" applyFill="1" applyBorder="1" applyAlignment="1">
      <alignment horizontal="center"/>
    </xf>
    <xf numFmtId="0" fontId="62" fillId="7" borderId="17" xfId="0" applyFont="1" applyFill="1" applyBorder="1" applyAlignment="1">
      <alignment horizontal="center" vertical="center" wrapText="1"/>
    </xf>
    <xf numFmtId="0" fontId="62" fillId="7" borderId="18" xfId="0" applyFont="1" applyFill="1" applyBorder="1" applyAlignment="1">
      <alignment horizontal="center" vertical="center" wrapText="1"/>
    </xf>
    <xf numFmtId="0" fontId="62" fillId="7" borderId="13" xfId="0" applyFont="1" applyFill="1" applyBorder="1" applyAlignment="1">
      <alignment horizontal="center" vertical="center" wrapText="1"/>
    </xf>
    <xf numFmtId="0" fontId="62" fillId="0" borderId="17" xfId="0" applyFont="1" applyFill="1" applyBorder="1" applyAlignment="1">
      <alignment horizontal="center" vertical="center" wrapText="1"/>
    </xf>
    <xf numFmtId="0" fontId="62" fillId="0" borderId="18" xfId="0" applyFont="1" applyFill="1" applyBorder="1" applyAlignment="1">
      <alignment horizontal="center" vertical="center" wrapText="1"/>
    </xf>
    <xf numFmtId="0" fontId="62" fillId="0" borderId="13" xfId="0" applyFont="1" applyFill="1" applyBorder="1" applyAlignment="1">
      <alignment horizontal="center" vertical="center" wrapText="1"/>
    </xf>
    <xf numFmtId="0" fontId="62" fillId="0" borderId="0" xfId="0" applyFont="1" applyFill="1" applyAlignment="1">
      <alignment horizontal="center" vertical="center"/>
    </xf>
    <xf numFmtId="0" fontId="62" fillId="0" borderId="0" xfId="0" applyFont="1" applyFill="1" applyAlignment="1">
      <alignment horizontal="center" vertical="center" wrapText="1"/>
    </xf>
    <xf numFmtId="3" fontId="6" fillId="7" borderId="9" xfId="0" applyNumberFormat="1" applyFont="1" applyFill="1" applyBorder="1" applyAlignment="1">
      <alignment horizontal="center" vertical="center"/>
    </xf>
    <xf numFmtId="0" fontId="0" fillId="0" borderId="0" xfId="0" applyFont="1" applyFill="1" applyAlignment="1">
      <alignment horizontal="center"/>
    </xf>
    <xf numFmtId="3" fontId="6" fillId="0" borderId="9" xfId="0" applyNumberFormat="1" applyFont="1" applyFill="1" applyBorder="1" applyAlignment="1">
      <alignment horizontal="center" vertical="center"/>
    </xf>
    <xf numFmtId="0" fontId="56" fillId="0" borderId="9" xfId="0" applyFont="1" applyFill="1" applyBorder="1" applyAlignment="1">
      <alignment horizontal="center"/>
    </xf>
    <xf numFmtId="3" fontId="56" fillId="0" borderId="9" xfId="0" applyNumberFormat="1" applyFont="1" applyFill="1" applyBorder="1" applyAlignment="1">
      <alignment horizontal="center" vertical="center"/>
    </xf>
    <xf numFmtId="0" fontId="56" fillId="0" borderId="0" xfId="0" applyFont="1" applyFill="1" applyAlignment="1">
      <alignment horizontal="center"/>
    </xf>
    <xf numFmtId="0" fontId="56" fillId="0" borderId="0" xfId="0" applyFont="1" applyAlignment="1">
      <alignment horizontal="center" vertical="center"/>
    </xf>
    <xf numFmtId="0" fontId="57" fillId="0" borderId="9" xfId="0" applyFont="1" applyFill="1" applyBorder="1" applyAlignment="1">
      <alignment horizontal="center" vertical="center" wrapText="1"/>
    </xf>
    <xf numFmtId="0" fontId="53" fillId="21" borderId="9" xfId="0" applyFont="1" applyFill="1" applyBorder="1" applyAlignment="1">
      <alignment horizontal="center" vertical="center" wrapText="1"/>
    </xf>
    <xf numFmtId="0" fontId="54" fillId="21" borderId="13" xfId="0" applyFont="1" applyFill="1" applyBorder="1" applyAlignment="1">
      <alignment horizontal="center" vertical="center" wrapText="1"/>
    </xf>
    <xf numFmtId="0" fontId="54" fillId="21" borderId="9" xfId="0" applyFont="1" applyFill="1" applyBorder="1" applyAlignment="1">
      <alignment horizontal="center" vertical="center" wrapText="1"/>
    </xf>
    <xf numFmtId="0" fontId="0" fillId="0" borderId="0" xfId="0" applyFill="1" applyProtection="1">
      <alignment vertical="center"/>
      <protection locked="0"/>
    </xf>
    <xf numFmtId="0" fontId="63" fillId="0" borderId="9" xfId="0" applyFont="1" applyFill="1" applyBorder="1" applyAlignment="1" applyProtection="1">
      <alignment horizontal="center" vertical="center"/>
      <protection locked="0"/>
    </xf>
    <xf numFmtId="0" fontId="64" fillId="0" borderId="9" xfId="0" applyFont="1" applyFill="1" applyBorder="1" applyAlignment="1" applyProtection="1">
      <alignment horizontal="center" vertical="center"/>
      <protection locked="0"/>
    </xf>
    <xf numFmtId="0" fontId="65" fillId="0" borderId="9" xfId="0" applyFont="1" applyFill="1" applyBorder="1" applyAlignment="1" applyProtection="1">
      <alignment horizontal="center" vertical="center"/>
      <protection locked="0"/>
    </xf>
    <xf numFmtId="0" fontId="66" fillId="0" borderId="9" xfId="0" applyFont="1" applyFill="1" applyBorder="1" applyAlignment="1" applyProtection="1">
      <alignment horizontal="center" vertical="center"/>
      <protection locked="0"/>
    </xf>
    <xf numFmtId="0" fontId="66" fillId="0" borderId="11" xfId="0" applyFont="1" applyFill="1" applyBorder="1" applyAlignment="1" applyProtection="1">
      <alignment horizontal="center" vertical="center"/>
      <protection locked="0"/>
    </xf>
    <xf numFmtId="0" fontId="65" fillId="20" borderId="9" xfId="0" applyFont="1" applyFill="1" applyBorder="1" applyAlignment="1" applyProtection="1">
      <alignment horizontal="center" vertical="center"/>
      <protection locked="0"/>
    </xf>
    <xf numFmtId="0" fontId="67" fillId="0" borderId="0" xfId="0" applyFont="1" applyFill="1" applyProtection="1">
      <alignment vertical="center"/>
      <protection locked="0"/>
    </xf>
    <xf numFmtId="0" fontId="68" fillId="0" borderId="9" xfId="0" applyFont="1" applyFill="1" applyBorder="1" applyAlignment="1" applyProtection="1">
      <alignment horizontal="center" vertical="center"/>
      <protection locked="0"/>
    </xf>
    <xf numFmtId="0" fontId="0" fillId="6" borderId="0" xfId="0" applyFill="1" applyProtection="1">
      <alignment vertical="center"/>
      <protection locked="0"/>
    </xf>
    <xf numFmtId="0" fontId="69" fillId="0" borderId="0" xfId="0" applyFont="1" applyFill="1" applyProtection="1">
      <alignment vertical="center"/>
      <protection locked="0"/>
    </xf>
    <xf numFmtId="0" fontId="69" fillId="6" borderId="0" xfId="0" applyFont="1" applyFill="1" applyProtection="1">
      <alignment vertical="center"/>
      <protection locked="0"/>
    </xf>
    <xf numFmtId="0" fontId="0" fillId="5" borderId="0" xfId="0" applyFill="1" applyProtection="1">
      <alignment vertical="center"/>
      <protection locked="0"/>
    </xf>
    <xf numFmtId="0" fontId="68" fillId="5" borderId="9" xfId="0" applyFont="1" applyFill="1" applyBorder="1" applyAlignment="1" applyProtection="1">
      <alignment horizontal="center" vertical="center"/>
      <protection locked="0"/>
    </xf>
    <xf numFmtId="177" fontId="0" fillId="0" borderId="0" xfId="0" applyNumberFormat="1" applyFill="1" applyProtection="1">
      <alignment vertical="center"/>
    </xf>
    <xf numFmtId="0" fontId="0" fillId="0" borderId="0" xfId="0" applyFill="1" applyAlignment="1" applyProtection="1">
      <alignment vertical="center" wrapText="1"/>
      <protection locked="0"/>
    </xf>
    <xf numFmtId="179" fontId="0" fillId="0" borderId="0" xfId="0" applyNumberFormat="1" applyFill="1" applyAlignment="1" applyProtection="1">
      <alignment vertical="center" wrapText="1"/>
      <protection locked="0"/>
    </xf>
    <xf numFmtId="180" fontId="0" fillId="0" borderId="0" xfId="0" applyNumberFormat="1" applyFill="1" applyAlignment="1" applyProtection="1">
      <alignment vertical="center" wrapText="1"/>
      <protection locked="0"/>
    </xf>
    <xf numFmtId="0" fontId="64" fillId="0" borderId="0" xfId="0" applyFont="1" applyFill="1" applyProtection="1">
      <alignment vertical="center"/>
      <protection locked="0"/>
    </xf>
    <xf numFmtId="0" fontId="64" fillId="0" borderId="0" xfId="0" applyFont="1" applyFill="1" applyAlignment="1" applyProtection="1">
      <alignment horizontal="center" vertical="center" wrapText="1"/>
      <protection locked="0"/>
    </xf>
    <xf numFmtId="0" fontId="64" fillId="0" borderId="0" xfId="0" applyFont="1" applyFill="1" applyAlignment="1" applyProtection="1">
      <alignment horizontal="center" vertical="center"/>
      <protection locked="0"/>
    </xf>
    <xf numFmtId="0" fontId="70" fillId="0" borderId="0" xfId="0" applyNumberFormat="1" applyFont="1" applyFill="1" applyAlignment="1" applyProtection="1">
      <alignment horizontal="center" vertical="center"/>
      <protection locked="0"/>
    </xf>
    <xf numFmtId="0" fontId="70" fillId="0" borderId="0" xfId="0" applyFont="1" applyFill="1" applyProtection="1">
      <alignment vertical="center"/>
      <protection locked="0"/>
    </xf>
    <xf numFmtId="0" fontId="71" fillId="0" borderId="0" xfId="0" applyFont="1" applyFill="1" applyProtection="1">
      <alignment vertical="center"/>
      <protection locked="0"/>
    </xf>
    <xf numFmtId="185" fontId="0" fillId="0" borderId="0" xfId="0" applyNumberFormat="1" applyFill="1" applyProtection="1">
      <alignment vertical="center"/>
      <protection locked="0"/>
    </xf>
    <xf numFmtId="180" fontId="0" fillId="0" borderId="0" xfId="0" applyNumberFormat="1" applyFill="1" applyProtection="1">
      <alignment vertical="center"/>
      <protection locked="0"/>
    </xf>
    <xf numFmtId="0" fontId="0" fillId="0" borderId="0" xfId="0" applyFill="1" applyAlignment="1" applyProtection="1">
      <alignment horizontal="center" vertical="center"/>
      <protection locked="0"/>
    </xf>
    <xf numFmtId="0" fontId="0" fillId="0" borderId="0" xfId="0" applyFill="1">
      <alignment vertical="center"/>
    </xf>
    <xf numFmtId="177" fontId="72" fillId="0" borderId="9" xfId="0" applyNumberFormat="1" applyFont="1" applyFill="1" applyBorder="1" applyAlignment="1" applyProtection="1">
      <alignment horizontal="center" vertical="center" wrapText="1" shrinkToFit="1"/>
    </xf>
    <xf numFmtId="0" fontId="72" fillId="0" borderId="9" xfId="0" applyFont="1" applyFill="1" applyBorder="1" applyAlignment="1" applyProtection="1">
      <alignment horizontal="center" vertical="center" wrapText="1" shrinkToFit="1"/>
      <protection locked="0"/>
    </xf>
    <xf numFmtId="49" fontId="72" fillId="0" borderId="9" xfId="0" applyNumberFormat="1" applyFont="1" applyFill="1" applyBorder="1" applyAlignment="1" applyProtection="1">
      <alignment horizontal="center" vertical="center" wrapText="1" shrinkToFit="1"/>
      <protection locked="0"/>
    </xf>
    <xf numFmtId="178" fontId="73" fillId="0" borderId="9" xfId="0" applyNumberFormat="1" applyFont="1" applyFill="1" applyBorder="1" applyAlignment="1" applyProtection="1">
      <alignment horizontal="center" vertical="center" wrapText="1" shrinkToFit="1"/>
    </xf>
    <xf numFmtId="0" fontId="64" fillId="0" borderId="9" xfId="0" applyFont="1" applyFill="1" applyBorder="1" applyAlignment="1" applyProtection="1">
      <alignment horizontal="center" vertical="center" wrapText="1"/>
      <protection locked="0"/>
    </xf>
    <xf numFmtId="0" fontId="64" fillId="0" borderId="9" xfId="0" applyFont="1" applyFill="1" applyBorder="1" applyAlignment="1" applyProtection="1">
      <alignment horizontal="center" vertical="center" wrapText="1" shrinkToFit="1"/>
      <protection locked="0"/>
    </xf>
    <xf numFmtId="0" fontId="63" fillId="0" borderId="9" xfId="0" applyFont="1" applyFill="1" applyBorder="1" applyAlignment="1" applyProtection="1">
      <alignment horizontal="center" vertical="center" wrapText="1" shrinkToFit="1"/>
      <protection locked="0"/>
    </xf>
    <xf numFmtId="49" fontId="64" fillId="0" borderId="9" xfId="0" applyNumberFormat="1" applyFont="1" applyFill="1" applyBorder="1" applyAlignment="1" applyProtection="1">
      <alignment horizontal="center" vertical="center" wrapText="1" shrinkToFit="1"/>
      <protection locked="0"/>
    </xf>
    <xf numFmtId="178" fontId="72" fillId="0" borderId="9" xfId="0" applyNumberFormat="1" applyFont="1" applyFill="1" applyBorder="1" applyAlignment="1" applyProtection="1">
      <alignment horizontal="center" vertical="center" wrapText="1" shrinkToFit="1"/>
      <protection locked="0"/>
    </xf>
    <xf numFmtId="0" fontId="72" fillId="0" borderId="9" xfId="0" applyNumberFormat="1" applyFont="1" applyFill="1" applyBorder="1" applyAlignment="1" applyProtection="1">
      <alignment horizontal="center" vertical="center" wrapText="1" shrinkToFit="1"/>
      <protection locked="0"/>
    </xf>
    <xf numFmtId="181" fontId="63" fillId="0" borderId="9" xfId="0" applyNumberFormat="1" applyFont="1" applyFill="1" applyBorder="1" applyAlignment="1" applyProtection="1">
      <alignment horizontal="center" vertical="center" wrapText="1" shrinkToFit="1"/>
      <protection locked="0"/>
    </xf>
    <xf numFmtId="178" fontId="63" fillId="0" borderId="9" xfId="0" applyNumberFormat="1" applyFont="1" applyFill="1" applyBorder="1" applyAlignment="1" applyProtection="1">
      <alignment horizontal="center" vertical="center" wrapText="1" shrinkToFit="1"/>
      <protection locked="0"/>
    </xf>
    <xf numFmtId="0" fontId="63" fillId="0" borderId="9" xfId="0" applyNumberFormat="1" applyFont="1" applyFill="1" applyBorder="1" applyAlignment="1" applyProtection="1">
      <alignment horizontal="center" vertical="center" wrapText="1" shrinkToFit="1"/>
      <protection locked="0"/>
    </xf>
    <xf numFmtId="178" fontId="64" fillId="0" borderId="9" xfId="0" applyNumberFormat="1" applyFont="1" applyFill="1" applyBorder="1" applyAlignment="1" applyProtection="1">
      <alignment horizontal="center" vertical="center" wrapText="1" shrinkToFit="1"/>
      <protection locked="0"/>
    </xf>
    <xf numFmtId="0" fontId="64" fillId="0" borderId="9" xfId="0" applyNumberFormat="1" applyFont="1" applyFill="1" applyBorder="1" applyAlignment="1" applyProtection="1">
      <alignment horizontal="center" vertical="center" wrapText="1" shrinkToFit="1"/>
      <protection locked="0"/>
    </xf>
    <xf numFmtId="181" fontId="64" fillId="0" borderId="9" xfId="0" applyNumberFormat="1" applyFont="1" applyFill="1" applyBorder="1" applyAlignment="1" applyProtection="1">
      <alignment horizontal="center" vertical="center" wrapText="1" shrinkToFit="1"/>
      <protection locked="0"/>
    </xf>
    <xf numFmtId="0" fontId="63" fillId="6" borderId="9" xfId="0" applyFont="1" applyFill="1" applyBorder="1" applyAlignment="1" applyProtection="1">
      <alignment horizontal="center" vertical="center" wrapText="1" shrinkToFit="1"/>
      <protection locked="0"/>
    </xf>
    <xf numFmtId="182" fontId="72" fillId="0" borderId="9" xfId="0" applyNumberFormat="1" applyFont="1" applyFill="1" applyBorder="1" applyAlignment="1" applyProtection="1">
      <alignment horizontal="center" vertical="center" wrapText="1" shrinkToFit="1"/>
      <protection locked="0"/>
    </xf>
    <xf numFmtId="0" fontId="74" fillId="0" borderId="9" xfId="0" applyFont="1" applyFill="1" applyBorder="1" applyAlignment="1" applyProtection="1">
      <alignment horizontal="center" vertical="center"/>
      <protection locked="0"/>
    </xf>
    <xf numFmtId="179" fontId="75" fillId="0" borderId="9" xfId="0" applyNumberFormat="1" applyFont="1" applyFill="1" applyBorder="1" applyAlignment="1" applyProtection="1">
      <alignment horizontal="center" vertical="center" wrapText="1" shrinkToFit="1"/>
      <protection locked="0"/>
    </xf>
    <xf numFmtId="182" fontId="63" fillId="0" borderId="9" xfId="0" applyNumberFormat="1" applyFont="1" applyFill="1" applyBorder="1" applyAlignment="1" applyProtection="1">
      <alignment horizontal="center" vertical="center" wrapText="1" shrinkToFit="1"/>
      <protection locked="0"/>
    </xf>
    <xf numFmtId="0" fontId="63" fillId="0" borderId="9" xfId="0" applyFont="1" applyFill="1" applyBorder="1" applyAlignment="1" applyProtection="1">
      <alignment horizontal="center" vertical="center" wrapText="1"/>
      <protection locked="0"/>
    </xf>
    <xf numFmtId="0" fontId="76" fillId="0" borderId="9" xfId="0" applyNumberFormat="1" applyFont="1" applyFill="1" applyBorder="1" applyAlignment="1" applyProtection="1">
      <alignment horizontal="center" vertical="center" wrapText="1"/>
      <protection locked="0"/>
    </xf>
    <xf numFmtId="183" fontId="64" fillId="0" borderId="9" xfId="0" applyNumberFormat="1" applyFont="1" applyFill="1" applyBorder="1" applyAlignment="1" applyProtection="1">
      <alignment horizontal="center" vertical="center" wrapText="1" shrinkToFit="1"/>
      <protection locked="0"/>
    </xf>
    <xf numFmtId="182" fontId="77" fillId="0" borderId="9" xfId="0" applyNumberFormat="1" applyFont="1" applyFill="1" applyBorder="1" applyAlignment="1" applyProtection="1">
      <alignment horizontal="center" vertical="center" wrapText="1" shrinkToFit="1"/>
      <protection locked="0"/>
    </xf>
    <xf numFmtId="180" fontId="75" fillId="0" borderId="9" xfId="0" applyNumberFormat="1" applyFont="1" applyFill="1" applyBorder="1" applyAlignment="1" applyProtection="1">
      <alignment horizontal="center" vertical="center" wrapText="1" shrinkToFit="1"/>
      <protection locked="0"/>
    </xf>
    <xf numFmtId="0" fontId="78" fillId="0" borderId="9" xfId="0" applyFont="1" applyFill="1" applyBorder="1" applyAlignment="1" applyProtection="1">
      <alignment horizontal="center" vertical="center" wrapText="1" shrinkToFit="1"/>
      <protection locked="0"/>
    </xf>
    <xf numFmtId="0" fontId="79" fillId="0" borderId="9" xfId="0" applyNumberFormat="1" applyFont="1" applyFill="1" applyBorder="1" applyAlignment="1" applyProtection="1">
      <alignment horizontal="center" vertical="center" wrapText="1" shrinkToFit="1"/>
      <protection locked="0"/>
    </xf>
    <xf numFmtId="180" fontId="63" fillId="0" borderId="9" xfId="0" applyNumberFormat="1" applyFont="1" applyFill="1" applyBorder="1" applyAlignment="1" applyProtection="1">
      <alignment horizontal="center" vertical="center" wrapText="1" shrinkToFit="1"/>
      <protection locked="0"/>
    </xf>
    <xf numFmtId="180" fontId="64" fillId="0" borderId="9" xfId="0" applyNumberFormat="1" applyFont="1" applyFill="1" applyBorder="1" applyAlignment="1" applyProtection="1">
      <alignment horizontal="center" vertical="center" wrapText="1" shrinkToFit="1"/>
      <protection locked="0"/>
    </xf>
    <xf numFmtId="0" fontId="68" fillId="0" borderId="9" xfId="0" applyFont="1" applyFill="1" applyBorder="1" applyAlignment="1" applyProtection="1">
      <alignment horizontal="center" vertical="center" wrapText="1" shrinkToFit="1"/>
      <protection locked="0"/>
    </xf>
    <xf numFmtId="0" fontId="80" fillId="0" borderId="9" xfId="0" applyFont="1" applyFill="1" applyBorder="1" applyAlignment="1" applyProtection="1">
      <alignment horizontal="center" vertical="center" wrapText="1" shrinkToFit="1"/>
      <protection locked="0"/>
    </xf>
    <xf numFmtId="0" fontId="63" fillId="5" borderId="9" xfId="0" applyFont="1" applyFill="1" applyBorder="1" applyAlignment="1" applyProtection="1">
      <alignment horizontal="center" vertical="center" wrapText="1" shrinkToFit="1"/>
      <protection locked="0"/>
    </xf>
    <xf numFmtId="0" fontId="79" fillId="0" borderId="9" xfId="0" applyFont="1" applyFill="1" applyBorder="1" applyAlignment="1" applyProtection="1">
      <alignment horizontal="center" vertical="center" wrapText="1" shrinkToFit="1"/>
      <protection locked="0"/>
    </xf>
    <xf numFmtId="0" fontId="81" fillId="0" borderId="9" xfId="0" applyFont="1" applyFill="1" applyBorder="1" applyAlignment="1" applyProtection="1">
      <alignment horizontal="center" vertical="center" wrapText="1" shrinkToFit="1"/>
      <protection locked="0"/>
    </xf>
    <xf numFmtId="0" fontId="74" fillId="0" borderId="9" xfId="0" applyFont="1" applyFill="1" applyBorder="1" applyAlignment="1" applyProtection="1">
      <alignment horizontal="center" vertical="center" wrapText="1"/>
      <protection locked="0"/>
    </xf>
    <xf numFmtId="0" fontId="82" fillId="0" borderId="9" xfId="0" applyFont="1" applyFill="1" applyBorder="1" applyAlignment="1" applyProtection="1">
      <alignment horizontal="center" vertical="center" wrapText="1"/>
      <protection locked="0"/>
    </xf>
    <xf numFmtId="0" fontId="63" fillId="0" borderId="9" xfId="0" applyFont="1" applyFill="1" applyBorder="1" applyAlignment="1" applyProtection="1">
      <alignment vertical="center" wrapText="1" shrinkToFit="1"/>
      <protection locked="0"/>
    </xf>
    <xf numFmtId="0" fontId="83" fillId="0" borderId="9" xfId="0" applyFont="1" applyFill="1" applyBorder="1" applyAlignment="1" applyProtection="1">
      <alignment horizontal="center" vertical="center" wrapText="1" shrinkToFit="1"/>
      <protection locked="0"/>
    </xf>
    <xf numFmtId="0" fontId="84" fillId="0" borderId="9" xfId="0" applyFont="1" applyFill="1" applyBorder="1" applyAlignment="1" applyProtection="1">
      <alignment horizontal="center" vertical="center" wrapText="1"/>
      <protection locked="0"/>
    </xf>
    <xf numFmtId="0" fontId="85" fillId="0" borderId="9" xfId="0" applyFont="1" applyFill="1" applyBorder="1" applyAlignment="1" applyProtection="1">
      <alignment horizontal="center" vertical="center" wrapText="1"/>
      <protection locked="0"/>
    </xf>
    <xf numFmtId="185" fontId="74" fillId="0" borderId="9" xfId="0" applyNumberFormat="1" applyFont="1" applyFill="1" applyBorder="1" applyAlignment="1" applyProtection="1">
      <alignment horizontal="center" vertical="center" wrapText="1"/>
      <protection locked="0"/>
    </xf>
    <xf numFmtId="0" fontId="72" fillId="0" borderId="9" xfId="0" applyFont="1" applyFill="1" applyBorder="1" applyAlignment="1" applyProtection="1">
      <alignment horizontal="center" vertical="center" wrapText="1"/>
      <protection locked="0"/>
    </xf>
    <xf numFmtId="185" fontId="63" fillId="0" borderId="9" xfId="0" applyNumberFormat="1" applyFont="1" applyFill="1" applyBorder="1" applyAlignment="1" applyProtection="1">
      <alignment horizontal="center" vertical="center"/>
      <protection locked="0"/>
    </xf>
    <xf numFmtId="180" fontId="74" fillId="0" borderId="9" xfId="0" applyNumberFormat="1" applyFont="1" applyFill="1" applyBorder="1" applyAlignment="1" applyProtection="1">
      <alignment horizontal="center" vertical="center" wrapText="1"/>
      <protection locked="0"/>
    </xf>
    <xf numFmtId="0" fontId="69" fillId="0" borderId="9" xfId="0" applyFont="1" applyFill="1" applyBorder="1" applyAlignment="1" applyProtection="1">
      <alignment horizontal="center" vertical="center" wrapText="1"/>
      <protection locked="0"/>
    </xf>
    <xf numFmtId="180" fontId="63" fillId="0" borderId="9" xfId="0" applyNumberFormat="1" applyFont="1" applyFill="1" applyBorder="1" applyAlignment="1" applyProtection="1">
      <alignment horizontal="center" vertical="center"/>
      <protection locked="0"/>
    </xf>
    <xf numFmtId="180" fontId="64" fillId="0" borderId="9" xfId="0" applyNumberFormat="1" applyFont="1" applyFill="1" applyBorder="1" applyAlignment="1" applyProtection="1">
      <alignment horizontal="center" vertical="center"/>
      <protection locked="0"/>
    </xf>
    <xf numFmtId="0" fontId="86" fillId="0" borderId="9" xfId="0" applyFont="1" applyFill="1" applyBorder="1" applyAlignment="1" applyProtection="1">
      <alignment horizontal="center" vertical="center" wrapText="1"/>
      <protection locked="0"/>
    </xf>
    <xf numFmtId="0" fontId="87" fillId="0" borderId="9" xfId="0" applyFont="1" applyFill="1" applyBorder="1" applyAlignment="1" applyProtection="1">
      <alignment horizontal="center" vertical="center" wrapText="1" shrinkToFit="1"/>
      <protection locked="0"/>
    </xf>
    <xf numFmtId="0" fontId="88" fillId="0" borderId="9" xfId="0" applyFont="1" applyFill="1" applyBorder="1" applyAlignment="1" applyProtection="1">
      <alignment horizontal="center" vertical="center" wrapText="1" shrinkToFit="1"/>
      <protection locked="0"/>
    </xf>
    <xf numFmtId="0" fontId="78" fillId="0" borderId="9" xfId="0" applyFont="1" applyFill="1" applyBorder="1" applyAlignment="1" applyProtection="1">
      <alignment horizontal="center" vertical="center" wrapText="1"/>
      <protection locked="0"/>
    </xf>
    <xf numFmtId="0" fontId="89" fillId="0" borderId="9" xfId="0" applyFont="1" applyFill="1" applyBorder="1" applyAlignment="1" applyProtection="1">
      <alignment horizontal="center" vertical="center" wrapText="1"/>
      <protection locked="0"/>
    </xf>
    <xf numFmtId="185" fontId="78" fillId="0" borderId="9" xfId="0" applyNumberFormat="1" applyFont="1" applyFill="1" applyBorder="1" applyAlignment="1" applyProtection="1">
      <alignment horizontal="center" vertical="center" wrapText="1"/>
      <protection locked="0"/>
    </xf>
    <xf numFmtId="185" fontId="74" fillId="0" borderId="9" xfId="0" applyNumberFormat="1" applyFont="1" applyFill="1" applyBorder="1" applyAlignment="1" applyProtection="1">
      <alignment horizontal="center" vertical="center"/>
      <protection locked="0"/>
    </xf>
    <xf numFmtId="185" fontId="64" fillId="0" borderId="9" xfId="0" applyNumberFormat="1" applyFont="1" applyFill="1" applyBorder="1" applyAlignment="1" applyProtection="1">
      <alignment horizontal="center" vertical="center"/>
      <protection locked="0"/>
    </xf>
    <xf numFmtId="0" fontId="68" fillId="0" borderId="9" xfId="0" applyFont="1" applyFill="1" applyBorder="1" applyAlignment="1" applyProtection="1">
      <alignment horizontal="center" vertical="center" wrapText="1"/>
      <protection locked="0"/>
    </xf>
    <xf numFmtId="0" fontId="90" fillId="0" borderId="9" xfId="0" applyFont="1" applyFill="1" applyBorder="1" applyAlignment="1" applyProtection="1">
      <alignment horizontal="center" vertical="center" wrapText="1" shrinkToFit="1"/>
      <protection locked="0"/>
    </xf>
    <xf numFmtId="178" fontId="73" fillId="22" borderId="9" xfId="0" applyNumberFormat="1" applyFont="1" applyFill="1" applyBorder="1" applyAlignment="1" applyProtection="1">
      <alignment horizontal="center" vertical="center" wrapText="1" shrinkToFit="1"/>
    </xf>
    <xf numFmtId="0" fontId="0" fillId="0" borderId="9" xfId="0" applyFont="1" applyFill="1" applyBorder="1" applyAlignment="1" applyProtection="1">
      <alignment horizontal="center" vertical="center" wrapText="1"/>
      <protection locked="0"/>
    </xf>
    <xf numFmtId="0" fontId="63" fillId="6" borderId="9" xfId="0" applyFont="1" applyFill="1" applyBorder="1" applyAlignment="1" applyProtection="1">
      <alignment horizontal="center" vertical="center" wrapText="1"/>
      <protection locked="0"/>
    </xf>
    <xf numFmtId="180" fontId="66" fillId="0" borderId="9" xfId="0" applyNumberFormat="1" applyFont="1" applyFill="1" applyBorder="1" applyAlignment="1" applyProtection="1">
      <alignment horizontal="center" vertical="center" wrapText="1" shrinkToFit="1"/>
      <protection locked="0"/>
    </xf>
    <xf numFmtId="178" fontId="91" fillId="0" borderId="9" xfId="0" applyNumberFormat="1" applyFont="1" applyFill="1" applyBorder="1" applyAlignment="1" applyProtection="1">
      <alignment horizontal="center" vertical="center" wrapText="1" shrinkToFit="1"/>
      <protection locked="0"/>
    </xf>
    <xf numFmtId="178" fontId="63" fillId="6" borderId="9" xfId="0" applyNumberFormat="1" applyFont="1" applyFill="1" applyBorder="1" applyAlignment="1" applyProtection="1">
      <alignment horizontal="center" vertical="center" wrapText="1" shrinkToFit="1"/>
      <protection locked="0"/>
    </xf>
    <xf numFmtId="0" fontId="92" fillId="0" borderId="9" xfId="0" applyNumberFormat="1" applyFont="1" applyFill="1" applyBorder="1" applyAlignment="1" applyProtection="1">
      <alignment horizontal="center" vertical="center"/>
      <protection locked="0"/>
    </xf>
    <xf numFmtId="0" fontId="93" fillId="0" borderId="9" xfId="0" applyFont="1" applyFill="1" applyBorder="1" applyAlignment="1" applyProtection="1">
      <alignment horizontal="center" vertical="center"/>
      <protection locked="0"/>
    </xf>
    <xf numFmtId="178" fontId="94" fillId="0" borderId="9" xfId="0" applyNumberFormat="1" applyFont="1" applyFill="1" applyBorder="1" applyAlignment="1" applyProtection="1">
      <alignment horizontal="center" vertical="center" wrapText="1" shrinkToFit="1"/>
    </xf>
    <xf numFmtId="0" fontId="67" fillId="0" borderId="9" xfId="0" applyFont="1" applyFill="1" applyBorder="1" applyAlignment="1" applyProtection="1">
      <alignment horizontal="center" vertical="center" wrapText="1"/>
      <protection locked="0"/>
    </xf>
    <xf numFmtId="0" fontId="67" fillId="0" borderId="9" xfId="0" applyFont="1" applyFill="1" applyBorder="1" applyAlignment="1" applyProtection="1">
      <alignment horizontal="center" vertical="center" wrapText="1" shrinkToFit="1"/>
      <protection locked="0"/>
    </xf>
    <xf numFmtId="0" fontId="65" fillId="0" borderId="9" xfId="0" applyFont="1" applyFill="1" applyBorder="1" applyAlignment="1" applyProtection="1">
      <alignment horizontal="center" vertical="center" wrapText="1" shrinkToFit="1"/>
      <protection locked="0"/>
    </xf>
    <xf numFmtId="0" fontId="67" fillId="0" borderId="9" xfId="0" applyNumberFormat="1" applyFont="1" applyFill="1" applyBorder="1" applyAlignment="1" applyProtection="1">
      <alignment horizontal="center" vertical="center" wrapText="1" shrinkToFit="1"/>
      <protection locked="0"/>
    </xf>
    <xf numFmtId="49" fontId="67" fillId="0" borderId="9" xfId="0" applyNumberFormat="1" applyFont="1" applyFill="1" applyBorder="1" applyAlignment="1" applyProtection="1">
      <alignment horizontal="center" vertical="center" wrapText="1" shrinkToFit="1"/>
      <protection locked="0"/>
    </xf>
    <xf numFmtId="181" fontId="65" fillId="0" borderId="9" xfId="0" applyNumberFormat="1" applyFont="1" applyFill="1" applyBorder="1" applyAlignment="1" applyProtection="1">
      <alignment horizontal="center" vertical="center" wrapText="1" shrinkToFit="1"/>
      <protection locked="0"/>
    </xf>
    <xf numFmtId="178" fontId="65" fillId="0" borderId="9" xfId="0" applyNumberFormat="1" applyFont="1" applyFill="1" applyBorder="1" applyAlignment="1" applyProtection="1">
      <alignment horizontal="center" vertical="center" wrapText="1" shrinkToFit="1"/>
      <protection locked="0"/>
    </xf>
    <xf numFmtId="0" fontId="65" fillId="0" borderId="9" xfId="0" applyNumberFormat="1" applyFont="1" applyFill="1" applyBorder="1" applyAlignment="1" applyProtection="1">
      <alignment horizontal="center" vertical="center" wrapText="1" shrinkToFit="1"/>
      <protection locked="0"/>
    </xf>
    <xf numFmtId="0" fontId="65" fillId="6" borderId="9" xfId="0" applyFont="1" applyFill="1" applyBorder="1" applyAlignment="1" applyProtection="1">
      <alignment horizontal="center" vertical="center" wrapText="1" shrinkToFit="1"/>
      <protection locked="0"/>
    </xf>
    <xf numFmtId="178" fontId="65" fillId="6" borderId="9" xfId="0" applyNumberFormat="1" applyFont="1" applyFill="1" applyBorder="1" applyAlignment="1" applyProtection="1">
      <alignment horizontal="center" vertical="center" wrapText="1" shrinkToFit="1"/>
      <protection locked="0"/>
    </xf>
    <xf numFmtId="58" fontId="63" fillId="0" borderId="9" xfId="0" applyNumberFormat="1" applyFont="1" applyFill="1" applyBorder="1" applyAlignment="1" applyProtection="1">
      <alignment horizontal="center" vertical="center" wrapText="1" shrinkToFit="1"/>
      <protection locked="0"/>
    </xf>
    <xf numFmtId="182" fontId="65" fillId="0" borderId="9" xfId="0" applyNumberFormat="1" applyFont="1" applyFill="1" applyBorder="1" applyAlignment="1" applyProtection="1">
      <alignment horizontal="center" vertical="center" wrapText="1" shrinkToFit="1"/>
      <protection locked="0"/>
    </xf>
    <xf numFmtId="0" fontId="65" fillId="6" borderId="9" xfId="0" applyFont="1" applyFill="1" applyBorder="1" applyAlignment="1" applyProtection="1">
      <alignment horizontal="center" vertical="center" wrapText="1"/>
      <protection locked="0"/>
    </xf>
    <xf numFmtId="0" fontId="65" fillId="0" borderId="9" xfId="0" applyFont="1" applyFill="1" applyBorder="1" applyAlignment="1" applyProtection="1">
      <alignment horizontal="center" vertical="center" wrapText="1"/>
      <protection locked="0"/>
    </xf>
    <xf numFmtId="182" fontId="67" fillId="0" borderId="9" xfId="0" applyNumberFormat="1" applyFont="1" applyFill="1" applyBorder="1" applyAlignment="1" applyProtection="1">
      <alignment horizontal="center" vertical="center" wrapText="1" shrinkToFit="1"/>
      <protection locked="0"/>
    </xf>
    <xf numFmtId="58" fontId="65" fillId="0" borderId="9" xfId="0" applyNumberFormat="1" applyFont="1" applyFill="1" applyBorder="1" applyAlignment="1" applyProtection="1">
      <alignment horizontal="center" vertical="center" wrapText="1" shrinkToFit="1"/>
      <protection locked="0"/>
    </xf>
    <xf numFmtId="0" fontId="67" fillId="6" borderId="9" xfId="0" applyFont="1" applyFill="1" applyBorder="1" applyAlignment="1" applyProtection="1">
      <alignment horizontal="center" vertical="center" wrapText="1"/>
      <protection locked="0"/>
    </xf>
    <xf numFmtId="184" fontId="65" fillId="0" borderId="9" xfId="0" applyNumberFormat="1" applyFont="1" applyFill="1" applyBorder="1" applyAlignment="1" applyProtection="1">
      <alignment horizontal="center" vertical="center" wrapText="1"/>
      <protection locked="0"/>
    </xf>
    <xf numFmtId="178" fontId="67" fillId="0" borderId="9" xfId="0" applyNumberFormat="1" applyFont="1" applyFill="1" applyBorder="1" applyAlignment="1" applyProtection="1">
      <alignment horizontal="center" vertical="center" wrapText="1" shrinkToFit="1"/>
      <protection locked="0"/>
    </xf>
    <xf numFmtId="183" fontId="67" fillId="0" borderId="9" xfId="0" applyNumberFormat="1" applyFont="1" applyFill="1" applyBorder="1" applyAlignment="1" applyProtection="1">
      <alignment horizontal="center" vertical="center" wrapText="1" shrinkToFit="1"/>
      <protection locked="0"/>
    </xf>
    <xf numFmtId="0" fontId="95" fillId="0" borderId="9" xfId="0" applyFont="1" applyFill="1" applyBorder="1" applyAlignment="1" applyProtection="1">
      <alignment horizontal="center" vertical="center" wrapText="1" shrinkToFit="1"/>
      <protection locked="0"/>
    </xf>
    <xf numFmtId="180" fontId="65" fillId="0" borderId="9" xfId="0" applyNumberFormat="1" applyFont="1" applyFill="1" applyBorder="1" applyAlignment="1" applyProtection="1">
      <alignment horizontal="center" vertical="center" wrapText="1" shrinkToFit="1"/>
      <protection locked="0"/>
    </xf>
    <xf numFmtId="0" fontId="67" fillId="8" borderId="9" xfId="0" applyFont="1" applyFill="1" applyBorder="1" applyAlignment="1" applyProtection="1">
      <alignment horizontal="center" vertical="center" wrapText="1"/>
      <protection locked="0"/>
    </xf>
    <xf numFmtId="0" fontId="65" fillId="0" borderId="9" xfId="0" applyFont="1" applyFill="1" applyBorder="1" applyAlignment="1" applyProtection="1">
      <alignment vertical="center" wrapText="1" shrinkToFit="1"/>
      <protection locked="0"/>
    </xf>
    <xf numFmtId="0" fontId="67" fillId="0" borderId="9" xfId="0" applyFont="1" applyFill="1" applyBorder="1" applyAlignment="1" applyProtection="1">
      <alignment horizontal="center" vertical="center"/>
      <protection locked="0"/>
    </xf>
    <xf numFmtId="185" fontId="65" fillId="0" borderId="9" xfId="0" applyNumberFormat="1" applyFont="1" applyFill="1" applyBorder="1" applyAlignment="1" applyProtection="1">
      <alignment horizontal="center" vertical="center"/>
      <protection locked="0"/>
    </xf>
    <xf numFmtId="180" fontId="65" fillId="0" borderId="9" xfId="0" applyNumberFormat="1" applyFont="1" applyFill="1" applyBorder="1" applyAlignment="1" applyProtection="1">
      <alignment horizontal="center" vertical="center"/>
      <protection locked="0"/>
    </xf>
    <xf numFmtId="181" fontId="67" fillId="0" borderId="9" xfId="0" applyNumberFormat="1" applyFont="1" applyFill="1" applyBorder="1" applyAlignment="1" applyProtection="1">
      <alignment horizontal="center" vertical="center"/>
      <protection locked="0"/>
    </xf>
    <xf numFmtId="178" fontId="96" fillId="0" borderId="9" xfId="0" applyNumberFormat="1" applyFont="1" applyFill="1" applyBorder="1" applyAlignment="1" applyProtection="1">
      <alignment horizontal="center" vertical="center" wrapText="1" shrinkToFit="1"/>
    </xf>
    <xf numFmtId="0" fontId="95" fillId="0" borderId="9" xfId="0" applyFont="1" applyFill="1" applyBorder="1" applyAlignment="1" applyProtection="1">
      <alignment horizontal="center" vertical="center" wrapText="1"/>
      <protection locked="0"/>
    </xf>
    <xf numFmtId="0" fontId="66" fillId="0" borderId="9" xfId="0" applyFont="1" applyFill="1" applyBorder="1" applyAlignment="1" applyProtection="1">
      <alignment horizontal="center" vertical="center" wrapText="1" shrinkToFit="1"/>
      <protection locked="0"/>
    </xf>
    <xf numFmtId="0" fontId="95" fillId="6" borderId="9" xfId="0" applyFont="1" applyFill="1" applyBorder="1" applyAlignment="1" applyProtection="1">
      <alignment horizontal="center" vertical="center" wrapText="1" shrinkToFit="1"/>
      <protection locked="0"/>
    </xf>
    <xf numFmtId="49" fontId="95" fillId="0" borderId="9" xfId="0" applyNumberFormat="1" applyFont="1" applyFill="1" applyBorder="1" applyAlignment="1" applyProtection="1">
      <alignment horizontal="center" vertical="center" wrapText="1" shrinkToFit="1"/>
      <protection locked="0"/>
    </xf>
    <xf numFmtId="0" fontId="66" fillId="6" borderId="9" xfId="0" applyFont="1" applyFill="1" applyBorder="1" applyAlignment="1" applyProtection="1">
      <alignment horizontal="center" vertical="center"/>
      <protection locked="0"/>
    </xf>
    <xf numFmtId="0" fontId="66" fillId="20" borderId="9" xfId="0" applyFont="1" applyFill="1" applyBorder="1" applyAlignment="1" applyProtection="1">
      <alignment horizontal="center" vertical="center"/>
      <protection locked="0"/>
    </xf>
    <xf numFmtId="181" fontId="66" fillId="0" borderId="9" xfId="0" applyNumberFormat="1" applyFont="1" applyFill="1" applyBorder="1" applyAlignment="1" applyProtection="1">
      <alignment horizontal="center" vertical="center" wrapText="1" shrinkToFit="1"/>
      <protection locked="0"/>
    </xf>
    <xf numFmtId="178" fontId="66" fillId="0" borderId="9" xfId="0" applyNumberFormat="1" applyFont="1" applyFill="1" applyBorder="1" applyAlignment="1" applyProtection="1">
      <alignment horizontal="center" vertical="center" wrapText="1" shrinkToFit="1"/>
      <protection locked="0"/>
    </xf>
    <xf numFmtId="0" fontId="66" fillId="0" borderId="9" xfId="0" applyNumberFormat="1" applyFont="1" applyFill="1" applyBorder="1" applyAlignment="1" applyProtection="1">
      <alignment horizontal="center" vertical="center" wrapText="1" shrinkToFit="1"/>
      <protection locked="0"/>
    </xf>
    <xf numFmtId="0" fontId="97" fillId="0" borderId="9" xfId="0" applyFont="1" applyBorder="1">
      <alignment vertical="center"/>
    </xf>
    <xf numFmtId="178" fontId="66" fillId="6" borderId="9" xfId="0" applyNumberFormat="1" applyFont="1" applyFill="1" applyBorder="1" applyAlignment="1" applyProtection="1">
      <alignment horizontal="center" vertical="center" wrapText="1" shrinkToFit="1"/>
      <protection locked="0"/>
    </xf>
    <xf numFmtId="0" fontId="66" fillId="6" borderId="9" xfId="0" applyFont="1" applyFill="1" applyBorder="1" applyAlignment="1" applyProtection="1">
      <alignment horizontal="center" vertical="center" wrapText="1" shrinkToFit="1"/>
      <protection locked="0"/>
    </xf>
    <xf numFmtId="0" fontId="66" fillId="5" borderId="9" xfId="0" applyFont="1" applyFill="1" applyBorder="1" applyAlignment="1" applyProtection="1">
      <alignment horizontal="center" vertical="center" wrapText="1" shrinkToFit="1"/>
      <protection locked="0"/>
    </xf>
    <xf numFmtId="0" fontId="66" fillId="6" borderId="9" xfId="0" applyNumberFormat="1" applyFont="1" applyFill="1" applyBorder="1" applyAlignment="1" applyProtection="1">
      <alignment horizontal="center" vertical="center" wrapText="1" shrinkToFit="1"/>
      <protection locked="0"/>
    </xf>
    <xf numFmtId="182" fontId="66" fillId="0" borderId="9" xfId="0" applyNumberFormat="1" applyFont="1" applyFill="1" applyBorder="1" applyAlignment="1" applyProtection="1">
      <alignment horizontal="center" vertical="center" wrapText="1" shrinkToFit="1"/>
      <protection locked="0"/>
    </xf>
    <xf numFmtId="0" fontId="95" fillId="6" borderId="9" xfId="0" applyFont="1" applyFill="1" applyBorder="1" applyAlignment="1" applyProtection="1">
      <alignment horizontal="center" vertical="center" wrapText="1"/>
      <protection locked="0"/>
    </xf>
    <xf numFmtId="0" fontId="66" fillId="0" borderId="9" xfId="0" applyFont="1" applyFill="1" applyBorder="1" applyAlignment="1" applyProtection="1">
      <alignment horizontal="center" vertical="center" wrapText="1"/>
      <protection locked="0"/>
    </xf>
    <xf numFmtId="58" fontId="66" fillId="0" borderId="9" xfId="0" applyNumberFormat="1" applyFont="1" applyFill="1" applyBorder="1" applyAlignment="1" applyProtection="1">
      <alignment horizontal="center" vertical="center" wrapText="1" shrinkToFit="1"/>
      <protection locked="0"/>
    </xf>
    <xf numFmtId="0" fontId="66" fillId="6" borderId="9" xfId="0" applyFont="1" applyFill="1" applyBorder="1" applyAlignment="1" applyProtection="1">
      <alignment horizontal="center" vertical="center" wrapText="1"/>
      <protection locked="0"/>
    </xf>
    <xf numFmtId="184" fontId="66" fillId="0" borderId="9" xfId="0" applyNumberFormat="1" applyFont="1" applyFill="1" applyBorder="1" applyAlignment="1" applyProtection="1">
      <alignment horizontal="center" vertical="center" wrapText="1"/>
      <protection locked="0"/>
    </xf>
    <xf numFmtId="0" fontId="95" fillId="0" borderId="9" xfId="0" applyFont="1" applyFill="1" applyBorder="1" applyAlignment="1" applyProtection="1">
      <alignment horizontal="center" vertical="center"/>
      <protection locked="0"/>
    </xf>
    <xf numFmtId="184" fontId="66" fillId="6" borderId="9" xfId="0" applyNumberFormat="1" applyFont="1" applyFill="1" applyBorder="1" applyAlignment="1" applyProtection="1">
      <alignment horizontal="center" vertical="center" wrapText="1"/>
      <protection locked="0"/>
    </xf>
    <xf numFmtId="182" fontId="95" fillId="0" borderId="9" xfId="0" applyNumberFormat="1" applyFont="1" applyFill="1" applyBorder="1" applyAlignment="1" applyProtection="1">
      <alignment horizontal="center" vertical="center" wrapText="1" shrinkToFit="1"/>
      <protection locked="0"/>
    </xf>
    <xf numFmtId="0" fontId="68" fillId="6" borderId="9" xfId="0" applyFont="1" applyFill="1" applyBorder="1" applyAlignment="1" applyProtection="1">
      <alignment horizontal="center" vertical="center" wrapText="1"/>
      <protection locked="0"/>
    </xf>
    <xf numFmtId="0" fontId="95" fillId="8" borderId="9" xfId="0" applyFont="1" applyFill="1" applyBorder="1" applyAlignment="1" applyProtection="1">
      <alignment horizontal="center" vertical="center" wrapText="1"/>
      <protection locked="0"/>
    </xf>
    <xf numFmtId="180" fontId="66" fillId="6" borderId="9" xfId="0" applyNumberFormat="1" applyFont="1" applyFill="1" applyBorder="1" applyAlignment="1" applyProtection="1">
      <alignment horizontal="center" vertical="center" wrapText="1" shrinkToFit="1"/>
      <protection locked="0"/>
    </xf>
    <xf numFmtId="0" fontId="98" fillId="0" borderId="9" xfId="0" applyFont="1" applyFill="1" applyBorder="1" applyAlignment="1" applyProtection="1">
      <alignment horizontal="center" vertical="center" wrapText="1" shrinkToFit="1"/>
      <protection locked="0"/>
    </xf>
    <xf numFmtId="0" fontId="66" fillId="0" borderId="9" xfId="0" applyFont="1" applyFill="1" applyBorder="1" applyAlignment="1" applyProtection="1">
      <alignment vertical="center" wrapText="1" shrinkToFit="1"/>
      <protection locked="0"/>
    </xf>
    <xf numFmtId="180" fontId="66" fillId="0" borderId="9" xfId="0" applyNumberFormat="1" applyFont="1" applyFill="1" applyBorder="1" applyAlignment="1" applyProtection="1">
      <alignment horizontal="center" vertical="center"/>
      <protection locked="0"/>
    </xf>
    <xf numFmtId="181" fontId="95" fillId="0" borderId="9" xfId="0" applyNumberFormat="1" applyFont="1" applyFill="1" applyBorder="1" applyAlignment="1" applyProtection="1">
      <alignment horizontal="center" vertical="center"/>
      <protection locked="0"/>
    </xf>
    <xf numFmtId="185" fontId="66" fillId="0" borderId="9" xfId="0" applyNumberFormat="1" applyFont="1" applyFill="1" applyBorder="1" applyAlignment="1" applyProtection="1">
      <alignment horizontal="center" vertical="center"/>
      <protection locked="0"/>
    </xf>
    <xf numFmtId="180" fontId="99" fillId="0" borderId="9" xfId="0" applyNumberFormat="1" applyFont="1" applyFill="1" applyBorder="1" applyAlignment="1" applyProtection="1">
      <alignment horizontal="center" vertical="center"/>
      <protection locked="0"/>
    </xf>
    <xf numFmtId="180" fontId="95" fillId="0" borderId="9" xfId="0" applyNumberFormat="1" applyFont="1" applyFill="1" applyBorder="1" applyAlignment="1" applyProtection="1">
      <alignment horizontal="center" vertical="center"/>
      <protection locked="0"/>
    </xf>
    <xf numFmtId="180" fontId="68" fillId="0" borderId="9" xfId="0" applyNumberFormat="1" applyFont="1" applyFill="1" applyBorder="1" applyAlignment="1" applyProtection="1">
      <alignment horizontal="center" vertical="center"/>
      <protection locked="0"/>
    </xf>
    <xf numFmtId="0" fontId="99" fillId="0" borderId="9" xfId="0" applyFont="1" applyFill="1" applyBorder="1" applyAlignment="1" applyProtection="1">
      <alignment horizontal="center" vertical="center"/>
      <protection locked="0"/>
    </xf>
    <xf numFmtId="185" fontId="66" fillId="0" borderId="11" xfId="0" applyNumberFormat="1" applyFont="1" applyFill="1" applyBorder="1" applyAlignment="1" applyProtection="1">
      <alignment horizontal="center" vertical="center"/>
      <protection locked="0"/>
    </xf>
    <xf numFmtId="0" fontId="95" fillId="0" borderId="9" xfId="0" applyNumberFormat="1" applyFont="1" applyFill="1" applyBorder="1" applyAlignment="1" applyProtection="1">
      <alignment horizontal="center" vertical="center" wrapText="1" shrinkToFit="1"/>
      <protection locked="0"/>
    </xf>
    <xf numFmtId="182" fontId="66" fillId="6" borderId="9" xfId="0" applyNumberFormat="1" applyFont="1" applyFill="1" applyBorder="1" applyAlignment="1" applyProtection="1">
      <alignment horizontal="center" vertical="center" wrapText="1" shrinkToFit="1"/>
      <protection locked="0"/>
    </xf>
    <xf numFmtId="0" fontId="66" fillId="0" borderId="9" xfId="0" applyFont="1" applyFill="1" applyBorder="1" applyAlignment="1">
      <alignment horizontal="center" vertical="center" wrapText="1" shrinkToFit="1"/>
    </xf>
    <xf numFmtId="0" fontId="100" fillId="0" borderId="9" xfId="0" applyFont="1" applyFill="1" applyBorder="1" applyAlignment="1">
      <alignment horizontal="center" vertical="center"/>
    </xf>
    <xf numFmtId="0" fontId="95" fillId="0" borderId="9" xfId="0" applyFont="1" applyFill="1" applyBorder="1" applyAlignment="1">
      <alignment horizontal="center" vertical="center"/>
    </xf>
    <xf numFmtId="0" fontId="95" fillId="6" borderId="9" xfId="0" applyFont="1" applyFill="1" applyBorder="1" applyAlignment="1" applyProtection="1">
      <alignment horizontal="center" vertical="center"/>
      <protection locked="0"/>
    </xf>
    <xf numFmtId="180" fontId="66" fillId="6" borderId="9" xfId="0" applyNumberFormat="1" applyFont="1" applyFill="1" applyBorder="1" applyAlignment="1" applyProtection="1">
      <alignment horizontal="center" vertical="center"/>
      <protection locked="0"/>
    </xf>
    <xf numFmtId="181" fontId="66" fillId="0" borderId="9" xfId="0" applyNumberFormat="1" applyFont="1" applyFill="1" applyBorder="1" applyAlignment="1" applyProtection="1">
      <alignment horizontal="center" vertical="center"/>
      <protection locked="0"/>
    </xf>
    <xf numFmtId="191" fontId="66" fillId="0" borderId="9" xfId="0" applyNumberFormat="1" applyFont="1" applyFill="1" applyBorder="1" applyAlignment="1" applyProtection="1">
      <alignment horizontal="center" vertical="center"/>
      <protection locked="0"/>
    </xf>
    <xf numFmtId="0" fontId="65" fillId="6" borderId="9" xfId="0" applyFont="1" applyFill="1" applyBorder="1" applyAlignment="1" applyProtection="1">
      <alignment horizontal="center" vertical="center"/>
      <protection locked="0"/>
    </xf>
    <xf numFmtId="0" fontId="65" fillId="0" borderId="9" xfId="0" applyFont="1" applyFill="1" applyBorder="1" applyAlignment="1">
      <alignment horizontal="center" vertical="center" wrapText="1" shrinkToFit="1"/>
    </xf>
    <xf numFmtId="0" fontId="67" fillId="0" borderId="9" xfId="0" applyFont="1" applyFill="1" applyBorder="1" applyAlignment="1">
      <alignment horizontal="center" vertical="center" wrapText="1"/>
    </xf>
    <xf numFmtId="0" fontId="67" fillId="0" borderId="9" xfId="0" applyFont="1" applyFill="1" applyBorder="1" applyAlignment="1">
      <alignment horizontal="center" vertical="center" wrapText="1" shrinkToFit="1"/>
    </xf>
    <xf numFmtId="0" fontId="65" fillId="5" borderId="9" xfId="0" applyFont="1" applyFill="1" applyBorder="1" applyAlignment="1" applyProtection="1">
      <alignment horizontal="center" vertical="center" wrapText="1"/>
      <protection locked="0"/>
    </xf>
    <xf numFmtId="178" fontId="65" fillId="0" borderId="9" xfId="0" applyNumberFormat="1" applyFont="1" applyFill="1" applyBorder="1" applyAlignment="1">
      <alignment horizontal="center" vertical="center" wrapText="1" shrinkToFit="1"/>
    </xf>
    <xf numFmtId="182" fontId="65" fillId="6" borderId="9" xfId="0" applyNumberFormat="1" applyFont="1" applyFill="1" applyBorder="1" applyAlignment="1" applyProtection="1">
      <alignment horizontal="center" vertical="center" wrapText="1" shrinkToFit="1"/>
      <protection locked="0"/>
    </xf>
    <xf numFmtId="0" fontId="67" fillId="0" borderId="9" xfId="0" applyFont="1" applyFill="1" applyBorder="1" applyAlignment="1">
      <alignment horizontal="center" vertical="center"/>
    </xf>
    <xf numFmtId="0" fontId="67" fillId="6" borderId="9" xfId="0" applyFont="1" applyFill="1" applyBorder="1" applyAlignment="1" applyProtection="1">
      <alignment horizontal="center" vertical="center"/>
      <protection locked="0"/>
    </xf>
    <xf numFmtId="181" fontId="65" fillId="0" borderId="9" xfId="0" applyNumberFormat="1" applyFont="1" applyFill="1" applyBorder="1" applyAlignment="1" applyProtection="1">
      <alignment horizontal="center" vertical="center"/>
      <protection locked="0"/>
    </xf>
    <xf numFmtId="180" fontId="67" fillId="0" borderId="9" xfId="0" applyNumberFormat="1" applyFont="1" applyFill="1" applyBorder="1" applyAlignment="1" applyProtection="1">
      <alignment horizontal="center" vertical="center"/>
      <protection locked="0"/>
    </xf>
    <xf numFmtId="178" fontId="94" fillId="20" borderId="9" xfId="0" applyNumberFormat="1" applyFont="1" applyFill="1" applyBorder="1" applyAlignment="1" applyProtection="1">
      <alignment horizontal="center" vertical="center" wrapText="1" shrinkToFit="1"/>
    </xf>
    <xf numFmtId="0" fontId="67" fillId="20" borderId="9" xfId="0" applyFont="1" applyFill="1" applyBorder="1" applyAlignment="1" applyProtection="1">
      <alignment horizontal="center" vertical="center" wrapText="1"/>
      <protection locked="0"/>
    </xf>
    <xf numFmtId="0" fontId="67" fillId="20" borderId="9" xfId="0" applyFont="1" applyFill="1" applyBorder="1" applyAlignment="1" applyProtection="1">
      <alignment horizontal="center" vertical="center" wrapText="1" shrinkToFit="1"/>
      <protection locked="0"/>
    </xf>
    <xf numFmtId="0" fontId="65" fillId="20" borderId="9" xfId="0" applyFont="1" applyFill="1" applyBorder="1" applyAlignment="1" applyProtection="1">
      <alignment horizontal="center" vertical="center" wrapText="1" shrinkToFit="1"/>
      <protection locked="0"/>
    </xf>
    <xf numFmtId="0" fontId="67" fillId="6" borderId="9" xfId="0" applyFont="1" applyFill="1" applyBorder="1" applyAlignment="1" applyProtection="1">
      <alignment horizontal="center" vertical="center" wrapText="1" shrinkToFit="1"/>
      <protection locked="0"/>
    </xf>
    <xf numFmtId="181" fontId="65" fillId="20" borderId="9" xfId="0" applyNumberFormat="1" applyFont="1" applyFill="1" applyBorder="1" applyAlignment="1" applyProtection="1">
      <alignment horizontal="center" vertical="center" wrapText="1" shrinkToFit="1"/>
      <protection locked="0"/>
    </xf>
    <xf numFmtId="178" fontId="65" fillId="20" borderId="9" xfId="0" applyNumberFormat="1" applyFont="1" applyFill="1" applyBorder="1" applyAlignment="1" applyProtection="1">
      <alignment horizontal="center" vertical="center" wrapText="1" shrinkToFit="1"/>
      <protection locked="0"/>
    </xf>
    <xf numFmtId="0" fontId="65" fillId="20" borderId="9" xfId="0" applyNumberFormat="1" applyFont="1" applyFill="1" applyBorder="1" applyAlignment="1" applyProtection="1">
      <alignment horizontal="center" vertical="center" wrapText="1" shrinkToFit="1"/>
      <protection locked="0"/>
    </xf>
    <xf numFmtId="182" fontId="65" fillId="20" borderId="9" xfId="0" applyNumberFormat="1" applyFont="1" applyFill="1" applyBorder="1" applyAlignment="1" applyProtection="1">
      <alignment horizontal="center" vertical="center" wrapText="1" shrinkToFit="1"/>
      <protection locked="0"/>
    </xf>
    <xf numFmtId="0" fontId="65" fillId="20" borderId="9" xfId="0" applyFont="1" applyFill="1" applyBorder="1" applyAlignment="1" applyProtection="1">
      <alignment horizontal="center" vertical="center" wrapText="1"/>
      <protection locked="0"/>
    </xf>
    <xf numFmtId="183" fontId="67" fillId="5" borderId="9" xfId="0" applyNumberFormat="1" applyFont="1" applyFill="1" applyBorder="1" applyAlignment="1" applyProtection="1">
      <alignment horizontal="center" vertical="center" wrapText="1" shrinkToFit="1"/>
      <protection locked="0"/>
    </xf>
    <xf numFmtId="0" fontId="67" fillId="6" borderId="9" xfId="0" applyFont="1" applyFill="1" applyBorder="1" applyAlignment="1">
      <alignment horizontal="center" vertical="center"/>
    </xf>
    <xf numFmtId="180" fontId="65" fillId="20" borderId="9" xfId="0" applyNumberFormat="1" applyFont="1" applyFill="1" applyBorder="1" applyAlignment="1" applyProtection="1">
      <alignment horizontal="center" vertical="center" wrapText="1" shrinkToFit="1"/>
      <protection locked="0"/>
    </xf>
    <xf numFmtId="0" fontId="65" fillId="20" borderId="9" xfId="0" applyFont="1" applyFill="1" applyBorder="1" applyAlignment="1">
      <alignment horizontal="center" vertical="center" wrapText="1" shrinkToFit="1"/>
    </xf>
    <xf numFmtId="0" fontId="65" fillId="20" borderId="9" xfId="0" applyFont="1" applyFill="1" applyBorder="1" applyAlignment="1" applyProtection="1">
      <alignment vertical="center" wrapText="1" shrinkToFit="1"/>
      <protection locked="0"/>
    </xf>
    <xf numFmtId="0" fontId="67" fillId="20" borderId="9" xfId="0" applyFont="1" applyFill="1" applyBorder="1" applyAlignment="1" applyProtection="1">
      <alignment horizontal="center" vertical="center"/>
      <protection locked="0"/>
    </xf>
    <xf numFmtId="185" fontId="65" fillId="20" borderId="9" xfId="0" applyNumberFormat="1" applyFont="1" applyFill="1" applyBorder="1" applyAlignment="1" applyProtection="1">
      <alignment horizontal="center" vertical="center"/>
      <protection locked="0"/>
    </xf>
    <xf numFmtId="180" fontId="65" fillId="20" borderId="9" xfId="0" applyNumberFormat="1" applyFont="1" applyFill="1" applyBorder="1" applyAlignment="1" applyProtection="1">
      <alignment horizontal="center" vertical="center"/>
      <protection locked="0"/>
    </xf>
    <xf numFmtId="181" fontId="67" fillId="20" borderId="9" xfId="0" applyNumberFormat="1" applyFont="1" applyFill="1" applyBorder="1" applyAlignment="1" applyProtection="1">
      <alignment horizontal="center" vertical="center"/>
      <protection locked="0"/>
    </xf>
    <xf numFmtId="192" fontId="101" fillId="0" borderId="9" xfId="0" applyNumberFormat="1" applyFont="1" applyFill="1" applyBorder="1" applyAlignment="1" applyProtection="1">
      <alignment horizontal="center" vertical="center"/>
    </xf>
    <xf numFmtId="0" fontId="102" fillId="0" borderId="9" xfId="0" applyFont="1" applyFill="1" applyBorder="1" applyAlignment="1" applyProtection="1">
      <alignment horizontal="center" vertical="center" wrapText="1"/>
      <protection locked="0"/>
    </xf>
    <xf numFmtId="0" fontId="94" fillId="0" borderId="9" xfId="0" applyFont="1" applyFill="1" applyBorder="1" applyAlignment="1" applyProtection="1">
      <alignment horizontal="center" vertical="center" wrapText="1" shrinkToFit="1"/>
      <protection locked="0"/>
    </xf>
    <xf numFmtId="0" fontId="102" fillId="0" borderId="9" xfId="0" applyNumberFormat="1" applyFont="1" applyFill="1" applyBorder="1" applyAlignment="1" applyProtection="1">
      <alignment horizontal="center" vertical="center" shrinkToFit="1"/>
      <protection locked="0"/>
    </xf>
    <xf numFmtId="49" fontId="94" fillId="0" borderId="9" xfId="0" applyNumberFormat="1" applyFont="1" applyFill="1" applyBorder="1" applyAlignment="1" applyProtection="1">
      <alignment horizontal="center" vertical="center" wrapText="1"/>
      <protection locked="0"/>
    </xf>
    <xf numFmtId="0" fontId="67" fillId="0" borderId="9" xfId="0" applyFont="1" applyFill="1" applyBorder="1" applyProtection="1">
      <alignment vertical="center"/>
      <protection locked="0"/>
    </xf>
    <xf numFmtId="182" fontId="94" fillId="0" borderId="9" xfId="0" applyNumberFormat="1" applyFont="1" applyFill="1" applyBorder="1" applyAlignment="1" applyProtection="1">
      <alignment horizontal="center" vertical="center" wrapText="1"/>
      <protection locked="0"/>
    </xf>
    <xf numFmtId="185" fontId="67" fillId="0" borderId="9" xfId="0" applyNumberFormat="1" applyFont="1" applyFill="1" applyBorder="1" applyProtection="1">
      <alignment vertical="center"/>
      <protection locked="0"/>
    </xf>
    <xf numFmtId="185" fontId="65" fillId="0" borderId="11" xfId="0" applyNumberFormat="1" applyFont="1" applyFill="1" applyBorder="1" applyAlignment="1" applyProtection="1">
      <alignment horizontal="center" vertical="center"/>
      <protection locked="0"/>
    </xf>
    <xf numFmtId="185" fontId="65" fillId="0" borderId="10" xfId="0" applyNumberFormat="1" applyFont="1" applyFill="1" applyBorder="1" applyAlignment="1" applyProtection="1">
      <alignment horizontal="center" vertical="center"/>
      <protection locked="0"/>
    </xf>
    <xf numFmtId="178" fontId="103" fillId="0" borderId="9" xfId="0" applyNumberFormat="1" applyFont="1" applyFill="1" applyBorder="1" applyAlignment="1" applyProtection="1">
      <alignment horizontal="center" vertical="center" wrapText="1" shrinkToFit="1"/>
    </xf>
    <xf numFmtId="0" fontId="69" fillId="0" borderId="9" xfId="0" applyFont="1" applyFill="1" applyBorder="1" applyAlignment="1">
      <alignment horizontal="center" vertical="center" wrapText="1" shrinkToFit="1"/>
    </xf>
    <xf numFmtId="0" fontId="69" fillId="0" borderId="9" xfId="0" applyFont="1" applyFill="1" applyBorder="1" applyAlignment="1" applyProtection="1">
      <alignment horizontal="center" vertical="center" wrapText="1" shrinkToFit="1"/>
      <protection locked="0"/>
    </xf>
    <xf numFmtId="0" fontId="68" fillId="23" borderId="9" xfId="0" applyFont="1" applyFill="1" applyBorder="1" applyAlignment="1" applyProtection="1">
      <alignment horizontal="center" vertical="center"/>
      <protection locked="0"/>
    </xf>
    <xf numFmtId="0" fontId="69" fillId="0" borderId="9" xfId="0" applyFont="1" applyFill="1" applyBorder="1" applyAlignment="1">
      <alignment horizontal="center" vertical="center" wrapText="1"/>
    </xf>
    <xf numFmtId="0" fontId="69" fillId="6" borderId="9" xfId="0" applyFont="1" applyFill="1" applyBorder="1" applyAlignment="1" applyProtection="1">
      <alignment horizontal="center" vertical="center" wrapText="1" shrinkToFit="1"/>
      <protection locked="0"/>
    </xf>
    <xf numFmtId="181" fontId="68" fillId="0" borderId="9" xfId="0" applyNumberFormat="1" applyFont="1" applyFill="1" applyBorder="1" applyAlignment="1" applyProtection="1">
      <alignment horizontal="center" vertical="center" wrapText="1" shrinkToFit="1"/>
      <protection locked="0"/>
    </xf>
    <xf numFmtId="178" fontId="68" fillId="0" borderId="9" xfId="0" applyNumberFormat="1" applyFont="1" applyFill="1" applyBorder="1" applyAlignment="1" applyProtection="1">
      <alignment horizontal="center" vertical="center" wrapText="1" shrinkToFit="1"/>
      <protection locked="0"/>
    </xf>
    <xf numFmtId="0" fontId="68" fillId="0" borderId="9" xfId="0" applyNumberFormat="1" applyFont="1" applyFill="1" applyBorder="1" applyAlignment="1" applyProtection="1">
      <alignment horizontal="center" vertical="center" wrapText="1" shrinkToFit="1"/>
      <protection locked="0"/>
    </xf>
    <xf numFmtId="0" fontId="68" fillId="6" borderId="9" xfId="0" applyFont="1" applyFill="1" applyBorder="1" applyAlignment="1" applyProtection="1">
      <alignment horizontal="center" vertical="center" wrapText="1" shrinkToFit="1"/>
      <protection locked="0"/>
    </xf>
    <xf numFmtId="0" fontId="68" fillId="20" borderId="9" xfId="0" applyFont="1" applyFill="1" applyBorder="1" applyAlignment="1" applyProtection="1">
      <alignment horizontal="center" vertical="center" wrapText="1" shrinkToFit="1"/>
      <protection locked="0"/>
    </xf>
    <xf numFmtId="178" fontId="68" fillId="6" borderId="9" xfId="0" applyNumberFormat="1" applyFont="1" applyFill="1" applyBorder="1" applyAlignment="1" applyProtection="1">
      <alignment horizontal="center" vertical="center" wrapText="1" shrinkToFit="1"/>
      <protection locked="0"/>
    </xf>
    <xf numFmtId="3" fontId="68" fillId="0" borderId="9" xfId="0" applyNumberFormat="1" applyFont="1" applyFill="1" applyBorder="1" applyAlignment="1" applyProtection="1">
      <alignment horizontal="center" vertical="center" wrapText="1" shrinkToFit="1"/>
      <protection locked="0"/>
    </xf>
    <xf numFmtId="3" fontId="68" fillId="0" borderId="9" xfId="0" applyNumberFormat="1" applyFont="1" applyFill="1" applyBorder="1" applyAlignment="1" applyProtection="1">
      <alignment horizontal="center" vertical="center"/>
      <protection locked="0"/>
    </xf>
    <xf numFmtId="182" fontId="68" fillId="0" borderId="9" xfId="0" applyNumberFormat="1" applyFont="1" applyFill="1" applyBorder="1" applyAlignment="1" applyProtection="1">
      <alignment horizontal="center" vertical="center" wrapText="1" shrinkToFit="1"/>
      <protection locked="0"/>
    </xf>
    <xf numFmtId="184" fontId="68" fillId="0" borderId="9" xfId="0" applyNumberFormat="1" applyFont="1" applyFill="1" applyBorder="1" applyAlignment="1" applyProtection="1">
      <alignment horizontal="center" vertical="center" wrapText="1"/>
      <protection locked="0"/>
    </xf>
    <xf numFmtId="0" fontId="68" fillId="5" borderId="9" xfId="0" applyFont="1" applyFill="1" applyBorder="1" applyAlignment="1" applyProtection="1">
      <alignment horizontal="center" vertical="center" wrapText="1"/>
      <protection locked="0"/>
    </xf>
    <xf numFmtId="178" fontId="68" fillId="0" borderId="9" xfId="0" applyNumberFormat="1" applyFont="1" applyFill="1" applyBorder="1" applyAlignment="1">
      <alignment horizontal="center" vertical="center" wrapText="1" shrinkToFit="1"/>
    </xf>
    <xf numFmtId="180" fontId="68" fillId="0" borderId="9" xfId="0" applyNumberFormat="1" applyFont="1" applyFill="1" applyBorder="1" applyAlignment="1" applyProtection="1">
      <alignment horizontal="center" vertical="center" wrapText="1" shrinkToFit="1"/>
      <protection locked="0"/>
    </xf>
    <xf numFmtId="0" fontId="68" fillId="0" borderId="9" xfId="0" applyFont="1" applyFill="1" applyBorder="1" applyAlignment="1">
      <alignment horizontal="center" vertical="center" wrapText="1" shrinkToFit="1"/>
    </xf>
    <xf numFmtId="0" fontId="69" fillId="0" borderId="9" xfId="0" applyFont="1" applyFill="1" applyBorder="1" applyAlignment="1">
      <alignment horizontal="center" vertical="center"/>
    </xf>
    <xf numFmtId="0" fontId="104" fillId="0" borderId="9" xfId="0" applyFont="1" applyFill="1" applyBorder="1" applyAlignment="1" applyProtection="1">
      <alignment horizontal="center" vertical="center" wrapText="1" shrinkToFit="1"/>
      <protection locked="0"/>
    </xf>
    <xf numFmtId="0" fontId="68" fillId="0" borderId="9" xfId="0" applyFont="1" applyFill="1" applyBorder="1" applyAlignment="1" applyProtection="1">
      <alignment vertical="center" wrapText="1" shrinkToFit="1"/>
      <protection locked="0"/>
    </xf>
    <xf numFmtId="0" fontId="69" fillId="0" borderId="9" xfId="0" applyFont="1" applyFill="1" applyBorder="1" applyAlignment="1" applyProtection="1">
      <alignment horizontal="center" vertical="center"/>
      <protection locked="0"/>
    </xf>
    <xf numFmtId="0" fontId="0" fillId="0" borderId="9" xfId="0" applyFill="1" applyBorder="1" applyProtection="1">
      <alignment vertical="center"/>
      <protection locked="0"/>
    </xf>
    <xf numFmtId="0" fontId="69" fillId="0" borderId="9" xfId="0" applyFont="1" applyFill="1" applyBorder="1" applyProtection="1">
      <alignment vertical="center"/>
      <protection locked="0"/>
    </xf>
    <xf numFmtId="185" fontId="0" fillId="0" borderId="9" xfId="0" applyNumberFormat="1" applyFill="1" applyBorder="1" applyProtection="1">
      <alignment vertical="center"/>
      <protection locked="0"/>
    </xf>
    <xf numFmtId="185" fontId="68" fillId="0" borderId="9" xfId="0" applyNumberFormat="1" applyFont="1" applyFill="1" applyBorder="1" applyAlignment="1" applyProtection="1">
      <alignment horizontal="center" vertical="center"/>
      <protection locked="0"/>
    </xf>
    <xf numFmtId="185" fontId="69" fillId="0" borderId="9" xfId="0" applyNumberFormat="1" applyFont="1" applyFill="1" applyBorder="1" applyProtection="1">
      <alignment vertical="center"/>
      <protection locked="0"/>
    </xf>
    <xf numFmtId="181" fontId="69" fillId="0" borderId="9" xfId="0" applyNumberFormat="1" applyFont="1" applyFill="1" applyBorder="1" applyAlignment="1" applyProtection="1">
      <alignment horizontal="center" vertical="center"/>
      <protection locked="0"/>
    </xf>
    <xf numFmtId="180" fontId="69" fillId="0" borderId="9" xfId="0" applyNumberFormat="1" applyFont="1" applyFill="1" applyBorder="1" applyAlignment="1" applyProtection="1">
      <alignment horizontal="center" vertical="center"/>
      <protection locked="0"/>
    </xf>
    <xf numFmtId="181" fontId="68" fillId="0" borderId="9" xfId="0" applyNumberFormat="1" applyFont="1" applyFill="1" applyBorder="1" applyAlignment="1" applyProtection="1">
      <alignment horizontal="center" vertical="center"/>
      <protection locked="0"/>
    </xf>
    <xf numFmtId="185" fontId="68" fillId="0" borderId="10" xfId="0" applyNumberFormat="1" applyFont="1" applyFill="1" applyBorder="1" applyAlignment="1" applyProtection="1">
      <alignment horizontal="center" vertical="center"/>
      <protection locked="0"/>
    </xf>
    <xf numFmtId="185" fontId="68" fillId="6" borderId="10" xfId="0" applyNumberFormat="1" applyFont="1" applyFill="1" applyBorder="1" applyAlignment="1" applyProtection="1">
      <alignment horizontal="center" vertical="center"/>
      <protection locked="0"/>
    </xf>
    <xf numFmtId="178" fontId="105" fillId="0" borderId="9" xfId="0" applyNumberFormat="1" applyFont="1" applyFill="1" applyBorder="1" applyAlignment="1" applyProtection="1">
      <alignment horizontal="center" vertical="center" wrapText="1" shrinkToFit="1"/>
    </xf>
    <xf numFmtId="0" fontId="0" fillId="0" borderId="9" xfId="0" applyFont="1" applyFill="1" applyBorder="1" applyAlignment="1">
      <alignment horizontal="center" vertical="center" wrapText="1" shrinkToFit="1"/>
    </xf>
    <xf numFmtId="0" fontId="104" fillId="0" borderId="9" xfId="0" applyFont="1" applyFill="1" applyBorder="1" applyAlignment="1" applyProtection="1">
      <alignment horizontal="center" vertical="center"/>
      <protection locked="0"/>
    </xf>
    <xf numFmtId="0" fontId="0" fillId="0" borderId="9" xfId="0" applyFont="1" applyFill="1" applyBorder="1" applyAlignment="1" applyProtection="1">
      <alignment horizontal="center" vertical="center" wrapText="1" shrinkToFit="1"/>
      <protection locked="0"/>
    </xf>
    <xf numFmtId="0" fontId="68" fillId="6" borderId="9" xfId="0" applyFont="1" applyFill="1" applyBorder="1" applyAlignment="1" applyProtection="1">
      <alignment horizontal="center" vertical="center"/>
      <protection locked="0"/>
    </xf>
    <xf numFmtId="0" fontId="106" fillId="0" borderId="9" xfId="0" applyFont="1" applyFill="1" applyBorder="1" applyAlignment="1" applyProtection="1">
      <alignment horizontal="center" vertical="center" wrapText="1" shrinkToFit="1"/>
      <protection locked="0"/>
    </xf>
    <xf numFmtId="0" fontId="107" fillId="0" borderId="9" xfId="0" applyNumberFormat="1" applyFont="1" applyFill="1" applyBorder="1" applyAlignment="1" applyProtection="1">
      <alignment horizontal="center" vertical="center" wrapText="1"/>
      <protection locked="0"/>
    </xf>
    <xf numFmtId="188" fontId="107" fillId="0" borderId="9" xfId="0" applyNumberFormat="1" applyFont="1" applyFill="1" applyBorder="1" applyAlignment="1" applyProtection="1">
      <alignment horizontal="center" vertical="center" wrapText="1"/>
      <protection locked="0"/>
    </xf>
    <xf numFmtId="0" fontId="22" fillId="0" borderId="9" xfId="0" applyNumberFormat="1" applyFont="1" applyFill="1" applyBorder="1" applyAlignment="1" applyProtection="1">
      <alignment horizontal="center" vertical="center" shrinkToFit="1"/>
      <protection locked="0"/>
    </xf>
    <xf numFmtId="181" fontId="104" fillId="0" borderId="9" xfId="0" applyNumberFormat="1" applyFont="1" applyFill="1" applyBorder="1" applyAlignment="1" applyProtection="1">
      <alignment horizontal="center" vertical="center" wrapText="1" shrinkToFit="1"/>
      <protection locked="0"/>
    </xf>
    <xf numFmtId="178" fontId="104" fillId="0" borderId="9" xfId="0" applyNumberFormat="1" applyFont="1" applyFill="1" applyBorder="1" applyAlignment="1" applyProtection="1">
      <alignment horizontal="center" vertical="center" wrapText="1" shrinkToFit="1"/>
      <protection locked="0"/>
    </xf>
    <xf numFmtId="0" fontId="104" fillId="0" borderId="9" xfId="0" applyNumberFormat="1" applyFont="1" applyFill="1" applyBorder="1" applyAlignment="1" applyProtection="1">
      <alignment horizontal="center" vertical="center" wrapText="1" shrinkToFit="1"/>
      <protection locked="0"/>
    </xf>
    <xf numFmtId="178" fontId="69" fillId="0" borderId="9" xfId="0" applyNumberFormat="1" applyFont="1" applyFill="1" applyBorder="1" applyAlignment="1" applyProtection="1">
      <alignment horizontal="center" vertical="center" wrapText="1" shrinkToFit="1"/>
      <protection locked="0"/>
    </xf>
    <xf numFmtId="178" fontId="69" fillId="6" borderId="9" xfId="0" applyNumberFormat="1" applyFont="1" applyFill="1" applyBorder="1" applyAlignment="1" applyProtection="1">
      <alignment horizontal="center" vertical="center" wrapText="1" shrinkToFit="1"/>
      <protection locked="0"/>
    </xf>
    <xf numFmtId="182" fontId="104" fillId="0" borderId="9" xfId="0" applyNumberFormat="1" applyFont="1" applyFill="1" applyBorder="1" applyAlignment="1" applyProtection="1">
      <alignment horizontal="center" vertical="center" wrapText="1" shrinkToFit="1"/>
      <protection locked="0"/>
    </xf>
    <xf numFmtId="0" fontId="104" fillId="0" borderId="9" xfId="0" applyFont="1" applyFill="1" applyBorder="1" applyAlignment="1" applyProtection="1">
      <alignment horizontal="center" vertical="center" wrapText="1"/>
      <protection locked="0"/>
    </xf>
    <xf numFmtId="182" fontId="69" fillId="0" borderId="9" xfId="0" applyNumberFormat="1" applyFont="1" applyFill="1" applyBorder="1" applyAlignment="1" applyProtection="1">
      <alignment horizontal="center" vertical="center" wrapText="1" shrinkToFit="1"/>
      <protection locked="0"/>
    </xf>
    <xf numFmtId="182" fontId="69" fillId="6" borderId="9" xfId="0" applyNumberFormat="1" applyFont="1" applyFill="1" applyBorder="1" applyAlignment="1" applyProtection="1">
      <alignment horizontal="center" vertical="center" wrapText="1" shrinkToFit="1"/>
      <protection locked="0"/>
    </xf>
    <xf numFmtId="182" fontId="68" fillId="6" borderId="9" xfId="0" applyNumberFormat="1" applyFont="1" applyFill="1" applyBorder="1" applyAlignment="1" applyProtection="1">
      <alignment horizontal="center" vertical="center" wrapText="1" shrinkToFit="1"/>
      <protection locked="0"/>
    </xf>
    <xf numFmtId="180" fontId="104" fillId="0" borderId="9" xfId="0" applyNumberFormat="1" applyFont="1" applyFill="1" applyBorder="1" applyAlignment="1" applyProtection="1">
      <alignment horizontal="center" vertical="center" wrapText="1" shrinkToFit="1"/>
      <protection locked="0"/>
    </xf>
    <xf numFmtId="183" fontId="69" fillId="0" borderId="9" xfId="0" applyNumberFormat="1" applyFont="1" applyFill="1" applyBorder="1" applyAlignment="1" applyProtection="1">
      <alignment horizontal="center" vertical="center" wrapText="1" shrinkToFit="1"/>
      <protection locked="0"/>
    </xf>
    <xf numFmtId="180" fontId="69" fillId="0" borderId="9" xfId="0" applyNumberFormat="1" applyFont="1" applyFill="1" applyBorder="1" applyAlignment="1" applyProtection="1">
      <alignment horizontal="center" vertical="center" wrapText="1" shrinkToFit="1"/>
      <protection locked="0"/>
    </xf>
    <xf numFmtId="0" fontId="69" fillId="5" borderId="9" xfId="0" applyFont="1" applyFill="1" applyBorder="1" applyAlignment="1" applyProtection="1">
      <alignment horizontal="center" vertical="center" wrapText="1"/>
      <protection locked="0"/>
    </xf>
    <xf numFmtId="0" fontId="104" fillId="0" borderId="9" xfId="0" applyFont="1" applyFill="1" applyBorder="1" applyAlignment="1" applyProtection="1">
      <alignment vertical="center" wrapText="1" shrinkToFit="1"/>
      <protection locked="0"/>
    </xf>
    <xf numFmtId="181" fontId="0" fillId="0" borderId="9" xfId="0" applyNumberFormat="1" applyFont="1" applyFill="1" applyBorder="1" applyAlignment="1" applyProtection="1">
      <alignment horizontal="center" vertical="center"/>
      <protection locked="0"/>
    </xf>
    <xf numFmtId="185" fontId="104" fillId="0" borderId="9" xfId="0" applyNumberFormat="1" applyFont="1" applyFill="1" applyBorder="1" applyAlignment="1" applyProtection="1">
      <alignment horizontal="center" vertical="center"/>
      <protection locked="0"/>
    </xf>
    <xf numFmtId="0" fontId="0" fillId="0" borderId="9" xfId="0" applyFill="1" applyBorder="1" applyAlignment="1" applyProtection="1">
      <alignment horizontal="center" vertical="center"/>
      <protection locked="0"/>
    </xf>
    <xf numFmtId="185" fontId="68" fillId="6" borderId="9" xfId="0" applyNumberFormat="1" applyFont="1" applyFill="1" applyBorder="1" applyAlignment="1" applyProtection="1">
      <alignment horizontal="center" vertical="center"/>
      <protection locked="0"/>
    </xf>
    <xf numFmtId="185" fontId="0" fillId="6" borderId="0" xfId="0" applyNumberFormat="1" applyFill="1" applyProtection="1">
      <alignment vertical="center"/>
      <protection locked="0"/>
    </xf>
    <xf numFmtId="14" fontId="108" fillId="24" borderId="9" xfId="0" applyNumberFormat="1" applyFont="1" applyFill="1" applyBorder="1" applyAlignment="1" applyProtection="1">
      <alignment horizontal="center" vertical="center" wrapText="1" shrinkToFit="1"/>
    </xf>
    <xf numFmtId="0" fontId="109" fillId="24" borderId="9" xfId="0" applyFont="1" applyFill="1" applyBorder="1" applyAlignment="1" applyProtection="1">
      <alignment horizontal="center" vertical="center" wrapText="1"/>
      <protection locked="0"/>
    </xf>
    <xf numFmtId="0" fontId="109" fillId="24" borderId="9" xfId="0" applyFont="1" applyFill="1" applyBorder="1" applyAlignment="1">
      <alignment horizontal="center" vertical="center" wrapText="1" shrinkToFit="1"/>
    </xf>
    <xf numFmtId="0" fontId="99" fillId="24" borderId="9" xfId="0" applyFont="1" applyFill="1" applyBorder="1" applyAlignment="1" applyProtection="1">
      <alignment horizontal="center" vertical="center"/>
      <protection locked="0"/>
    </xf>
    <xf numFmtId="0" fontId="109" fillId="24" borderId="9" xfId="0" applyFont="1" applyFill="1" applyBorder="1" applyAlignment="1" applyProtection="1">
      <alignment horizontal="center" vertical="center" wrapText="1" shrinkToFit="1"/>
      <protection locked="0"/>
    </xf>
    <xf numFmtId="0" fontId="109" fillId="24" borderId="0" xfId="0" applyFont="1" applyFill="1" applyProtection="1">
      <alignment vertical="center"/>
      <protection locked="0"/>
    </xf>
    <xf numFmtId="0" fontId="99" fillId="24" borderId="9" xfId="0" applyFont="1" applyFill="1" applyBorder="1" applyAlignment="1" applyProtection="1">
      <alignment horizontal="center" vertical="center" wrapText="1" shrinkToFit="1"/>
      <protection locked="0"/>
    </xf>
    <xf numFmtId="178" fontId="103" fillId="5" borderId="9" xfId="0" applyNumberFormat="1" applyFont="1" applyFill="1" applyBorder="1" applyAlignment="1" applyProtection="1">
      <alignment horizontal="center" vertical="center" wrapText="1" shrinkToFit="1"/>
    </xf>
    <xf numFmtId="0" fontId="69" fillId="5" borderId="9" xfId="0" applyFont="1" applyFill="1" applyBorder="1" applyAlignment="1">
      <alignment horizontal="center" vertical="center" wrapText="1" shrinkToFit="1"/>
    </xf>
    <xf numFmtId="0" fontId="69" fillId="5" borderId="9" xfId="0" applyFont="1" applyFill="1" applyBorder="1" applyAlignment="1" applyProtection="1">
      <alignment horizontal="center" vertical="center" wrapText="1" shrinkToFit="1"/>
      <protection locked="0"/>
    </xf>
    <xf numFmtId="0" fontId="68" fillId="5" borderId="9" xfId="0" applyFont="1" applyFill="1" applyBorder="1" applyAlignment="1" applyProtection="1">
      <alignment horizontal="center" vertical="center" wrapText="1" shrinkToFit="1"/>
      <protection locked="0"/>
    </xf>
    <xf numFmtId="3" fontId="99" fillId="24" borderId="9" xfId="0" applyNumberFormat="1" applyFont="1" applyFill="1" applyBorder="1" applyAlignment="1" applyProtection="1">
      <alignment horizontal="center" vertical="center" wrapText="1" shrinkToFit="1"/>
      <protection locked="0"/>
    </xf>
    <xf numFmtId="181" fontId="99" fillId="24" borderId="9" xfId="0" applyNumberFormat="1" applyFont="1" applyFill="1" applyBorder="1" applyAlignment="1" applyProtection="1">
      <alignment horizontal="center" vertical="center" wrapText="1" shrinkToFit="1"/>
      <protection locked="0"/>
    </xf>
    <xf numFmtId="14" fontId="99" fillId="24" borderId="9" xfId="0" applyNumberFormat="1" applyFont="1" applyFill="1" applyBorder="1" applyAlignment="1" applyProtection="1">
      <alignment horizontal="center" vertical="center" wrapText="1" shrinkToFit="1"/>
      <protection locked="0"/>
    </xf>
    <xf numFmtId="0" fontId="99" fillId="24" borderId="9" xfId="0" applyNumberFormat="1" applyFont="1" applyFill="1" applyBorder="1" applyAlignment="1" applyProtection="1">
      <alignment horizontal="center" vertical="center" wrapText="1" shrinkToFit="1"/>
      <protection locked="0"/>
    </xf>
    <xf numFmtId="3" fontId="68" fillId="5" borderId="9" xfId="0" applyNumberFormat="1" applyFont="1" applyFill="1" applyBorder="1" applyAlignment="1" applyProtection="1">
      <alignment horizontal="center" vertical="center" wrapText="1" shrinkToFit="1"/>
      <protection locked="0"/>
    </xf>
    <xf numFmtId="181" fontId="68" fillId="5" borderId="9" xfId="0" applyNumberFormat="1" applyFont="1" applyFill="1" applyBorder="1" applyAlignment="1" applyProtection="1">
      <alignment horizontal="center" vertical="center" wrapText="1" shrinkToFit="1"/>
      <protection locked="0"/>
    </xf>
    <xf numFmtId="178" fontId="68" fillId="5" borderId="9" xfId="0" applyNumberFormat="1" applyFont="1" applyFill="1" applyBorder="1" applyAlignment="1" applyProtection="1">
      <alignment horizontal="center" vertical="center" wrapText="1" shrinkToFit="1"/>
      <protection locked="0"/>
    </xf>
    <xf numFmtId="0" fontId="68" fillId="5" borderId="9" xfId="0" applyNumberFormat="1" applyFont="1" applyFill="1" applyBorder="1" applyAlignment="1" applyProtection="1">
      <alignment horizontal="center" vertical="center" wrapText="1" shrinkToFit="1"/>
      <protection locked="0"/>
    </xf>
    <xf numFmtId="182" fontId="99" fillId="24" borderId="9" xfId="0" applyNumberFormat="1" applyFont="1" applyFill="1" applyBorder="1" applyAlignment="1" applyProtection="1">
      <alignment horizontal="center" vertical="center" wrapText="1" shrinkToFit="1"/>
      <protection locked="0"/>
    </xf>
    <xf numFmtId="0" fontId="99" fillId="24" borderId="9" xfId="0" applyFont="1" applyFill="1" applyBorder="1" applyAlignment="1" applyProtection="1">
      <alignment horizontal="center" vertical="center" wrapText="1"/>
      <protection locked="0"/>
    </xf>
    <xf numFmtId="178" fontId="99" fillId="24" borderId="9" xfId="0" applyNumberFormat="1" applyFont="1" applyFill="1" applyBorder="1" applyAlignment="1">
      <alignment horizontal="center" vertical="center" wrapText="1" shrinkToFit="1"/>
    </xf>
    <xf numFmtId="182" fontId="68" fillId="5" borderId="9" xfId="0" applyNumberFormat="1" applyFont="1" applyFill="1" applyBorder="1" applyAlignment="1" applyProtection="1">
      <alignment horizontal="center" vertical="center" wrapText="1" shrinkToFit="1"/>
      <protection locked="0"/>
    </xf>
    <xf numFmtId="178" fontId="68" fillId="5" borderId="9" xfId="0" applyNumberFormat="1" applyFont="1" applyFill="1" applyBorder="1" applyAlignment="1">
      <alignment horizontal="center" vertical="center" wrapText="1" shrinkToFit="1"/>
    </xf>
    <xf numFmtId="184" fontId="68" fillId="5" borderId="9" xfId="0" applyNumberFormat="1" applyFont="1" applyFill="1" applyBorder="1" applyAlignment="1" applyProtection="1">
      <alignment horizontal="center" vertical="center" wrapText="1"/>
      <protection locked="0"/>
    </xf>
    <xf numFmtId="180" fontId="99" fillId="24" borderId="9" xfId="0" applyNumberFormat="1" applyFont="1" applyFill="1" applyBorder="1" applyAlignment="1" applyProtection="1">
      <alignment horizontal="center" vertical="center" wrapText="1" shrinkToFit="1"/>
      <protection locked="0"/>
    </xf>
    <xf numFmtId="0" fontId="109" fillId="24" borderId="0" xfId="0" applyFont="1" applyFill="1" applyAlignment="1" applyProtection="1">
      <alignment horizontal="center" vertical="center" wrapText="1"/>
      <protection locked="0"/>
    </xf>
    <xf numFmtId="180" fontId="68" fillId="5" borderId="9" xfId="0" applyNumberFormat="1" applyFont="1" applyFill="1" applyBorder="1" applyAlignment="1" applyProtection="1">
      <alignment horizontal="center" vertical="center" wrapText="1" shrinkToFit="1"/>
      <protection locked="0"/>
    </xf>
    <xf numFmtId="0" fontId="68" fillId="5" borderId="9" xfId="0" applyFont="1" applyFill="1" applyBorder="1" applyAlignment="1">
      <alignment horizontal="center" vertical="center" wrapText="1" shrinkToFit="1"/>
    </xf>
    <xf numFmtId="0" fontId="99" fillId="24" borderId="9" xfId="0" applyFont="1" applyFill="1" applyBorder="1" applyAlignment="1" applyProtection="1">
      <alignment vertical="center" wrapText="1" shrinkToFit="1"/>
      <protection locked="0"/>
    </xf>
    <xf numFmtId="0" fontId="109" fillId="24" borderId="9" xfId="0" applyFont="1" applyFill="1" applyBorder="1" applyAlignment="1" applyProtection="1">
      <alignment horizontal="center" vertical="center"/>
      <protection locked="0"/>
    </xf>
    <xf numFmtId="0" fontId="109" fillId="24" borderId="9" xfId="0" applyFont="1" applyFill="1" applyBorder="1" applyProtection="1">
      <alignment vertical="center"/>
      <protection locked="0"/>
    </xf>
    <xf numFmtId="0" fontId="68" fillId="5" borderId="9" xfId="0" applyFont="1" applyFill="1" applyBorder="1" applyAlignment="1" applyProtection="1">
      <alignment vertical="center" wrapText="1" shrinkToFit="1"/>
      <protection locked="0"/>
    </xf>
    <xf numFmtId="0" fontId="69" fillId="5" borderId="9" xfId="0" applyFont="1" applyFill="1" applyBorder="1" applyAlignment="1" applyProtection="1">
      <alignment horizontal="center" vertical="center"/>
      <protection locked="0"/>
    </xf>
    <xf numFmtId="0" fontId="69" fillId="5" borderId="9" xfId="0" applyFont="1" applyFill="1" applyBorder="1" applyProtection="1">
      <alignment vertical="center"/>
      <protection locked="0"/>
    </xf>
    <xf numFmtId="0" fontId="69" fillId="5" borderId="0" xfId="0" applyFont="1" applyFill="1" applyProtection="1">
      <alignment vertical="center"/>
      <protection locked="0"/>
    </xf>
    <xf numFmtId="185" fontId="109" fillId="24" borderId="9" xfId="0" applyNumberFormat="1" applyFont="1" applyFill="1" applyBorder="1" applyProtection="1">
      <alignment vertical="center"/>
      <protection locked="0"/>
    </xf>
    <xf numFmtId="185" fontId="99" fillId="24" borderId="9" xfId="0" applyNumberFormat="1" applyFont="1" applyFill="1" applyBorder="1" applyAlignment="1" applyProtection="1">
      <alignment horizontal="center" vertical="center"/>
      <protection locked="0"/>
    </xf>
    <xf numFmtId="185" fontId="68" fillId="5" borderId="9" xfId="0" applyNumberFormat="1" applyFont="1" applyFill="1" applyBorder="1" applyAlignment="1" applyProtection="1">
      <alignment horizontal="center" vertical="center"/>
      <protection locked="0"/>
    </xf>
    <xf numFmtId="185" fontId="69" fillId="5" borderId="9" xfId="0" applyNumberFormat="1" applyFont="1" applyFill="1" applyBorder="1" applyProtection="1">
      <alignment vertical="center"/>
      <protection locked="0"/>
    </xf>
    <xf numFmtId="185" fontId="0" fillId="5" borderId="0" xfId="0" applyNumberFormat="1" applyFill="1" applyProtection="1">
      <alignment vertical="center"/>
      <protection locked="0"/>
    </xf>
    <xf numFmtId="185" fontId="69" fillId="5" borderId="0" xfId="0" applyNumberFormat="1" applyFont="1" applyFill="1" applyProtection="1">
      <alignment vertical="center"/>
      <protection locked="0"/>
    </xf>
    <xf numFmtId="180" fontId="68" fillId="5" borderId="9" xfId="0" applyNumberFormat="1" applyFont="1" applyFill="1" applyBorder="1" applyAlignment="1" applyProtection="1">
      <alignment horizontal="center" vertical="center"/>
      <protection locked="0"/>
    </xf>
    <xf numFmtId="181" fontId="69" fillId="5" borderId="9" xfId="0" applyNumberFormat="1" applyFont="1" applyFill="1" applyBorder="1" applyAlignment="1" applyProtection="1">
      <alignment horizontal="center" vertical="center"/>
      <protection locked="0"/>
    </xf>
    <xf numFmtId="181" fontId="68" fillId="5" borderId="9" xfId="0" applyNumberFormat="1" applyFont="1" applyFill="1" applyBorder="1" applyAlignment="1" applyProtection="1">
      <alignment horizontal="center" vertical="center"/>
      <protection locked="0"/>
    </xf>
    <xf numFmtId="0" fontId="0" fillId="5" borderId="0" xfId="0" applyFill="1" applyAlignment="1" applyProtection="1">
      <alignment horizontal="center" vertical="center"/>
      <protection locked="0"/>
    </xf>
    <xf numFmtId="0" fontId="69" fillId="5" borderId="0" xfId="0" applyFont="1" applyFill="1" applyAlignment="1" applyProtection="1">
      <alignment horizontal="center" vertical="center"/>
      <protection locked="0"/>
    </xf>
    <xf numFmtId="185" fontId="68" fillId="5" borderId="10" xfId="0" applyNumberFormat="1" applyFont="1" applyFill="1" applyBorder="1" applyAlignment="1" applyProtection="1">
      <alignment horizontal="center" vertical="center"/>
      <protection locked="0"/>
    </xf>
    <xf numFmtId="0" fontId="68" fillId="5" borderId="0" xfId="0" applyFont="1" applyFill="1" applyAlignment="1" applyProtection="1">
      <alignment horizontal="center" vertical="center"/>
      <protection locked="0"/>
    </xf>
    <xf numFmtId="0" fontId="66" fillId="5" borderId="9" xfId="0" applyFont="1" applyFill="1" applyBorder="1" applyAlignment="1" applyProtection="1">
      <alignment horizontal="center" vertical="center"/>
      <protection locked="0"/>
    </xf>
    <xf numFmtId="177" fontId="63" fillId="0" borderId="9" xfId="0" applyNumberFormat="1" applyFont="1" applyFill="1" applyBorder="1" applyAlignment="1" applyProtection="1">
      <alignment horizontal="center" vertical="center" wrapText="1" shrinkToFit="1"/>
    </xf>
    <xf numFmtId="49" fontId="63" fillId="0" borderId="9" xfId="0" applyNumberFormat="1" applyFont="1" applyFill="1" applyBorder="1" applyAlignment="1" applyProtection="1">
      <alignment horizontal="center" vertical="center" wrapText="1" shrinkToFit="1"/>
      <protection locked="0"/>
    </xf>
    <xf numFmtId="177" fontId="69" fillId="0" borderId="0" xfId="0" applyNumberFormat="1" applyFont="1" applyFill="1" applyProtection="1">
      <alignment vertical="center"/>
    </xf>
    <xf numFmtId="0" fontId="69" fillId="0" borderId="0" xfId="0" applyFont="1" applyFill="1" applyAlignment="1" applyProtection="1">
      <alignment vertical="center" wrapText="1"/>
      <protection locked="0"/>
    </xf>
    <xf numFmtId="0" fontId="110" fillId="0" borderId="0" xfId="0" applyFont="1" applyFill="1" applyProtection="1">
      <alignment vertical="center"/>
      <protection locked="0"/>
    </xf>
    <xf numFmtId="0" fontId="99" fillId="0" borderId="9" xfId="0" applyFont="1" applyFill="1" applyBorder="1" applyAlignment="1" applyProtection="1">
      <alignment horizontal="center" vertical="center" wrapText="1" shrinkToFit="1"/>
      <protection locked="0"/>
    </xf>
    <xf numFmtId="183" fontId="63" fillId="0" borderId="9" xfId="0" applyNumberFormat="1" applyFont="1" applyFill="1" applyBorder="1" applyAlignment="1" applyProtection="1">
      <alignment horizontal="center" vertical="center" wrapText="1" shrinkToFit="1"/>
      <protection locked="0"/>
    </xf>
    <xf numFmtId="182" fontId="68" fillId="0" borderId="11" xfId="0" applyNumberFormat="1" applyFont="1" applyFill="1" applyBorder="1" applyAlignment="1" applyProtection="1">
      <alignment horizontal="center" vertical="center" wrapText="1" shrinkToFit="1"/>
      <protection locked="0"/>
    </xf>
    <xf numFmtId="179" fontId="63" fillId="0" borderId="9" xfId="0" applyNumberFormat="1" applyFont="1" applyFill="1" applyBorder="1" applyAlignment="1" applyProtection="1">
      <alignment horizontal="center" vertical="center" wrapText="1" shrinkToFit="1"/>
      <protection locked="0"/>
    </xf>
    <xf numFmtId="179" fontId="0" fillId="0" borderId="0" xfId="0" applyNumberFormat="1" applyFill="1" applyAlignment="1" applyProtection="1">
      <alignment horizontal="center" vertical="center" wrapText="1"/>
      <protection locked="0"/>
    </xf>
    <xf numFmtId="179" fontId="69" fillId="0" borderId="0" xfId="0" applyNumberFormat="1" applyFont="1" applyFill="1" applyAlignment="1" applyProtection="1">
      <alignment vertical="center" wrapText="1"/>
      <protection locked="0"/>
    </xf>
    <xf numFmtId="3" fontId="0" fillId="0" borderId="0" xfId="0" applyNumberFormat="1" applyFill="1" applyProtection="1">
      <alignment vertical="center"/>
      <protection locked="0"/>
    </xf>
    <xf numFmtId="0" fontId="69" fillId="0" borderId="0" xfId="0" applyFont="1" applyFill="1" applyAlignment="1" applyProtection="1">
      <alignment horizontal="center" vertical="center" wrapText="1"/>
      <protection locked="0"/>
    </xf>
    <xf numFmtId="180" fontId="0" fillId="0" borderId="0" xfId="0" applyNumberFormat="1" applyFill="1" applyAlignment="1" applyProtection="1">
      <alignment horizontal="center" vertical="center" wrapText="1"/>
      <protection locked="0"/>
    </xf>
    <xf numFmtId="180" fontId="69" fillId="0" borderId="0" xfId="0" applyNumberFormat="1" applyFont="1" applyFill="1" applyAlignment="1" applyProtection="1">
      <alignment vertical="center" wrapText="1"/>
      <protection locked="0"/>
    </xf>
    <xf numFmtId="0" fontId="69" fillId="0" borderId="0" xfId="0" applyFont="1" applyFill="1" applyAlignment="1" applyProtection="1">
      <alignment horizontal="center" vertical="center"/>
      <protection locked="0"/>
    </xf>
    <xf numFmtId="0" fontId="69" fillId="0" borderId="0" xfId="0" applyNumberFormat="1" applyFont="1" applyFill="1" applyAlignment="1" applyProtection="1">
      <alignment horizontal="center" vertical="center"/>
      <protection locked="0"/>
    </xf>
    <xf numFmtId="0" fontId="70" fillId="0" borderId="0" xfId="0" applyFont="1" applyFill="1" applyAlignment="1" applyProtection="1">
      <alignment horizontal="center" vertical="center"/>
      <protection locked="0"/>
    </xf>
    <xf numFmtId="0" fontId="71" fillId="0" borderId="0" xfId="0" applyFont="1" applyFill="1" applyAlignment="1" applyProtection="1">
      <alignment horizontal="center" vertical="center"/>
      <protection locked="0"/>
    </xf>
    <xf numFmtId="0" fontId="111" fillId="0" borderId="0" xfId="0" applyFont="1" applyFill="1" applyProtection="1">
      <alignment vertical="center"/>
      <protection locked="0"/>
    </xf>
    <xf numFmtId="185" fontId="0" fillId="0" borderId="9" xfId="0" applyNumberFormat="1" applyFill="1" applyBorder="1" applyAlignment="1" applyProtection="1">
      <alignment horizontal="center" vertical="center"/>
      <protection locked="0"/>
    </xf>
    <xf numFmtId="185" fontId="69" fillId="0" borderId="0" xfId="0" applyNumberFormat="1" applyFont="1" applyFill="1" applyProtection="1">
      <alignment vertical="center"/>
      <protection locked="0"/>
    </xf>
    <xf numFmtId="180" fontId="0" fillId="0" borderId="9" xfId="0" applyNumberFormat="1" applyFill="1" applyBorder="1" applyAlignment="1" applyProtection="1">
      <alignment horizontal="center" vertical="center"/>
      <protection locked="0"/>
    </xf>
    <xf numFmtId="181" fontId="0" fillId="0" borderId="9" xfId="0" applyNumberFormat="1" applyFill="1" applyBorder="1" applyAlignment="1" applyProtection="1">
      <alignment horizontal="center" vertical="center"/>
      <protection locked="0"/>
    </xf>
    <xf numFmtId="180" fontId="69" fillId="0" borderId="0" xfId="0" applyNumberFormat="1" applyFont="1" applyFill="1" applyProtection="1">
      <alignment vertical="center"/>
      <protection locked="0"/>
    </xf>
    <xf numFmtId="0" fontId="90" fillId="0" borderId="0" xfId="0" applyFont="1" applyFill="1" applyProtection="1">
      <alignment vertical="center"/>
      <protection locked="0"/>
    </xf>
    <xf numFmtId="0" fontId="95" fillId="0" borderId="11" xfId="0" applyFont="1" applyFill="1" applyBorder="1" applyAlignment="1" applyProtection="1">
      <alignment horizontal="center" vertical="center"/>
      <protection locked="0"/>
    </xf>
    <xf numFmtId="0" fontId="95" fillId="0" borderId="0" xfId="0" applyFont="1" applyFill="1" applyProtection="1">
      <alignment vertical="center"/>
      <protection locked="0"/>
    </xf>
    <xf numFmtId="0" fontId="70" fillId="0" borderId="0" xfId="0" applyNumberFormat="1" applyFont="1" applyFill="1" applyProtection="1">
      <alignment vertical="center"/>
      <protection locked="0"/>
    </xf>
    <xf numFmtId="177" fontId="90" fillId="0" borderId="9" xfId="0" applyNumberFormat="1" applyFont="1" applyFill="1" applyBorder="1" applyAlignment="1" applyProtection="1">
      <alignment horizontal="center" vertical="center" wrapText="1" shrinkToFit="1"/>
    </xf>
    <xf numFmtId="0" fontId="90" fillId="0" borderId="9" xfId="0" applyFont="1" applyFill="1" applyBorder="1" applyAlignment="1" applyProtection="1">
      <alignment horizontal="center" vertical="center" wrapText="1"/>
      <protection locked="0"/>
    </xf>
    <xf numFmtId="0" fontId="90" fillId="0" borderId="9" xfId="0" applyFont="1" applyFill="1" applyBorder="1" applyAlignment="1" applyProtection="1">
      <alignment horizontal="center" vertical="center"/>
      <protection locked="0"/>
    </xf>
    <xf numFmtId="0" fontId="90" fillId="0" borderId="9" xfId="0" applyFont="1" applyFill="1" applyBorder="1" applyProtection="1">
      <alignment vertical="center"/>
      <protection locked="0"/>
    </xf>
    <xf numFmtId="49" fontId="90" fillId="0" borderId="9" xfId="0" applyNumberFormat="1" applyFont="1" applyFill="1" applyBorder="1" applyAlignment="1" applyProtection="1">
      <alignment horizontal="center" vertical="center" wrapText="1" shrinkToFit="1"/>
      <protection locked="0"/>
    </xf>
    <xf numFmtId="181" fontId="90" fillId="0" borderId="9" xfId="0" applyNumberFormat="1" applyFont="1" applyFill="1" applyBorder="1" applyAlignment="1" applyProtection="1">
      <alignment horizontal="center" vertical="center" wrapText="1" shrinkToFit="1"/>
      <protection locked="0"/>
    </xf>
    <xf numFmtId="178" fontId="90" fillId="0" borderId="9" xfId="0" applyNumberFormat="1" applyFont="1" applyFill="1" applyBorder="1" applyAlignment="1" applyProtection="1">
      <alignment horizontal="center" vertical="center" wrapText="1" shrinkToFit="1"/>
      <protection locked="0"/>
    </xf>
    <xf numFmtId="0" fontId="90" fillId="0" borderId="9" xfId="0" applyNumberFormat="1" applyFont="1" applyFill="1" applyBorder="1" applyAlignment="1" applyProtection="1">
      <alignment horizontal="center" vertical="center" wrapText="1" shrinkToFit="1"/>
      <protection locked="0"/>
    </xf>
    <xf numFmtId="0" fontId="90" fillId="6" borderId="9" xfId="0" applyFont="1" applyFill="1" applyBorder="1" applyAlignment="1" applyProtection="1">
      <alignment horizontal="center" vertical="center" wrapText="1" shrinkToFit="1"/>
      <protection locked="0"/>
    </xf>
    <xf numFmtId="182" fontId="90" fillId="0" borderId="9" xfId="0" applyNumberFormat="1" applyFont="1" applyFill="1" applyBorder="1" applyAlignment="1" applyProtection="1">
      <alignment horizontal="center" vertical="center" wrapText="1" shrinkToFit="1"/>
      <protection locked="0"/>
    </xf>
    <xf numFmtId="183" fontId="90" fillId="0" borderId="9" xfId="0" applyNumberFormat="1" applyFont="1" applyFill="1" applyBorder="1" applyAlignment="1" applyProtection="1">
      <alignment horizontal="center" vertical="center" wrapText="1" shrinkToFit="1"/>
      <protection locked="0"/>
    </xf>
    <xf numFmtId="180" fontId="90" fillId="0" borderId="9" xfId="0" applyNumberFormat="1" applyFont="1" applyFill="1" applyBorder="1" applyAlignment="1" applyProtection="1">
      <alignment horizontal="center" vertical="center" wrapText="1" shrinkToFit="1"/>
      <protection locked="0"/>
    </xf>
    <xf numFmtId="0" fontId="112" fillId="0" borderId="9" xfId="0" applyFont="1" applyFill="1" applyBorder="1" applyAlignment="1" applyProtection="1">
      <alignment horizontal="center" vertical="center" wrapText="1" shrinkToFit="1"/>
      <protection locked="0"/>
    </xf>
    <xf numFmtId="0" fontId="70" fillId="0" borderId="9" xfId="0" applyNumberFormat="1" applyFont="1" applyFill="1" applyBorder="1" applyAlignment="1" applyProtection="1">
      <alignment horizontal="center" vertical="center" wrapText="1" shrinkToFit="1"/>
      <protection locked="0"/>
    </xf>
    <xf numFmtId="0" fontId="74" fillId="0" borderId="13" xfId="0" applyFont="1" applyFill="1" applyBorder="1" applyAlignment="1" applyProtection="1">
      <alignment horizontal="center" vertical="center" wrapText="1"/>
      <protection locked="0"/>
    </xf>
    <xf numFmtId="49" fontId="90" fillId="6" borderId="9" xfId="0" applyNumberFormat="1" applyFont="1" applyFill="1" applyBorder="1" applyAlignment="1" applyProtection="1">
      <alignment horizontal="center" vertical="center" wrapText="1" shrinkToFit="1"/>
      <protection locked="0"/>
    </xf>
    <xf numFmtId="181" fontId="90" fillId="0" borderId="9" xfId="0" applyNumberFormat="1" applyFont="1" applyFill="1" applyBorder="1" applyAlignment="1" applyProtection="1">
      <alignment horizontal="center" vertical="center"/>
      <protection locked="0"/>
    </xf>
    <xf numFmtId="49" fontId="69" fillId="0" borderId="9" xfId="0" applyNumberFormat="1" applyFont="1" applyFill="1" applyBorder="1" applyAlignment="1" applyProtection="1">
      <alignment horizontal="center" vertical="center" wrapText="1" shrinkToFit="1"/>
      <protection locked="0"/>
    </xf>
    <xf numFmtId="0" fontId="69" fillId="0" borderId="9" xfId="0" applyNumberFormat="1" applyFont="1" applyFill="1" applyBorder="1" applyAlignment="1" applyProtection="1">
      <alignment horizontal="center" vertical="center" wrapText="1" shrinkToFit="1"/>
      <protection locked="0"/>
    </xf>
    <xf numFmtId="0" fontId="109" fillId="0" borderId="9" xfId="0" applyFont="1" applyFill="1" applyBorder="1" applyAlignment="1" applyProtection="1">
      <alignment horizontal="center" vertical="center"/>
      <protection locked="0"/>
    </xf>
    <xf numFmtId="181" fontId="95" fillId="0" borderId="9" xfId="0" applyNumberFormat="1" applyFont="1" applyFill="1" applyBorder="1" applyAlignment="1" applyProtection="1">
      <alignment horizontal="center" vertical="center" wrapText="1" shrinkToFit="1"/>
      <protection locked="0"/>
    </xf>
    <xf numFmtId="0" fontId="113" fillId="0" borderId="9" xfId="0" applyFont="1" applyFill="1" applyBorder="1" applyAlignment="1">
      <alignment horizontal="center" vertical="center"/>
    </xf>
    <xf numFmtId="178" fontId="95" fillId="0" borderId="9" xfId="0" applyNumberFormat="1" applyFont="1" applyFill="1" applyBorder="1" applyAlignment="1" applyProtection="1">
      <alignment horizontal="center" vertical="center" wrapText="1" shrinkToFit="1"/>
      <protection locked="0"/>
    </xf>
    <xf numFmtId="178" fontId="95" fillId="6" borderId="9" xfId="0" applyNumberFormat="1" applyFont="1" applyFill="1" applyBorder="1" applyAlignment="1" applyProtection="1">
      <alignment horizontal="center" vertical="center" wrapText="1" shrinkToFit="1"/>
      <protection locked="0"/>
    </xf>
    <xf numFmtId="58" fontId="90" fillId="0" borderId="9" xfId="0" applyNumberFormat="1" applyFont="1" applyFill="1" applyBorder="1" applyAlignment="1" applyProtection="1">
      <alignment horizontal="center" vertical="center" wrapText="1" shrinkToFit="1"/>
      <protection locked="0"/>
    </xf>
    <xf numFmtId="183" fontId="95" fillId="0" borderId="9" xfId="0" applyNumberFormat="1" applyFont="1" applyFill="1" applyBorder="1" applyAlignment="1" applyProtection="1">
      <alignment horizontal="center" vertical="center" wrapText="1" shrinkToFit="1"/>
      <protection locked="0"/>
    </xf>
    <xf numFmtId="180" fontId="95" fillId="0" borderId="9" xfId="0" applyNumberFormat="1" applyFont="1" applyFill="1" applyBorder="1" applyAlignment="1" applyProtection="1">
      <alignment horizontal="center" vertical="center" wrapText="1" shrinkToFit="1"/>
      <protection locked="0"/>
    </xf>
    <xf numFmtId="0" fontId="95" fillId="0" borderId="9" xfId="0" applyFont="1" applyBorder="1" applyAlignment="1" applyProtection="1">
      <alignment horizontal="center" vertical="center"/>
      <protection locked="0"/>
    </xf>
    <xf numFmtId="0" fontId="95" fillId="0" borderId="13" xfId="0" applyFont="1" applyFill="1" applyBorder="1" applyAlignment="1" applyProtection="1">
      <alignment horizontal="center" vertical="center"/>
      <protection locked="0"/>
    </xf>
    <xf numFmtId="181" fontId="67" fillId="0" borderId="9" xfId="0" applyNumberFormat="1" applyFont="1" applyFill="1" applyBorder="1" applyAlignment="1" applyProtection="1">
      <alignment horizontal="center" vertical="center" wrapText="1" shrinkToFit="1"/>
      <protection locked="0"/>
    </xf>
    <xf numFmtId="0" fontId="114" fillId="0" borderId="9" xfId="0" applyFont="1" applyFill="1" applyBorder="1" applyAlignment="1">
      <alignment horizontal="center" vertical="center"/>
    </xf>
    <xf numFmtId="178" fontId="67" fillId="6" borderId="9" xfId="0" applyNumberFormat="1" applyFont="1" applyFill="1" applyBorder="1" applyAlignment="1" applyProtection="1">
      <alignment horizontal="center" vertical="center" wrapText="1" shrinkToFit="1"/>
      <protection locked="0"/>
    </xf>
    <xf numFmtId="0" fontId="69" fillId="6" borderId="9" xfId="0" applyFont="1" applyFill="1" applyBorder="1" applyAlignment="1" applyProtection="1">
      <alignment horizontal="center" vertical="center" wrapText="1"/>
      <protection locked="0"/>
    </xf>
    <xf numFmtId="180" fontId="67" fillId="0" borderId="9" xfId="0" applyNumberFormat="1" applyFont="1" applyFill="1" applyBorder="1" applyAlignment="1" applyProtection="1">
      <alignment horizontal="center" vertical="center" wrapText="1" shrinkToFit="1"/>
      <protection locked="0"/>
    </xf>
    <xf numFmtId="183" fontId="95" fillId="6" borderId="9" xfId="0" applyNumberFormat="1" applyFont="1" applyFill="1" applyBorder="1" applyAlignment="1" applyProtection="1">
      <alignment horizontal="center" vertical="center" wrapText="1" shrinkToFit="1"/>
      <protection locked="0"/>
    </xf>
    <xf numFmtId="180" fontId="95" fillId="6" borderId="9" xfId="0" applyNumberFormat="1" applyFont="1" applyFill="1" applyBorder="1" applyAlignment="1" applyProtection="1">
      <alignment horizontal="center" vertical="center" wrapText="1" shrinkToFit="1"/>
      <protection locked="0"/>
    </xf>
    <xf numFmtId="0" fontId="67" fillId="0" borderId="13" xfId="0" applyFont="1" applyFill="1" applyBorder="1" applyAlignment="1" applyProtection="1">
      <alignment horizontal="center" vertical="center"/>
      <protection locked="0"/>
    </xf>
    <xf numFmtId="0" fontId="95" fillId="0" borderId="34" xfId="0" applyFont="1" applyFill="1" applyBorder="1" applyAlignment="1" applyProtection="1">
      <alignment horizontal="center" vertical="center"/>
      <protection locked="0"/>
    </xf>
    <xf numFmtId="0" fontId="66" fillId="0" borderId="13" xfId="0" applyFont="1" applyFill="1" applyBorder="1" applyAlignment="1" applyProtection="1">
      <alignment horizontal="center" vertical="center"/>
      <protection locked="0"/>
    </xf>
    <xf numFmtId="178" fontId="96" fillId="20" borderId="9" xfId="0" applyNumberFormat="1" applyFont="1" applyFill="1" applyBorder="1" applyAlignment="1" applyProtection="1">
      <alignment horizontal="center" vertical="center" wrapText="1" shrinkToFit="1"/>
    </xf>
    <xf numFmtId="0" fontId="95" fillId="20" borderId="9" xfId="0" applyFont="1" applyFill="1" applyBorder="1" applyAlignment="1" applyProtection="1">
      <alignment horizontal="center" vertical="center" wrapText="1"/>
      <protection locked="0"/>
    </xf>
    <xf numFmtId="0" fontId="95" fillId="20" borderId="9" xfId="0" applyFont="1" applyFill="1" applyBorder="1" applyAlignment="1" applyProtection="1">
      <alignment horizontal="center" vertical="center" wrapText="1" shrinkToFit="1"/>
      <protection locked="0"/>
    </xf>
    <xf numFmtId="0" fontId="66" fillId="20" borderId="9" xfId="0" applyFont="1" applyFill="1" applyBorder="1" applyAlignment="1" applyProtection="1">
      <alignment horizontal="center" vertical="center" wrapText="1" shrinkToFit="1"/>
      <protection locked="0"/>
    </xf>
    <xf numFmtId="181" fontId="95" fillId="20" borderId="9" xfId="0" applyNumberFormat="1" applyFont="1" applyFill="1" applyBorder="1" applyAlignment="1" applyProtection="1">
      <alignment horizontal="center" vertical="center" wrapText="1" shrinkToFit="1"/>
      <protection locked="0"/>
    </xf>
    <xf numFmtId="178" fontId="95" fillId="20" borderId="9" xfId="0" applyNumberFormat="1" applyFont="1" applyFill="1" applyBorder="1" applyAlignment="1" applyProtection="1">
      <alignment horizontal="center" vertical="center" wrapText="1" shrinkToFit="1"/>
      <protection locked="0"/>
    </xf>
    <xf numFmtId="0" fontId="66" fillId="20" borderId="9" xfId="0" applyNumberFormat="1" applyFont="1" applyFill="1" applyBorder="1" applyAlignment="1" applyProtection="1">
      <alignment horizontal="center" vertical="center" wrapText="1" shrinkToFit="1"/>
      <protection locked="0"/>
    </xf>
    <xf numFmtId="182" fontId="95" fillId="6" borderId="9" xfId="0" applyNumberFormat="1" applyFont="1" applyFill="1" applyBorder="1" applyAlignment="1" applyProtection="1">
      <alignment horizontal="center" vertical="center" wrapText="1" shrinkToFit="1"/>
      <protection locked="0"/>
    </xf>
    <xf numFmtId="182" fontId="66" fillId="20" borderId="9" xfId="0" applyNumberFormat="1" applyFont="1" applyFill="1" applyBorder="1" applyAlignment="1" applyProtection="1">
      <alignment horizontal="center" vertical="center" wrapText="1" shrinkToFit="1"/>
      <protection locked="0"/>
    </xf>
    <xf numFmtId="182" fontId="95" fillId="20" borderId="9" xfId="0" applyNumberFormat="1" applyFont="1" applyFill="1" applyBorder="1" applyAlignment="1" applyProtection="1">
      <alignment horizontal="center" vertical="center" wrapText="1" shrinkToFit="1"/>
      <protection locked="0"/>
    </xf>
    <xf numFmtId="0" fontId="66" fillId="20" borderId="9" xfId="0" applyFont="1" applyFill="1" applyBorder="1" applyAlignment="1" applyProtection="1">
      <alignment horizontal="center" vertical="center" wrapText="1"/>
      <protection locked="0"/>
    </xf>
    <xf numFmtId="180" fontId="66" fillId="20" borderId="9" xfId="0" applyNumberFormat="1" applyFont="1" applyFill="1" applyBorder="1" applyAlignment="1" applyProtection="1">
      <alignment horizontal="center" vertical="center" wrapText="1" shrinkToFit="1"/>
      <protection locked="0"/>
    </xf>
    <xf numFmtId="183" fontId="95" fillId="20" borderId="9" xfId="0" applyNumberFormat="1" applyFont="1" applyFill="1" applyBorder="1" applyAlignment="1" applyProtection="1">
      <alignment horizontal="center" vertical="center" wrapText="1" shrinkToFit="1"/>
      <protection locked="0"/>
    </xf>
    <xf numFmtId="180" fontId="95" fillId="20" borderId="9" xfId="0" applyNumberFormat="1" applyFont="1" applyFill="1" applyBorder="1" applyAlignment="1" applyProtection="1">
      <alignment horizontal="center" vertical="center" wrapText="1" shrinkToFit="1"/>
      <protection locked="0"/>
    </xf>
    <xf numFmtId="0" fontId="95" fillId="0" borderId="9" xfId="0" applyFont="1" applyFill="1" applyBorder="1" applyProtection="1">
      <alignment vertical="center"/>
      <protection locked="0"/>
    </xf>
    <xf numFmtId="0" fontId="95" fillId="20" borderId="9" xfId="0" applyNumberFormat="1" applyFont="1" applyFill="1" applyBorder="1" applyAlignment="1" applyProtection="1">
      <alignment horizontal="center" vertical="center" wrapText="1" shrinkToFit="1"/>
      <protection locked="0"/>
    </xf>
    <xf numFmtId="0" fontId="95" fillId="20" borderId="9" xfId="0" applyFont="1" applyFill="1" applyBorder="1" applyAlignment="1" applyProtection="1">
      <alignment horizontal="center" vertical="center"/>
      <protection locked="0"/>
    </xf>
    <xf numFmtId="58" fontId="67" fillId="0" borderId="9" xfId="0" applyNumberFormat="1" applyFont="1" applyFill="1" applyBorder="1" applyAlignment="1" applyProtection="1">
      <alignment horizontal="center" vertical="center" wrapText="1"/>
      <protection locked="0"/>
    </xf>
    <xf numFmtId="182" fontId="67" fillId="6" borderId="9" xfId="0" applyNumberFormat="1" applyFont="1" applyFill="1" applyBorder="1" applyAlignment="1" applyProtection="1">
      <alignment horizontal="center" vertical="center" wrapText="1" shrinkToFit="1"/>
      <protection locked="0"/>
    </xf>
    <xf numFmtId="178" fontId="115" fillId="0" borderId="9" xfId="0" applyNumberFormat="1" applyFont="1" applyFill="1" applyBorder="1" applyAlignment="1" applyProtection="1">
      <alignment horizontal="center" vertical="center" wrapText="1" shrinkToFit="1"/>
      <protection locked="0"/>
    </xf>
    <xf numFmtId="0" fontId="116" fillId="0" borderId="9" xfId="0" applyNumberFormat="1" applyFont="1" applyFill="1" applyBorder="1" applyAlignment="1" applyProtection="1">
      <alignment horizontal="center" vertical="center"/>
      <protection locked="0"/>
    </xf>
    <xf numFmtId="0" fontId="65" fillId="0" borderId="13" xfId="0" applyFont="1" applyFill="1" applyBorder="1" applyAlignment="1" applyProtection="1">
      <alignment horizontal="center" vertical="center"/>
      <protection locked="0"/>
    </xf>
    <xf numFmtId="0" fontId="65" fillId="0" borderId="0" xfId="0" applyFont="1" applyFill="1" applyAlignment="1" applyProtection="1">
      <alignment horizontal="center" vertical="center"/>
      <protection locked="0"/>
    </xf>
    <xf numFmtId="178" fontId="117" fillId="0" borderId="9" xfId="0" applyNumberFormat="1" applyFont="1" applyFill="1" applyBorder="1" applyAlignment="1">
      <alignment horizontal="center" vertical="center" shrinkToFit="1"/>
    </xf>
    <xf numFmtId="0" fontId="102" fillId="0" borderId="9" xfId="0" applyNumberFormat="1" applyFont="1" applyFill="1" applyBorder="1" applyAlignment="1">
      <alignment horizontal="center" vertical="center" shrinkToFit="1"/>
    </xf>
    <xf numFmtId="0" fontId="118" fillId="0" borderId="9" xfId="0" applyNumberFormat="1" applyFont="1" applyFill="1" applyBorder="1" applyAlignment="1">
      <alignment horizontal="center" vertical="center" wrapText="1"/>
    </xf>
    <xf numFmtId="0" fontId="102" fillId="20" borderId="9" xfId="0" applyNumberFormat="1" applyFont="1" applyFill="1" applyBorder="1" applyAlignment="1">
      <alignment horizontal="center" vertical="center" shrinkToFit="1"/>
    </xf>
    <xf numFmtId="178" fontId="67" fillId="5" borderId="9" xfId="0" applyNumberFormat="1" applyFont="1" applyFill="1" applyBorder="1" applyAlignment="1" applyProtection="1">
      <alignment horizontal="center" vertical="center" wrapText="1" shrinkToFit="1"/>
      <protection locked="0"/>
    </xf>
    <xf numFmtId="181" fontId="69" fillId="0" borderId="9" xfId="0" applyNumberFormat="1" applyFont="1" applyFill="1" applyBorder="1" applyAlignment="1" applyProtection="1">
      <alignment horizontal="center" vertical="center" wrapText="1" shrinkToFit="1"/>
      <protection locked="0"/>
    </xf>
    <xf numFmtId="0" fontId="65" fillId="5" borderId="9" xfId="0" applyFont="1" applyFill="1" applyBorder="1" applyAlignment="1" applyProtection="1">
      <alignment horizontal="center" vertical="center" wrapText="1" shrinkToFit="1"/>
      <protection locked="0"/>
    </xf>
    <xf numFmtId="0" fontId="119" fillId="0" borderId="9" xfId="0" applyFont="1" applyFill="1" applyBorder="1">
      <alignment vertical="center"/>
    </xf>
    <xf numFmtId="0" fontId="67" fillId="5" borderId="9" xfId="0" applyFont="1" applyFill="1" applyBorder="1" applyAlignment="1" applyProtection="1">
      <alignment horizontal="center" vertical="center" wrapText="1" shrinkToFit="1"/>
      <protection locked="0"/>
    </xf>
    <xf numFmtId="178" fontId="105" fillId="20" borderId="9" xfId="0" applyNumberFormat="1" applyFont="1" applyFill="1" applyBorder="1" applyAlignment="1" applyProtection="1">
      <alignment horizontal="center" vertical="center" wrapText="1" shrinkToFit="1"/>
    </xf>
    <xf numFmtId="0" fontId="0" fillId="20" borderId="9" xfId="0" applyFont="1" applyFill="1" applyBorder="1" applyAlignment="1">
      <alignment horizontal="center" vertical="center" wrapText="1"/>
    </xf>
    <xf numFmtId="0" fontId="0" fillId="20" borderId="9" xfId="0" applyFont="1" applyFill="1" applyBorder="1" applyAlignment="1">
      <alignment horizontal="center" vertical="center" wrapText="1" shrinkToFit="1"/>
    </xf>
    <xf numFmtId="0" fontId="69" fillId="20" borderId="9" xfId="0" applyFont="1" applyFill="1" applyBorder="1" applyAlignment="1" applyProtection="1">
      <alignment horizontal="center" vertical="center" wrapText="1" shrinkToFit="1"/>
      <protection locked="0"/>
    </xf>
    <xf numFmtId="0" fontId="68" fillId="20" borderId="9" xfId="0" applyFont="1" applyFill="1" applyBorder="1" applyAlignment="1" applyProtection="1">
      <alignment horizontal="center" vertical="center"/>
      <protection locked="0"/>
    </xf>
    <xf numFmtId="3" fontId="69" fillId="0" borderId="9" xfId="0" applyNumberFormat="1" applyFont="1" applyFill="1" applyBorder="1" applyAlignment="1" applyProtection="1">
      <alignment horizontal="center" vertical="center" wrapText="1" shrinkToFit="1"/>
      <protection locked="0"/>
    </xf>
    <xf numFmtId="181" fontId="68" fillId="6" borderId="9" xfId="0" applyNumberFormat="1" applyFont="1" applyFill="1" applyBorder="1" applyAlignment="1" applyProtection="1">
      <alignment horizontal="center" vertical="center" wrapText="1" shrinkToFit="1"/>
      <protection locked="0"/>
    </xf>
    <xf numFmtId="178" fontId="69" fillId="20" borderId="9" xfId="0" applyNumberFormat="1" applyFont="1" applyFill="1" applyBorder="1" applyAlignment="1" applyProtection="1">
      <alignment horizontal="center" vertical="center" wrapText="1" shrinkToFit="1"/>
      <protection locked="0"/>
    </xf>
    <xf numFmtId="0" fontId="104" fillId="20" borderId="9" xfId="0" applyNumberFormat="1" applyFont="1" applyFill="1" applyBorder="1" applyAlignment="1" applyProtection="1">
      <alignment horizontal="center" vertical="center" wrapText="1" shrinkToFit="1"/>
      <protection locked="0"/>
    </xf>
    <xf numFmtId="0" fontId="104" fillId="20" borderId="9" xfId="0" applyFont="1" applyFill="1" applyBorder="1" applyAlignment="1" applyProtection="1">
      <alignment horizontal="center" vertical="center" wrapText="1" shrinkToFit="1"/>
      <protection locked="0"/>
    </xf>
    <xf numFmtId="0" fontId="120" fillId="0" borderId="9" xfId="0" applyFont="1" applyFill="1" applyBorder="1">
      <alignment vertical="center"/>
    </xf>
    <xf numFmtId="182" fontId="109" fillId="0" borderId="9" xfId="0" applyNumberFormat="1" applyFont="1" applyFill="1" applyBorder="1" applyAlignment="1" applyProtection="1">
      <alignment horizontal="center" vertical="center" wrapText="1" shrinkToFit="1"/>
      <protection locked="0"/>
    </xf>
    <xf numFmtId="182" fontId="104" fillId="20" borderId="9" xfId="0" applyNumberFormat="1" applyFont="1" applyFill="1" applyBorder="1" applyAlignment="1" applyProtection="1">
      <alignment horizontal="center" vertical="center" wrapText="1" shrinkToFit="1"/>
      <protection locked="0"/>
    </xf>
    <xf numFmtId="182" fontId="0" fillId="20" borderId="9" xfId="0" applyNumberFormat="1" applyFont="1" applyFill="1" applyBorder="1" applyAlignment="1" applyProtection="1">
      <alignment horizontal="center" vertical="center" wrapText="1" shrinkToFit="1"/>
      <protection locked="0"/>
    </xf>
    <xf numFmtId="0" fontId="104" fillId="20" borderId="9" xfId="0" applyFont="1" applyFill="1" applyBorder="1" applyAlignment="1" applyProtection="1">
      <alignment horizontal="center" vertical="center" wrapText="1"/>
      <protection locked="0"/>
    </xf>
    <xf numFmtId="178" fontId="104" fillId="20" borderId="9" xfId="0" applyNumberFormat="1" applyFont="1" applyFill="1" applyBorder="1" applyAlignment="1">
      <alignment horizontal="center" vertical="center" wrapText="1" shrinkToFit="1"/>
    </xf>
    <xf numFmtId="182" fontId="0" fillId="0" borderId="9" xfId="0" applyNumberFormat="1" applyFont="1" applyFill="1" applyBorder="1" applyAlignment="1" applyProtection="1">
      <alignment horizontal="center" vertical="center" wrapText="1" shrinkToFit="1"/>
      <protection locked="0"/>
    </xf>
    <xf numFmtId="180" fontId="104" fillId="20" borderId="9" xfId="0" applyNumberFormat="1" applyFont="1" applyFill="1" applyBorder="1" applyAlignment="1" applyProtection="1">
      <alignment horizontal="center" vertical="center" wrapText="1" shrinkToFit="1"/>
      <protection locked="0"/>
    </xf>
    <xf numFmtId="0" fontId="0" fillId="20" borderId="9" xfId="0" applyFont="1" applyFill="1" applyBorder="1" applyAlignment="1" applyProtection="1">
      <alignment horizontal="center" vertical="center" wrapText="1" shrinkToFit="1"/>
      <protection locked="0"/>
    </xf>
    <xf numFmtId="0" fontId="0" fillId="20" borderId="9" xfId="0" applyFont="1" applyFill="1" applyBorder="1" applyAlignment="1" applyProtection="1">
      <alignment horizontal="center" vertical="center"/>
      <protection locked="0"/>
    </xf>
    <xf numFmtId="0" fontId="104" fillId="20" borderId="9" xfId="0" applyFont="1" applyFill="1" applyBorder="1" applyAlignment="1" applyProtection="1">
      <alignment horizontal="center" vertical="center"/>
      <protection locked="0"/>
    </xf>
    <xf numFmtId="0" fontId="69" fillId="6" borderId="9" xfId="0" applyFont="1" applyFill="1" applyBorder="1" applyAlignment="1" applyProtection="1">
      <alignment horizontal="center" vertical="center"/>
      <protection locked="0"/>
    </xf>
    <xf numFmtId="0" fontId="0" fillId="0" borderId="9" xfId="0" applyFont="1" applyFill="1" applyBorder="1" applyAlignment="1" applyProtection="1">
      <alignment horizontal="center" vertical="center"/>
      <protection locked="0"/>
    </xf>
    <xf numFmtId="181" fontId="109" fillId="0" borderId="9" xfId="0" applyNumberFormat="1" applyFont="1" applyFill="1" applyBorder="1" applyAlignment="1" applyProtection="1">
      <alignment horizontal="center" vertical="center"/>
      <protection locked="0"/>
    </xf>
    <xf numFmtId="181" fontId="0" fillId="20" borderId="9" xfId="0" applyNumberFormat="1" applyFont="1" applyFill="1" applyBorder="1" applyAlignment="1" applyProtection="1">
      <alignment horizontal="center" vertical="center"/>
      <protection locked="0"/>
    </xf>
    <xf numFmtId="0" fontId="68" fillId="0" borderId="13" xfId="0" applyFont="1" applyFill="1" applyBorder="1" applyAlignment="1" applyProtection="1">
      <alignment horizontal="center" vertical="center"/>
      <protection locked="0"/>
    </xf>
    <xf numFmtId="0" fontId="104" fillId="0" borderId="13" xfId="0" applyFont="1" applyFill="1" applyBorder="1" applyAlignment="1" applyProtection="1">
      <alignment horizontal="center" vertical="center"/>
      <protection locked="0"/>
    </xf>
    <xf numFmtId="3" fontId="69" fillId="6" borderId="9" xfId="0" applyNumberFormat="1" applyFont="1" applyFill="1" applyBorder="1" applyAlignment="1" applyProtection="1">
      <alignment horizontal="center" vertical="center" wrapText="1" shrinkToFit="1"/>
      <protection locked="0"/>
    </xf>
    <xf numFmtId="178" fontId="69" fillId="5" borderId="9" xfId="0" applyNumberFormat="1" applyFont="1" applyFill="1" applyBorder="1" applyAlignment="1" applyProtection="1">
      <alignment horizontal="center" vertical="center" wrapText="1" shrinkToFit="1"/>
      <protection locked="0"/>
    </xf>
    <xf numFmtId="177" fontId="69" fillId="0" borderId="9" xfId="0" applyNumberFormat="1" applyFont="1" applyFill="1" applyBorder="1" applyAlignment="1" applyProtection="1">
      <alignment horizontal="center" vertical="center" wrapText="1" shrinkToFit="1"/>
    </xf>
    <xf numFmtId="182" fontId="69" fillId="5" borderId="9" xfId="0" applyNumberFormat="1" applyFont="1" applyFill="1" applyBorder="1" applyAlignment="1" applyProtection="1">
      <alignment horizontal="center" vertical="center" wrapText="1" shrinkToFit="1"/>
      <protection locked="0"/>
    </xf>
    <xf numFmtId="0" fontId="95" fillId="5" borderId="9" xfId="0" applyFont="1" applyFill="1" applyBorder="1" applyAlignment="1" applyProtection="1">
      <alignment horizontal="center" vertical="center" wrapText="1" shrinkToFit="1"/>
      <protection locked="0"/>
    </xf>
    <xf numFmtId="0" fontId="69" fillId="5" borderId="9" xfId="0" applyNumberFormat="1" applyFont="1" applyFill="1" applyBorder="1" applyAlignment="1" applyProtection="1">
      <alignment horizontal="center" vertical="center" wrapText="1" shrinkToFit="1"/>
      <protection locked="0"/>
    </xf>
    <xf numFmtId="0" fontId="121" fillId="0" borderId="9" xfId="0" applyFont="1" applyFill="1" applyBorder="1" applyAlignment="1" applyProtection="1">
      <alignment horizontal="center" vertical="center" wrapText="1" shrinkToFit="1"/>
      <protection locked="0"/>
    </xf>
    <xf numFmtId="0" fontId="122" fillId="0" borderId="9" xfId="0" applyNumberFormat="1" applyFont="1" applyFill="1" applyBorder="1" applyAlignment="1" applyProtection="1">
      <alignment horizontal="center" vertical="center" wrapText="1" shrinkToFit="1"/>
      <protection locked="0"/>
    </xf>
    <xf numFmtId="0" fontId="90" fillId="0" borderId="0" xfId="0" applyFont="1" applyFill="1" applyAlignment="1" applyProtection="1">
      <alignment horizontal="center" vertical="center"/>
      <protection locked="0"/>
    </xf>
    <xf numFmtId="0" fontId="69" fillId="0" borderId="13" xfId="0" applyFont="1" applyFill="1" applyBorder="1" applyAlignment="1" applyProtection="1">
      <alignment horizontal="center" vertical="center"/>
      <protection locked="0"/>
    </xf>
    <xf numFmtId="0" fontId="0" fillId="0" borderId="13" xfId="0" applyFill="1" applyBorder="1" applyProtection="1">
      <alignment vertical="center"/>
      <protection locked="0"/>
    </xf>
    <xf numFmtId="0" fontId="63" fillId="0" borderId="13" xfId="0" applyFont="1" applyFill="1" applyBorder="1" applyAlignment="1" applyProtection="1">
      <alignment horizontal="center" vertical="center"/>
      <protection locked="0"/>
    </xf>
    <xf numFmtId="0" fontId="68" fillId="5" borderId="13" xfId="0" applyFont="1" applyFill="1" applyBorder="1" applyAlignment="1" applyProtection="1">
      <alignment horizontal="center" vertical="center"/>
      <protection locked="0"/>
    </xf>
    <xf numFmtId="0" fontId="90" fillId="0" borderId="9" xfId="0" applyFont="1" applyFill="1" applyBorder="1" applyAlignment="1" applyProtection="1" quotePrefix="1">
      <alignment horizontal="center" vertical="center" wrapText="1" shrinkToFit="1"/>
      <protection locked="0"/>
    </xf>
    <xf numFmtId="0" fontId="95" fillId="0" borderId="9" xfId="0" applyFont="1" applyFill="1" applyBorder="1" applyAlignment="1" applyProtection="1" quotePrefix="1">
      <alignment horizontal="center" vertical="center" wrapText="1" shrinkToFit="1"/>
      <protection locked="0"/>
    </xf>
    <xf numFmtId="0" fontId="66" fillId="0" borderId="9" xfId="0" applyFont="1" applyFill="1" applyBorder="1" applyAlignment="1" applyProtection="1" quotePrefix="1">
      <alignment horizontal="center" vertical="center" wrapText="1" shrinkToFit="1"/>
      <protection locked="0"/>
    </xf>
    <xf numFmtId="0" fontId="65" fillId="0" borderId="9" xfId="0" applyFont="1" applyFill="1" applyBorder="1" applyAlignment="1" applyProtection="1" quotePrefix="1">
      <alignment horizontal="center" vertical="center" wrapText="1" shrinkToFit="1"/>
      <protection locked="0"/>
    </xf>
    <xf numFmtId="0" fontId="67" fillId="0" borderId="9" xfId="0" applyFont="1" applyFill="1" applyBorder="1" applyAlignment="1" applyProtection="1" quotePrefix="1">
      <alignment horizontal="center" vertical="center" wrapText="1" shrinkToFit="1"/>
      <protection locked="0"/>
    </xf>
    <xf numFmtId="183" fontId="67" fillId="0" borderId="9" xfId="0" applyNumberFormat="1" applyFont="1" applyFill="1" applyBorder="1" applyAlignment="1" applyProtection="1" quotePrefix="1">
      <alignment horizontal="center" vertical="center" wrapText="1" shrinkToFit="1"/>
      <protection locked="0"/>
    </xf>
    <xf numFmtId="0" fontId="67" fillId="20" borderId="9" xfId="0" applyFont="1" applyFill="1" applyBorder="1" applyAlignment="1" applyProtection="1" quotePrefix="1">
      <alignment horizontal="center" vertical="center" wrapText="1" shrinkToFit="1"/>
      <protection locked="0"/>
    </xf>
    <xf numFmtId="0" fontId="69" fillId="0" borderId="9" xfId="0" applyFont="1" applyFill="1" applyBorder="1" applyAlignment="1" applyProtection="1" quotePrefix="1">
      <alignment horizontal="center" vertical="center" wrapText="1" shrinkToFit="1"/>
      <protection locked="0"/>
    </xf>
    <xf numFmtId="0" fontId="69" fillId="6" borderId="9" xfId="0" applyFont="1" applyFill="1" applyBorder="1" applyAlignment="1" applyProtection="1" quotePrefix="1">
      <alignment horizontal="center" vertical="center" wrapText="1" shrinkToFit="1"/>
      <protection locked="0"/>
    </xf>
    <xf numFmtId="0" fontId="64" fillId="0" borderId="9" xfId="0" applyFont="1" applyFill="1" applyBorder="1" applyAlignment="1" applyProtection="1" quotePrefix="1">
      <alignment horizontal="center" vertical="center" wrapText="1" shrinkToFit="1"/>
      <protection locked="0"/>
    </xf>
    <xf numFmtId="0" fontId="95" fillId="0" borderId="9" xfId="0" applyFont="1" applyFill="1" applyBorder="1" applyAlignment="1" applyProtection="1" quotePrefix="1">
      <alignment horizontal="center" vertical="center" wrapText="1"/>
      <protection locked="0"/>
    </xf>
    <xf numFmtId="0" fontId="66" fillId="0" borderId="9" xfId="0" applyFont="1" applyFill="1" applyBorder="1" applyAlignment="1" applyProtection="1" quotePrefix="1">
      <alignment horizontal="center" vertical="center"/>
      <protection locked="0"/>
    </xf>
    <xf numFmtId="0" fontId="8" fillId="5" borderId="9" xfId="0" applyFont="1" applyFill="1" applyBorder="1" applyAlignment="1" applyProtection="1" quotePrefix="1">
      <alignment horizontal="center" vertical="center" wrapText="1" shrinkToFit="1"/>
      <protection locked="0"/>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5" xfId="49"/>
    <cellStyle name="常规 2 2" xfId="50"/>
    <cellStyle name="20% - 强调文字颜色 4 2 3 117" xfId="51"/>
    <cellStyle name="常规 70" xfId="52"/>
    <cellStyle name="常规 3" xfId="53"/>
    <cellStyle name="千位分隔 2" xfId="54"/>
    <cellStyle name="常规 4" xfId="55"/>
  </cellStyles>
  <dxfs count="4">
    <dxf>
      <font>
        <color rgb="FF9C0006"/>
      </font>
      <fill>
        <patternFill patternType="solid">
          <bgColor rgb="FFFFC7CE"/>
        </patternFill>
      </fill>
    </dxf>
    <dxf>
      <fill>
        <patternFill patternType="solid">
          <bgColor theme="5" tint="-0.25"/>
        </patternFill>
      </fill>
    </dxf>
    <dxf>
      <font>
        <color rgb="FF9C0006"/>
      </font>
      <fill>
        <patternFill patternType="solid">
          <bgColor rgb="FFFFC7CE"/>
        </patternFill>
      </fill>
    </dxf>
    <dxf>
      <fill>
        <patternFill patternType="solid">
          <bgColor rgb="FFFFC7CE"/>
        </patternFill>
      </fill>
    </dxf>
  </dxfs>
  <tableStyles count="0" defaultTableStyle="TableStyleMedium2" defaultPivotStyle="PivotStyleLight16"/>
  <colors>
    <mruColors>
      <color rgb="002727F0"/>
      <color rgb="003E2CEA"/>
      <color rgb="00010CDD"/>
      <color rgb="000FB7FD"/>
      <color rgb="00FFFFFF"/>
      <color rgb="0092D050"/>
      <color rgb="00FFFF00"/>
      <color rgb="00000000"/>
      <color rgb="0000B0F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as\Users\RR\AppData\Roaming\Foxmail7\Temp-19528-20251127081221\Attach\MA-RR-1979%20(MB%20Fill%20the%20Fridge%20Playset%20S1%20#77711%20&amp;#77673%20%20)(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RR-1979"/>
      <sheetName val="Summary"/>
      <sheetName val="Mini Ratio"/>
    </sheetNames>
    <sheetDataSet>
      <sheetData sheetId="0"/>
      <sheetData sheetId="1">
        <row r="3">
          <cell r="E3" t="str">
            <v>材料概述</v>
          </cell>
        </row>
        <row r="4">
          <cell r="B4" t="str">
            <v>Item NO.</v>
          </cell>
          <cell r="C4" t="str">
            <v>Item Name</v>
          </cell>
          <cell r="D4" t="str">
            <v>Brand</v>
          </cell>
          <cell r="E4" t="str">
            <v>Material</v>
          </cell>
          <cell r="F4" t="str">
            <v>Version</v>
          </cell>
          <cell r="G4" t="str">
            <v>Mold NO.</v>
          </cell>
          <cell r="H4" t="str">
            <v>Mold Capacity</v>
          </cell>
          <cell r="I4" t="str">
            <v>Remark</v>
          </cell>
          <cell r="J4" t="str">
            <v>MA-RR-1546</v>
          </cell>
          <cell r="K4" t="str">
            <v>MA-RR-1619</v>
          </cell>
          <cell r="L4" t="str">
            <v>MA-RR-1646</v>
          </cell>
          <cell r="M4" t="str">
            <v>MA-RR-1656</v>
          </cell>
          <cell r="N4" t="str">
            <v>MA-RR-1684</v>
          </cell>
          <cell r="O4" t="str">
            <v>MA-RR-1727</v>
          </cell>
          <cell r="P4" t="str">
            <v>MA-RR-1738</v>
          </cell>
          <cell r="Q4" t="str">
            <v>MA-RR-1789</v>
          </cell>
          <cell r="R4" t="str">
            <v>MA-RR-1824</v>
          </cell>
          <cell r="S4" t="str">
            <v>MA-RR-1843</v>
          </cell>
          <cell r="T4" t="str">
            <v>MA-RR-1857</v>
          </cell>
          <cell r="U4" t="str">
            <v>MA-RR-1876</v>
          </cell>
        </row>
        <row r="5">
          <cell r="C5" t="str">
            <v>Order Date</v>
          </cell>
        </row>
        <row r="5">
          <cell r="J5">
            <v>45708</v>
          </cell>
          <cell r="K5">
            <v>45755</v>
          </cell>
          <cell r="L5">
            <v>45785</v>
          </cell>
          <cell r="M5">
            <v>45791</v>
          </cell>
          <cell r="N5">
            <v>45800</v>
          </cell>
          <cell r="O5">
            <v>45819</v>
          </cell>
          <cell r="P5">
            <v>45828</v>
          </cell>
          <cell r="Q5">
            <v>45852</v>
          </cell>
          <cell r="R5">
            <v>45870</v>
          </cell>
          <cell r="S5">
            <v>45887</v>
          </cell>
          <cell r="T5">
            <v>45896</v>
          </cell>
          <cell r="U5">
            <v>45903</v>
          </cell>
        </row>
        <row r="6">
          <cell r="C6" t="str">
            <v>Required CRD</v>
          </cell>
        </row>
        <row r="6">
          <cell r="J6">
            <v>45757</v>
          </cell>
          <cell r="K6">
            <v>45797</v>
          </cell>
          <cell r="L6">
            <v>45838</v>
          </cell>
          <cell r="M6">
            <v>45838</v>
          </cell>
          <cell r="N6">
            <v>45845</v>
          </cell>
          <cell r="O6">
            <v>45856</v>
          </cell>
          <cell r="P6">
            <v>45877</v>
          </cell>
          <cell r="Q6">
            <v>45891</v>
          </cell>
          <cell r="R6">
            <v>45907</v>
          </cell>
          <cell r="S6">
            <v>45925</v>
          </cell>
          <cell r="T6">
            <v>45939</v>
          </cell>
          <cell r="U6">
            <v>45940</v>
          </cell>
        </row>
        <row r="7">
          <cell r="C7" t="str">
            <v>Capsule #77711-NA (球壳）</v>
          </cell>
        </row>
        <row r="7">
          <cell r="J7">
            <v>800000</v>
          </cell>
          <cell r="K7">
            <v>0</v>
          </cell>
        </row>
        <row r="7">
          <cell r="M7">
            <v>700000</v>
          </cell>
        </row>
        <row r="7">
          <cell r="O7">
            <v>400000</v>
          </cell>
          <cell r="P7">
            <v>300000</v>
          </cell>
          <cell r="Q7">
            <v>300000</v>
          </cell>
          <cell r="R7">
            <v>0</v>
          </cell>
          <cell r="S7">
            <v>300000</v>
          </cell>
          <cell r="T7">
            <v>400000</v>
          </cell>
          <cell r="U7">
            <v>400000</v>
          </cell>
        </row>
        <row r="8">
          <cell r="C8" t="str">
            <v>Capsule #77711-INT(球壳）</v>
          </cell>
        </row>
        <row r="8">
          <cell r="J8">
            <v>300000</v>
          </cell>
          <cell r="K8">
            <v>300000</v>
          </cell>
        </row>
        <row r="8">
          <cell r="M8">
            <v>0</v>
          </cell>
          <cell r="N8">
            <v>300000</v>
          </cell>
          <cell r="O8">
            <v>0</v>
          </cell>
          <cell r="P8">
            <v>300000</v>
          </cell>
          <cell r="Q8">
            <v>0</v>
          </cell>
          <cell r="R8">
            <v>0</v>
          </cell>
          <cell r="S8">
            <v>0</v>
          </cell>
          <cell r="T8">
            <v>0</v>
          </cell>
          <cell r="U8">
            <v>300000</v>
          </cell>
        </row>
        <row r="9">
          <cell r="C9" t="str">
            <v>STD Playset #77673 （胶件）</v>
          </cell>
        </row>
        <row r="9">
          <cell r="J9">
            <v>200000</v>
          </cell>
          <cell r="K9">
            <v>0</v>
          </cell>
          <cell r="L9">
            <v>100000</v>
          </cell>
          <cell r="M9">
            <v>50000</v>
          </cell>
          <cell r="N9">
            <v>50000</v>
          </cell>
          <cell r="O9">
            <v>50000</v>
          </cell>
          <cell r="P9">
            <v>20000</v>
          </cell>
          <cell r="Q9">
            <v>26000</v>
          </cell>
          <cell r="R9">
            <v>60000</v>
          </cell>
          <cell r="S9">
            <v>50000</v>
          </cell>
          <cell r="T9">
            <v>60000</v>
          </cell>
          <cell r="U9">
            <v>150000</v>
          </cell>
        </row>
        <row r="10">
          <cell r="C10" t="str">
            <v>CUS #77673 Target-US （胶件）</v>
          </cell>
        </row>
        <row r="10">
          <cell r="J10">
            <v>20000</v>
          </cell>
          <cell r="K10">
            <v>0</v>
          </cell>
        </row>
        <row r="10">
          <cell r="M10">
            <v>10000</v>
          </cell>
        </row>
        <row r="10">
          <cell r="O10">
            <v>0</v>
          </cell>
          <cell r="P10">
            <v>50000</v>
          </cell>
          <cell r="Q10">
            <v>0</v>
          </cell>
          <cell r="R10">
            <v>40000</v>
          </cell>
          <cell r="S10">
            <v>55000</v>
          </cell>
          <cell r="T10">
            <v>20000</v>
          </cell>
          <cell r="U10">
            <v>20000</v>
          </cell>
        </row>
        <row r="11">
          <cell r="C11" t="str">
            <v>CUS #77673 Costco-NA（胶件）</v>
          </cell>
        </row>
        <row r="11">
          <cell r="J11">
            <v>50000</v>
          </cell>
          <cell r="K11">
            <v>0</v>
          </cell>
          <cell r="L11">
            <v>-20600</v>
          </cell>
        </row>
        <row r="11">
          <cell r="O11">
            <v>0</v>
          </cell>
          <cell r="P11">
            <v>35000</v>
          </cell>
          <cell r="Q11">
            <v>40600</v>
          </cell>
          <cell r="R11">
            <v>5400</v>
          </cell>
          <cell r="S11">
            <v>0</v>
          </cell>
          <cell r="T11">
            <v>0</v>
          </cell>
          <cell r="U11">
            <v>0</v>
          </cell>
        </row>
        <row r="12">
          <cell r="C12" t="str">
            <v>CUS #77673 Costco-INT （胶件）</v>
          </cell>
        </row>
        <row r="12">
          <cell r="J12">
            <v>0</v>
          </cell>
          <cell r="K12">
            <v>10725</v>
          </cell>
          <cell r="L12">
            <v>11025</v>
          </cell>
          <cell r="M12">
            <v>0</v>
          </cell>
        </row>
        <row r="12">
          <cell r="O12">
            <v>0</v>
          </cell>
          <cell r="P12">
            <v>0</v>
          </cell>
          <cell r="Q12">
            <v>0</v>
          </cell>
          <cell r="R12">
            <v>-3600</v>
          </cell>
        </row>
        <row r="12">
          <cell r="T12">
            <v>0</v>
          </cell>
          <cell r="U12">
            <v>9600</v>
          </cell>
        </row>
        <row r="14">
          <cell r="B14" t="str">
            <v>FRIDGEM_S1_P12</v>
          </cell>
          <cell r="C14" t="str">
            <v>Soy sauce</v>
          </cell>
          <cell r="D14" t="str">
            <v>Kikkoman</v>
          </cell>
        </row>
        <row r="14">
          <cell r="F14" t="str">
            <v>NA/GLOBAL</v>
          </cell>
          <cell r="G14" t="str">
            <v>MNFRG-04M-01</v>
          </cell>
          <cell r="H14">
            <v>11314.2857142857</v>
          </cell>
        </row>
        <row r="14">
          <cell r="J14">
            <v>107330</v>
          </cell>
          <cell r="K14">
            <v>37620</v>
          </cell>
        </row>
        <row r="14">
          <cell r="M14">
            <v>60990</v>
          </cell>
          <cell r="N14">
            <v>37630</v>
          </cell>
          <cell r="O14">
            <v>34840</v>
          </cell>
          <cell r="P14">
            <v>63770</v>
          </cell>
          <cell r="Q14">
            <v>26130</v>
          </cell>
          <cell r="R14">
            <v>0</v>
          </cell>
          <cell r="S14">
            <v>26140</v>
          </cell>
          <cell r="T14">
            <v>34850</v>
          </cell>
          <cell r="U14">
            <v>72470</v>
          </cell>
        </row>
        <row r="15">
          <cell r="B15" t="str">
            <v>FRIDGEM_S1_P15</v>
          </cell>
          <cell r="C15" t="str">
            <v>Lea &amp; Perrins</v>
          </cell>
          <cell r="D15" t="str">
            <v>Kraft Heinz</v>
          </cell>
        </row>
        <row r="15">
          <cell r="F15" t="str">
            <v>NA only</v>
          </cell>
          <cell r="G15" t="str">
            <v>MNFRG-04M-01</v>
          </cell>
        </row>
        <row r="15">
          <cell r="J15">
            <v>69700</v>
          </cell>
          <cell r="K15">
            <v>0</v>
          </cell>
        </row>
        <row r="15">
          <cell r="M15">
            <v>60990</v>
          </cell>
          <cell r="N15">
            <v>0</v>
          </cell>
          <cell r="O15">
            <v>34850</v>
          </cell>
          <cell r="P15">
            <v>26130</v>
          </cell>
          <cell r="Q15">
            <v>26140</v>
          </cell>
          <cell r="R15">
            <v>0</v>
          </cell>
          <cell r="S15">
            <v>26130</v>
          </cell>
          <cell r="T15">
            <v>34850</v>
          </cell>
          <cell r="U15">
            <v>34850</v>
          </cell>
        </row>
        <row r="16">
          <cell r="B16" t="str">
            <v>FRIDGEM_S1_P13</v>
          </cell>
          <cell r="C16" t="str">
            <v>Cream Cheese</v>
          </cell>
          <cell r="D16" t="str">
            <v>Kraft Heinz</v>
          </cell>
        </row>
        <row r="16">
          <cell r="F16" t="str">
            <v>NA only</v>
          </cell>
          <cell r="G16" t="str">
            <v>MNFRG-20M-01</v>
          </cell>
          <cell r="H16">
            <v>5280</v>
          </cell>
        </row>
        <row r="16">
          <cell r="J16">
            <v>69700</v>
          </cell>
          <cell r="K16">
            <v>0</v>
          </cell>
        </row>
        <row r="16">
          <cell r="M16">
            <v>60990</v>
          </cell>
          <cell r="N16">
            <v>0</v>
          </cell>
          <cell r="O16">
            <v>34850</v>
          </cell>
          <cell r="P16">
            <v>26130</v>
          </cell>
          <cell r="Q16">
            <v>26140</v>
          </cell>
          <cell r="R16">
            <v>0</v>
          </cell>
          <cell r="S16">
            <v>26130</v>
          </cell>
          <cell r="T16">
            <v>34850</v>
          </cell>
          <cell r="U16">
            <v>34850</v>
          </cell>
        </row>
        <row r="17">
          <cell r="B17" t="str">
            <v>FRIDGEM_S1_P14</v>
          </cell>
          <cell r="C17" t="str">
            <v>Cool Whip</v>
          </cell>
          <cell r="D17" t="str">
            <v>Kraft Heinz</v>
          </cell>
        </row>
        <row r="17">
          <cell r="F17" t="str">
            <v>NA only</v>
          </cell>
          <cell r="G17" t="str">
            <v>MNFRG-20M-01</v>
          </cell>
          <cell r="H17">
            <v>5280</v>
          </cell>
        </row>
        <row r="17">
          <cell r="J17">
            <v>69700</v>
          </cell>
          <cell r="K17">
            <v>0</v>
          </cell>
        </row>
        <row r="17">
          <cell r="M17">
            <v>60990</v>
          </cell>
          <cell r="N17">
            <v>0</v>
          </cell>
          <cell r="O17">
            <v>34850</v>
          </cell>
          <cell r="P17">
            <v>26130</v>
          </cell>
          <cell r="Q17">
            <v>26140</v>
          </cell>
          <cell r="R17">
            <v>0</v>
          </cell>
          <cell r="S17">
            <v>26130</v>
          </cell>
          <cell r="T17">
            <v>34850</v>
          </cell>
          <cell r="U17">
            <v>34850</v>
          </cell>
        </row>
        <row r="18">
          <cell r="B18" t="str">
            <v>FRIDGEM_S1_P17</v>
          </cell>
          <cell r="C18" t="str">
            <v>Chocolate</v>
          </cell>
          <cell r="D18" t="str">
            <v>Hershey's</v>
          </cell>
        </row>
        <row r="18">
          <cell r="F18" t="str">
            <v>NA/GLOBAL</v>
          </cell>
          <cell r="G18" t="str">
            <v>MNFRG-08M-01</v>
          </cell>
          <cell r="H18">
            <v>11314.2857142857</v>
          </cell>
        </row>
        <row r="18">
          <cell r="J18">
            <v>107330</v>
          </cell>
          <cell r="K18">
            <v>37620</v>
          </cell>
        </row>
        <row r="18">
          <cell r="M18">
            <v>60990</v>
          </cell>
          <cell r="N18">
            <v>37630</v>
          </cell>
          <cell r="O18">
            <v>34840</v>
          </cell>
          <cell r="P18">
            <v>63770</v>
          </cell>
          <cell r="Q18">
            <v>26130</v>
          </cell>
          <cell r="R18">
            <v>0</v>
          </cell>
          <cell r="S18">
            <v>26140</v>
          </cell>
          <cell r="T18">
            <v>34850</v>
          </cell>
          <cell r="U18">
            <v>72470</v>
          </cell>
        </row>
        <row r="19">
          <cell r="B19" t="str">
            <v>FRIDGEM_S1_P19</v>
          </cell>
          <cell r="C19" t="str">
            <v>Strawberry</v>
          </cell>
          <cell r="D19" t="str">
            <v>Hershey's</v>
          </cell>
        </row>
        <row r="19">
          <cell r="F19" t="str">
            <v>NA/GLOBAL</v>
          </cell>
          <cell r="G19" t="str">
            <v>MNFRG-08M-01</v>
          </cell>
        </row>
        <row r="19">
          <cell r="J19">
            <v>110110</v>
          </cell>
          <cell r="K19">
            <v>37620</v>
          </cell>
        </row>
        <row r="19">
          <cell r="M19">
            <v>63420</v>
          </cell>
          <cell r="N19">
            <v>37620</v>
          </cell>
          <cell r="O19">
            <v>36240</v>
          </cell>
          <cell r="P19">
            <v>64810</v>
          </cell>
          <cell r="Q19">
            <v>27170</v>
          </cell>
          <cell r="R19">
            <v>0</v>
          </cell>
          <cell r="S19">
            <v>27180</v>
          </cell>
          <cell r="T19">
            <v>36240</v>
          </cell>
          <cell r="U19">
            <v>73860</v>
          </cell>
        </row>
        <row r="20">
          <cell r="B20" t="str">
            <v>FRIDGEM_S1_F02</v>
          </cell>
          <cell r="C20" t="str">
            <v>Ore-Ida Crowns</v>
          </cell>
          <cell r="D20" t="str">
            <v>Kraft Heinz</v>
          </cell>
          <cell r="E20" t="str">
            <v>foil bag 铝箔袋</v>
          </cell>
          <cell r="F20" t="str">
            <v>NA only</v>
          </cell>
          <cell r="G20" t="str">
            <v>外购件</v>
          </cell>
        </row>
        <row r="20">
          <cell r="J20">
            <v>72480</v>
          </cell>
          <cell r="K20">
            <v>0</v>
          </cell>
        </row>
        <row r="20">
          <cell r="M20">
            <v>63420</v>
          </cell>
          <cell r="N20">
            <v>0</v>
          </cell>
          <cell r="O20">
            <v>36230</v>
          </cell>
          <cell r="P20">
            <v>27180</v>
          </cell>
          <cell r="Q20">
            <v>27180</v>
          </cell>
          <cell r="R20">
            <v>0</v>
          </cell>
          <cell r="S20">
            <v>27180</v>
          </cell>
          <cell r="T20">
            <v>36230</v>
          </cell>
          <cell r="U20">
            <v>36240</v>
          </cell>
        </row>
        <row r="21">
          <cell r="B21" t="str">
            <v>FRIDGEM_S1_F03</v>
          </cell>
          <cell r="C21" t="str">
            <v>Ore-Ida Hash Browns</v>
          </cell>
          <cell r="D21" t="str">
            <v>Kraft Heinz</v>
          </cell>
          <cell r="E21" t="str">
            <v>foil bag 铝箔袋</v>
          </cell>
          <cell r="F21" t="str">
            <v>NA only</v>
          </cell>
          <cell r="G21" t="str">
            <v>外购件</v>
          </cell>
        </row>
        <row r="21">
          <cell r="J21">
            <v>72480</v>
          </cell>
          <cell r="K21">
            <v>0</v>
          </cell>
        </row>
        <row r="21">
          <cell r="M21">
            <v>63420</v>
          </cell>
          <cell r="N21">
            <v>0</v>
          </cell>
          <cell r="O21">
            <v>36230</v>
          </cell>
          <cell r="P21">
            <v>27180</v>
          </cell>
          <cell r="Q21">
            <v>27180</v>
          </cell>
          <cell r="R21">
            <v>0</v>
          </cell>
          <cell r="S21">
            <v>27180</v>
          </cell>
          <cell r="T21">
            <v>36230</v>
          </cell>
          <cell r="U21">
            <v>36240</v>
          </cell>
        </row>
        <row r="22">
          <cell r="B22" t="str">
            <v>FRIDGEM_S1_C06</v>
          </cell>
          <cell r="C22" t="str">
            <v>Bagel Bites 9CT Cheese</v>
          </cell>
          <cell r="D22" t="str">
            <v>Kraft Heinz</v>
          </cell>
          <cell r="E22" t="str">
            <v>cardboard 纸盒</v>
          </cell>
          <cell r="F22" t="str">
            <v>NA only</v>
          </cell>
          <cell r="G22" t="str">
            <v>外购件</v>
          </cell>
        </row>
        <row r="22">
          <cell r="J22">
            <v>72480</v>
          </cell>
          <cell r="K22">
            <v>0</v>
          </cell>
        </row>
        <row r="22">
          <cell r="M22">
            <v>63420</v>
          </cell>
          <cell r="N22">
            <v>0</v>
          </cell>
          <cell r="O22">
            <v>36230</v>
          </cell>
          <cell r="P22">
            <v>27180</v>
          </cell>
          <cell r="Q22">
            <v>27180</v>
          </cell>
          <cell r="R22">
            <v>0</v>
          </cell>
          <cell r="S22">
            <v>27180</v>
          </cell>
          <cell r="T22">
            <v>36230</v>
          </cell>
          <cell r="U22">
            <v>36240</v>
          </cell>
        </row>
        <row r="23">
          <cell r="B23" t="str">
            <v>FRIDGEM_S1_F04</v>
          </cell>
          <cell r="C23" t="str">
            <v>Cheese Slices</v>
          </cell>
          <cell r="D23" t="str">
            <v>Kraft Heinz</v>
          </cell>
          <cell r="E23" t="str">
            <v>foil bag 铝箔袋</v>
          </cell>
          <cell r="F23" t="str">
            <v>NA only</v>
          </cell>
          <cell r="G23" t="str">
            <v>外购件</v>
          </cell>
        </row>
        <row r="23">
          <cell r="J23">
            <v>57830</v>
          </cell>
          <cell r="K23">
            <v>0</v>
          </cell>
        </row>
        <row r="23">
          <cell r="M23">
            <v>50600</v>
          </cell>
          <cell r="N23">
            <v>0</v>
          </cell>
          <cell r="O23">
            <v>28920</v>
          </cell>
          <cell r="P23">
            <v>21680</v>
          </cell>
          <cell r="Q23">
            <v>21690</v>
          </cell>
          <cell r="R23">
            <v>0</v>
          </cell>
          <cell r="S23">
            <v>21680</v>
          </cell>
          <cell r="T23">
            <v>28920</v>
          </cell>
          <cell r="U23">
            <v>28910</v>
          </cell>
        </row>
        <row r="24">
          <cell r="B24" t="str">
            <v>FRIDGEM_S1_P20</v>
          </cell>
          <cell r="C24" t="str">
            <v>Zesty Italian Dressing</v>
          </cell>
          <cell r="D24" t="str">
            <v>Kraft Heinz</v>
          </cell>
        </row>
        <row r="24">
          <cell r="F24" t="str">
            <v>NA only</v>
          </cell>
          <cell r="G24" t="str">
            <v>MNFRG-09M-01</v>
          </cell>
          <cell r="H24">
            <v>5657</v>
          </cell>
        </row>
        <row r="24">
          <cell r="J24">
            <v>57830</v>
          </cell>
          <cell r="K24">
            <v>0</v>
          </cell>
        </row>
        <row r="24">
          <cell r="M24">
            <v>50600</v>
          </cell>
          <cell r="N24">
            <v>0</v>
          </cell>
          <cell r="O24">
            <v>28920</v>
          </cell>
          <cell r="P24">
            <v>21680</v>
          </cell>
          <cell r="Q24">
            <v>21690</v>
          </cell>
          <cell r="R24">
            <v>0</v>
          </cell>
          <cell r="S24">
            <v>21680</v>
          </cell>
          <cell r="T24">
            <v>28920</v>
          </cell>
          <cell r="U24">
            <v>28910</v>
          </cell>
        </row>
        <row r="25">
          <cell r="B25" t="str">
            <v>FRIDGEM_S1_P21</v>
          </cell>
          <cell r="C25" t="str">
            <v>The Original</v>
          </cell>
          <cell r="D25" t="str">
            <v>Peperami</v>
          </cell>
        </row>
        <row r="25">
          <cell r="F25" t="str">
            <v>NA/GLOBAL</v>
          </cell>
          <cell r="G25" t="str">
            <v>MNFRG-14M-01</v>
          </cell>
          <cell r="H25">
            <v>8486</v>
          </cell>
        </row>
        <row r="25">
          <cell r="J25">
            <v>101390</v>
          </cell>
          <cell r="K25">
            <v>43560</v>
          </cell>
        </row>
        <row r="25">
          <cell r="M25">
            <v>50600</v>
          </cell>
          <cell r="N25">
            <v>43560</v>
          </cell>
          <cell r="O25">
            <v>28920</v>
          </cell>
          <cell r="P25">
            <v>65250</v>
          </cell>
          <cell r="Q25">
            <v>21680</v>
          </cell>
          <cell r="R25">
            <v>0</v>
          </cell>
          <cell r="S25">
            <v>21690</v>
          </cell>
          <cell r="T25">
            <v>28910</v>
          </cell>
          <cell r="U25">
            <v>72480</v>
          </cell>
        </row>
        <row r="26">
          <cell r="B26" t="str">
            <v>FRIDGEM_S1_P55</v>
          </cell>
          <cell r="C26" t="str">
            <v>Cooked Loboster</v>
          </cell>
          <cell r="D26" t="str">
            <v>N/A</v>
          </cell>
        </row>
        <row r="26">
          <cell r="F26" t="str">
            <v>NA/GLOBAL</v>
          </cell>
          <cell r="G26" t="str">
            <v>MNFRG-18M-01</v>
          </cell>
          <cell r="H26">
            <v>11314</v>
          </cell>
        </row>
        <row r="26">
          <cell r="J26">
            <v>240690</v>
          </cell>
          <cell r="K26">
            <v>60890</v>
          </cell>
        </row>
        <row r="26">
          <cell r="M26">
            <v>157330</v>
          </cell>
          <cell r="N26">
            <v>60890</v>
          </cell>
          <cell r="O26">
            <v>89900</v>
          </cell>
          <cell r="P26">
            <v>128310</v>
          </cell>
          <cell r="Q26">
            <v>67420</v>
          </cell>
          <cell r="R26">
            <v>0</v>
          </cell>
          <cell r="S26">
            <v>67430</v>
          </cell>
          <cell r="T26">
            <v>89900</v>
          </cell>
          <cell r="U26">
            <v>150790</v>
          </cell>
        </row>
        <row r="27">
          <cell r="B27" t="str">
            <v>FRIDGEM_S1_P56</v>
          </cell>
          <cell r="C27" t="str">
            <v>Fishes</v>
          </cell>
          <cell r="D27" t="str">
            <v>N/A</v>
          </cell>
        </row>
        <row r="27">
          <cell r="F27" t="str">
            <v>NA/GLOBAL</v>
          </cell>
          <cell r="G27" t="str">
            <v>MNFRG-18M-01;MNFRG-23M-01</v>
          </cell>
          <cell r="H27">
            <v>11314</v>
          </cell>
        </row>
        <row r="27">
          <cell r="J27">
            <v>240690</v>
          </cell>
          <cell r="K27">
            <v>60890</v>
          </cell>
        </row>
        <row r="27">
          <cell r="M27">
            <v>157330</v>
          </cell>
          <cell r="N27">
            <v>60890</v>
          </cell>
          <cell r="O27">
            <v>89900</v>
          </cell>
          <cell r="P27">
            <v>128310</v>
          </cell>
          <cell r="Q27">
            <v>67420</v>
          </cell>
          <cell r="R27">
            <v>0</v>
          </cell>
          <cell r="S27">
            <v>67430</v>
          </cell>
          <cell r="T27">
            <v>89900</v>
          </cell>
          <cell r="U27">
            <v>150790</v>
          </cell>
        </row>
        <row r="28">
          <cell r="B28" t="str">
            <v>FRIDGEM_S1_P57</v>
          </cell>
          <cell r="C28" t="str">
            <v>Lamp Chops</v>
          </cell>
          <cell r="D28" t="str">
            <v>N/A</v>
          </cell>
        </row>
        <row r="28">
          <cell r="F28" t="str">
            <v>NA/GLOBAL</v>
          </cell>
          <cell r="G28" t="str">
            <v>MNFRG-17M-01,MNFRG-22M-01</v>
          </cell>
          <cell r="H28">
            <v>11314</v>
          </cell>
        </row>
        <row r="28">
          <cell r="J28">
            <v>240690</v>
          </cell>
          <cell r="K28">
            <v>60890</v>
          </cell>
        </row>
        <row r="28">
          <cell r="M28">
            <v>157330</v>
          </cell>
          <cell r="N28">
            <v>60890</v>
          </cell>
          <cell r="O28">
            <v>89900</v>
          </cell>
          <cell r="P28">
            <v>128310</v>
          </cell>
          <cell r="Q28">
            <v>67420</v>
          </cell>
          <cell r="R28">
            <v>0</v>
          </cell>
          <cell r="S28">
            <v>67430</v>
          </cell>
          <cell r="T28">
            <v>89900</v>
          </cell>
          <cell r="U28">
            <v>150790</v>
          </cell>
        </row>
        <row r="29">
          <cell r="B29" t="str">
            <v>FRIDGEM_S1_P58</v>
          </cell>
          <cell r="C29" t="str">
            <v>Broccoli Florets</v>
          </cell>
          <cell r="D29" t="str">
            <v>N/A</v>
          </cell>
        </row>
        <row r="29">
          <cell r="F29" t="str">
            <v>NA/GLOBAL</v>
          </cell>
          <cell r="G29" t="str">
            <v>MNFRG-17M-01</v>
          </cell>
          <cell r="H29">
            <v>11314</v>
          </cell>
        </row>
        <row r="29">
          <cell r="J29">
            <v>240690</v>
          </cell>
          <cell r="K29">
            <v>60890</v>
          </cell>
        </row>
        <row r="29">
          <cell r="M29">
            <v>157330</v>
          </cell>
          <cell r="N29">
            <v>60890</v>
          </cell>
          <cell r="O29">
            <v>89900</v>
          </cell>
          <cell r="P29">
            <v>128310</v>
          </cell>
          <cell r="Q29">
            <v>67420</v>
          </cell>
          <cell r="R29">
            <v>0</v>
          </cell>
          <cell r="S29">
            <v>67430</v>
          </cell>
          <cell r="T29">
            <v>89900</v>
          </cell>
          <cell r="U29">
            <v>150790</v>
          </cell>
        </row>
        <row r="30">
          <cell r="B30" t="str">
            <v>FRIDGEM_S1_P59</v>
          </cell>
          <cell r="C30" t="str">
            <v>Eggplant</v>
          </cell>
          <cell r="D30" t="str">
            <v>N/A</v>
          </cell>
        </row>
        <row r="30">
          <cell r="F30" t="str">
            <v>NA/GLOBAL</v>
          </cell>
          <cell r="G30" t="str">
            <v>MNFRG-12M-01；MNFRG-24M-01</v>
          </cell>
          <cell r="H30">
            <v>15840</v>
          </cell>
        </row>
        <row r="30">
          <cell r="J30">
            <v>252720</v>
          </cell>
          <cell r="K30">
            <v>72920</v>
          </cell>
        </row>
        <row r="30">
          <cell r="M30">
            <v>157320</v>
          </cell>
          <cell r="N30">
            <v>72920</v>
          </cell>
          <cell r="O30">
            <v>89900</v>
          </cell>
          <cell r="P30">
            <v>140340</v>
          </cell>
          <cell r="Q30">
            <v>67420</v>
          </cell>
          <cell r="R30">
            <v>0</v>
          </cell>
          <cell r="S30">
            <v>67420</v>
          </cell>
          <cell r="T30">
            <v>89900</v>
          </cell>
          <cell r="U30">
            <v>162820</v>
          </cell>
        </row>
        <row r="31">
          <cell r="B31" t="str">
            <v>FRIDGEM_S1_P60</v>
          </cell>
          <cell r="C31" t="str">
            <v>Fruit Tray</v>
          </cell>
          <cell r="D31" t="str">
            <v>N/A</v>
          </cell>
        </row>
        <row r="31">
          <cell r="F31" t="str">
            <v>NA/GLOBAL</v>
          </cell>
          <cell r="G31" t="str">
            <v>MNFRG-06M-01;MNFRG-26M-01</v>
          </cell>
          <cell r="H31">
            <v>15840</v>
          </cell>
        </row>
        <row r="31">
          <cell r="J31">
            <v>252720</v>
          </cell>
          <cell r="K31">
            <v>73220</v>
          </cell>
        </row>
        <row r="31">
          <cell r="M31">
            <v>157620</v>
          </cell>
          <cell r="N31">
            <v>72920</v>
          </cell>
          <cell r="O31">
            <v>89900</v>
          </cell>
          <cell r="P31">
            <v>140340</v>
          </cell>
          <cell r="Q31">
            <v>67420</v>
          </cell>
          <cell r="R31">
            <v>0</v>
          </cell>
          <cell r="S31">
            <v>67420</v>
          </cell>
          <cell r="T31">
            <v>89900</v>
          </cell>
          <cell r="U31">
            <v>162820</v>
          </cell>
        </row>
        <row r="32">
          <cell r="B32" t="str">
            <v>FRIDGEM_S1_P61</v>
          </cell>
          <cell r="C32" t="str">
            <v>Oats Jar</v>
          </cell>
          <cell r="D32" t="str">
            <v>N/A</v>
          </cell>
        </row>
        <row r="32">
          <cell r="F32" t="str">
            <v>NA/GLOBAL, SK DEMO</v>
          </cell>
          <cell r="G32" t="str">
            <v>MNFRG-10M-01;MNFRG-25M-01</v>
          </cell>
          <cell r="H32">
            <v>15840</v>
          </cell>
        </row>
        <row r="32">
          <cell r="J32">
            <v>254220</v>
          </cell>
          <cell r="K32">
            <v>72920</v>
          </cell>
        </row>
        <row r="32">
          <cell r="M32">
            <v>157320</v>
          </cell>
          <cell r="N32">
            <v>72920</v>
          </cell>
          <cell r="O32">
            <v>89900</v>
          </cell>
          <cell r="P32">
            <v>140340</v>
          </cell>
          <cell r="Q32">
            <v>67420</v>
          </cell>
          <cell r="R32">
            <v>0</v>
          </cell>
          <cell r="S32">
            <v>67420</v>
          </cell>
          <cell r="T32">
            <v>89900</v>
          </cell>
          <cell r="U32">
            <v>162820</v>
          </cell>
        </row>
        <row r="33">
          <cell r="B33" t="str">
            <v>FRIDGEM_S1_P62</v>
          </cell>
          <cell r="C33" t="str">
            <v>Kombucha</v>
          </cell>
          <cell r="D33" t="str">
            <v>N/A</v>
          </cell>
        </row>
        <row r="33">
          <cell r="F33" t="str">
            <v>NA/GLOBAL, SK DEMO</v>
          </cell>
          <cell r="G33" t="str">
            <v>MNFRG-03M-01,MNFRG-18M-01</v>
          </cell>
          <cell r="H33">
            <v>16971</v>
          </cell>
        </row>
        <row r="33">
          <cell r="J33">
            <v>254220</v>
          </cell>
          <cell r="K33">
            <v>72920</v>
          </cell>
        </row>
        <row r="33">
          <cell r="M33">
            <v>157320</v>
          </cell>
          <cell r="N33">
            <v>72920</v>
          </cell>
          <cell r="O33">
            <v>89900</v>
          </cell>
          <cell r="P33">
            <v>140340</v>
          </cell>
          <cell r="Q33">
            <v>67420</v>
          </cell>
          <cell r="R33">
            <v>0</v>
          </cell>
          <cell r="S33">
            <v>67420</v>
          </cell>
          <cell r="T33">
            <v>89900</v>
          </cell>
          <cell r="U33">
            <v>162820</v>
          </cell>
        </row>
        <row r="34">
          <cell r="B34" t="str">
            <v>FRIDGEM_S1_P63</v>
          </cell>
          <cell r="C34" t="str">
            <v>Turmeric Shot</v>
          </cell>
          <cell r="D34" t="str">
            <v>N/A</v>
          </cell>
        </row>
        <row r="34">
          <cell r="F34" t="str">
            <v>NA/GLOBAL</v>
          </cell>
          <cell r="G34" t="str">
            <v>MNFRG-09M-01</v>
          </cell>
          <cell r="H34">
            <v>16971.4285714286</v>
          </cell>
        </row>
        <row r="34">
          <cell r="J34">
            <v>272230</v>
          </cell>
          <cell r="K34">
            <v>75000</v>
          </cell>
        </row>
        <row r="34">
          <cell r="M34">
            <v>172570</v>
          </cell>
          <cell r="N34">
            <v>75000</v>
          </cell>
          <cell r="O34">
            <v>98610</v>
          </cell>
          <cell r="P34">
            <v>148960</v>
          </cell>
          <cell r="Q34">
            <v>73950</v>
          </cell>
          <cell r="R34">
            <v>0</v>
          </cell>
          <cell r="S34">
            <v>73960</v>
          </cell>
          <cell r="T34">
            <v>98610</v>
          </cell>
          <cell r="U34">
            <v>173610</v>
          </cell>
        </row>
        <row r="35">
          <cell r="B35" t="str">
            <v>FRIDGEM_S1_P64</v>
          </cell>
          <cell r="C35" t="str">
            <v>Milk</v>
          </cell>
          <cell r="D35" t="str">
            <v>N/A</v>
          </cell>
        </row>
        <row r="35">
          <cell r="F35" t="str">
            <v>NA/GLOBAL</v>
          </cell>
          <cell r="G35" t="str">
            <v>MNFRG-07M-01</v>
          </cell>
          <cell r="H35">
            <v>16971.4285714286</v>
          </cell>
        </row>
        <row r="35">
          <cell r="J35">
            <v>272230</v>
          </cell>
          <cell r="K35">
            <v>75000</v>
          </cell>
        </row>
        <row r="35">
          <cell r="M35">
            <v>172570</v>
          </cell>
          <cell r="N35">
            <v>75000</v>
          </cell>
          <cell r="O35">
            <v>98610</v>
          </cell>
          <cell r="P35">
            <v>148960</v>
          </cell>
          <cell r="Q35">
            <v>73950</v>
          </cell>
          <cell r="R35">
            <v>0</v>
          </cell>
          <cell r="S35">
            <v>73960</v>
          </cell>
          <cell r="T35">
            <v>98610</v>
          </cell>
          <cell r="U35">
            <v>173610</v>
          </cell>
        </row>
        <row r="36">
          <cell r="B36" t="str">
            <v>FRIDGEM_S1_P65</v>
          </cell>
          <cell r="C36" t="str">
            <v>Juice</v>
          </cell>
          <cell r="D36" t="str">
            <v>N/A</v>
          </cell>
        </row>
        <row r="36">
          <cell r="F36" t="str">
            <v>NA/GLOBAL</v>
          </cell>
          <cell r="G36" t="str">
            <v>MNFRG-02M-01</v>
          </cell>
          <cell r="H36">
            <v>16971.4285714286</v>
          </cell>
        </row>
        <row r="36">
          <cell r="J36">
            <v>272230</v>
          </cell>
          <cell r="K36">
            <v>75000</v>
          </cell>
        </row>
        <row r="36">
          <cell r="M36">
            <v>172570</v>
          </cell>
          <cell r="N36">
            <v>75000</v>
          </cell>
          <cell r="O36">
            <v>98610</v>
          </cell>
          <cell r="P36">
            <v>148960</v>
          </cell>
          <cell r="Q36">
            <v>73950</v>
          </cell>
          <cell r="R36">
            <v>0</v>
          </cell>
          <cell r="S36">
            <v>73960</v>
          </cell>
          <cell r="T36">
            <v>98610</v>
          </cell>
          <cell r="U36">
            <v>173610</v>
          </cell>
        </row>
        <row r="37">
          <cell r="B37" t="str">
            <v>FRIDGEM_S1_P66</v>
          </cell>
          <cell r="C37" t="str">
            <v>Water</v>
          </cell>
          <cell r="D37" t="str">
            <v>N/A</v>
          </cell>
        </row>
        <row r="37">
          <cell r="F37" t="str">
            <v>NA/GLOBAL</v>
          </cell>
          <cell r="G37" t="str">
            <v>MNFRG-01M-01</v>
          </cell>
          <cell r="H37">
            <v>16971.4285714286</v>
          </cell>
        </row>
        <row r="37">
          <cell r="J37">
            <v>272230</v>
          </cell>
          <cell r="K37">
            <v>75000</v>
          </cell>
        </row>
        <row r="37">
          <cell r="M37">
            <v>172570</v>
          </cell>
          <cell r="N37">
            <v>75000</v>
          </cell>
          <cell r="O37">
            <v>98610</v>
          </cell>
          <cell r="P37">
            <v>148960</v>
          </cell>
          <cell r="Q37">
            <v>73950</v>
          </cell>
          <cell r="R37">
            <v>0</v>
          </cell>
          <cell r="S37">
            <v>73960</v>
          </cell>
          <cell r="T37">
            <v>98610</v>
          </cell>
          <cell r="U37">
            <v>173610</v>
          </cell>
        </row>
        <row r="38">
          <cell r="B38" t="str">
            <v>FRIDGEM_S1_P01</v>
          </cell>
          <cell r="C38" t="str">
            <v>Cheese Pasta</v>
          </cell>
          <cell r="D38" t="str">
            <v>Hormel</v>
          </cell>
        </row>
        <row r="38">
          <cell r="F38" t="str">
            <v>NA/GLOBAL, PDQ DEMO</v>
          </cell>
          <cell r="G38" t="str">
            <v>MNFRG-19M-01，MNFRG-22M-01</v>
          </cell>
          <cell r="H38">
            <v>15840</v>
          </cell>
        </row>
        <row r="38">
          <cell r="J38">
            <v>126310</v>
          </cell>
          <cell r="K38">
            <v>33140</v>
          </cell>
        </row>
        <row r="38">
          <cell r="M38">
            <v>48890</v>
          </cell>
          <cell r="N38">
            <v>31140</v>
          </cell>
          <cell r="O38">
            <v>30080</v>
          </cell>
          <cell r="P38">
            <v>49950</v>
          </cell>
          <cell r="Q38">
            <v>21820</v>
          </cell>
          <cell r="R38">
            <v>0</v>
          </cell>
          <cell r="S38">
            <v>22810</v>
          </cell>
          <cell r="T38">
            <v>81080</v>
          </cell>
          <cell r="U38">
            <v>71220</v>
          </cell>
        </row>
        <row r="39">
          <cell r="B39" t="str">
            <v>FRIDGEM_S1_P02</v>
          </cell>
          <cell r="C39" t="str">
            <v>Mashed Potatoes</v>
          </cell>
          <cell r="D39" t="str">
            <v>Hormel</v>
          </cell>
        </row>
        <row r="39">
          <cell r="F39" t="str">
            <v>NA/GLOBAL</v>
          </cell>
          <cell r="G39" t="str">
            <v>MNFRG-19M-01，MNFRG-22M-01</v>
          </cell>
        </row>
        <row r="39">
          <cell r="J39">
            <v>76310</v>
          </cell>
          <cell r="K39">
            <v>26140</v>
          </cell>
        </row>
        <row r="39">
          <cell r="M39">
            <v>43890</v>
          </cell>
          <cell r="N39">
            <v>26140</v>
          </cell>
          <cell r="O39">
            <v>25080</v>
          </cell>
          <cell r="P39">
            <v>44950</v>
          </cell>
          <cell r="Q39">
            <v>18820</v>
          </cell>
          <cell r="R39">
            <v>0</v>
          </cell>
          <cell r="S39">
            <v>18810</v>
          </cell>
          <cell r="T39">
            <v>25080</v>
          </cell>
          <cell r="U39">
            <v>51220</v>
          </cell>
        </row>
        <row r="40">
          <cell r="B40" t="str">
            <v>FRIDGEM_S1_P07</v>
          </cell>
          <cell r="C40" t="str">
            <v>Mayonnaise</v>
          </cell>
          <cell r="D40" t="str">
            <v>Kraft Heinz</v>
          </cell>
        </row>
        <row r="40">
          <cell r="F40" t="str">
            <v>NA</v>
          </cell>
          <cell r="G40" t="str">
            <v>MNFRG-07M-01</v>
          </cell>
          <cell r="H40">
            <v>5657</v>
          </cell>
        </row>
        <row r="40">
          <cell r="J40">
            <v>50170</v>
          </cell>
          <cell r="K40">
            <v>0</v>
          </cell>
        </row>
        <row r="40">
          <cell r="M40">
            <v>43900</v>
          </cell>
          <cell r="N40">
            <v>0</v>
          </cell>
          <cell r="O40">
            <v>25080</v>
          </cell>
          <cell r="P40">
            <v>18820</v>
          </cell>
          <cell r="Q40">
            <v>18810</v>
          </cell>
          <cell r="R40">
            <v>0</v>
          </cell>
          <cell r="S40">
            <v>18810</v>
          </cell>
          <cell r="T40">
            <v>25090</v>
          </cell>
          <cell r="U40">
            <v>25080</v>
          </cell>
        </row>
        <row r="41">
          <cell r="B41" t="str">
            <v>FRIDGEM_S1_P08</v>
          </cell>
          <cell r="C41" t="str">
            <v>Barbecue Sauce</v>
          </cell>
          <cell r="D41" t="str">
            <v>Kraft Heinz</v>
          </cell>
        </row>
        <row r="41">
          <cell r="F41" t="str">
            <v>NA</v>
          </cell>
          <cell r="G41" t="str">
            <v>MNFRG-08M-01</v>
          </cell>
          <cell r="H41">
            <v>5657</v>
          </cell>
        </row>
        <row r="41">
          <cell r="J41">
            <v>52280</v>
          </cell>
          <cell r="K41">
            <v>0</v>
          </cell>
        </row>
        <row r="41">
          <cell r="M41">
            <v>45740</v>
          </cell>
          <cell r="N41">
            <v>0</v>
          </cell>
          <cell r="O41">
            <v>26130</v>
          </cell>
          <cell r="P41">
            <v>19600</v>
          </cell>
          <cell r="Q41">
            <v>19610</v>
          </cell>
          <cell r="R41">
            <v>0</v>
          </cell>
          <cell r="S41">
            <v>19600</v>
          </cell>
          <cell r="T41">
            <v>26140</v>
          </cell>
          <cell r="U41">
            <v>26130</v>
          </cell>
        </row>
        <row r="42">
          <cell r="B42" t="str">
            <v>FRIDGEM_S1_P18</v>
          </cell>
          <cell r="C42" t="str">
            <v>Mini Chocolate</v>
          </cell>
          <cell r="D42" t="str">
            <v>Hershey's</v>
          </cell>
        </row>
        <row r="42">
          <cell r="F42" t="str">
            <v>NA/GLOBAL</v>
          </cell>
          <cell r="G42" t="str">
            <v>MNFRG-08M-01</v>
          </cell>
        </row>
        <row r="42">
          <cell r="I42" t="str">
            <v>mini mini mins</v>
          </cell>
          <cell r="J42">
            <v>35430</v>
          </cell>
          <cell r="K42">
            <v>9660</v>
          </cell>
        </row>
        <row r="42">
          <cell r="M42">
            <v>22540</v>
          </cell>
          <cell r="N42">
            <v>9660</v>
          </cell>
          <cell r="O42">
            <v>12880</v>
          </cell>
          <cell r="P42">
            <v>19330</v>
          </cell>
          <cell r="Q42">
            <v>9660</v>
          </cell>
          <cell r="R42">
            <v>0</v>
          </cell>
          <cell r="S42">
            <v>9660</v>
          </cell>
          <cell r="T42">
            <v>12880</v>
          </cell>
          <cell r="U42">
            <v>22540</v>
          </cell>
        </row>
        <row r="43">
          <cell r="B43" t="str">
            <v>FRIDGEM_S1_C01</v>
          </cell>
          <cell r="C43" t="str">
            <v>Honey Deli Ham</v>
          </cell>
          <cell r="D43" t="str">
            <v>Hormel</v>
          </cell>
          <cell r="E43" t="str">
            <v>cardboard 纸盒</v>
          </cell>
          <cell r="F43" t="str">
            <v>NA/GLOBAL</v>
          </cell>
          <cell r="G43" t="str">
            <v>外购件</v>
          </cell>
        </row>
        <row r="43">
          <cell r="J43">
            <v>78410</v>
          </cell>
          <cell r="K43">
            <v>26440</v>
          </cell>
        </row>
        <row r="43">
          <cell r="M43">
            <v>46040</v>
          </cell>
          <cell r="N43">
            <v>26140</v>
          </cell>
          <cell r="O43">
            <v>26130</v>
          </cell>
          <cell r="P43">
            <v>45740</v>
          </cell>
          <cell r="Q43">
            <v>19600</v>
          </cell>
          <cell r="R43">
            <v>0</v>
          </cell>
          <cell r="S43">
            <v>19600</v>
          </cell>
          <cell r="T43">
            <v>26140</v>
          </cell>
          <cell r="U43">
            <v>52270</v>
          </cell>
        </row>
        <row r="44">
          <cell r="B44" t="str">
            <v>FRIDGEM_S1_C02</v>
          </cell>
          <cell r="C44" t="str">
            <v>Deli Turkey</v>
          </cell>
          <cell r="D44" t="str">
            <v>Hormel</v>
          </cell>
          <cell r="E44" t="str">
            <v>cardboard 纸盒</v>
          </cell>
          <cell r="F44" t="str">
            <v>NA/GLOBAL</v>
          </cell>
          <cell r="G44" t="str">
            <v>外购件</v>
          </cell>
        </row>
        <row r="44">
          <cell r="J44">
            <v>78410</v>
          </cell>
          <cell r="K44">
            <v>26140</v>
          </cell>
        </row>
        <row r="44">
          <cell r="M44">
            <v>45740</v>
          </cell>
          <cell r="N44">
            <v>26140</v>
          </cell>
          <cell r="O44">
            <v>26130</v>
          </cell>
          <cell r="P44">
            <v>45740</v>
          </cell>
          <cell r="Q44">
            <v>19600</v>
          </cell>
          <cell r="R44">
            <v>0</v>
          </cell>
          <cell r="S44">
            <v>19600</v>
          </cell>
          <cell r="T44">
            <v>26140</v>
          </cell>
          <cell r="U44">
            <v>52270</v>
          </cell>
        </row>
        <row r="45">
          <cell r="B45" t="str">
            <v>FRIDGEM_S1_F01</v>
          </cell>
          <cell r="C45" t="str">
            <v>Morning Star Farms Sausage Patties</v>
          </cell>
          <cell r="D45" t="str">
            <v>Kelloggs's Eggo</v>
          </cell>
          <cell r="E45" t="str">
            <v>foil bag 铝箔袋</v>
          </cell>
          <cell r="F45" t="str">
            <v>NA/GLOBAL</v>
          </cell>
          <cell r="G45" t="str">
            <v>外购件</v>
          </cell>
        </row>
        <row r="45">
          <cell r="J45">
            <v>87130</v>
          </cell>
          <cell r="K45">
            <v>34840</v>
          </cell>
        </row>
        <row r="45">
          <cell r="M45">
            <v>45740</v>
          </cell>
          <cell r="N45">
            <v>34850</v>
          </cell>
          <cell r="O45">
            <v>26140</v>
          </cell>
          <cell r="P45">
            <v>54450</v>
          </cell>
          <cell r="Q45">
            <v>19600</v>
          </cell>
          <cell r="R45">
            <v>0</v>
          </cell>
          <cell r="S45">
            <v>19600</v>
          </cell>
          <cell r="T45">
            <v>26140</v>
          </cell>
          <cell r="U45">
            <v>60980</v>
          </cell>
        </row>
        <row r="46">
          <cell r="B46" t="str">
            <v>FRIDGEM_S1_P03</v>
          </cell>
          <cell r="C46" t="str">
            <v>Thick Cut Bacon</v>
          </cell>
          <cell r="D46" t="str">
            <v>Hormel</v>
          </cell>
        </row>
        <row r="46">
          <cell r="F46" t="str">
            <v>NA/GLOBAL</v>
          </cell>
          <cell r="G46" t="str">
            <v>MNFRG-17M-01</v>
          </cell>
          <cell r="H46">
            <v>5657</v>
          </cell>
        </row>
        <row r="46">
          <cell r="J46">
            <v>87130</v>
          </cell>
          <cell r="K46">
            <v>34840</v>
          </cell>
        </row>
        <row r="46">
          <cell r="M46">
            <v>45740</v>
          </cell>
          <cell r="N46">
            <v>34850</v>
          </cell>
          <cell r="O46">
            <v>26140</v>
          </cell>
          <cell r="P46">
            <v>54450</v>
          </cell>
          <cell r="Q46">
            <v>19600</v>
          </cell>
          <cell r="R46">
            <v>0</v>
          </cell>
          <cell r="S46">
            <v>19600</v>
          </cell>
          <cell r="T46">
            <v>26140</v>
          </cell>
          <cell r="U46">
            <v>60980</v>
          </cell>
        </row>
        <row r="47">
          <cell r="B47" t="str">
            <v>FRIDGEM_S1_P04</v>
          </cell>
          <cell r="C47" t="str">
            <v>Thick Cut Stack Pack</v>
          </cell>
          <cell r="D47" t="str">
            <v>Hormel</v>
          </cell>
        </row>
        <row r="47">
          <cell r="F47" t="str">
            <v>NA/GLOBAL</v>
          </cell>
          <cell r="G47" t="str">
            <v>MNFRG-17M-01</v>
          </cell>
          <cell r="H47">
            <v>5657</v>
          </cell>
        </row>
        <row r="47">
          <cell r="J47">
            <v>87130</v>
          </cell>
          <cell r="K47">
            <v>34840</v>
          </cell>
        </row>
        <row r="47">
          <cell r="M47">
            <v>45740</v>
          </cell>
          <cell r="N47">
            <v>34850</v>
          </cell>
          <cell r="O47">
            <v>26140</v>
          </cell>
          <cell r="P47">
            <v>54450</v>
          </cell>
          <cell r="Q47">
            <v>19600</v>
          </cell>
          <cell r="R47">
            <v>0</v>
          </cell>
          <cell r="S47">
            <v>19600</v>
          </cell>
          <cell r="T47">
            <v>26140</v>
          </cell>
          <cell r="U47">
            <v>60980</v>
          </cell>
        </row>
        <row r="48">
          <cell r="B48" t="str">
            <v>FRIDGEM_S1_C03</v>
          </cell>
          <cell r="C48" t="str">
            <v>Homestyle Waffles</v>
          </cell>
          <cell r="D48" t="str">
            <v>Kelloggs's Eggo</v>
          </cell>
          <cell r="E48" t="str">
            <v>cardboard 纸盒</v>
          </cell>
          <cell r="F48" t="str">
            <v>NA/GLOBAL, SK DEMO</v>
          </cell>
          <cell r="G48" t="str">
            <v>外购件</v>
          </cell>
        </row>
        <row r="48">
          <cell r="J48">
            <v>90020</v>
          </cell>
          <cell r="K48">
            <v>36530</v>
          </cell>
        </row>
        <row r="48">
          <cell r="M48">
            <v>46040</v>
          </cell>
          <cell r="N48">
            <v>36240</v>
          </cell>
          <cell r="O48">
            <v>26130</v>
          </cell>
          <cell r="P48">
            <v>55840</v>
          </cell>
          <cell r="Q48">
            <v>19610</v>
          </cell>
          <cell r="R48">
            <v>0</v>
          </cell>
          <cell r="S48">
            <v>19600</v>
          </cell>
          <cell r="T48">
            <v>26140</v>
          </cell>
          <cell r="U48">
            <v>62370</v>
          </cell>
        </row>
        <row r="49">
          <cell r="B49" t="str">
            <v>FRIDGEM_S1_P09</v>
          </cell>
          <cell r="C49" t="str">
            <v>Jell-O Strawberry Gelatin Snacks</v>
          </cell>
          <cell r="D49" t="str">
            <v>Kraft Heinz</v>
          </cell>
        </row>
        <row r="49">
          <cell r="F49" t="str">
            <v>NA</v>
          </cell>
          <cell r="G49" t="str">
            <v>MNFRG-11M-01</v>
          </cell>
          <cell r="H49">
            <v>22629</v>
          </cell>
        </row>
        <row r="49">
          <cell r="J49">
            <v>52280</v>
          </cell>
          <cell r="K49">
            <v>0</v>
          </cell>
        </row>
        <row r="49">
          <cell r="M49">
            <v>45740</v>
          </cell>
          <cell r="N49">
            <v>0</v>
          </cell>
          <cell r="O49">
            <v>26130</v>
          </cell>
          <cell r="P49">
            <v>19600</v>
          </cell>
          <cell r="Q49">
            <v>19610</v>
          </cell>
          <cell r="R49">
            <v>0</v>
          </cell>
          <cell r="S49">
            <v>19600</v>
          </cell>
          <cell r="T49">
            <v>26140</v>
          </cell>
          <cell r="U49">
            <v>26130</v>
          </cell>
        </row>
        <row r="50">
          <cell r="B50" t="str">
            <v>FRIDGEM_S1_P10</v>
          </cell>
          <cell r="C50" t="str">
            <v>Jell-O Vanilla Pudding</v>
          </cell>
          <cell r="D50" t="str">
            <v>Kraft Heinz</v>
          </cell>
        </row>
        <row r="50">
          <cell r="F50" t="str">
            <v>NA</v>
          </cell>
          <cell r="G50" t="str">
            <v>MNFRG-11M-01</v>
          </cell>
        </row>
        <row r="50">
          <cell r="J50">
            <v>52280</v>
          </cell>
          <cell r="K50">
            <v>0</v>
          </cell>
        </row>
        <row r="50">
          <cell r="M50">
            <v>45740</v>
          </cell>
          <cell r="N50">
            <v>0</v>
          </cell>
          <cell r="O50">
            <v>26130</v>
          </cell>
          <cell r="P50">
            <v>19600</v>
          </cell>
          <cell r="Q50">
            <v>19610</v>
          </cell>
          <cell r="R50">
            <v>0</v>
          </cell>
          <cell r="S50">
            <v>19600</v>
          </cell>
          <cell r="T50">
            <v>26140</v>
          </cell>
          <cell r="U50">
            <v>26130</v>
          </cell>
        </row>
        <row r="51">
          <cell r="B51" t="str">
            <v>FRIDGEM_S1_P11</v>
          </cell>
          <cell r="C51" t="str">
            <v>Jell-O Chocolate Vanilla Swiris Pudding</v>
          </cell>
          <cell r="D51" t="str">
            <v>Kraft Heinz</v>
          </cell>
        </row>
        <row r="51">
          <cell r="F51" t="str">
            <v>NA</v>
          </cell>
          <cell r="G51" t="str">
            <v>MNFRG-11M-01</v>
          </cell>
        </row>
        <row r="51">
          <cell r="J51">
            <v>52280</v>
          </cell>
          <cell r="K51">
            <v>0</v>
          </cell>
        </row>
        <row r="51">
          <cell r="M51">
            <v>45740</v>
          </cell>
          <cell r="N51">
            <v>0</v>
          </cell>
          <cell r="O51">
            <v>26130</v>
          </cell>
          <cell r="P51">
            <v>19600</v>
          </cell>
          <cell r="Q51">
            <v>19610</v>
          </cell>
          <cell r="R51">
            <v>0</v>
          </cell>
          <cell r="S51">
            <v>19600</v>
          </cell>
          <cell r="T51">
            <v>26140</v>
          </cell>
          <cell r="U51">
            <v>26130</v>
          </cell>
        </row>
        <row r="52">
          <cell r="B52" t="str">
            <v>FRIDGEM_S1_C04</v>
          </cell>
          <cell r="C52" t="str">
            <v>Soft Pretzels</v>
          </cell>
          <cell r="D52" t="str">
            <v>Auntie Annis</v>
          </cell>
          <cell r="E52" t="str">
            <v>cardboard 纸盒</v>
          </cell>
          <cell r="F52" t="str">
            <v>NA/GLOBAL</v>
          </cell>
          <cell r="G52" t="str">
            <v>外购件</v>
          </cell>
        </row>
        <row r="52">
          <cell r="J52">
            <v>88520</v>
          </cell>
          <cell r="K52">
            <v>36530</v>
          </cell>
        </row>
        <row r="52">
          <cell r="M52">
            <v>46040</v>
          </cell>
          <cell r="N52">
            <v>36240</v>
          </cell>
          <cell r="O52">
            <v>26130</v>
          </cell>
          <cell r="P52">
            <v>55840</v>
          </cell>
          <cell r="Q52">
            <v>19610</v>
          </cell>
          <cell r="R52">
            <v>0</v>
          </cell>
          <cell r="S52">
            <v>19600</v>
          </cell>
          <cell r="T52">
            <v>26140</v>
          </cell>
          <cell r="U52">
            <v>62370</v>
          </cell>
        </row>
        <row r="53">
          <cell r="B53" t="str">
            <v>FRIDGEM_S1_C05</v>
          </cell>
          <cell r="C53" t="str">
            <v>Pretzel Dogs</v>
          </cell>
          <cell r="D53" t="str">
            <v>Auntie Annis</v>
          </cell>
          <cell r="E53" t="str">
            <v>cardboard 纸盒</v>
          </cell>
          <cell r="F53" t="str">
            <v>NA/GLOBAL</v>
          </cell>
          <cell r="G53" t="str">
            <v>外购件</v>
          </cell>
        </row>
        <row r="53">
          <cell r="J53">
            <v>88520</v>
          </cell>
          <cell r="K53">
            <v>36230</v>
          </cell>
        </row>
        <row r="53">
          <cell r="M53">
            <v>45740</v>
          </cell>
          <cell r="N53">
            <v>36240</v>
          </cell>
          <cell r="O53">
            <v>26130</v>
          </cell>
          <cell r="P53">
            <v>55840</v>
          </cell>
          <cell r="Q53">
            <v>19610</v>
          </cell>
          <cell r="R53">
            <v>0</v>
          </cell>
          <cell r="S53">
            <v>19600</v>
          </cell>
          <cell r="T53">
            <v>26140</v>
          </cell>
          <cell r="U53">
            <v>62370</v>
          </cell>
        </row>
        <row r="54">
          <cell r="B54" t="str">
            <v>FRIDGEM_S1_P32</v>
          </cell>
          <cell r="C54" t="str">
            <v>Chow Mein</v>
          </cell>
          <cell r="D54" t="str">
            <v>Panda Express</v>
          </cell>
        </row>
        <row r="54">
          <cell r="F54" t="str">
            <v>NA/GLOBAL</v>
          </cell>
          <cell r="G54" t="str">
            <v>MNFRG-19M-01;MNFRG-23M-01；MNFRG-30M-01</v>
          </cell>
          <cell r="H54">
            <v>10560</v>
          </cell>
        </row>
        <row r="54">
          <cell r="J54">
            <v>52780</v>
          </cell>
          <cell r="K54">
            <v>15150</v>
          </cell>
        </row>
        <row r="54">
          <cell r="M54">
            <v>32930</v>
          </cell>
          <cell r="N54">
            <v>15150</v>
          </cell>
          <cell r="O54">
            <v>18810</v>
          </cell>
          <cell r="P54">
            <v>29260</v>
          </cell>
          <cell r="Q54">
            <v>14110</v>
          </cell>
          <cell r="R54">
            <v>0</v>
          </cell>
          <cell r="S54">
            <v>14110</v>
          </cell>
          <cell r="T54">
            <v>18820</v>
          </cell>
          <cell r="U54">
            <v>33960</v>
          </cell>
        </row>
        <row r="55">
          <cell r="B55" t="str">
            <v>FRIDGEM_S1_P33</v>
          </cell>
          <cell r="C55" t="str">
            <v>Broccoli Beef</v>
          </cell>
          <cell r="D55" t="str">
            <v>Panda Express</v>
          </cell>
        </row>
        <row r="55">
          <cell r="F55" t="str">
            <v>NA/GLOBAL</v>
          </cell>
          <cell r="G55" t="str">
            <v>MNFRG-19M-01;MNFRG-23M-01；MNFRG-30M-01</v>
          </cell>
        </row>
        <row r="55">
          <cell r="J55">
            <v>52780</v>
          </cell>
          <cell r="K55">
            <v>15150</v>
          </cell>
        </row>
        <row r="55">
          <cell r="M55">
            <v>32930</v>
          </cell>
          <cell r="N55">
            <v>15150</v>
          </cell>
          <cell r="O55">
            <v>18810</v>
          </cell>
          <cell r="P55">
            <v>29260</v>
          </cell>
          <cell r="Q55">
            <v>14110</v>
          </cell>
          <cell r="R55">
            <v>0</v>
          </cell>
          <cell r="S55">
            <v>14110</v>
          </cell>
          <cell r="T55">
            <v>18820</v>
          </cell>
          <cell r="U55">
            <v>33960</v>
          </cell>
        </row>
        <row r="56">
          <cell r="B56" t="str">
            <v>FRIDGEM_S1_P34</v>
          </cell>
          <cell r="C56" t="str">
            <v>Orange Chicken</v>
          </cell>
          <cell r="D56" t="str">
            <v>Panda Express</v>
          </cell>
        </row>
        <row r="56">
          <cell r="F56" t="str">
            <v>NA/GLOBAL</v>
          </cell>
          <cell r="G56" t="str">
            <v>MNFRG-19M-01;MNFRG-23M-01；MNFRG-30M-01</v>
          </cell>
        </row>
        <row r="56">
          <cell r="J56">
            <v>52780</v>
          </cell>
          <cell r="K56">
            <v>15450</v>
          </cell>
        </row>
        <row r="56">
          <cell r="M56">
            <v>33230</v>
          </cell>
          <cell r="N56">
            <v>15150</v>
          </cell>
          <cell r="O56">
            <v>18210</v>
          </cell>
          <cell r="P56">
            <v>29260</v>
          </cell>
          <cell r="Q56">
            <v>14110</v>
          </cell>
          <cell r="R56">
            <v>0</v>
          </cell>
          <cell r="S56">
            <v>14710</v>
          </cell>
          <cell r="T56">
            <v>18820</v>
          </cell>
          <cell r="U56">
            <v>33960</v>
          </cell>
        </row>
        <row r="57">
          <cell r="B57" t="str">
            <v>FRIDGEM_S1_P35</v>
          </cell>
          <cell r="C57" t="str">
            <v>Jamoca Almond Fudge Ice Cream</v>
          </cell>
          <cell r="D57" t="str">
            <v>Baskin-Robbins</v>
          </cell>
        </row>
        <row r="57">
          <cell r="F57" t="str">
            <v>NA/GLOBAL,PDQ DEMO</v>
          </cell>
          <cell r="G57" t="str">
            <v>MNFRG-20M-01</v>
          </cell>
          <cell r="H57">
            <v>10560</v>
          </cell>
        </row>
        <row r="57">
          <cell r="J57">
            <v>102780</v>
          </cell>
          <cell r="K57">
            <v>22450</v>
          </cell>
        </row>
        <row r="57">
          <cell r="M57">
            <v>39730</v>
          </cell>
          <cell r="N57">
            <v>20150</v>
          </cell>
          <cell r="O57">
            <v>23810</v>
          </cell>
          <cell r="P57">
            <v>34260</v>
          </cell>
          <cell r="Q57">
            <v>17110</v>
          </cell>
          <cell r="R57">
            <v>0</v>
          </cell>
          <cell r="S57">
            <v>18110</v>
          </cell>
          <cell r="T57">
            <v>74820</v>
          </cell>
          <cell r="U57">
            <v>53960</v>
          </cell>
        </row>
        <row r="58">
          <cell r="B58" t="str">
            <v>FRIDGEM_S1_P36</v>
          </cell>
          <cell r="C58" t="str">
            <v>Oreo Cookies'N Cream Ice Cream</v>
          </cell>
          <cell r="D58" t="str">
            <v>Baskin-Robbins</v>
          </cell>
        </row>
        <row r="58">
          <cell r="F58" t="str">
            <v>NA/GLOBAL</v>
          </cell>
          <cell r="G58" t="str">
            <v>MNFRG-20M-01</v>
          </cell>
          <cell r="H58">
            <v>10560</v>
          </cell>
        </row>
        <row r="58">
          <cell r="J58">
            <v>63890</v>
          </cell>
          <cell r="K58">
            <v>17430</v>
          </cell>
        </row>
        <row r="58">
          <cell r="M58">
            <v>40650</v>
          </cell>
          <cell r="N58">
            <v>17430</v>
          </cell>
          <cell r="O58">
            <v>23230</v>
          </cell>
          <cell r="P58">
            <v>34850</v>
          </cell>
          <cell r="Q58">
            <v>17420</v>
          </cell>
          <cell r="R58">
            <v>0</v>
          </cell>
          <cell r="S58">
            <v>17430</v>
          </cell>
          <cell r="T58">
            <v>23230</v>
          </cell>
          <cell r="U58">
            <v>40660</v>
          </cell>
        </row>
        <row r="59">
          <cell r="B59" t="str">
            <v>FRIDGEM_S1_P41</v>
          </cell>
          <cell r="C59" t="str">
            <v>Tropical Punch</v>
          </cell>
          <cell r="D59" t="str">
            <v>Olipop</v>
          </cell>
        </row>
        <row r="59">
          <cell r="F59" t="str">
            <v>NA/GLOBAL, SK DEMO</v>
          </cell>
          <cell r="G59" t="str">
            <v>MNFRG-21M-01</v>
          </cell>
          <cell r="H59">
            <v>15840</v>
          </cell>
        </row>
        <row r="59">
          <cell r="J59">
            <v>65390</v>
          </cell>
          <cell r="K59">
            <v>17430</v>
          </cell>
        </row>
        <row r="59">
          <cell r="M59">
            <v>40650</v>
          </cell>
          <cell r="N59">
            <v>17430</v>
          </cell>
          <cell r="O59">
            <v>23230</v>
          </cell>
          <cell r="P59">
            <v>34850</v>
          </cell>
          <cell r="Q59">
            <v>17420</v>
          </cell>
          <cell r="R59">
            <v>0</v>
          </cell>
          <cell r="S59">
            <v>17430</v>
          </cell>
          <cell r="T59">
            <v>23230</v>
          </cell>
          <cell r="U59">
            <v>40660</v>
          </cell>
        </row>
        <row r="60">
          <cell r="B60" t="str">
            <v>FRIDGEM_S1_P42</v>
          </cell>
          <cell r="C60" t="str">
            <v>Classic Grape</v>
          </cell>
          <cell r="D60" t="str">
            <v>Olipop</v>
          </cell>
        </row>
        <row r="60">
          <cell r="F60" t="str">
            <v>NA/GLOBAL, SK DEMO</v>
          </cell>
          <cell r="G60" t="str">
            <v>MNFRG-21M-01</v>
          </cell>
        </row>
        <row r="60">
          <cell r="J60">
            <v>65390</v>
          </cell>
          <cell r="K60">
            <v>17430</v>
          </cell>
        </row>
        <row r="60">
          <cell r="M60">
            <v>40650</v>
          </cell>
          <cell r="N60">
            <v>17430</v>
          </cell>
          <cell r="O60">
            <v>23230</v>
          </cell>
          <cell r="P60">
            <v>34850</v>
          </cell>
          <cell r="Q60">
            <v>17420</v>
          </cell>
          <cell r="R60">
            <v>0</v>
          </cell>
          <cell r="S60">
            <v>17430</v>
          </cell>
          <cell r="T60">
            <v>23230</v>
          </cell>
          <cell r="U60">
            <v>40660</v>
          </cell>
        </row>
        <row r="61">
          <cell r="B61" t="str">
            <v>FRIDGEM_S1_P43</v>
          </cell>
          <cell r="C61" t="str">
            <v>O-mazing Orange</v>
          </cell>
          <cell r="D61" t="str">
            <v>Sangaria Ramune</v>
          </cell>
        </row>
        <row r="61">
          <cell r="F61" t="str">
            <v>NA/GLOBAL</v>
          </cell>
          <cell r="G61" t="str">
            <v>MNFRG-05M-01</v>
          </cell>
          <cell r="H61">
            <v>16971.4285714286</v>
          </cell>
        </row>
        <row r="61">
          <cell r="J61">
            <v>52780</v>
          </cell>
          <cell r="K61">
            <v>15150</v>
          </cell>
        </row>
        <row r="61">
          <cell r="M61">
            <v>32930</v>
          </cell>
          <cell r="N61">
            <v>15150</v>
          </cell>
          <cell r="O61">
            <v>18810</v>
          </cell>
          <cell r="P61">
            <v>29260</v>
          </cell>
          <cell r="Q61">
            <v>14110</v>
          </cell>
          <cell r="R61">
            <v>0</v>
          </cell>
          <cell r="S61">
            <v>14110</v>
          </cell>
          <cell r="T61">
            <v>18820</v>
          </cell>
          <cell r="U61">
            <v>33960</v>
          </cell>
        </row>
        <row r="62">
          <cell r="B62" t="str">
            <v>FRIDGEM_S1_P44</v>
          </cell>
          <cell r="C62" t="str">
            <v>The OG</v>
          </cell>
          <cell r="D62" t="str">
            <v>Sangaria Ramune</v>
          </cell>
        </row>
        <row r="62">
          <cell r="F62" t="str">
            <v>NA/GLOBAL</v>
          </cell>
          <cell r="G62" t="str">
            <v>MNFRG-05M-01</v>
          </cell>
        </row>
        <row r="62">
          <cell r="J62">
            <v>52780</v>
          </cell>
          <cell r="K62">
            <v>15150</v>
          </cell>
        </row>
        <row r="62">
          <cell r="M62">
            <v>32930</v>
          </cell>
          <cell r="N62">
            <v>15150</v>
          </cell>
          <cell r="O62">
            <v>18810</v>
          </cell>
          <cell r="P62">
            <v>29260</v>
          </cell>
          <cell r="Q62">
            <v>14110</v>
          </cell>
          <cell r="R62">
            <v>0</v>
          </cell>
          <cell r="S62">
            <v>14110</v>
          </cell>
          <cell r="T62">
            <v>18820</v>
          </cell>
          <cell r="U62">
            <v>33960</v>
          </cell>
        </row>
        <row r="63">
          <cell r="B63" t="str">
            <v>FRIDGEM_S1_P46</v>
          </cell>
          <cell r="C63" t="str">
            <v>Sweet Strawberry</v>
          </cell>
          <cell r="D63" t="str">
            <v>Sangaria Ramune</v>
          </cell>
        </row>
        <row r="63">
          <cell r="F63" t="str">
            <v>NA/GLOBAL</v>
          </cell>
          <cell r="G63" t="str">
            <v>MNFRG-05M-01</v>
          </cell>
        </row>
        <row r="63">
          <cell r="J63">
            <v>52780</v>
          </cell>
          <cell r="K63">
            <v>15150</v>
          </cell>
        </row>
        <row r="63">
          <cell r="M63">
            <v>32930</v>
          </cell>
          <cell r="N63">
            <v>15150</v>
          </cell>
          <cell r="O63">
            <v>18810</v>
          </cell>
          <cell r="P63">
            <v>29260</v>
          </cell>
          <cell r="Q63">
            <v>14110</v>
          </cell>
          <cell r="R63">
            <v>0</v>
          </cell>
          <cell r="S63">
            <v>14110</v>
          </cell>
          <cell r="T63">
            <v>18820</v>
          </cell>
          <cell r="U63">
            <v>33960</v>
          </cell>
        </row>
        <row r="64">
          <cell r="B64" t="str">
            <v>FRIDGEM_S1_P47</v>
          </cell>
          <cell r="C64" t="str">
            <v>Original</v>
          </cell>
          <cell r="D64" t="str">
            <v>Mike's Hot Honey</v>
          </cell>
        </row>
        <row r="64">
          <cell r="F64" t="str">
            <v>NA/GLOBAL,PDQ DEMO</v>
          </cell>
          <cell r="G64" t="str">
            <v>MNFRG-01M-01</v>
          </cell>
          <cell r="H64">
            <v>5657</v>
          </cell>
        </row>
        <row r="64">
          <cell r="J64">
            <v>102780</v>
          </cell>
          <cell r="K64">
            <v>22150</v>
          </cell>
        </row>
        <row r="64">
          <cell r="M64">
            <v>37930</v>
          </cell>
          <cell r="N64">
            <v>20150</v>
          </cell>
          <cell r="O64">
            <v>23810</v>
          </cell>
          <cell r="P64">
            <v>34260</v>
          </cell>
          <cell r="Q64">
            <v>17110</v>
          </cell>
          <cell r="R64">
            <v>0</v>
          </cell>
          <cell r="S64">
            <v>18110</v>
          </cell>
          <cell r="T64">
            <v>74820</v>
          </cell>
          <cell r="U64">
            <v>53960</v>
          </cell>
        </row>
        <row r="65">
          <cell r="B65" t="str">
            <v>FRIDGEM_S1_P38</v>
          </cell>
          <cell r="C65" t="str">
            <v>Unicorn Cake</v>
          </cell>
          <cell r="D65" t="str">
            <v>Baskin-Robbins</v>
          </cell>
        </row>
        <row r="65">
          <cell r="F65" t="str">
            <v>NA/GLOBAL</v>
          </cell>
          <cell r="G65" t="str">
            <v>MNFRG-15M-01</v>
          </cell>
          <cell r="H65">
            <v>2829</v>
          </cell>
        </row>
        <row r="65">
          <cell r="J65">
            <v>38430</v>
          </cell>
          <cell r="K65">
            <v>11490</v>
          </cell>
        </row>
        <row r="65">
          <cell r="M65">
            <v>23570</v>
          </cell>
          <cell r="N65">
            <v>11490</v>
          </cell>
          <cell r="O65">
            <v>13470</v>
          </cell>
          <cell r="P65">
            <v>21590</v>
          </cell>
          <cell r="Q65">
            <v>10100</v>
          </cell>
          <cell r="R65">
            <v>0</v>
          </cell>
          <cell r="S65">
            <v>10100</v>
          </cell>
          <cell r="T65">
            <v>13470</v>
          </cell>
          <cell r="U65">
            <v>24960</v>
          </cell>
        </row>
        <row r="66">
          <cell r="B66" t="str">
            <v>FRIDGEM_S1_P48</v>
          </cell>
          <cell r="C66" t="str">
            <v>Pancakes</v>
          </cell>
          <cell r="D66" t="str">
            <v>IHOP</v>
          </cell>
        </row>
        <row r="66">
          <cell r="F66" t="str">
            <v>NA/GLOBAL</v>
          </cell>
          <cell r="G66" t="str">
            <v>MNFRG-03M-01</v>
          </cell>
          <cell r="H66">
            <v>2829</v>
          </cell>
        </row>
        <row r="66">
          <cell r="J66">
            <v>38430</v>
          </cell>
          <cell r="K66">
            <v>11490</v>
          </cell>
        </row>
        <row r="66">
          <cell r="M66">
            <v>23570</v>
          </cell>
          <cell r="N66">
            <v>11490</v>
          </cell>
          <cell r="O66">
            <v>13470</v>
          </cell>
          <cell r="P66">
            <v>21590</v>
          </cell>
          <cell r="Q66">
            <v>10100</v>
          </cell>
          <cell r="R66">
            <v>0</v>
          </cell>
          <cell r="S66">
            <v>10100</v>
          </cell>
          <cell r="T66">
            <v>13470</v>
          </cell>
          <cell r="U66">
            <v>24960</v>
          </cell>
        </row>
        <row r="67">
          <cell r="B67" t="str">
            <v>FRIDGEM_S1_P49</v>
          </cell>
          <cell r="C67" t="str">
            <v>Burgers and Fries</v>
          </cell>
          <cell r="D67" t="str">
            <v>IHOP</v>
          </cell>
        </row>
        <row r="67">
          <cell r="F67" t="str">
            <v>NA/GLOBAL</v>
          </cell>
          <cell r="G67" t="str">
            <v>MNFRG-14M-01</v>
          </cell>
          <cell r="H67">
            <v>2829</v>
          </cell>
        </row>
        <row r="67">
          <cell r="J67">
            <v>38430</v>
          </cell>
          <cell r="K67">
            <v>11490</v>
          </cell>
        </row>
        <row r="67">
          <cell r="M67">
            <v>23570</v>
          </cell>
          <cell r="N67">
            <v>11490</v>
          </cell>
          <cell r="O67">
            <v>13470</v>
          </cell>
          <cell r="P67">
            <v>21590</v>
          </cell>
          <cell r="Q67">
            <v>10100</v>
          </cell>
          <cell r="R67">
            <v>0</v>
          </cell>
          <cell r="S67">
            <v>10100</v>
          </cell>
          <cell r="T67">
            <v>13470</v>
          </cell>
          <cell r="U67">
            <v>24960</v>
          </cell>
        </row>
        <row r="68">
          <cell r="B68" t="str">
            <v>FRIDGEM_S1_P53</v>
          </cell>
          <cell r="C68" t="str">
            <v>Sushi</v>
          </cell>
          <cell r="D68" t="str">
            <v>N/A</v>
          </cell>
        </row>
        <row r="68">
          <cell r="F68" t="str">
            <v>NA/GLOBAL</v>
          </cell>
          <cell r="G68" t="str">
            <v>MNFRG-15M-01,MNFRG-22M-01;MNFRG-26M-01</v>
          </cell>
          <cell r="H68">
            <v>2829</v>
          </cell>
        </row>
        <row r="68">
          <cell r="J68">
            <v>38340</v>
          </cell>
          <cell r="K68">
            <v>10450</v>
          </cell>
        </row>
        <row r="68">
          <cell r="M68">
            <v>24400</v>
          </cell>
          <cell r="N68">
            <v>10450</v>
          </cell>
          <cell r="O68">
            <v>13940</v>
          </cell>
          <cell r="P68">
            <v>20910</v>
          </cell>
          <cell r="Q68">
            <v>10450</v>
          </cell>
          <cell r="R68">
            <v>0</v>
          </cell>
          <cell r="S68">
            <v>10460</v>
          </cell>
          <cell r="T68">
            <v>13940</v>
          </cell>
          <cell r="U68">
            <v>24390</v>
          </cell>
        </row>
        <row r="69">
          <cell r="B69" t="str">
            <v>FRIDGEM_S1_P52</v>
          </cell>
          <cell r="C69" t="str">
            <v>Frozen Chicken</v>
          </cell>
          <cell r="D69" t="str">
            <v>N/A</v>
          </cell>
        </row>
        <row r="69">
          <cell r="F69" t="str">
            <v>NA/GLOBAL</v>
          </cell>
          <cell r="G69" t="str">
            <v>MNFRG-10M-01；MNFRG-23M-01</v>
          </cell>
          <cell r="H69">
            <v>5280</v>
          </cell>
        </row>
        <row r="69">
          <cell r="J69">
            <v>38340</v>
          </cell>
          <cell r="K69">
            <v>10450</v>
          </cell>
        </row>
        <row r="69">
          <cell r="M69">
            <v>24400</v>
          </cell>
          <cell r="N69">
            <v>10450</v>
          </cell>
          <cell r="O69">
            <v>13940</v>
          </cell>
          <cell r="P69">
            <v>20910</v>
          </cell>
          <cell r="Q69">
            <v>10450</v>
          </cell>
          <cell r="R69">
            <v>0</v>
          </cell>
          <cell r="S69">
            <v>10460</v>
          </cell>
          <cell r="T69">
            <v>13940</v>
          </cell>
          <cell r="U69">
            <v>24390</v>
          </cell>
        </row>
        <row r="70">
          <cell r="B70" t="str">
            <v>FRIDGEM_S1_P68</v>
          </cell>
          <cell r="C70" t="str">
            <v>Tiramisu</v>
          </cell>
          <cell r="D70" t="str">
            <v>N/A</v>
          </cell>
        </row>
        <row r="70">
          <cell r="F70" t="str">
            <v>NA/GLOBAL, SK DEMO</v>
          </cell>
          <cell r="G70" t="str">
            <v>MNFRG-15M-01；MNFRG-26M-01；MNFRG-31M-01；MNFRG-32M-01.</v>
          </cell>
          <cell r="H70">
            <v>2829</v>
          </cell>
        </row>
        <row r="70">
          <cell r="J70">
            <v>39840</v>
          </cell>
          <cell r="K70">
            <v>10750</v>
          </cell>
        </row>
        <row r="70">
          <cell r="M70">
            <v>24700</v>
          </cell>
          <cell r="N70">
            <v>10450</v>
          </cell>
          <cell r="O70">
            <v>13940</v>
          </cell>
          <cell r="P70">
            <v>20910</v>
          </cell>
          <cell r="Q70">
            <v>10450</v>
          </cell>
          <cell r="R70">
            <v>0</v>
          </cell>
          <cell r="S70">
            <v>10460</v>
          </cell>
          <cell r="T70">
            <v>13940</v>
          </cell>
          <cell r="U70">
            <v>24390</v>
          </cell>
        </row>
        <row r="71">
          <cell r="B71" t="str">
            <v>FRIDGEM_S1_P51</v>
          </cell>
          <cell r="C71" t="str">
            <v>Eggs</v>
          </cell>
          <cell r="D71" t="str">
            <v>N/A</v>
          </cell>
        </row>
        <row r="71">
          <cell r="F71" t="str">
            <v>NA/GLOBAL</v>
          </cell>
          <cell r="G71" t="str">
            <v>MNFRG-14M-01；MNFRG-29M-01.</v>
          </cell>
          <cell r="H71">
            <v>5280</v>
          </cell>
        </row>
        <row r="71">
          <cell r="J71">
            <v>38340</v>
          </cell>
          <cell r="K71">
            <v>10450</v>
          </cell>
        </row>
        <row r="71">
          <cell r="M71">
            <v>24400</v>
          </cell>
          <cell r="N71">
            <v>10450</v>
          </cell>
          <cell r="O71">
            <v>13940</v>
          </cell>
          <cell r="P71">
            <v>20910</v>
          </cell>
          <cell r="Q71">
            <v>10450</v>
          </cell>
          <cell r="R71">
            <v>0</v>
          </cell>
          <cell r="S71">
            <v>10460</v>
          </cell>
          <cell r="T71">
            <v>13940</v>
          </cell>
          <cell r="U71">
            <v>24390</v>
          </cell>
        </row>
        <row r="72">
          <cell r="B72" t="str">
            <v>FRIDGEM_S1_P54</v>
          </cell>
          <cell r="C72" t="str">
            <v>Ice</v>
          </cell>
          <cell r="D72" t="str">
            <v>N/A</v>
          </cell>
        </row>
        <row r="72">
          <cell r="F72" t="str">
            <v>NA/GLOBAL</v>
          </cell>
          <cell r="G72" t="str">
            <v>MNFRG-27M-01</v>
          </cell>
          <cell r="H72">
            <v>2112</v>
          </cell>
        </row>
        <row r="72">
          <cell r="J72">
            <v>38340</v>
          </cell>
          <cell r="K72">
            <v>10450</v>
          </cell>
        </row>
        <row r="72">
          <cell r="M72">
            <v>24400</v>
          </cell>
          <cell r="N72">
            <v>10450</v>
          </cell>
          <cell r="O72">
            <v>13940</v>
          </cell>
          <cell r="P72">
            <v>20910</v>
          </cell>
          <cell r="Q72">
            <v>10450</v>
          </cell>
          <cell r="R72">
            <v>0</v>
          </cell>
          <cell r="S72">
            <v>10460</v>
          </cell>
          <cell r="T72">
            <v>13940</v>
          </cell>
          <cell r="U72">
            <v>24390</v>
          </cell>
        </row>
        <row r="73">
          <cell r="B73" t="str">
            <v>FRIDGEM_S1_P40</v>
          </cell>
          <cell r="C73" t="str">
            <v>Mini Strawberry Vanilla</v>
          </cell>
          <cell r="D73" t="str">
            <v>Olipop</v>
          </cell>
        </row>
        <row r="73">
          <cell r="F73" t="str">
            <v>NA/GLOBAL</v>
          </cell>
          <cell r="G73" t="str">
            <v>MNFRG-21M-01</v>
          </cell>
          <cell r="H73">
            <v>2640</v>
          </cell>
          <cell r="I73" t="str">
            <v>mini mini mins</v>
          </cell>
          <cell r="J73">
            <v>35430</v>
          </cell>
          <cell r="K73">
            <v>9660</v>
          </cell>
        </row>
        <row r="73">
          <cell r="M73">
            <v>22540</v>
          </cell>
          <cell r="N73">
            <v>9660</v>
          </cell>
          <cell r="O73">
            <v>13480</v>
          </cell>
          <cell r="P73">
            <v>19330</v>
          </cell>
          <cell r="Q73">
            <v>9660</v>
          </cell>
          <cell r="R73">
            <v>0</v>
          </cell>
          <cell r="S73">
            <v>9660</v>
          </cell>
          <cell r="T73">
            <v>12880</v>
          </cell>
          <cell r="U73">
            <v>22540</v>
          </cell>
        </row>
        <row r="74">
          <cell r="B74" t="str">
            <v>FRIDGEM_S1_P45</v>
          </cell>
          <cell r="C74" t="str">
            <v>Mini The OG</v>
          </cell>
          <cell r="D74" t="str">
            <v>Sangaria Ramune</v>
          </cell>
        </row>
        <row r="74">
          <cell r="F74" t="str">
            <v>NA/GLOBAL</v>
          </cell>
          <cell r="G74" t="str">
            <v>MNFRG-05M-01</v>
          </cell>
          <cell r="H74">
            <v>5657.14285714286</v>
          </cell>
          <cell r="I74" t="str">
            <v>mini mini mins</v>
          </cell>
          <cell r="J74">
            <v>35430</v>
          </cell>
          <cell r="K74">
            <v>9660</v>
          </cell>
        </row>
        <row r="74">
          <cell r="M74">
            <v>22540</v>
          </cell>
          <cell r="N74">
            <v>9660</v>
          </cell>
          <cell r="O74">
            <v>12880</v>
          </cell>
          <cell r="P74">
            <v>19330</v>
          </cell>
          <cell r="Q74">
            <v>9660</v>
          </cell>
          <cell r="R74">
            <v>0</v>
          </cell>
          <cell r="S74">
            <v>9660</v>
          </cell>
          <cell r="T74">
            <v>12880</v>
          </cell>
          <cell r="U74">
            <v>22540</v>
          </cell>
        </row>
        <row r="75">
          <cell r="B75" t="str">
            <v>FRIDGEM_S1_P37</v>
          </cell>
          <cell r="C75" t="str">
            <v>Mini Oreo Cookies'N Cream Ice Cream</v>
          </cell>
          <cell r="D75" t="str">
            <v>Baskin-Robbins</v>
          </cell>
        </row>
        <row r="75">
          <cell r="F75" t="str">
            <v>NA/GLOBAL</v>
          </cell>
          <cell r="G75" t="str">
            <v>MNFRG-21M-01</v>
          </cell>
          <cell r="H75">
            <v>2640</v>
          </cell>
          <cell r="I75" t="str">
            <v>mini mini mins</v>
          </cell>
          <cell r="J75">
            <v>35430</v>
          </cell>
          <cell r="K75">
            <v>9660</v>
          </cell>
        </row>
        <row r="75">
          <cell r="M75">
            <v>22540</v>
          </cell>
          <cell r="N75">
            <v>9660</v>
          </cell>
          <cell r="O75">
            <v>12880</v>
          </cell>
          <cell r="P75">
            <v>19330</v>
          </cell>
          <cell r="Q75">
            <v>9660</v>
          </cell>
          <cell r="R75">
            <v>0</v>
          </cell>
          <cell r="S75">
            <v>9660</v>
          </cell>
          <cell r="T75">
            <v>12880</v>
          </cell>
          <cell r="U75">
            <v>22540</v>
          </cell>
        </row>
        <row r="76">
          <cell r="B76" t="str">
            <v>FRIDGEM_S1_P70</v>
          </cell>
          <cell r="C76" t="str">
            <v>Pudding</v>
          </cell>
          <cell r="D76" t="str">
            <v>N/A</v>
          </cell>
        </row>
        <row r="76">
          <cell r="F76" t="str">
            <v>NA/GLOBAL, PDQ &amp;SK DEMO</v>
          </cell>
          <cell r="G76" t="str">
            <v>MNFRG-16M-01;MNFRG-23M-01;MNFRG-25M-01；MNFRG-31M-01；MNFRG-32M-01</v>
          </cell>
          <cell r="H76">
            <v>2640</v>
          </cell>
        </row>
        <row r="76">
          <cell r="J76">
            <v>74420</v>
          </cell>
          <cell r="K76">
            <v>13250</v>
          </cell>
        </row>
        <row r="76">
          <cell r="M76">
            <v>19580</v>
          </cell>
          <cell r="N76">
            <v>11250</v>
          </cell>
          <cell r="O76">
            <v>13340</v>
          </cell>
          <cell r="P76">
            <v>17500</v>
          </cell>
          <cell r="Q76">
            <v>9250</v>
          </cell>
          <cell r="R76">
            <v>0</v>
          </cell>
          <cell r="S76">
            <v>10250</v>
          </cell>
          <cell r="T76">
            <v>64330</v>
          </cell>
          <cell r="U76">
            <v>34580</v>
          </cell>
        </row>
        <row r="77">
          <cell r="B77" t="str">
            <v>FRIDGEM_S1_P69</v>
          </cell>
          <cell r="C77" t="str">
            <v>Pops</v>
          </cell>
          <cell r="D77" t="str">
            <v>N/A</v>
          </cell>
        </row>
        <row r="77">
          <cell r="F77" t="str">
            <v>NA/GLOBAL</v>
          </cell>
          <cell r="G77" t="str">
            <v>MNFRG-16M-01；MNFRG-31M-01；MNFRG-31M-01；MNFRG-32M-01</v>
          </cell>
          <cell r="H77">
            <v>5657</v>
          </cell>
        </row>
        <row r="77">
          <cell r="J77">
            <v>22920</v>
          </cell>
          <cell r="K77">
            <v>6250</v>
          </cell>
        </row>
        <row r="77">
          <cell r="M77">
            <v>14580</v>
          </cell>
          <cell r="N77">
            <v>6250</v>
          </cell>
          <cell r="O77">
            <v>8340</v>
          </cell>
          <cell r="P77">
            <v>12500</v>
          </cell>
          <cell r="Q77">
            <v>6250</v>
          </cell>
          <cell r="R77">
            <v>0</v>
          </cell>
          <cell r="S77">
            <v>6250</v>
          </cell>
          <cell r="T77">
            <v>8330</v>
          </cell>
          <cell r="U77">
            <v>14580</v>
          </cell>
        </row>
        <row r="78">
          <cell r="B78" t="str">
            <v>FRIDGEM_S1_P22</v>
          </cell>
          <cell r="C78" t="str">
            <v>Pepperoni Pizza-NA Version</v>
          </cell>
          <cell r="D78" t="str">
            <v>Pizza Hut</v>
          </cell>
        </row>
        <row r="78">
          <cell r="F78" t="str">
            <v>NA only</v>
          </cell>
          <cell r="G78" t="str">
            <v>MNFRG-13M-01，MNFRG-28M-01</v>
          </cell>
          <cell r="H78">
            <v>5657</v>
          </cell>
        </row>
        <row r="78">
          <cell r="J78">
            <v>57830</v>
          </cell>
          <cell r="K78">
            <v>0</v>
          </cell>
        </row>
        <row r="78">
          <cell r="M78">
            <v>50600</v>
          </cell>
          <cell r="N78">
            <v>0</v>
          </cell>
          <cell r="O78">
            <v>28920</v>
          </cell>
          <cell r="P78">
            <v>21680</v>
          </cell>
          <cell r="Q78">
            <v>21690</v>
          </cell>
          <cell r="R78">
            <v>0</v>
          </cell>
          <cell r="S78">
            <v>21680</v>
          </cell>
          <cell r="T78">
            <v>28920</v>
          </cell>
          <cell r="U78">
            <v>28910</v>
          </cell>
        </row>
        <row r="79">
          <cell r="B79" t="str">
            <v>FRIDGEM_S1_P27</v>
          </cell>
          <cell r="C79" t="str">
            <v>Pepperoni Pizza-Global Version</v>
          </cell>
          <cell r="D79" t="str">
            <v>Pizza Hut</v>
          </cell>
        </row>
        <row r="79">
          <cell r="F79" t="str">
            <v>GLOBAL only</v>
          </cell>
          <cell r="G79" t="str">
            <v>MNFRG-13M-01；MNFRG-28M-01</v>
          </cell>
        </row>
        <row r="79">
          <cell r="J79">
            <v>43570</v>
          </cell>
          <cell r="K79">
            <v>43560</v>
          </cell>
        </row>
        <row r="79">
          <cell r="M79">
            <v>0</v>
          </cell>
          <cell r="N79">
            <v>43560</v>
          </cell>
          <cell r="O79">
            <v>0</v>
          </cell>
          <cell r="P79">
            <v>43560</v>
          </cell>
          <cell r="Q79">
            <v>0</v>
          </cell>
          <cell r="R79">
            <v>0</v>
          </cell>
          <cell r="S79">
            <v>0</v>
          </cell>
          <cell r="T79">
            <v>0</v>
          </cell>
          <cell r="U79">
            <v>43560</v>
          </cell>
        </row>
        <row r="80">
          <cell r="B80" t="str">
            <v>FRIDGEM_S1_P23</v>
          </cell>
          <cell r="C80" t="str">
            <v>Cheese Pizza-NA Version</v>
          </cell>
          <cell r="D80" t="str">
            <v>Pizza Hut</v>
          </cell>
        </row>
        <row r="80">
          <cell r="F80" t="str">
            <v>NA only</v>
          </cell>
          <cell r="G80" t="str">
            <v>MNFRG-13M-01；MNFRG-28M-01</v>
          </cell>
          <cell r="H80">
            <v>5657</v>
          </cell>
        </row>
        <row r="80">
          <cell r="J80">
            <v>57830</v>
          </cell>
          <cell r="K80">
            <v>0</v>
          </cell>
        </row>
        <row r="80">
          <cell r="M80">
            <v>50600</v>
          </cell>
          <cell r="N80">
            <v>0</v>
          </cell>
          <cell r="O80">
            <v>28920</v>
          </cell>
          <cell r="P80">
            <v>21680</v>
          </cell>
          <cell r="Q80">
            <v>21690</v>
          </cell>
          <cell r="R80">
            <v>0</v>
          </cell>
          <cell r="S80">
            <v>21680</v>
          </cell>
          <cell r="T80">
            <v>28920</v>
          </cell>
          <cell r="U80">
            <v>28910</v>
          </cell>
        </row>
        <row r="81">
          <cell r="B81" t="str">
            <v>FRIDGEM_S1_P28</v>
          </cell>
          <cell r="C81" t="str">
            <v>Cheese Pizza-Global Version</v>
          </cell>
          <cell r="D81" t="str">
            <v>Pizza Hut</v>
          </cell>
        </row>
        <row r="81">
          <cell r="F81" t="str">
            <v>GLOBAL only</v>
          </cell>
          <cell r="G81" t="str">
            <v>MNFRG-13M-01；MNFRG-28M-01</v>
          </cell>
        </row>
        <row r="81">
          <cell r="J81">
            <v>43570</v>
          </cell>
          <cell r="K81">
            <v>43560</v>
          </cell>
        </row>
        <row r="81">
          <cell r="M81">
            <v>0</v>
          </cell>
          <cell r="N81">
            <v>43560</v>
          </cell>
          <cell r="O81">
            <v>0</v>
          </cell>
          <cell r="P81">
            <v>43560</v>
          </cell>
          <cell r="Q81">
            <v>0</v>
          </cell>
          <cell r="R81">
            <v>0</v>
          </cell>
          <cell r="S81">
            <v>0</v>
          </cell>
          <cell r="T81">
            <v>0</v>
          </cell>
          <cell r="U81">
            <v>43560</v>
          </cell>
        </row>
        <row r="82">
          <cell r="B82" t="str">
            <v>FRIDGEM_S1_P24</v>
          </cell>
          <cell r="C82" t="str">
            <v>Hawaiian Pizza-NA Version</v>
          </cell>
          <cell r="D82" t="str">
            <v>Pizza Hut</v>
          </cell>
        </row>
        <row r="82">
          <cell r="F82" t="str">
            <v>NA only</v>
          </cell>
          <cell r="G82" t="str">
            <v>MNFRG-13M-01；MNFRG-28M-01</v>
          </cell>
          <cell r="H82">
            <v>5657</v>
          </cell>
        </row>
        <row r="82">
          <cell r="J82">
            <v>57830</v>
          </cell>
          <cell r="K82">
            <v>0</v>
          </cell>
        </row>
        <row r="82">
          <cell r="M82">
            <v>50600</v>
          </cell>
          <cell r="N82">
            <v>0</v>
          </cell>
          <cell r="O82">
            <v>28920</v>
          </cell>
          <cell r="P82">
            <v>21680</v>
          </cell>
          <cell r="Q82">
            <v>21690</v>
          </cell>
          <cell r="R82">
            <v>0</v>
          </cell>
          <cell r="S82">
            <v>21680</v>
          </cell>
          <cell r="T82">
            <v>28920</v>
          </cell>
          <cell r="U82">
            <v>28910</v>
          </cell>
        </row>
        <row r="83">
          <cell r="B83" t="str">
            <v>FRIDGEM_S1_P29</v>
          </cell>
          <cell r="C83" t="str">
            <v>Hawaiian Pizza-Global Version</v>
          </cell>
          <cell r="D83" t="str">
            <v>Pizza Hut</v>
          </cell>
        </row>
        <row r="83">
          <cell r="F83" t="str">
            <v>GLOBAL only</v>
          </cell>
          <cell r="G83" t="str">
            <v>MNFRG-13M-01；MNFRG-28M-01</v>
          </cell>
        </row>
        <row r="83">
          <cell r="J83">
            <v>43570</v>
          </cell>
          <cell r="K83">
            <v>43560</v>
          </cell>
        </row>
        <row r="83">
          <cell r="M83">
            <v>0</v>
          </cell>
          <cell r="N83">
            <v>43560</v>
          </cell>
          <cell r="O83">
            <v>0</v>
          </cell>
          <cell r="P83">
            <v>43560</v>
          </cell>
          <cell r="Q83">
            <v>0</v>
          </cell>
          <cell r="R83">
            <v>0</v>
          </cell>
          <cell r="S83">
            <v>0</v>
          </cell>
          <cell r="T83">
            <v>0</v>
          </cell>
          <cell r="U83">
            <v>43560</v>
          </cell>
        </row>
        <row r="84">
          <cell r="B84" t="str">
            <v>FRIDGEM_S1_P25</v>
          </cell>
          <cell r="C84" t="str">
            <v>Big Dinner Box-NA Version</v>
          </cell>
          <cell r="D84" t="str">
            <v>Pizza Hut</v>
          </cell>
        </row>
        <row r="84">
          <cell r="F84" t="str">
            <v>NA only</v>
          </cell>
          <cell r="G84" t="str">
            <v>MNFRG-13M-01；MNFRG-29M-01</v>
          </cell>
          <cell r="H84">
            <v>5657</v>
          </cell>
        </row>
        <row r="84">
          <cell r="J84">
            <v>57830</v>
          </cell>
          <cell r="K84">
            <v>0</v>
          </cell>
        </row>
        <row r="84">
          <cell r="M84">
            <v>50600</v>
          </cell>
          <cell r="N84">
            <v>0</v>
          </cell>
          <cell r="O84">
            <v>28920</v>
          </cell>
          <cell r="P84">
            <v>21680</v>
          </cell>
          <cell r="Q84">
            <v>21690</v>
          </cell>
          <cell r="R84">
            <v>0</v>
          </cell>
          <cell r="S84">
            <v>21680</v>
          </cell>
          <cell r="T84">
            <v>28920</v>
          </cell>
          <cell r="U84">
            <v>28910</v>
          </cell>
        </row>
        <row r="85">
          <cell r="B85" t="str">
            <v>FRIDGEM_S1_P30</v>
          </cell>
          <cell r="C85" t="str">
            <v>Big Dinner Box-Global Version</v>
          </cell>
          <cell r="D85" t="str">
            <v>Pizza Hut</v>
          </cell>
        </row>
        <row r="85">
          <cell r="F85" t="str">
            <v>GLOBAL only</v>
          </cell>
          <cell r="G85" t="str">
            <v>MNFRG-13M-01；MNFRG-29M-01</v>
          </cell>
        </row>
        <row r="85">
          <cell r="J85">
            <v>43570</v>
          </cell>
          <cell r="K85">
            <v>43560</v>
          </cell>
        </row>
        <row r="85">
          <cell r="M85">
            <v>0</v>
          </cell>
          <cell r="N85">
            <v>43560</v>
          </cell>
          <cell r="O85">
            <v>0</v>
          </cell>
          <cell r="P85">
            <v>43560</v>
          </cell>
          <cell r="Q85">
            <v>0</v>
          </cell>
          <cell r="R85">
            <v>0</v>
          </cell>
          <cell r="S85">
            <v>0</v>
          </cell>
          <cell r="T85">
            <v>0</v>
          </cell>
          <cell r="U85">
            <v>43560</v>
          </cell>
        </row>
        <row r="86">
          <cell r="B86" t="str">
            <v>FRIDGEM_S1_P26</v>
          </cell>
          <cell r="C86" t="str">
            <v>Traditional Wings-NA Version</v>
          </cell>
          <cell r="D86" t="str">
            <v>Pizza Hut</v>
          </cell>
        </row>
        <row r="86">
          <cell r="F86" t="str">
            <v>NA only</v>
          </cell>
          <cell r="G86" t="str">
            <v>MNFRG-13M-01；MNFRG-28M-01</v>
          </cell>
          <cell r="H86">
            <v>5280</v>
          </cell>
        </row>
        <row r="86">
          <cell r="J86">
            <v>57830</v>
          </cell>
          <cell r="K86">
            <v>0</v>
          </cell>
        </row>
        <row r="86">
          <cell r="M86">
            <v>50600</v>
          </cell>
          <cell r="N86">
            <v>0</v>
          </cell>
          <cell r="O86">
            <v>28920</v>
          </cell>
          <cell r="P86">
            <v>21680</v>
          </cell>
          <cell r="Q86">
            <v>21690</v>
          </cell>
          <cell r="R86">
            <v>0</v>
          </cell>
          <cell r="S86">
            <v>21680</v>
          </cell>
          <cell r="T86">
            <v>28920</v>
          </cell>
          <cell r="U86">
            <v>28910</v>
          </cell>
        </row>
        <row r="87">
          <cell r="B87" t="str">
            <v>FRIDGEM_S1_P31</v>
          </cell>
          <cell r="C87" t="str">
            <v>Traditional Wings-Global Version</v>
          </cell>
          <cell r="D87" t="str">
            <v>Pizza Hut</v>
          </cell>
        </row>
        <row r="87">
          <cell r="F87" t="str">
            <v>GLOBAL only</v>
          </cell>
          <cell r="G87" t="str">
            <v>MNFRG-13M-01；MNFRG-28M-01</v>
          </cell>
        </row>
        <row r="87">
          <cell r="J87">
            <v>43570</v>
          </cell>
          <cell r="K87">
            <v>43560</v>
          </cell>
        </row>
        <row r="87">
          <cell r="M87">
            <v>0</v>
          </cell>
          <cell r="N87">
            <v>43560</v>
          </cell>
          <cell r="O87">
            <v>0</v>
          </cell>
          <cell r="P87">
            <v>43560</v>
          </cell>
          <cell r="Q87">
            <v>0</v>
          </cell>
          <cell r="R87">
            <v>0</v>
          </cell>
          <cell r="S87">
            <v>0</v>
          </cell>
          <cell r="T87">
            <v>0</v>
          </cell>
          <cell r="U87">
            <v>43560</v>
          </cell>
        </row>
        <row r="88">
          <cell r="B88" t="str">
            <v>FRIDGEM_S1_P39</v>
          </cell>
          <cell r="C88" t="str">
            <v>Strawberry Vanilla</v>
          </cell>
          <cell r="D88" t="str">
            <v>OLIPOP</v>
          </cell>
        </row>
        <row r="88">
          <cell r="F88" t="str">
            <v>Playset only</v>
          </cell>
          <cell r="G88" t="str">
            <v>MNFRG-21M-01</v>
          </cell>
          <cell r="H88">
            <v>10393.5353535354</v>
          </cell>
        </row>
        <row r="88">
          <cell r="J88">
            <v>270000</v>
          </cell>
          <cell r="K88">
            <v>10730</v>
          </cell>
          <cell r="L88">
            <v>90420</v>
          </cell>
          <cell r="M88">
            <v>60000</v>
          </cell>
          <cell r="N88">
            <v>50000</v>
          </cell>
          <cell r="O88">
            <v>50000</v>
          </cell>
          <cell r="P88">
            <v>105000</v>
          </cell>
          <cell r="Q88">
            <v>66600</v>
          </cell>
          <cell r="R88">
            <v>101800</v>
          </cell>
          <cell r="S88">
            <v>105000</v>
          </cell>
          <cell r="T88">
            <v>80000</v>
          </cell>
          <cell r="U88">
            <v>179600</v>
          </cell>
        </row>
        <row r="89">
          <cell r="B89" t="str">
            <v>FRIDGEM_S1_P67</v>
          </cell>
          <cell r="C89" t="str">
            <v>Jelly</v>
          </cell>
          <cell r="D89" t="str">
            <v>N/A</v>
          </cell>
        </row>
        <row r="89">
          <cell r="F89" t="str">
            <v>Playset only</v>
          </cell>
          <cell r="G89" t="str">
            <v>MNFRG-15M-01;MNFRG-16M-01;MNFRG-23M-01;MNFRG-31M-01;MNFRG-32M-01.</v>
          </cell>
          <cell r="H89">
            <v>4908</v>
          </cell>
        </row>
        <row r="89">
          <cell r="J89">
            <v>270000</v>
          </cell>
          <cell r="K89">
            <v>11030</v>
          </cell>
          <cell r="L89">
            <v>90420</v>
          </cell>
          <cell r="M89">
            <v>60300</v>
          </cell>
          <cell r="N89">
            <v>50000</v>
          </cell>
          <cell r="O89">
            <v>50000</v>
          </cell>
          <cell r="P89">
            <v>105000</v>
          </cell>
          <cell r="Q89">
            <v>66600</v>
          </cell>
          <cell r="R89">
            <v>101800</v>
          </cell>
          <cell r="S89">
            <v>105000</v>
          </cell>
          <cell r="T89">
            <v>80000</v>
          </cell>
          <cell r="U89">
            <v>179600</v>
          </cell>
        </row>
        <row r="90">
          <cell r="B90" t="str">
            <v>FRIDGEM_S1_P71</v>
          </cell>
          <cell r="C90" t="str">
            <v>Ice Scoop</v>
          </cell>
          <cell r="D90" t="str">
            <v>N/A</v>
          </cell>
        </row>
        <row r="90">
          <cell r="F90" t="str">
            <v>Playset only</v>
          </cell>
          <cell r="G90" t="str">
            <v>MNFRG-24M-01</v>
          </cell>
          <cell r="H90">
            <v>10560</v>
          </cell>
        </row>
        <row r="90">
          <cell r="J90">
            <v>270000</v>
          </cell>
          <cell r="K90">
            <v>10730</v>
          </cell>
          <cell r="L90">
            <v>90420</v>
          </cell>
          <cell r="M90">
            <v>60000</v>
          </cell>
          <cell r="N90">
            <v>50000</v>
          </cell>
          <cell r="O90">
            <v>50000</v>
          </cell>
          <cell r="P90">
            <v>105000</v>
          </cell>
          <cell r="Q90">
            <v>66600</v>
          </cell>
          <cell r="R90">
            <v>101800</v>
          </cell>
          <cell r="S90">
            <v>105000</v>
          </cell>
          <cell r="T90">
            <v>80000</v>
          </cell>
          <cell r="U90">
            <v>179600</v>
          </cell>
        </row>
        <row r="91">
          <cell r="B91" t="str">
            <v>FRIDGEM_S1_A20</v>
          </cell>
        </row>
        <row r="91">
          <cell r="D91" t="str">
            <v>N/A</v>
          </cell>
          <cell r="E91" t="str">
            <v>冰箱贴</v>
          </cell>
          <cell r="F91" t="str">
            <v>Playset only</v>
          </cell>
          <cell r="G91" t="str">
            <v>外购件</v>
          </cell>
        </row>
        <row r="91">
          <cell r="J91">
            <v>270000</v>
          </cell>
          <cell r="K91">
            <v>10730</v>
          </cell>
          <cell r="L91">
            <v>90420</v>
          </cell>
          <cell r="M91">
            <v>60000</v>
          </cell>
          <cell r="N91">
            <v>50000</v>
          </cell>
          <cell r="O91">
            <v>50000</v>
          </cell>
          <cell r="P91">
            <v>105000</v>
          </cell>
          <cell r="Q91">
            <v>66600</v>
          </cell>
          <cell r="R91">
            <v>101800</v>
          </cell>
          <cell r="S91">
            <v>105000</v>
          </cell>
          <cell r="T91">
            <v>80000</v>
          </cell>
          <cell r="U91">
            <v>179600</v>
          </cell>
        </row>
        <row r="92">
          <cell r="B92" t="str">
            <v>FRIDGEM_S1_CUS 1</v>
          </cell>
          <cell r="C92" t="str">
            <v>perfectly Peach</v>
          </cell>
          <cell r="D92" t="str">
            <v>Sangaria Ramune</v>
          </cell>
        </row>
        <row r="92">
          <cell r="F92" t="str">
            <v>Playset Target-US only</v>
          </cell>
          <cell r="G92" t="str">
            <v>MNFRG-05M-01</v>
          </cell>
          <cell r="H92">
            <v>3741.10750360751</v>
          </cell>
          <cell r="I92" t="str">
            <v>和【FRIDGEM_S1_P43】Sangaria Ramune共模</v>
          </cell>
          <cell r="J92">
            <v>20000</v>
          </cell>
          <cell r="K92">
            <v>0</v>
          </cell>
        </row>
        <row r="92">
          <cell r="M92">
            <v>10000</v>
          </cell>
        </row>
        <row r="92">
          <cell r="O92">
            <v>0</v>
          </cell>
          <cell r="P92">
            <v>50000</v>
          </cell>
          <cell r="Q92">
            <v>0</v>
          </cell>
          <cell r="R92">
            <v>40000</v>
          </cell>
          <cell r="S92">
            <v>55000</v>
          </cell>
          <cell r="T92">
            <v>20000</v>
          </cell>
          <cell r="U92">
            <v>20000</v>
          </cell>
        </row>
        <row r="93">
          <cell r="B93" t="str">
            <v>FRIDGEM_S1_CUS 2</v>
          </cell>
          <cell r="C93" t="str">
            <v>Classic Root Beer
355ml</v>
          </cell>
          <cell r="D93" t="str">
            <v>Olipop</v>
          </cell>
        </row>
        <row r="93">
          <cell r="F93" t="str">
            <v>Playset Target-US only</v>
          </cell>
          <cell r="G93" t="str">
            <v>MNFRG-21M-01</v>
          </cell>
          <cell r="H93">
            <v>1964.51178451179</v>
          </cell>
          <cell r="I93" t="str">
            <v>和【FRIDGEM_S1_P39】Olipop 共模</v>
          </cell>
          <cell r="J93">
            <v>20000</v>
          </cell>
          <cell r="K93">
            <v>0</v>
          </cell>
        </row>
        <row r="93">
          <cell r="M93">
            <v>10000</v>
          </cell>
        </row>
        <row r="93">
          <cell r="O93">
            <v>0</v>
          </cell>
          <cell r="P93">
            <v>50000</v>
          </cell>
          <cell r="Q93">
            <v>0</v>
          </cell>
          <cell r="R93">
            <v>40000</v>
          </cell>
          <cell r="S93">
            <v>55000</v>
          </cell>
          <cell r="T93">
            <v>20000</v>
          </cell>
          <cell r="U93">
            <v>20000</v>
          </cell>
        </row>
        <row r="94">
          <cell r="B94" t="str">
            <v>FRIDGEM_S1_CUS 3</v>
          </cell>
          <cell r="C94" t="str">
            <v>Vintage Cola
355ml</v>
          </cell>
          <cell r="D94" t="str">
            <v>Olipop</v>
          </cell>
        </row>
        <row r="94">
          <cell r="F94" t="str">
            <v>Playset Target-US only</v>
          </cell>
          <cell r="G94" t="str">
            <v>MNFRG-21M-01</v>
          </cell>
          <cell r="H94">
            <v>1964.51178451179</v>
          </cell>
          <cell r="I94" t="str">
            <v>和【FRIDGEM_S1_P39】Olipop 共模</v>
          </cell>
          <cell r="J94">
            <v>20000</v>
          </cell>
          <cell r="K94">
            <v>0</v>
          </cell>
        </row>
        <row r="94">
          <cell r="M94">
            <v>10000</v>
          </cell>
        </row>
        <row r="94">
          <cell r="O94">
            <v>0</v>
          </cell>
          <cell r="P94">
            <v>50000</v>
          </cell>
          <cell r="Q94">
            <v>0</v>
          </cell>
          <cell r="R94">
            <v>40000</v>
          </cell>
          <cell r="S94">
            <v>55000</v>
          </cell>
          <cell r="T94">
            <v>20000</v>
          </cell>
          <cell r="U94">
            <v>20000</v>
          </cell>
        </row>
        <row r="95">
          <cell r="B95" t="str">
            <v>FRIDGEM_S1_CUS 4</v>
          </cell>
          <cell r="C95" t="str">
            <v>Supreme Pizza</v>
          </cell>
          <cell r="D95" t="str">
            <v>Pizza Hut</v>
          </cell>
        </row>
        <row r="95">
          <cell r="F95" t="str">
            <v>Playset Target-US only</v>
          </cell>
          <cell r="G95" t="str">
            <v>MNFRG-13M-01；MNFRG-28M-01</v>
          </cell>
          <cell r="H95">
            <v>1018.2095959596</v>
          </cell>
          <cell r="I95" t="str">
            <v>  和【FRIDGEM_S1_P23】Cheese Pizza 共模</v>
          </cell>
          <cell r="J95">
            <v>20000</v>
          </cell>
          <cell r="K95">
            <v>0</v>
          </cell>
        </row>
        <row r="95">
          <cell r="M95">
            <v>10000</v>
          </cell>
        </row>
        <row r="95">
          <cell r="O95">
            <v>0</v>
          </cell>
          <cell r="P95">
            <v>50000</v>
          </cell>
          <cell r="Q95">
            <v>0</v>
          </cell>
          <cell r="R95">
            <v>40000</v>
          </cell>
          <cell r="S95">
            <v>55000</v>
          </cell>
          <cell r="T95">
            <v>20000</v>
          </cell>
          <cell r="U95">
            <v>20000</v>
          </cell>
        </row>
        <row r="96">
          <cell r="B96" t="str">
            <v>FRIDGEM_S1_CUS 5</v>
          </cell>
          <cell r="C96" t="str">
            <v>Extra Hot</v>
          </cell>
          <cell r="D96" t="str">
            <v>Mike's Hot Honey</v>
          </cell>
        </row>
        <row r="96">
          <cell r="F96" t="str">
            <v>Playset Target-US only</v>
          </cell>
          <cell r="G96" t="str">
            <v>MNFRG-01M-01</v>
          </cell>
          <cell r="H96">
            <v>2740.96464646465</v>
          </cell>
          <cell r="I96" t="str">
            <v>和 【FRIDGEM_S1_P47】 共模</v>
          </cell>
          <cell r="J96">
            <v>20000</v>
          </cell>
          <cell r="K96">
            <v>0</v>
          </cell>
        </row>
        <row r="96">
          <cell r="M96">
            <v>10000</v>
          </cell>
        </row>
        <row r="96">
          <cell r="O96">
            <v>0</v>
          </cell>
          <cell r="P96">
            <v>50000</v>
          </cell>
          <cell r="Q96">
            <v>0</v>
          </cell>
          <cell r="R96">
            <v>40000</v>
          </cell>
          <cell r="S96">
            <v>55000</v>
          </cell>
          <cell r="T96">
            <v>20000</v>
          </cell>
          <cell r="U96">
            <v>20000</v>
          </cell>
        </row>
        <row r="97">
          <cell r="B97" t="str">
            <v>FRIDGEM_S1_CUS 6</v>
          </cell>
          <cell r="C97" t="str">
            <v>Great Grape</v>
          </cell>
          <cell r="D97" t="str">
            <v>Sangaria Ramune</v>
          </cell>
        </row>
        <row r="97">
          <cell r="F97" t="str">
            <v>Playset Costco-NA&amp;INT only</v>
          </cell>
          <cell r="G97" t="str">
            <v>MNFRG-05M-01</v>
          </cell>
          <cell r="H97">
            <v>7482.21500721501</v>
          </cell>
          <cell r="I97" t="str">
            <v>和【FRIDGEM_S1_P43】Sangaria Ramune共模</v>
          </cell>
          <cell r="J97">
            <v>50000</v>
          </cell>
          <cell r="K97">
            <v>10730</v>
          </cell>
        </row>
        <row r="97">
          <cell r="P97">
            <v>25420</v>
          </cell>
          <cell r="Q97">
            <v>40600</v>
          </cell>
          <cell r="R97">
            <v>1800</v>
          </cell>
          <cell r="S97">
            <v>0</v>
          </cell>
          <cell r="T97">
            <v>0</v>
          </cell>
          <cell r="U97">
            <v>9600</v>
          </cell>
        </row>
        <row r="98">
          <cell r="B98" t="str">
            <v>FRIDGEM_S1_CUS 7</v>
          </cell>
          <cell r="C98" t="str">
            <v>Mmm Melon</v>
          </cell>
          <cell r="D98" t="str">
            <v>Sangaria Ramune</v>
          </cell>
        </row>
        <row r="98">
          <cell r="F98" t="str">
            <v>Playset Costco-NA&amp;INT only</v>
          </cell>
          <cell r="G98" t="str">
            <v>MNFRG-05M-01</v>
          </cell>
        </row>
        <row r="98">
          <cell r="I98" t="str">
            <v>和【FRIDGEM_S1_P43】Sangaria Ramune共模</v>
          </cell>
          <cell r="J98">
            <v>50000</v>
          </cell>
          <cell r="K98">
            <v>10730</v>
          </cell>
        </row>
        <row r="98">
          <cell r="P98">
            <v>25420</v>
          </cell>
          <cell r="Q98">
            <v>40600</v>
          </cell>
          <cell r="R98">
            <v>1800</v>
          </cell>
          <cell r="S98">
            <v>0</v>
          </cell>
          <cell r="T98">
            <v>0</v>
          </cell>
          <cell r="U98">
            <v>9600</v>
          </cell>
        </row>
        <row r="99">
          <cell r="B99" t="str">
            <v>FRIDGEM_S1_CUS 8</v>
          </cell>
          <cell r="C99" t="str">
            <v>Orange Squeeze
355ml</v>
          </cell>
          <cell r="D99" t="str">
            <v>Olipop</v>
          </cell>
        </row>
        <row r="99">
          <cell r="F99" t="str">
            <v>Playset Costco-NA&amp;INT only</v>
          </cell>
          <cell r="G99" t="str">
            <v>MNFRG-21M-01</v>
          </cell>
          <cell r="H99">
            <v>1964.51178451179</v>
          </cell>
          <cell r="I99" t="str">
            <v>和【FRIDGEM_S1_P39】Olipop 共模</v>
          </cell>
          <cell r="J99">
            <v>50000</v>
          </cell>
          <cell r="K99">
            <v>10730</v>
          </cell>
        </row>
        <row r="99">
          <cell r="P99">
            <v>25420</v>
          </cell>
          <cell r="Q99">
            <v>40600</v>
          </cell>
          <cell r="R99">
            <v>1800</v>
          </cell>
          <cell r="S99">
            <v>0</v>
          </cell>
          <cell r="T99">
            <v>0</v>
          </cell>
          <cell r="U99">
            <v>9600</v>
          </cell>
        </row>
        <row r="100">
          <cell r="B100" t="str">
            <v>FRIDGEM_S1_CUS 9</v>
          </cell>
          <cell r="C100" t="str">
            <v>Meat Lovers Pizza</v>
          </cell>
          <cell r="D100" t="str">
            <v>Pizza Hut</v>
          </cell>
        </row>
        <row r="100">
          <cell r="F100" t="str">
            <v>Playset Costco-NA only</v>
          </cell>
          <cell r="G100" t="str">
            <v>MNFRG-13M-01；MNFRG-28M-01</v>
          </cell>
          <cell r="H100">
            <v>1018.2095959596</v>
          </cell>
          <cell r="I100" t="str">
            <v> 和【FRIDGEM_S1_P23】Cheese Pizza 共模</v>
          </cell>
          <cell r="J100">
            <v>50000</v>
          </cell>
          <cell r="K100">
            <v>0</v>
          </cell>
        </row>
        <row r="100">
          <cell r="P100">
            <v>14400</v>
          </cell>
          <cell r="Q100">
            <v>40600</v>
          </cell>
          <cell r="R100">
            <v>5400</v>
          </cell>
          <cell r="S100">
            <v>0</v>
          </cell>
          <cell r="T100">
            <v>0</v>
          </cell>
          <cell r="U100">
            <v>0</v>
          </cell>
        </row>
        <row r="101">
          <cell r="B101" t="str">
            <v>FRIDGEM_S1_CUS 11</v>
          </cell>
          <cell r="C101" t="str">
            <v>Meat Lovers Pizza-global </v>
          </cell>
          <cell r="D101" t="str">
            <v>Pizza Hut</v>
          </cell>
        </row>
        <row r="101">
          <cell r="F101" t="str">
            <v>Playset Costco-INT only</v>
          </cell>
          <cell r="G101" t="str">
            <v>MNFRG-13M-01；MNFRG-28M-01</v>
          </cell>
        </row>
        <row r="101">
          <cell r="J101">
            <v>0</v>
          </cell>
          <cell r="K101">
            <v>10730</v>
          </cell>
          <cell r="L101">
            <v>11020</v>
          </cell>
          <cell r="M101">
            <v>0</v>
          </cell>
        </row>
        <row r="101">
          <cell r="O101">
            <v>0</v>
          </cell>
          <cell r="P101">
            <v>0</v>
          </cell>
          <cell r="Q101">
            <v>0</v>
          </cell>
          <cell r="R101">
            <v>0</v>
          </cell>
          <cell r="S101">
            <v>0</v>
          </cell>
        </row>
        <row r="101">
          <cell r="U101">
            <v>6000</v>
          </cell>
        </row>
        <row r="102">
          <cell r="B102" t="str">
            <v>FRIDGEM_S1_CUS 10</v>
          </cell>
          <cell r="C102" t="str">
            <v>Caramel Syrup 
24 oz</v>
          </cell>
          <cell r="D102" t="str">
            <v>Hershey's</v>
          </cell>
        </row>
        <row r="102">
          <cell r="F102" t="str">
            <v>Playset Costco-NA&amp;INT only</v>
          </cell>
          <cell r="G102" t="str">
            <v>MNFRG-08M-01</v>
          </cell>
          <cell r="H102">
            <v>3474.42881192882</v>
          </cell>
          <cell r="I102" t="str">
            <v>和 【FRIDGEM_S1_P17】Hershey's Chocolate 共模</v>
          </cell>
          <cell r="J102">
            <v>50000</v>
          </cell>
          <cell r="K102">
            <v>10730</v>
          </cell>
        </row>
        <row r="102">
          <cell r="P102">
            <v>25420</v>
          </cell>
          <cell r="Q102">
            <v>40600</v>
          </cell>
          <cell r="R102">
            <v>1800</v>
          </cell>
          <cell r="S102">
            <v>0</v>
          </cell>
          <cell r="T102">
            <v>0</v>
          </cell>
          <cell r="U102">
            <v>9600</v>
          </cell>
        </row>
        <row r="103">
          <cell r="I103" t="str">
            <v>Minis Sum</v>
          </cell>
          <cell r="J103">
            <v>8382560</v>
          </cell>
          <cell r="K103">
            <v>1965550</v>
          </cell>
          <cell r="L103">
            <v>372700</v>
          </cell>
          <cell r="M103">
            <v>4604190</v>
          </cell>
          <cell r="N103">
            <v>2058660</v>
          </cell>
          <cell r="O103">
            <v>2671470</v>
          </cell>
          <cell r="P103">
            <v>4483350</v>
          </cell>
          <cell r="Q103">
            <v>2320010</v>
          </cell>
          <cell r="R103">
            <v>619800</v>
          </cell>
          <cell r="S103">
            <v>2550220</v>
          </cell>
          <cell r="T103">
            <v>3095640</v>
          </cell>
          <cell r="U103">
            <v>5232840</v>
          </cell>
        </row>
        <row r="104">
          <cell r="I104" t="str">
            <v>In-house</v>
          </cell>
          <cell r="J104">
            <v>7326280</v>
          </cell>
          <cell r="K104">
            <v>1758110</v>
          </cell>
          <cell r="L104">
            <v>282280</v>
          </cell>
          <cell r="M104">
            <v>4027990</v>
          </cell>
          <cell r="N104">
            <v>1812810</v>
          </cell>
          <cell r="O104">
            <v>2327070</v>
          </cell>
          <cell r="P104">
            <v>3961680</v>
          </cell>
          <cell r="Q104">
            <v>2032550</v>
          </cell>
          <cell r="R104">
            <v>518000</v>
          </cell>
          <cell r="S104">
            <v>2224400</v>
          </cell>
          <cell r="T104">
            <v>2721190</v>
          </cell>
          <cell r="U104">
            <v>4562980</v>
          </cell>
        </row>
        <row r="105">
          <cell r="I105" t="str">
            <v>Outsourcing</v>
          </cell>
          <cell r="J105">
            <v>1056280</v>
          </cell>
          <cell r="K105">
            <v>207440</v>
          </cell>
          <cell r="L105">
            <v>90420</v>
          </cell>
          <cell r="M105">
            <v>576200</v>
          </cell>
          <cell r="N105">
            <v>245850</v>
          </cell>
          <cell r="O105">
            <v>344400</v>
          </cell>
          <cell r="P105">
            <v>521670</v>
          </cell>
          <cell r="Q105">
            <v>287460</v>
          </cell>
          <cell r="R105">
            <v>101800</v>
          </cell>
          <cell r="S105">
            <v>325820</v>
          </cell>
          <cell r="T105">
            <v>374450</v>
          </cell>
          <cell r="U105">
            <v>669860</v>
          </cell>
        </row>
      </sheetData>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Candy@zuru.com"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autoPageBreaks="0"/>
  </sheetPr>
  <dimension ref="A1:CS924"/>
  <sheetViews>
    <sheetView zoomScale="70" zoomScaleNormal="70" workbookViewId="0">
      <pane xSplit="14" ySplit="1" topLeftCell="AE832" activePane="bottomRight" state="frozen"/>
      <selection/>
      <selection pane="topRight"/>
      <selection pane="bottomLeft"/>
      <selection pane="bottomRight" activeCell="F930" sqref="F930"/>
    </sheetView>
  </sheetViews>
  <sheetFormatPr defaultColWidth="9" defaultRowHeight="13.5"/>
  <cols>
    <col min="1" max="1" width="14.9166666666667" style="438" customWidth="1"/>
    <col min="2" max="2" width="14.1083333333333" style="424" customWidth="1"/>
    <col min="3" max="3" width="11.0583333333333" style="424" customWidth="1"/>
    <col min="4" max="4" width="14.7583333333333" style="424" customWidth="1"/>
    <col min="5" max="5" width="14.375" style="439" customWidth="1"/>
    <col min="6" max="6" width="16.8916666666667" style="424" customWidth="1"/>
    <col min="7" max="7" width="14.6833333333333" style="424" customWidth="1"/>
    <col min="8" max="8" width="18.8666666666667" style="424" customWidth="1"/>
    <col min="9" max="9" width="10.2583333333333" style="424" customWidth="1"/>
    <col min="10" max="10" width="7.575" style="424" customWidth="1"/>
    <col min="11" max="11" width="7.76666666666667" style="424" customWidth="1"/>
    <col min="12" max="12" width="8.75833333333333" style="424" customWidth="1"/>
    <col min="13" max="14" width="18.1083333333333" style="424" customWidth="1"/>
    <col min="15" max="15" width="11.8" style="424" customWidth="1"/>
    <col min="16" max="16" width="10" style="424" customWidth="1"/>
    <col min="17" max="17" width="12.675" style="424" customWidth="1"/>
    <col min="18" max="19" width="9.55833333333333" style="424" customWidth="1"/>
    <col min="20" max="22" width="11.5916666666667" style="424" customWidth="1"/>
    <col min="23" max="23" width="32.85" style="424" customWidth="1"/>
    <col min="24" max="24" width="12.2583333333333" style="424" customWidth="1"/>
    <col min="25" max="25" width="12.675" style="440" customWidth="1"/>
    <col min="26" max="26" width="11.4166666666667" style="441" customWidth="1"/>
    <col min="27" max="27" width="13.3916666666667" style="442" customWidth="1"/>
    <col min="28" max="28" width="16.9" style="442" customWidth="1"/>
    <col min="29" max="29" width="9.99166666666667" style="442" customWidth="1"/>
    <col min="30" max="30" width="9.65" style="442" customWidth="1"/>
    <col min="31" max="32" width="7.84166666666667" style="424" customWidth="1"/>
    <col min="33" max="33" width="10.35" style="445" customWidth="1"/>
    <col min="34" max="34" width="8.94166666666667" style="774" customWidth="1"/>
    <col min="35" max="35" width="8.94166666666667" style="446" customWidth="1"/>
    <col min="36" max="36" width="7.85833333333333" style="771" customWidth="1"/>
    <col min="37" max="37" width="6.6" style="446" customWidth="1"/>
    <col min="38" max="47" width="9" style="424" customWidth="1"/>
    <col min="48" max="48" width="11.8916666666667" style="424"/>
    <col min="49" max="51" width="9" style="424" customWidth="1"/>
    <col min="52" max="53" width="9" style="450" customWidth="1"/>
    <col min="54" max="54" width="9" style="424" customWidth="1"/>
    <col min="55" max="55" width="11.8916666666667" style="424" customWidth="1"/>
    <col min="56" max="56" width="9" style="450" customWidth="1"/>
    <col min="57" max="57" width="9" style="450"/>
    <col min="58" max="60" width="9" style="424"/>
    <col min="61" max="61" width="8.54166666666667" style="450" customWidth="1"/>
    <col min="62" max="62" width="9" style="450"/>
    <col min="63" max="63" width="11.8916666666667" style="424"/>
    <col min="64" max="67" width="10.65" style="424" customWidth="1"/>
    <col min="68" max="68" width="9" style="424"/>
    <col min="69" max="69" width="9.38333333333333" style="424"/>
    <col min="70" max="70" width="9" style="424"/>
    <col min="71" max="71" width="11.8916666666667" style="424"/>
    <col min="72" max="16236" width="9" style="424"/>
    <col min="16237" max="16384" width="9" style="451"/>
  </cols>
  <sheetData>
    <row r="1" s="424" customFormat="1" ht="63" customHeight="1" spans="1:72">
      <c r="A1" s="452" t="s">
        <v>0</v>
      </c>
      <c r="B1" s="453" t="s">
        <v>1</v>
      </c>
      <c r="C1" s="453" t="s">
        <v>2</v>
      </c>
      <c r="D1" s="453" t="s">
        <v>3</v>
      </c>
      <c r="E1" s="454" t="s">
        <v>4</v>
      </c>
      <c r="F1" s="454" t="s">
        <v>5</v>
      </c>
      <c r="G1" s="453" t="s">
        <v>6</v>
      </c>
      <c r="H1" s="453" t="s">
        <v>7</v>
      </c>
      <c r="I1" s="453" t="s">
        <v>8</v>
      </c>
      <c r="J1" s="453" t="s">
        <v>9</v>
      </c>
      <c r="K1" s="453" t="s">
        <v>10</v>
      </c>
      <c r="L1" s="453" t="s">
        <v>11</v>
      </c>
      <c r="M1" s="460" t="s">
        <v>12</v>
      </c>
      <c r="N1" s="460" t="s">
        <v>13</v>
      </c>
      <c r="O1" s="461" t="s">
        <v>14</v>
      </c>
      <c r="P1" s="461" t="s">
        <v>15</v>
      </c>
      <c r="Q1" s="453" t="s">
        <v>16</v>
      </c>
      <c r="R1" s="469" t="s">
        <v>17</v>
      </c>
      <c r="S1" s="469" t="s">
        <v>18</v>
      </c>
      <c r="T1" s="469" t="s">
        <v>19</v>
      </c>
      <c r="U1" s="469" t="s">
        <v>20</v>
      </c>
      <c r="V1" s="469" t="s">
        <v>21</v>
      </c>
      <c r="W1" s="470" t="s">
        <v>22</v>
      </c>
      <c r="X1" s="453" t="s">
        <v>23</v>
      </c>
      <c r="Y1" s="471" t="s">
        <v>24</v>
      </c>
      <c r="Z1" s="477" t="s">
        <v>25</v>
      </c>
      <c r="AA1" s="478" t="s">
        <v>26</v>
      </c>
      <c r="AB1" s="461" t="s">
        <v>27</v>
      </c>
      <c r="AC1" s="461" t="s">
        <v>28</v>
      </c>
      <c r="AD1" s="461" t="s">
        <v>29</v>
      </c>
      <c r="AE1" s="461" t="s">
        <v>30</v>
      </c>
      <c r="AF1" s="461" t="s">
        <v>31</v>
      </c>
      <c r="AG1" s="479" t="s">
        <v>32</v>
      </c>
      <c r="AH1" s="479" t="s">
        <v>33</v>
      </c>
      <c r="AI1" s="485" t="s">
        <v>34</v>
      </c>
      <c r="AJ1" s="787" t="s">
        <v>35</v>
      </c>
      <c r="AK1" s="485" t="s">
        <v>36</v>
      </c>
      <c r="AL1" s="487" t="s">
        <v>37</v>
      </c>
      <c r="AM1" s="487" t="s">
        <v>38</v>
      </c>
      <c r="AN1" s="487" t="s">
        <v>39</v>
      </c>
      <c r="AO1" s="492" t="s">
        <v>40</v>
      </c>
      <c r="AP1" s="487" t="s">
        <v>41</v>
      </c>
      <c r="AQ1" s="491" t="s">
        <v>42</v>
      </c>
      <c r="AR1" s="487" t="s">
        <v>43</v>
      </c>
      <c r="AS1" s="487" t="s">
        <v>44</v>
      </c>
      <c r="AT1" s="487" t="s">
        <v>45</v>
      </c>
      <c r="AU1" s="487" t="s">
        <v>46</v>
      </c>
      <c r="AV1" s="491" t="s">
        <v>47</v>
      </c>
      <c r="AW1" s="491" t="s">
        <v>48</v>
      </c>
      <c r="AX1" s="491" t="s">
        <v>49</v>
      </c>
      <c r="AY1" s="491" t="s">
        <v>50</v>
      </c>
      <c r="AZ1" s="491" t="s">
        <v>51</v>
      </c>
      <c r="BA1" s="491" t="s">
        <v>52</v>
      </c>
      <c r="BB1" s="491" t="s">
        <v>53</v>
      </c>
      <c r="BC1" s="491" t="s">
        <v>54</v>
      </c>
      <c r="BD1" s="487" t="s">
        <v>55</v>
      </c>
      <c r="BE1" s="491" t="s">
        <v>56</v>
      </c>
      <c r="BF1" s="487" t="s">
        <v>57</v>
      </c>
      <c r="BG1" s="491" t="s">
        <v>58</v>
      </c>
      <c r="BH1" s="491" t="s">
        <v>59</v>
      </c>
      <c r="BI1" s="494" t="s">
        <v>60</v>
      </c>
      <c r="BJ1" s="491" t="s">
        <v>61</v>
      </c>
      <c r="BK1" s="487" t="s">
        <v>62</v>
      </c>
      <c r="BL1" s="487"/>
      <c r="BM1" s="487"/>
      <c r="BN1" s="789"/>
      <c r="BO1" s="487"/>
      <c r="BP1" s="503"/>
      <c r="BQ1" s="487"/>
      <c r="BR1" s="487"/>
      <c r="BS1" s="487"/>
      <c r="BT1" s="487"/>
    </row>
    <row r="2" s="771" customFormat="1" ht="31" hidden="1" customHeight="1" spans="1:65">
      <c r="A2" s="775">
        <v>45650</v>
      </c>
      <c r="B2" s="776"/>
      <c r="C2" s="509"/>
      <c r="D2" s="777" t="s">
        <v>63</v>
      </c>
      <c r="E2" s="509"/>
      <c r="F2" s="778"/>
      <c r="G2" s="779" t="s">
        <v>64</v>
      </c>
      <c r="H2" s="509" t="s">
        <v>65</v>
      </c>
      <c r="I2" s="509">
        <v>424</v>
      </c>
      <c r="J2" s="509">
        <v>0</v>
      </c>
      <c r="K2" s="509">
        <v>12</v>
      </c>
      <c r="L2" s="780">
        <f>I2/K2</f>
        <v>35.3333333333333</v>
      </c>
      <c r="M2" s="781"/>
      <c r="N2" s="781"/>
      <c r="O2" s="782"/>
      <c r="P2" s="782"/>
      <c r="Q2" s="509"/>
      <c r="R2" s="784">
        <v>45650</v>
      </c>
      <c r="S2" s="784" t="s">
        <v>66</v>
      </c>
      <c r="T2" s="784" t="s">
        <v>66</v>
      </c>
      <c r="U2" s="784"/>
      <c r="V2" s="784"/>
      <c r="W2" s="776"/>
      <c r="X2" s="781" t="s">
        <v>67</v>
      </c>
      <c r="Y2" s="785"/>
      <c r="Z2" s="786"/>
      <c r="AA2" s="509"/>
      <c r="AB2" s="509" t="s">
        <v>64</v>
      </c>
      <c r="AC2" s="509" t="s">
        <v>68</v>
      </c>
      <c r="AD2" s="509"/>
      <c r="AE2" s="635" t="s">
        <v>69</v>
      </c>
      <c r="AF2" s="635"/>
      <c r="AG2" s="788">
        <f>I2</f>
        <v>424</v>
      </c>
      <c r="AH2" s="782">
        <f>AG2-I2</f>
        <v>0</v>
      </c>
      <c r="AI2" s="509"/>
      <c r="AJ2" s="509"/>
      <c r="AK2" s="509"/>
      <c r="AL2" s="777">
        <f>I2</f>
        <v>424</v>
      </c>
      <c r="AM2" s="656"/>
      <c r="AN2" s="656"/>
      <c r="AO2" s="656"/>
      <c r="AP2" s="777">
        <f>I2</f>
        <v>424</v>
      </c>
      <c r="AQ2" s="656"/>
      <c r="AR2" s="777">
        <f>I2</f>
        <v>424</v>
      </c>
      <c r="AS2" s="777"/>
      <c r="AT2" s="777">
        <f>I2</f>
        <v>424</v>
      </c>
      <c r="AU2" s="777"/>
      <c r="AV2" s="778"/>
      <c r="AW2" s="778"/>
      <c r="AX2" s="778"/>
      <c r="AY2" s="778"/>
      <c r="AZ2" s="778"/>
      <c r="BA2" s="778"/>
      <c r="BB2" s="778"/>
      <c r="BC2" s="778"/>
      <c r="BD2" s="778"/>
      <c r="BE2" s="778"/>
      <c r="BF2" s="778"/>
      <c r="BG2" s="778"/>
      <c r="BH2" s="778"/>
      <c r="BI2" s="778"/>
      <c r="BJ2" s="778"/>
      <c r="BK2" s="778"/>
      <c r="BL2" s="778"/>
      <c r="BM2" s="778"/>
    </row>
    <row r="3" s="771" customFormat="1" ht="31" hidden="1" customHeight="1" spans="1:65">
      <c r="A3" s="775">
        <v>45701</v>
      </c>
      <c r="B3" s="776" t="s">
        <v>70</v>
      </c>
      <c r="C3" s="509" t="s">
        <v>71</v>
      </c>
      <c r="D3" s="777">
        <v>4500157534</v>
      </c>
      <c r="E3" s="509"/>
      <c r="F3" s="778" t="s">
        <v>72</v>
      </c>
      <c r="G3" s="779" t="s">
        <v>64</v>
      </c>
      <c r="H3" s="509" t="s">
        <v>65</v>
      </c>
      <c r="I3" s="783">
        <v>144</v>
      </c>
      <c r="J3" s="509">
        <v>0</v>
      </c>
      <c r="K3" s="509">
        <v>12</v>
      </c>
      <c r="L3" s="780">
        <f>I3/K3</f>
        <v>12</v>
      </c>
      <c r="M3" s="781">
        <v>45731</v>
      </c>
      <c r="N3" s="781">
        <v>45727</v>
      </c>
      <c r="O3" s="782"/>
      <c r="P3" s="782"/>
      <c r="Q3" s="509" t="s">
        <v>73</v>
      </c>
      <c r="R3" s="784">
        <v>45804</v>
      </c>
      <c r="S3" s="784" t="s">
        <v>66</v>
      </c>
      <c r="T3" s="784">
        <v>45804</v>
      </c>
      <c r="U3" s="784"/>
      <c r="V3" s="784"/>
      <c r="W3" s="776" t="s">
        <v>74</v>
      </c>
      <c r="X3" s="781" t="s">
        <v>75</v>
      </c>
      <c r="Y3" s="785">
        <v>4.1</v>
      </c>
      <c r="Z3" s="786">
        <f>Y3*I3</f>
        <v>590.4</v>
      </c>
      <c r="AA3" s="509"/>
      <c r="AB3" s="509" t="s">
        <v>64</v>
      </c>
      <c r="AC3" s="509" t="s">
        <v>76</v>
      </c>
      <c r="AD3" s="509"/>
      <c r="AE3" s="635" t="s">
        <v>69</v>
      </c>
      <c r="AF3" s="635"/>
      <c r="AG3" s="788">
        <f>I3</f>
        <v>144</v>
      </c>
      <c r="AH3" s="782">
        <f>AG3-I3</f>
        <v>0</v>
      </c>
      <c r="AI3" s="509"/>
      <c r="AJ3" s="509"/>
      <c r="AK3" s="509"/>
      <c r="AL3" s="777">
        <f>I3</f>
        <v>144</v>
      </c>
      <c r="AM3" s="778"/>
      <c r="AN3" s="778"/>
      <c r="AO3" s="778"/>
      <c r="AP3" s="777">
        <f>I3</f>
        <v>144</v>
      </c>
      <c r="AQ3" s="656"/>
      <c r="AR3" s="777">
        <f>I3</f>
        <v>144</v>
      </c>
      <c r="AS3" s="777"/>
      <c r="AT3" s="777">
        <f>I3</f>
        <v>144</v>
      </c>
      <c r="AU3" s="777"/>
      <c r="AV3" s="778"/>
      <c r="AW3" s="778"/>
      <c r="AX3" s="778"/>
      <c r="AY3" s="778"/>
      <c r="AZ3" s="778"/>
      <c r="BA3" s="778"/>
      <c r="BB3" s="778"/>
      <c r="BC3" s="778"/>
      <c r="BD3" s="778"/>
      <c r="BE3" s="778"/>
      <c r="BF3" s="778"/>
      <c r="BG3" s="778"/>
      <c r="BH3" s="778"/>
      <c r="BI3" s="778"/>
      <c r="BJ3" s="778"/>
      <c r="BK3" s="778"/>
      <c r="BL3" s="778"/>
      <c r="BM3" s="778"/>
    </row>
    <row r="4" s="771" customFormat="1" ht="31" hidden="1" customHeight="1" spans="1:65">
      <c r="A4" s="775">
        <v>45722</v>
      </c>
      <c r="B4" s="776"/>
      <c r="C4" s="509"/>
      <c r="D4" s="777" t="s">
        <v>77</v>
      </c>
      <c r="E4" s="509"/>
      <c r="F4" s="778"/>
      <c r="G4" s="779" t="s">
        <v>64</v>
      </c>
      <c r="H4" s="509" t="s">
        <v>65</v>
      </c>
      <c r="I4" s="509">
        <v>168</v>
      </c>
      <c r="J4" s="509">
        <v>0</v>
      </c>
      <c r="K4" s="509">
        <v>12</v>
      </c>
      <c r="L4" s="780">
        <f>I4/K4</f>
        <v>14</v>
      </c>
      <c r="M4" s="781">
        <v>45736</v>
      </c>
      <c r="N4" s="781">
        <v>45733</v>
      </c>
      <c r="O4" s="782"/>
      <c r="P4" s="782"/>
      <c r="Q4" s="509"/>
      <c r="R4" s="784">
        <v>45722</v>
      </c>
      <c r="S4" s="784" t="s">
        <v>66</v>
      </c>
      <c r="T4" s="784" t="s">
        <v>66</v>
      </c>
      <c r="U4" s="784"/>
      <c r="V4" s="784"/>
      <c r="W4" s="776" t="s">
        <v>78</v>
      </c>
      <c r="X4" s="781" t="s">
        <v>79</v>
      </c>
      <c r="Y4" s="785"/>
      <c r="Z4" s="786"/>
      <c r="AA4" s="509"/>
      <c r="AB4" s="509" t="s">
        <v>64</v>
      </c>
      <c r="AC4" s="509" t="s">
        <v>76</v>
      </c>
      <c r="AD4" s="509"/>
      <c r="AE4" s="635" t="s">
        <v>69</v>
      </c>
      <c r="AF4" s="635"/>
      <c r="AG4" s="788" t="s">
        <v>80</v>
      </c>
      <c r="AH4" s="782" t="e">
        <f>AG4-I4</f>
        <v>#VALUE!</v>
      </c>
      <c r="AI4" s="509"/>
      <c r="AJ4" s="509"/>
      <c r="AK4" s="509"/>
      <c r="AL4" s="777">
        <f>I4</f>
        <v>168</v>
      </c>
      <c r="AM4" s="656"/>
      <c r="AN4" s="656"/>
      <c r="AO4" s="656"/>
      <c r="AP4" s="777">
        <f>I4</f>
        <v>168</v>
      </c>
      <c r="AQ4" s="656"/>
      <c r="AR4" s="777">
        <f>I4</f>
        <v>168</v>
      </c>
      <c r="AS4" s="777"/>
      <c r="AT4" s="777">
        <f>I4</f>
        <v>168</v>
      </c>
      <c r="AU4" s="777"/>
      <c r="AV4" s="778"/>
      <c r="AW4" s="778"/>
      <c r="AX4" s="778"/>
      <c r="AY4" s="778"/>
      <c r="AZ4" s="778"/>
      <c r="BA4" s="778"/>
      <c r="BB4" s="778"/>
      <c r="BC4" s="778"/>
      <c r="BD4" s="778"/>
      <c r="BE4" s="778"/>
      <c r="BF4" s="778"/>
      <c r="BG4" s="778"/>
      <c r="BH4" s="778"/>
      <c r="BI4" s="778"/>
      <c r="BJ4" s="778"/>
      <c r="BK4" s="778"/>
      <c r="BL4" s="778"/>
      <c r="BM4" s="778"/>
    </row>
    <row r="5" s="771" customFormat="1" ht="31" hidden="1" customHeight="1" spans="1:65">
      <c r="A5" s="775">
        <v>45737</v>
      </c>
      <c r="B5" s="776"/>
      <c r="C5" s="509"/>
      <c r="D5" s="777" t="s">
        <v>81</v>
      </c>
      <c r="E5" s="509"/>
      <c r="F5" s="778"/>
      <c r="G5" s="779" t="s">
        <v>64</v>
      </c>
      <c r="H5" s="509" t="s">
        <v>82</v>
      </c>
      <c r="I5" s="509" t="s">
        <v>83</v>
      </c>
      <c r="J5" s="509">
        <v>0</v>
      </c>
      <c r="K5" s="509">
        <v>1100</v>
      </c>
      <c r="L5" s="780">
        <v>1</v>
      </c>
      <c r="M5" s="781">
        <v>45740</v>
      </c>
      <c r="N5" s="781">
        <v>45736</v>
      </c>
      <c r="O5" s="782"/>
      <c r="P5" s="782"/>
      <c r="Q5" s="509"/>
      <c r="R5" s="784">
        <v>45737</v>
      </c>
      <c r="S5" s="784" t="s">
        <v>66</v>
      </c>
      <c r="T5" s="784" t="s">
        <v>66</v>
      </c>
      <c r="U5" s="784"/>
      <c r="V5" s="784"/>
      <c r="W5" s="776" t="s">
        <v>84</v>
      </c>
      <c r="X5" s="781" t="s">
        <v>85</v>
      </c>
      <c r="Y5" s="785"/>
      <c r="Z5" s="786"/>
      <c r="AA5" s="509"/>
      <c r="AB5" s="509" t="s">
        <v>64</v>
      </c>
      <c r="AC5" s="509" t="s">
        <v>68</v>
      </c>
      <c r="AD5" s="509"/>
      <c r="AE5" s="635" t="s">
        <v>69</v>
      </c>
      <c r="AF5" s="635"/>
      <c r="AG5" s="788" t="s">
        <v>80</v>
      </c>
      <c r="AH5" s="782" t="e">
        <f>AG5-I5</f>
        <v>#VALUE!</v>
      </c>
      <c r="AI5" s="509"/>
      <c r="AJ5" s="509"/>
      <c r="AK5" s="509"/>
      <c r="AL5" s="777" t="str">
        <f>I5</f>
        <v>1100套</v>
      </c>
      <c r="AM5" s="656"/>
      <c r="AN5" s="656"/>
      <c r="AO5" s="656"/>
      <c r="AP5" s="777" t="str">
        <f>I5</f>
        <v>1100套</v>
      </c>
      <c r="AQ5" s="656"/>
      <c r="AR5" s="777" t="str">
        <f>I5</f>
        <v>1100套</v>
      </c>
      <c r="AS5" s="777"/>
      <c r="AT5" s="777" t="str">
        <f>I5</f>
        <v>1100套</v>
      </c>
      <c r="AU5" s="777"/>
      <c r="AV5" s="778"/>
      <c r="AW5" s="778"/>
      <c r="AX5" s="778"/>
      <c r="AY5" s="778"/>
      <c r="AZ5" s="778"/>
      <c r="BA5" s="778"/>
      <c r="BB5" s="778"/>
      <c r="BC5" s="778"/>
      <c r="BD5" s="778"/>
      <c r="BE5" s="778"/>
      <c r="BF5" s="778"/>
      <c r="BG5" s="778"/>
      <c r="BH5" s="778"/>
      <c r="BI5" s="778"/>
      <c r="BJ5" s="778"/>
      <c r="BK5" s="778"/>
      <c r="BL5" s="778"/>
      <c r="BM5" s="778"/>
    </row>
    <row r="6" s="771" customFormat="1" ht="31" hidden="1" customHeight="1" spans="1:65">
      <c r="A6" s="775">
        <v>45749</v>
      </c>
      <c r="B6" s="776"/>
      <c r="C6" s="509"/>
      <c r="D6" s="777" t="s">
        <v>86</v>
      </c>
      <c r="E6" s="509"/>
      <c r="F6" s="778"/>
      <c r="G6" s="779" t="s">
        <v>64</v>
      </c>
      <c r="H6" s="509" t="s">
        <v>65</v>
      </c>
      <c r="I6" s="509" t="s">
        <v>87</v>
      </c>
      <c r="J6" s="509">
        <v>0</v>
      </c>
      <c r="K6" s="509">
        <v>12</v>
      </c>
      <c r="L6" s="780" t="e">
        <f t="shared" ref="L6:L69" si="0">I6/K6</f>
        <v>#VALUE!</v>
      </c>
      <c r="M6" s="781">
        <v>45757</v>
      </c>
      <c r="N6" s="781">
        <v>45754</v>
      </c>
      <c r="O6" s="782"/>
      <c r="P6" s="782"/>
      <c r="Q6" s="509"/>
      <c r="R6" s="784">
        <v>45749</v>
      </c>
      <c r="S6" s="784" t="s">
        <v>66</v>
      </c>
      <c r="T6" s="784" t="s">
        <v>66</v>
      </c>
      <c r="U6" s="784"/>
      <c r="V6" s="784"/>
      <c r="W6" s="776" t="s">
        <v>88</v>
      </c>
      <c r="X6" s="781" t="s">
        <v>79</v>
      </c>
      <c r="Y6" s="785"/>
      <c r="Z6" s="786"/>
      <c r="AA6" s="509"/>
      <c r="AB6" s="509" t="s">
        <v>68</v>
      </c>
      <c r="AC6" s="509" t="s">
        <v>68</v>
      </c>
      <c r="AD6" s="509"/>
      <c r="AE6" s="635"/>
      <c r="AF6" s="635"/>
      <c r="AG6" s="788" t="str">
        <f>I6</f>
        <v>80套散件</v>
      </c>
      <c r="AH6" s="782"/>
      <c r="AI6" s="509"/>
      <c r="AJ6" s="509"/>
      <c r="AK6" s="509"/>
      <c r="AL6" s="777"/>
      <c r="AM6" s="656"/>
      <c r="AN6" s="656"/>
      <c r="AO6" s="656"/>
      <c r="AP6" s="777"/>
      <c r="AQ6" s="656"/>
      <c r="AR6" s="777"/>
      <c r="AS6" s="777"/>
      <c r="AT6" s="777"/>
      <c r="AU6" s="777"/>
      <c r="AV6" s="778"/>
      <c r="AW6" s="778"/>
      <c r="AX6" s="778"/>
      <c r="AY6" s="778"/>
      <c r="AZ6" s="778"/>
      <c r="BA6" s="778"/>
      <c r="BB6" s="778"/>
      <c r="BC6" s="778"/>
      <c r="BD6" s="778"/>
      <c r="BE6" s="778"/>
      <c r="BF6" s="778"/>
      <c r="BG6" s="778"/>
      <c r="BH6" s="778"/>
      <c r="BI6" s="778"/>
      <c r="BJ6" s="778"/>
      <c r="BK6" s="778"/>
      <c r="BL6" s="778"/>
      <c r="BM6" s="778"/>
    </row>
    <row r="7" s="771" customFormat="1" ht="31" hidden="1" customHeight="1" spans="1:65">
      <c r="A7" s="775">
        <v>45726</v>
      </c>
      <c r="B7" s="776" t="s">
        <v>89</v>
      </c>
      <c r="C7" s="509" t="s">
        <v>90</v>
      </c>
      <c r="D7" s="777">
        <v>4500159641</v>
      </c>
      <c r="E7" s="886" t="s">
        <v>91</v>
      </c>
      <c r="F7" s="778" t="s">
        <v>92</v>
      </c>
      <c r="G7" s="779" t="s">
        <v>93</v>
      </c>
      <c r="H7" s="509" t="s">
        <v>94</v>
      </c>
      <c r="I7" s="509">
        <v>616</v>
      </c>
      <c r="J7" s="509">
        <v>0</v>
      </c>
      <c r="K7" s="509">
        <v>4</v>
      </c>
      <c r="L7" s="780">
        <f t="shared" si="0"/>
        <v>154</v>
      </c>
      <c r="M7" s="781">
        <v>45770</v>
      </c>
      <c r="N7" s="781">
        <v>45766</v>
      </c>
      <c r="O7" s="782" t="s">
        <v>95</v>
      </c>
      <c r="P7" s="782"/>
      <c r="Q7" s="509"/>
      <c r="R7" s="784">
        <v>45727</v>
      </c>
      <c r="S7" s="784" t="s">
        <v>96</v>
      </c>
      <c r="T7" s="784">
        <v>45727</v>
      </c>
      <c r="U7" s="784"/>
      <c r="V7" s="784"/>
      <c r="W7" s="776" t="s">
        <v>97</v>
      </c>
      <c r="X7" s="781" t="s">
        <v>98</v>
      </c>
      <c r="Y7" s="785">
        <v>5</v>
      </c>
      <c r="Z7" s="786">
        <f>Y7*I7</f>
        <v>3080</v>
      </c>
      <c r="AA7" s="509"/>
      <c r="AB7" s="509" t="s">
        <v>93</v>
      </c>
      <c r="AC7" s="509" t="s">
        <v>76</v>
      </c>
      <c r="AD7" s="509"/>
      <c r="AE7" s="635" t="s">
        <v>69</v>
      </c>
      <c r="AF7" s="635"/>
      <c r="AG7" s="788" t="s">
        <v>80</v>
      </c>
      <c r="AH7" s="782" t="e">
        <f>AG7-I7</f>
        <v>#VALUE!</v>
      </c>
      <c r="AI7" s="509"/>
      <c r="AJ7" s="509"/>
      <c r="AK7" s="509"/>
      <c r="AL7" s="777">
        <f t="shared" ref="AL7:AL35" si="1">I7</f>
        <v>616</v>
      </c>
      <c r="AM7" s="778"/>
      <c r="AN7" s="778"/>
      <c r="AO7" s="778"/>
      <c r="AP7" s="777">
        <f t="shared" ref="AP7:AP16" si="2">I7</f>
        <v>616</v>
      </c>
      <c r="AQ7" s="656"/>
      <c r="AR7" s="777">
        <f t="shared" ref="AR7:AR17" si="3">I7</f>
        <v>616</v>
      </c>
      <c r="AS7" s="777"/>
      <c r="AT7" s="777">
        <f t="shared" ref="AT7:AT26" si="4">I7</f>
        <v>616</v>
      </c>
      <c r="AU7" s="777"/>
      <c r="AV7" s="778"/>
      <c r="AW7" s="778"/>
      <c r="AX7" s="778"/>
      <c r="AY7" s="778"/>
      <c r="AZ7" s="778"/>
      <c r="BA7" s="778"/>
      <c r="BB7" s="778"/>
      <c r="BC7" s="778"/>
      <c r="BD7" s="777">
        <f>I7/4</f>
        <v>154</v>
      </c>
      <c r="BE7" s="778"/>
      <c r="BF7" s="778"/>
      <c r="BG7" s="778"/>
      <c r="BH7" s="778"/>
      <c r="BI7" s="778"/>
      <c r="BJ7" s="778"/>
      <c r="BK7" s="778"/>
      <c r="BL7" s="778"/>
      <c r="BM7" s="778"/>
    </row>
    <row r="8" s="771" customFormat="1" ht="31" hidden="1" customHeight="1" spans="1:65">
      <c r="A8" s="775">
        <v>45761</v>
      </c>
      <c r="B8" s="776"/>
      <c r="C8" s="509"/>
      <c r="D8" s="777" t="s">
        <v>99</v>
      </c>
      <c r="E8" s="509"/>
      <c r="F8" s="778"/>
      <c r="G8" s="779" t="s">
        <v>64</v>
      </c>
      <c r="H8" s="509" t="s">
        <v>65</v>
      </c>
      <c r="I8" s="509">
        <v>720</v>
      </c>
      <c r="J8" s="509">
        <v>0</v>
      </c>
      <c r="K8" s="509">
        <v>12</v>
      </c>
      <c r="L8" s="780">
        <f t="shared" si="0"/>
        <v>60</v>
      </c>
      <c r="M8" s="781">
        <v>45771</v>
      </c>
      <c r="N8" s="781">
        <v>45768</v>
      </c>
      <c r="O8" s="782"/>
      <c r="P8" s="782"/>
      <c r="Q8" s="509"/>
      <c r="R8" s="784">
        <v>45761</v>
      </c>
      <c r="S8" s="784" t="s">
        <v>66</v>
      </c>
      <c r="T8" s="784" t="s">
        <v>66</v>
      </c>
      <c r="U8" s="784"/>
      <c r="V8" s="784"/>
      <c r="W8" s="776" t="s">
        <v>100</v>
      </c>
      <c r="X8" s="781" t="s">
        <v>85</v>
      </c>
      <c r="Y8" s="785"/>
      <c r="Z8" s="786"/>
      <c r="AA8" s="509"/>
      <c r="AB8" s="509" t="s">
        <v>64</v>
      </c>
      <c r="AC8" s="509" t="s">
        <v>76</v>
      </c>
      <c r="AD8" s="509"/>
      <c r="AE8" s="635" t="s">
        <v>69</v>
      </c>
      <c r="AF8" s="635"/>
      <c r="AG8" s="788">
        <v>720</v>
      </c>
      <c r="AH8" s="782">
        <v>0</v>
      </c>
      <c r="AI8" s="509"/>
      <c r="AJ8" s="509"/>
      <c r="AK8" s="509"/>
      <c r="AL8" s="777">
        <f t="shared" si="1"/>
        <v>720</v>
      </c>
      <c r="AM8" s="656"/>
      <c r="AN8" s="656"/>
      <c r="AO8" s="656"/>
      <c r="AP8" s="777">
        <f t="shared" si="2"/>
        <v>720</v>
      </c>
      <c r="AQ8" s="656"/>
      <c r="AR8" s="777">
        <f t="shared" si="3"/>
        <v>720</v>
      </c>
      <c r="AS8" s="777"/>
      <c r="AT8" s="777">
        <f t="shared" si="4"/>
        <v>720</v>
      </c>
      <c r="AU8" s="777"/>
      <c r="AV8" s="778"/>
      <c r="AW8" s="778"/>
      <c r="AX8" s="778"/>
      <c r="AY8" s="778"/>
      <c r="AZ8" s="778"/>
      <c r="BA8" s="778"/>
      <c r="BB8" s="778"/>
      <c r="BC8" s="778"/>
      <c r="BD8" s="778"/>
      <c r="BE8" s="778"/>
      <c r="BF8" s="778"/>
      <c r="BG8" s="778"/>
      <c r="BH8" s="778"/>
      <c r="BI8" s="778"/>
      <c r="BJ8" s="778"/>
      <c r="BK8" s="778"/>
      <c r="BL8" s="778"/>
      <c r="BM8" s="778"/>
    </row>
    <row r="9" s="771" customFormat="1" ht="31" hidden="1" customHeight="1" spans="1:65">
      <c r="A9" s="775">
        <v>45728</v>
      </c>
      <c r="B9" s="776" t="s">
        <v>70</v>
      </c>
      <c r="C9" s="509" t="s">
        <v>71</v>
      </c>
      <c r="D9" s="777">
        <v>4500159882</v>
      </c>
      <c r="E9" s="509"/>
      <c r="F9" s="778" t="s">
        <v>101</v>
      </c>
      <c r="G9" s="779" t="s">
        <v>102</v>
      </c>
      <c r="H9" s="509" t="s">
        <v>65</v>
      </c>
      <c r="I9" s="509">
        <v>608</v>
      </c>
      <c r="J9" s="509">
        <v>0</v>
      </c>
      <c r="K9" s="509">
        <v>16</v>
      </c>
      <c r="L9" s="780">
        <f t="shared" si="0"/>
        <v>38</v>
      </c>
      <c r="M9" s="781">
        <v>45772</v>
      </c>
      <c r="N9" s="781">
        <v>45768</v>
      </c>
      <c r="O9" s="782"/>
      <c r="P9" s="782" t="s">
        <v>103</v>
      </c>
      <c r="Q9" s="509" t="s">
        <v>104</v>
      </c>
      <c r="R9" s="784">
        <v>45735</v>
      </c>
      <c r="S9" s="784" t="s">
        <v>66</v>
      </c>
      <c r="T9" s="784">
        <v>45735</v>
      </c>
      <c r="U9" s="784"/>
      <c r="V9" s="784"/>
      <c r="W9" s="776" t="s">
        <v>105</v>
      </c>
      <c r="X9" s="781" t="s">
        <v>75</v>
      </c>
      <c r="Y9" s="785">
        <v>4.39</v>
      </c>
      <c r="Z9" s="786">
        <f t="shared" ref="Z9:Z25" si="5">Y9*I9</f>
        <v>2669.12</v>
      </c>
      <c r="AA9" s="509"/>
      <c r="AB9" s="509" t="s">
        <v>102</v>
      </c>
      <c r="AC9" s="509" t="s">
        <v>76</v>
      </c>
      <c r="AD9" s="509"/>
      <c r="AE9" s="635" t="s">
        <v>69</v>
      </c>
      <c r="AF9" s="635"/>
      <c r="AG9" s="788" t="s">
        <v>80</v>
      </c>
      <c r="AH9" s="782" t="e">
        <f t="shared" ref="AH9:AH72" si="6">AG9-I9</f>
        <v>#VALUE!</v>
      </c>
      <c r="AI9" s="509"/>
      <c r="AJ9" s="509"/>
      <c r="AK9" s="509"/>
      <c r="AL9" s="777">
        <f t="shared" si="1"/>
        <v>608</v>
      </c>
      <c r="AM9" s="656"/>
      <c r="AN9" s="656"/>
      <c r="AO9" s="656"/>
      <c r="AP9" s="777">
        <f t="shared" si="2"/>
        <v>608</v>
      </c>
      <c r="AQ9" s="656"/>
      <c r="AR9" s="777">
        <f t="shared" si="3"/>
        <v>608</v>
      </c>
      <c r="AS9" s="777"/>
      <c r="AT9" s="777">
        <f t="shared" si="4"/>
        <v>608</v>
      </c>
      <c r="AU9" s="777"/>
      <c r="AV9" s="778"/>
      <c r="AW9" s="778"/>
      <c r="AX9" s="778"/>
      <c r="AY9" s="778"/>
      <c r="AZ9" s="778"/>
      <c r="BA9" s="778"/>
      <c r="BB9" s="778"/>
      <c r="BC9" s="778"/>
      <c r="BD9" s="777">
        <f>I9/4</f>
        <v>152</v>
      </c>
      <c r="BE9" s="778"/>
      <c r="BF9" s="778"/>
      <c r="BG9" s="778"/>
      <c r="BH9" s="778"/>
      <c r="BI9" s="778"/>
      <c r="BJ9" s="778"/>
      <c r="BK9" s="778"/>
      <c r="BL9" s="778"/>
      <c r="BM9" s="778"/>
    </row>
    <row r="10" s="771" customFormat="1" ht="31" hidden="1" customHeight="1" spans="1:65">
      <c r="A10" s="775">
        <v>45728</v>
      </c>
      <c r="B10" s="776" t="s">
        <v>70</v>
      </c>
      <c r="C10" s="509" t="s">
        <v>71</v>
      </c>
      <c r="D10" s="777">
        <v>4500159886</v>
      </c>
      <c r="E10" s="509"/>
      <c r="F10" s="778" t="s">
        <v>106</v>
      </c>
      <c r="G10" s="779" t="s">
        <v>102</v>
      </c>
      <c r="H10" s="509" t="s">
        <v>65</v>
      </c>
      <c r="I10" s="509">
        <v>192</v>
      </c>
      <c r="J10" s="509">
        <v>0</v>
      </c>
      <c r="K10" s="509">
        <v>16</v>
      </c>
      <c r="L10" s="780">
        <f t="shared" si="0"/>
        <v>12</v>
      </c>
      <c r="M10" s="781">
        <v>45772</v>
      </c>
      <c r="N10" s="781">
        <v>45768</v>
      </c>
      <c r="O10" s="782"/>
      <c r="P10" s="782" t="s">
        <v>103</v>
      </c>
      <c r="Q10" s="509"/>
      <c r="R10" s="784">
        <v>45735</v>
      </c>
      <c r="S10" s="784" t="s">
        <v>66</v>
      </c>
      <c r="T10" s="784">
        <v>45735</v>
      </c>
      <c r="U10" s="784"/>
      <c r="V10" s="784"/>
      <c r="W10" s="776" t="s">
        <v>107</v>
      </c>
      <c r="X10" s="781" t="s">
        <v>75</v>
      </c>
      <c r="Y10" s="785">
        <v>4.39</v>
      </c>
      <c r="Z10" s="786">
        <f t="shared" si="5"/>
        <v>842.88</v>
      </c>
      <c r="AA10" s="509"/>
      <c r="AB10" s="509" t="s">
        <v>102</v>
      </c>
      <c r="AC10" s="509" t="s">
        <v>76</v>
      </c>
      <c r="AD10" s="509"/>
      <c r="AE10" s="635" t="s">
        <v>69</v>
      </c>
      <c r="AF10" s="635"/>
      <c r="AG10" s="788" t="s">
        <v>80</v>
      </c>
      <c r="AH10" s="782" t="e">
        <f t="shared" si="6"/>
        <v>#VALUE!</v>
      </c>
      <c r="AI10" s="509"/>
      <c r="AJ10" s="509"/>
      <c r="AK10" s="509"/>
      <c r="AL10" s="777">
        <f t="shared" si="1"/>
        <v>192</v>
      </c>
      <c r="AM10" s="656"/>
      <c r="AN10" s="656"/>
      <c r="AO10" s="656"/>
      <c r="AP10" s="777">
        <f t="shared" si="2"/>
        <v>192</v>
      </c>
      <c r="AQ10" s="656"/>
      <c r="AR10" s="777">
        <f t="shared" si="3"/>
        <v>192</v>
      </c>
      <c r="AS10" s="777"/>
      <c r="AT10" s="777">
        <f t="shared" si="4"/>
        <v>192</v>
      </c>
      <c r="AU10" s="777"/>
      <c r="AV10" s="778"/>
      <c r="AW10" s="778"/>
      <c r="AX10" s="778"/>
      <c r="AY10" s="778"/>
      <c r="AZ10" s="778"/>
      <c r="BA10" s="778"/>
      <c r="BB10" s="778"/>
      <c r="BC10" s="778"/>
      <c r="BD10" s="777">
        <f>I10/4</f>
        <v>48</v>
      </c>
      <c r="BE10" s="778"/>
      <c r="BF10" s="778"/>
      <c r="BG10" s="778"/>
      <c r="BH10" s="778"/>
      <c r="BI10" s="778"/>
      <c r="BJ10" s="778"/>
      <c r="BK10" s="778"/>
      <c r="BL10" s="778"/>
      <c r="BM10" s="778"/>
    </row>
    <row r="11" s="771" customFormat="1" ht="31" hidden="1" customHeight="1" spans="1:65">
      <c r="A11" s="775">
        <v>45734</v>
      </c>
      <c r="B11" s="776" t="s">
        <v>108</v>
      </c>
      <c r="C11" s="509" t="s">
        <v>90</v>
      </c>
      <c r="D11" s="777">
        <v>4500160498</v>
      </c>
      <c r="E11" s="509" t="s">
        <v>109</v>
      </c>
      <c r="F11" s="778" t="s">
        <v>110</v>
      </c>
      <c r="G11" s="779" t="s">
        <v>111</v>
      </c>
      <c r="H11" s="509" t="s">
        <v>65</v>
      </c>
      <c r="I11" s="509">
        <v>4548</v>
      </c>
      <c r="J11" s="509">
        <v>0</v>
      </c>
      <c r="K11" s="509">
        <v>12</v>
      </c>
      <c r="L11" s="780">
        <f t="shared" si="0"/>
        <v>379</v>
      </c>
      <c r="M11" s="781">
        <v>45777</v>
      </c>
      <c r="N11" s="781">
        <v>45773</v>
      </c>
      <c r="O11" s="782"/>
      <c r="P11" s="782" t="s">
        <v>103</v>
      </c>
      <c r="Q11" s="509"/>
      <c r="R11" s="784">
        <v>45734</v>
      </c>
      <c r="S11" s="784" t="s">
        <v>66</v>
      </c>
      <c r="T11" s="784" t="s">
        <v>66</v>
      </c>
      <c r="U11" s="784"/>
      <c r="V11" s="784"/>
      <c r="W11" s="776" t="s">
        <v>112</v>
      </c>
      <c r="X11" s="781" t="s">
        <v>113</v>
      </c>
      <c r="Y11" s="785">
        <v>4.1</v>
      </c>
      <c r="Z11" s="786">
        <f t="shared" si="5"/>
        <v>18646.8</v>
      </c>
      <c r="AA11" s="509"/>
      <c r="AB11" s="509" t="s">
        <v>64</v>
      </c>
      <c r="AC11" s="509" t="s">
        <v>76</v>
      </c>
      <c r="AD11" s="509"/>
      <c r="AE11" s="635" t="s">
        <v>114</v>
      </c>
      <c r="AF11" s="635"/>
      <c r="AG11" s="788">
        <v>4548</v>
      </c>
      <c r="AH11" s="782">
        <f t="shared" si="6"/>
        <v>0</v>
      </c>
      <c r="AI11" s="509"/>
      <c r="AJ11" s="509"/>
      <c r="AK11" s="509"/>
      <c r="AL11" s="777">
        <f t="shared" si="1"/>
        <v>4548</v>
      </c>
      <c r="AM11" s="656"/>
      <c r="AN11" s="656"/>
      <c r="AO11" s="656"/>
      <c r="AP11" s="777">
        <f t="shared" si="2"/>
        <v>4548</v>
      </c>
      <c r="AQ11" s="656"/>
      <c r="AR11" s="777">
        <f t="shared" si="3"/>
        <v>4548</v>
      </c>
      <c r="AS11" s="777"/>
      <c r="AT11" s="777">
        <f t="shared" si="4"/>
        <v>4548</v>
      </c>
      <c r="AU11" s="777"/>
      <c r="AV11" s="778"/>
      <c r="AW11" s="778"/>
      <c r="AX11" s="778"/>
      <c r="AY11" s="778"/>
      <c r="AZ11" s="778"/>
      <c r="BA11" s="778"/>
      <c r="BB11" s="778"/>
      <c r="BC11" s="778"/>
      <c r="BD11" s="778"/>
      <c r="BE11" s="778"/>
      <c r="BF11" s="778"/>
      <c r="BG11" s="778"/>
      <c r="BH11" s="778"/>
      <c r="BI11" s="778"/>
      <c r="BJ11" s="778"/>
      <c r="BK11" s="778"/>
      <c r="BL11" s="778"/>
      <c r="BM11" s="778"/>
    </row>
    <row r="12" s="771" customFormat="1" ht="31" hidden="1" customHeight="1" spans="1:65">
      <c r="A12" s="775">
        <v>45728</v>
      </c>
      <c r="B12" s="776" t="s">
        <v>115</v>
      </c>
      <c r="C12" s="509" t="s">
        <v>116</v>
      </c>
      <c r="D12" s="777">
        <v>4500159576</v>
      </c>
      <c r="E12" s="509">
        <v>83718</v>
      </c>
      <c r="F12" s="778" t="s">
        <v>117</v>
      </c>
      <c r="G12" s="779" t="s">
        <v>118</v>
      </c>
      <c r="H12" s="509" t="s">
        <v>119</v>
      </c>
      <c r="I12" s="509">
        <v>1800</v>
      </c>
      <c r="J12" s="509">
        <v>0</v>
      </c>
      <c r="K12" s="509">
        <v>6</v>
      </c>
      <c r="L12" s="780">
        <f t="shared" si="0"/>
        <v>300</v>
      </c>
      <c r="M12" s="781">
        <v>45777</v>
      </c>
      <c r="N12" s="781">
        <v>45773</v>
      </c>
      <c r="O12" s="782"/>
      <c r="P12" s="782" t="s">
        <v>103</v>
      </c>
      <c r="Q12" s="509"/>
      <c r="R12" s="784">
        <v>45728</v>
      </c>
      <c r="S12" s="784" t="s">
        <v>66</v>
      </c>
      <c r="T12" s="784">
        <v>45728</v>
      </c>
      <c r="U12" s="784"/>
      <c r="V12" s="784"/>
      <c r="W12" s="776" t="s">
        <v>120</v>
      </c>
      <c r="X12" s="781" t="s">
        <v>121</v>
      </c>
      <c r="Y12" s="785">
        <v>4.1</v>
      </c>
      <c r="Z12" s="786">
        <f t="shared" si="5"/>
        <v>7380</v>
      </c>
      <c r="AA12" s="509"/>
      <c r="AB12" s="509" t="s">
        <v>118</v>
      </c>
      <c r="AC12" s="509" t="s">
        <v>76</v>
      </c>
      <c r="AD12" s="509"/>
      <c r="AE12" s="635" t="s">
        <v>114</v>
      </c>
      <c r="AF12" s="635"/>
      <c r="AG12" s="788">
        <v>1800</v>
      </c>
      <c r="AH12" s="782">
        <f t="shared" si="6"/>
        <v>0</v>
      </c>
      <c r="AI12" s="509"/>
      <c r="AJ12" s="509"/>
      <c r="AK12" s="509"/>
      <c r="AL12" s="777">
        <f t="shared" si="1"/>
        <v>1800</v>
      </c>
      <c r="AM12" s="656"/>
      <c r="AN12" s="656"/>
      <c r="AO12" s="656"/>
      <c r="AP12" s="777">
        <f t="shared" si="2"/>
        <v>1800</v>
      </c>
      <c r="AQ12" s="656"/>
      <c r="AR12" s="777">
        <f t="shared" si="3"/>
        <v>1800</v>
      </c>
      <c r="AS12" s="777"/>
      <c r="AT12" s="777">
        <f t="shared" si="4"/>
        <v>1800</v>
      </c>
      <c r="AU12" s="777"/>
      <c r="AV12" s="778"/>
      <c r="AW12" s="778"/>
      <c r="AX12" s="778"/>
      <c r="AY12" s="778"/>
      <c r="AZ12" s="778"/>
      <c r="BA12" s="778"/>
      <c r="BB12" s="778"/>
      <c r="BC12" s="778"/>
      <c r="BD12" s="778"/>
      <c r="BE12" s="778"/>
      <c r="BF12" s="778"/>
      <c r="BG12" s="778"/>
      <c r="BH12" s="778"/>
      <c r="BI12" s="778"/>
      <c r="BJ12" s="778"/>
      <c r="BK12" s="778"/>
      <c r="BL12" s="778"/>
      <c r="BM12" s="778"/>
    </row>
    <row r="13" s="771" customFormat="1" ht="31" hidden="1" customHeight="1" spans="1:65">
      <c r="A13" s="775">
        <v>45729</v>
      </c>
      <c r="B13" s="776" t="s">
        <v>122</v>
      </c>
      <c r="C13" s="509" t="s">
        <v>116</v>
      </c>
      <c r="D13" s="777">
        <v>4500160026</v>
      </c>
      <c r="E13" s="509">
        <v>20627370</v>
      </c>
      <c r="F13" s="778" t="s">
        <v>123</v>
      </c>
      <c r="G13" s="779" t="s">
        <v>64</v>
      </c>
      <c r="H13" s="509" t="s">
        <v>65</v>
      </c>
      <c r="I13" s="509">
        <v>3300</v>
      </c>
      <c r="J13" s="509">
        <v>0</v>
      </c>
      <c r="K13" s="509">
        <v>12</v>
      </c>
      <c r="L13" s="780">
        <f t="shared" si="0"/>
        <v>275</v>
      </c>
      <c r="M13" s="781">
        <v>45786</v>
      </c>
      <c r="N13" s="781">
        <v>45782</v>
      </c>
      <c r="O13" s="782"/>
      <c r="P13" s="782" t="s">
        <v>103</v>
      </c>
      <c r="Q13" s="509"/>
      <c r="R13" s="784">
        <v>45748</v>
      </c>
      <c r="S13" s="784" t="s">
        <v>96</v>
      </c>
      <c r="T13" s="784" t="s">
        <v>18</v>
      </c>
      <c r="U13" s="784"/>
      <c r="V13" s="784"/>
      <c r="W13" s="776" t="s">
        <v>124</v>
      </c>
      <c r="X13" s="781" t="s">
        <v>121</v>
      </c>
      <c r="Y13" s="785">
        <v>4.19</v>
      </c>
      <c r="Z13" s="786">
        <f t="shared" si="5"/>
        <v>13827</v>
      </c>
      <c r="AA13" s="509"/>
      <c r="AB13" s="509" t="s">
        <v>64</v>
      </c>
      <c r="AC13" s="509" t="s">
        <v>76</v>
      </c>
      <c r="AD13" s="509"/>
      <c r="AE13" s="635" t="s">
        <v>69</v>
      </c>
      <c r="AF13" s="635"/>
      <c r="AG13" s="788">
        <v>3300</v>
      </c>
      <c r="AH13" s="782">
        <f t="shared" si="6"/>
        <v>0</v>
      </c>
      <c r="AI13" s="509"/>
      <c r="AJ13" s="509"/>
      <c r="AK13" s="509"/>
      <c r="AL13" s="777">
        <f t="shared" si="1"/>
        <v>3300</v>
      </c>
      <c r="AM13" s="656"/>
      <c r="AN13" s="656"/>
      <c r="AO13" s="656"/>
      <c r="AP13" s="777">
        <f t="shared" si="2"/>
        <v>3300</v>
      </c>
      <c r="AQ13" s="656"/>
      <c r="AR13" s="777">
        <f t="shared" si="3"/>
        <v>3300</v>
      </c>
      <c r="AS13" s="777"/>
      <c r="AT13" s="777">
        <f t="shared" si="4"/>
        <v>3300</v>
      </c>
      <c r="AU13" s="777"/>
      <c r="AV13" s="778"/>
      <c r="AW13" s="778"/>
      <c r="AX13" s="778"/>
      <c r="AY13" s="778"/>
      <c r="AZ13" s="778"/>
      <c r="BA13" s="778"/>
      <c r="BB13" s="778"/>
      <c r="BC13" s="778"/>
      <c r="BD13" s="778"/>
      <c r="BE13" s="778"/>
      <c r="BF13" s="778"/>
      <c r="BG13" s="778"/>
      <c r="BH13" s="778"/>
      <c r="BI13" s="778"/>
      <c r="BJ13" s="778"/>
      <c r="BK13" s="778"/>
      <c r="BL13" s="778"/>
      <c r="BM13" s="778"/>
    </row>
    <row r="14" s="771" customFormat="1" ht="31" hidden="1" customHeight="1" spans="1:65">
      <c r="A14" s="775">
        <v>45729</v>
      </c>
      <c r="B14" s="776" t="s">
        <v>125</v>
      </c>
      <c r="C14" s="509" t="s">
        <v>71</v>
      </c>
      <c r="D14" s="777">
        <v>4500160027</v>
      </c>
      <c r="E14" s="509">
        <v>20627371</v>
      </c>
      <c r="F14" s="778" t="s">
        <v>126</v>
      </c>
      <c r="G14" s="779" t="s">
        <v>64</v>
      </c>
      <c r="H14" s="509" t="s">
        <v>65</v>
      </c>
      <c r="I14" s="509">
        <v>432</v>
      </c>
      <c r="J14" s="509">
        <v>0</v>
      </c>
      <c r="K14" s="509">
        <v>12</v>
      </c>
      <c r="L14" s="780">
        <f t="shared" si="0"/>
        <v>36</v>
      </c>
      <c r="M14" s="781">
        <v>45786</v>
      </c>
      <c r="N14" s="781">
        <v>45782</v>
      </c>
      <c r="O14" s="782"/>
      <c r="P14" s="782" t="s">
        <v>103</v>
      </c>
      <c r="Q14" s="509"/>
      <c r="R14" s="784">
        <v>45748</v>
      </c>
      <c r="S14" s="784" t="s">
        <v>96</v>
      </c>
      <c r="T14" s="784" t="s">
        <v>18</v>
      </c>
      <c r="U14" s="784"/>
      <c r="V14" s="784"/>
      <c r="W14" s="776" t="s">
        <v>127</v>
      </c>
      <c r="X14" s="781" t="s">
        <v>121</v>
      </c>
      <c r="Y14" s="785">
        <v>4.19</v>
      </c>
      <c r="Z14" s="786">
        <f t="shared" si="5"/>
        <v>1810.08</v>
      </c>
      <c r="AA14" s="509"/>
      <c r="AB14" s="509" t="s">
        <v>64</v>
      </c>
      <c r="AC14" s="509" t="s">
        <v>76</v>
      </c>
      <c r="AD14" s="509"/>
      <c r="AE14" s="635" t="s">
        <v>69</v>
      </c>
      <c r="AF14" s="635"/>
      <c r="AG14" s="788">
        <v>432</v>
      </c>
      <c r="AH14" s="782">
        <f t="shared" si="6"/>
        <v>0</v>
      </c>
      <c r="AI14" s="509"/>
      <c r="AJ14" s="509"/>
      <c r="AK14" s="509"/>
      <c r="AL14" s="777">
        <f t="shared" si="1"/>
        <v>432</v>
      </c>
      <c r="AM14" s="656"/>
      <c r="AN14" s="656"/>
      <c r="AO14" s="656"/>
      <c r="AP14" s="777">
        <f t="shared" si="2"/>
        <v>432</v>
      </c>
      <c r="AQ14" s="656"/>
      <c r="AR14" s="777">
        <f t="shared" si="3"/>
        <v>432</v>
      </c>
      <c r="AS14" s="777"/>
      <c r="AT14" s="777">
        <f t="shared" si="4"/>
        <v>432</v>
      </c>
      <c r="AU14" s="777"/>
      <c r="AV14" s="778"/>
      <c r="AW14" s="778"/>
      <c r="AX14" s="778"/>
      <c r="AY14" s="778"/>
      <c r="AZ14" s="778"/>
      <c r="BA14" s="778"/>
      <c r="BB14" s="778"/>
      <c r="BC14" s="778"/>
      <c r="BD14" s="778"/>
      <c r="BE14" s="778"/>
      <c r="BF14" s="778"/>
      <c r="BG14" s="778"/>
      <c r="BH14" s="778"/>
      <c r="BI14" s="778"/>
      <c r="BJ14" s="778"/>
      <c r="BK14" s="778"/>
      <c r="BL14" s="778"/>
      <c r="BM14" s="778"/>
    </row>
    <row r="15" s="771" customFormat="1" ht="31" hidden="1" customHeight="1" spans="1:65">
      <c r="A15" s="775">
        <v>45744</v>
      </c>
      <c r="B15" s="776" t="s">
        <v>128</v>
      </c>
      <c r="C15" s="509" t="s">
        <v>90</v>
      </c>
      <c r="D15" s="777">
        <v>4500161759</v>
      </c>
      <c r="E15" s="509" t="s">
        <v>129</v>
      </c>
      <c r="F15" s="778" t="s">
        <v>130</v>
      </c>
      <c r="G15" s="779" t="s">
        <v>93</v>
      </c>
      <c r="H15" s="509" t="s">
        <v>94</v>
      </c>
      <c r="I15" s="509">
        <v>512</v>
      </c>
      <c r="J15" s="509">
        <v>0</v>
      </c>
      <c r="K15" s="509">
        <v>4</v>
      </c>
      <c r="L15" s="780">
        <f t="shared" si="0"/>
        <v>128</v>
      </c>
      <c r="M15" s="781">
        <v>45785</v>
      </c>
      <c r="N15" s="781">
        <v>45782</v>
      </c>
      <c r="O15" s="782" t="s">
        <v>131</v>
      </c>
      <c r="P15" s="782" t="s">
        <v>103</v>
      </c>
      <c r="Q15" s="509"/>
      <c r="R15" s="784" t="s">
        <v>132</v>
      </c>
      <c r="S15" s="784" t="s">
        <v>66</v>
      </c>
      <c r="T15" s="784" t="s">
        <v>133</v>
      </c>
      <c r="U15" s="683" t="s">
        <v>133</v>
      </c>
      <c r="V15" s="784"/>
      <c r="W15" s="776" t="s">
        <v>134</v>
      </c>
      <c r="X15" s="781" t="s">
        <v>98</v>
      </c>
      <c r="Y15" s="785">
        <v>5</v>
      </c>
      <c r="Z15" s="786">
        <f t="shared" si="5"/>
        <v>2560</v>
      </c>
      <c r="AA15" s="509"/>
      <c r="AB15" s="509" t="s">
        <v>93</v>
      </c>
      <c r="AC15" s="509" t="s">
        <v>76</v>
      </c>
      <c r="AD15" s="509"/>
      <c r="AE15" s="635" t="s">
        <v>69</v>
      </c>
      <c r="AF15" s="635"/>
      <c r="AG15" s="788">
        <v>512</v>
      </c>
      <c r="AH15" s="782">
        <f t="shared" si="6"/>
        <v>0</v>
      </c>
      <c r="AI15" s="509"/>
      <c r="AJ15" s="509"/>
      <c r="AK15" s="509"/>
      <c r="AL15" s="777">
        <f t="shared" si="1"/>
        <v>512</v>
      </c>
      <c r="AM15" s="656"/>
      <c r="AN15" s="656"/>
      <c r="AO15" s="656"/>
      <c r="AP15" s="777">
        <f t="shared" si="2"/>
        <v>512</v>
      </c>
      <c r="AQ15" s="656"/>
      <c r="AR15" s="777">
        <f t="shared" si="3"/>
        <v>512</v>
      </c>
      <c r="AS15" s="777"/>
      <c r="AT15" s="777">
        <f t="shared" si="4"/>
        <v>512</v>
      </c>
      <c r="AU15" s="777"/>
      <c r="AV15" s="778"/>
      <c r="AW15" s="778"/>
      <c r="AX15" s="778"/>
      <c r="AY15" s="778"/>
      <c r="AZ15" s="778"/>
      <c r="BA15" s="778"/>
      <c r="BB15" s="778"/>
      <c r="BC15" s="778"/>
      <c r="BD15" s="777">
        <f>I15/4</f>
        <v>128</v>
      </c>
      <c r="BE15" s="778"/>
      <c r="BF15" s="778"/>
      <c r="BG15" s="778"/>
      <c r="BH15" s="778"/>
      <c r="BI15" s="778"/>
      <c r="BJ15" s="778"/>
      <c r="BK15" s="778"/>
      <c r="BL15" s="778"/>
      <c r="BM15" s="778"/>
    </row>
    <row r="16" s="771" customFormat="1" ht="31" hidden="1" customHeight="1" spans="1:65">
      <c r="A16" s="775">
        <v>45744</v>
      </c>
      <c r="B16" s="776" t="s">
        <v>128</v>
      </c>
      <c r="C16" s="509" t="s">
        <v>90</v>
      </c>
      <c r="D16" s="777">
        <v>4500161759</v>
      </c>
      <c r="E16" s="509" t="s">
        <v>135</v>
      </c>
      <c r="F16" s="778" t="s">
        <v>136</v>
      </c>
      <c r="G16" s="779" t="s">
        <v>93</v>
      </c>
      <c r="H16" s="509" t="s">
        <v>94</v>
      </c>
      <c r="I16" s="509">
        <v>656</v>
      </c>
      <c r="J16" s="509">
        <v>0</v>
      </c>
      <c r="K16" s="509">
        <v>4</v>
      </c>
      <c r="L16" s="780">
        <f t="shared" si="0"/>
        <v>164</v>
      </c>
      <c r="M16" s="781">
        <v>45785</v>
      </c>
      <c r="N16" s="781">
        <v>45782</v>
      </c>
      <c r="O16" s="782" t="s">
        <v>131</v>
      </c>
      <c r="P16" s="782" t="s">
        <v>103</v>
      </c>
      <c r="Q16" s="509"/>
      <c r="R16" s="784" t="s">
        <v>132</v>
      </c>
      <c r="S16" s="784" t="s">
        <v>66</v>
      </c>
      <c r="T16" s="784" t="s">
        <v>133</v>
      </c>
      <c r="U16" s="683" t="s">
        <v>133</v>
      </c>
      <c r="V16" s="784"/>
      <c r="W16" s="776" t="s">
        <v>134</v>
      </c>
      <c r="X16" s="781" t="s">
        <v>98</v>
      </c>
      <c r="Y16" s="785">
        <v>5</v>
      </c>
      <c r="Z16" s="786">
        <f t="shared" si="5"/>
        <v>3280</v>
      </c>
      <c r="AA16" s="509" t="s">
        <v>137</v>
      </c>
      <c r="AB16" s="509" t="s">
        <v>93</v>
      </c>
      <c r="AC16" s="509" t="s">
        <v>76</v>
      </c>
      <c r="AD16" s="509"/>
      <c r="AE16" s="635" t="s">
        <v>69</v>
      </c>
      <c r="AF16" s="635"/>
      <c r="AG16" s="788">
        <v>656</v>
      </c>
      <c r="AH16" s="782">
        <f t="shared" si="6"/>
        <v>0</v>
      </c>
      <c r="AI16" s="509"/>
      <c r="AJ16" s="509"/>
      <c r="AK16" s="509"/>
      <c r="AL16" s="777">
        <f t="shared" si="1"/>
        <v>656</v>
      </c>
      <c r="AM16" s="656"/>
      <c r="AN16" s="656"/>
      <c r="AO16" s="656"/>
      <c r="AP16" s="777">
        <f t="shared" si="2"/>
        <v>656</v>
      </c>
      <c r="AQ16" s="656"/>
      <c r="AR16" s="777">
        <f t="shared" si="3"/>
        <v>656</v>
      </c>
      <c r="AS16" s="777"/>
      <c r="AT16" s="777">
        <f t="shared" si="4"/>
        <v>656</v>
      </c>
      <c r="AU16" s="777"/>
      <c r="AV16" s="778"/>
      <c r="AW16" s="778"/>
      <c r="AX16" s="778"/>
      <c r="AY16" s="778"/>
      <c r="AZ16" s="778"/>
      <c r="BA16" s="778"/>
      <c r="BB16" s="778"/>
      <c r="BC16" s="778"/>
      <c r="BD16" s="777">
        <f>I16/4</f>
        <v>164</v>
      </c>
      <c r="BE16" s="778"/>
      <c r="BF16" s="778"/>
      <c r="BG16" s="778"/>
      <c r="BH16" s="778"/>
      <c r="BI16" s="778"/>
      <c r="BJ16" s="778"/>
      <c r="BK16" s="778"/>
      <c r="BL16" s="778"/>
      <c r="BM16" s="778"/>
    </row>
    <row r="17" s="771" customFormat="1" ht="31" hidden="1" customHeight="1" spans="1:65">
      <c r="A17" s="775">
        <v>45734</v>
      </c>
      <c r="B17" s="776" t="s">
        <v>138</v>
      </c>
      <c r="C17" s="509" t="s">
        <v>139</v>
      </c>
      <c r="D17" s="777">
        <v>4500160634</v>
      </c>
      <c r="E17" s="509">
        <v>5200006405</v>
      </c>
      <c r="F17" s="778" t="s">
        <v>140</v>
      </c>
      <c r="G17" s="779" t="s">
        <v>141</v>
      </c>
      <c r="H17" s="509" t="s">
        <v>94</v>
      </c>
      <c r="I17" s="509">
        <v>800</v>
      </c>
      <c r="J17" s="509">
        <v>0</v>
      </c>
      <c r="K17" s="509">
        <v>4</v>
      </c>
      <c r="L17" s="780">
        <f t="shared" si="0"/>
        <v>200</v>
      </c>
      <c r="M17" s="781">
        <v>45786</v>
      </c>
      <c r="N17" s="781">
        <v>45782</v>
      </c>
      <c r="O17" s="782"/>
      <c r="P17" s="782" t="s">
        <v>103</v>
      </c>
      <c r="Q17" s="509"/>
      <c r="R17" s="784">
        <v>45735</v>
      </c>
      <c r="S17" s="784" t="s">
        <v>66</v>
      </c>
      <c r="T17" s="784" t="s">
        <v>142</v>
      </c>
      <c r="U17" s="784" t="s">
        <v>143</v>
      </c>
      <c r="V17" s="784"/>
      <c r="W17" s="776" t="s">
        <v>144</v>
      </c>
      <c r="X17" s="781" t="s">
        <v>145</v>
      </c>
      <c r="Y17" s="785">
        <v>5.03</v>
      </c>
      <c r="Z17" s="786">
        <f t="shared" si="5"/>
        <v>4024</v>
      </c>
      <c r="AA17" s="509"/>
      <c r="AB17" s="781" t="s">
        <v>141</v>
      </c>
      <c r="AC17" s="509" t="s">
        <v>76</v>
      </c>
      <c r="AD17" s="509"/>
      <c r="AE17" s="635" t="s">
        <v>69</v>
      </c>
      <c r="AF17" s="635"/>
      <c r="AG17" s="788">
        <v>800</v>
      </c>
      <c r="AH17" s="782">
        <f t="shared" si="6"/>
        <v>0</v>
      </c>
      <c r="AI17" s="509"/>
      <c r="AJ17" s="509"/>
      <c r="AK17" s="509"/>
      <c r="AL17" s="777">
        <f t="shared" si="1"/>
        <v>800</v>
      </c>
      <c r="AM17" s="656"/>
      <c r="AN17" s="656"/>
      <c r="AO17" s="656"/>
      <c r="AP17" s="777"/>
      <c r="AQ17" s="656">
        <f>I17</f>
        <v>800</v>
      </c>
      <c r="AR17" s="777">
        <f t="shared" si="3"/>
        <v>800</v>
      </c>
      <c r="AS17" s="777"/>
      <c r="AT17" s="777">
        <f t="shared" si="4"/>
        <v>800</v>
      </c>
      <c r="AU17" s="777"/>
      <c r="AV17" s="778"/>
      <c r="AW17" s="778"/>
      <c r="AX17" s="778"/>
      <c r="AY17" s="778"/>
      <c r="AZ17" s="778"/>
      <c r="BA17" s="778"/>
      <c r="BB17" s="778"/>
      <c r="BC17" s="778"/>
      <c r="BD17" s="777"/>
      <c r="BE17" s="777">
        <f>I17/4</f>
        <v>200</v>
      </c>
      <c r="BF17" s="778"/>
      <c r="BG17" s="778"/>
      <c r="BH17" s="778"/>
      <c r="BI17" s="778"/>
      <c r="BJ17" s="778"/>
      <c r="BK17" s="778"/>
      <c r="BL17" s="778"/>
      <c r="BM17" s="778"/>
    </row>
    <row r="18" s="771" customFormat="1" ht="31" hidden="1" customHeight="1" spans="1:65">
      <c r="A18" s="775">
        <v>45671</v>
      </c>
      <c r="B18" s="776" t="s">
        <v>146</v>
      </c>
      <c r="C18" s="509" t="s">
        <v>139</v>
      </c>
      <c r="D18" s="777">
        <v>4500155594</v>
      </c>
      <c r="E18" s="509">
        <v>4400459913</v>
      </c>
      <c r="F18" s="778" t="s">
        <v>147</v>
      </c>
      <c r="G18" s="779" t="s">
        <v>148</v>
      </c>
      <c r="H18" s="509" t="s">
        <v>65</v>
      </c>
      <c r="I18" s="509">
        <v>3008</v>
      </c>
      <c r="J18" s="509">
        <v>0</v>
      </c>
      <c r="K18" s="509">
        <v>8</v>
      </c>
      <c r="L18" s="780">
        <f t="shared" si="0"/>
        <v>376</v>
      </c>
      <c r="M18" s="781">
        <v>45787</v>
      </c>
      <c r="N18" s="781">
        <v>45783</v>
      </c>
      <c r="O18" s="782" t="s">
        <v>143</v>
      </c>
      <c r="P18" s="782" t="s">
        <v>103</v>
      </c>
      <c r="Q18" s="509"/>
      <c r="R18" s="784">
        <v>45671</v>
      </c>
      <c r="S18" s="784" t="s">
        <v>66</v>
      </c>
      <c r="T18" s="784" t="s">
        <v>149</v>
      </c>
      <c r="U18" s="784"/>
      <c r="V18" s="784"/>
      <c r="W18" s="776" t="s">
        <v>150</v>
      </c>
      <c r="X18" s="781" t="s">
        <v>151</v>
      </c>
      <c r="Y18" s="785">
        <v>5.1379</v>
      </c>
      <c r="Z18" s="786">
        <f t="shared" si="5"/>
        <v>15454.8032</v>
      </c>
      <c r="AA18" s="509"/>
      <c r="AB18" s="509" t="s">
        <v>148</v>
      </c>
      <c r="AC18" s="509" t="s">
        <v>76</v>
      </c>
      <c r="AD18" s="509"/>
      <c r="AE18" s="635" t="s">
        <v>69</v>
      </c>
      <c r="AF18" s="635"/>
      <c r="AG18" s="788">
        <v>3008</v>
      </c>
      <c r="AH18" s="782">
        <f t="shared" si="6"/>
        <v>0</v>
      </c>
      <c r="AI18" s="509"/>
      <c r="AJ18" s="509"/>
      <c r="AK18" s="509"/>
      <c r="AL18" s="777">
        <f t="shared" si="1"/>
        <v>3008</v>
      </c>
      <c r="AM18" s="656"/>
      <c r="AN18" s="656"/>
      <c r="AO18" s="656"/>
      <c r="AP18" s="777"/>
      <c r="AQ18" s="656"/>
      <c r="AR18" s="777"/>
      <c r="AS18" s="777"/>
      <c r="AT18" s="777">
        <f t="shared" si="4"/>
        <v>3008</v>
      </c>
      <c r="AU18" s="777"/>
      <c r="AV18" s="778"/>
      <c r="AW18" s="778"/>
      <c r="AX18" s="778"/>
      <c r="AY18" s="778"/>
      <c r="AZ18" s="777">
        <f>I18</f>
        <v>3008</v>
      </c>
      <c r="BA18" s="777">
        <f>I18</f>
        <v>3008</v>
      </c>
      <c r="BB18" s="778"/>
      <c r="BC18" s="778"/>
      <c r="BD18" s="778"/>
      <c r="BE18" s="777">
        <f>I18/4</f>
        <v>752</v>
      </c>
      <c r="BF18" s="778"/>
      <c r="BG18" s="778"/>
      <c r="BH18" s="778"/>
      <c r="BI18" s="778"/>
      <c r="BJ18" s="778"/>
      <c r="BK18" s="778"/>
      <c r="BL18" s="778"/>
      <c r="BM18" s="778"/>
    </row>
    <row r="19" s="771" customFormat="1" ht="31" hidden="1" customHeight="1" spans="1:65">
      <c r="A19" s="775">
        <v>45733</v>
      </c>
      <c r="B19" s="776" t="s">
        <v>152</v>
      </c>
      <c r="C19" s="509" t="s">
        <v>153</v>
      </c>
      <c r="D19" s="777">
        <v>4500160504</v>
      </c>
      <c r="E19" s="509">
        <v>9900923471</v>
      </c>
      <c r="F19" s="778" t="s">
        <v>154</v>
      </c>
      <c r="G19" s="779" t="s">
        <v>155</v>
      </c>
      <c r="H19" s="509" t="s">
        <v>65</v>
      </c>
      <c r="I19" s="509">
        <v>884</v>
      </c>
      <c r="J19" s="509">
        <v>0</v>
      </c>
      <c r="K19" s="509">
        <v>2</v>
      </c>
      <c r="L19" s="780">
        <f t="shared" si="0"/>
        <v>442</v>
      </c>
      <c r="M19" s="781">
        <v>45776</v>
      </c>
      <c r="N19" s="781">
        <v>45772</v>
      </c>
      <c r="O19" s="782" t="s">
        <v>156</v>
      </c>
      <c r="P19" s="782" t="s">
        <v>103</v>
      </c>
      <c r="Q19" s="509"/>
      <c r="R19" s="784">
        <v>45748</v>
      </c>
      <c r="S19" s="784" t="s">
        <v>66</v>
      </c>
      <c r="T19" s="784">
        <v>45734</v>
      </c>
      <c r="U19" s="784"/>
      <c r="V19" s="784"/>
      <c r="W19" s="776" t="s">
        <v>157</v>
      </c>
      <c r="X19" s="781" t="s">
        <v>158</v>
      </c>
      <c r="Y19" s="785">
        <v>4.1</v>
      </c>
      <c r="Z19" s="786">
        <f t="shared" si="5"/>
        <v>3624.4</v>
      </c>
      <c r="AA19" s="509"/>
      <c r="AB19" s="509" t="s">
        <v>155</v>
      </c>
      <c r="AC19" s="509" t="s">
        <v>76</v>
      </c>
      <c r="AD19" s="509"/>
      <c r="AE19" s="635" t="s">
        <v>69</v>
      </c>
      <c r="AF19" s="635"/>
      <c r="AG19" s="788" t="s">
        <v>80</v>
      </c>
      <c r="AH19" s="782" t="e">
        <f t="shared" si="6"/>
        <v>#VALUE!</v>
      </c>
      <c r="AI19" s="509"/>
      <c r="AJ19" s="509"/>
      <c r="AK19" s="509"/>
      <c r="AL19" s="777">
        <f t="shared" si="1"/>
        <v>884</v>
      </c>
      <c r="AM19" s="656"/>
      <c r="AN19" s="656"/>
      <c r="AO19" s="656"/>
      <c r="AP19" s="777"/>
      <c r="AQ19" s="656">
        <f>I19</f>
        <v>884</v>
      </c>
      <c r="AR19" s="777">
        <f t="shared" ref="AR19:AR35" si="7">I19</f>
        <v>884</v>
      </c>
      <c r="AS19" s="777"/>
      <c r="AT19" s="777">
        <f t="shared" si="4"/>
        <v>884</v>
      </c>
      <c r="AU19" s="777"/>
      <c r="AV19" s="778"/>
      <c r="AW19" s="778"/>
      <c r="AX19" s="778"/>
      <c r="AY19" s="778"/>
      <c r="AZ19" s="778"/>
      <c r="BA19" s="778"/>
      <c r="BB19" s="778"/>
      <c r="BC19" s="778"/>
      <c r="BD19" s="778"/>
      <c r="BE19" s="778"/>
      <c r="BF19" s="778"/>
      <c r="BG19" s="778"/>
      <c r="BH19" s="778"/>
      <c r="BI19" s="778"/>
      <c r="BJ19" s="778"/>
      <c r="BK19" s="778"/>
      <c r="BL19" s="778"/>
      <c r="BM19" s="778"/>
    </row>
    <row r="20" s="771" customFormat="1" ht="31" hidden="1" customHeight="1" spans="1:65">
      <c r="A20" s="775">
        <v>45726</v>
      </c>
      <c r="B20" s="776" t="s">
        <v>159</v>
      </c>
      <c r="C20" s="509" t="s">
        <v>153</v>
      </c>
      <c r="D20" s="777">
        <v>4500159666</v>
      </c>
      <c r="E20" s="509" t="s">
        <v>160</v>
      </c>
      <c r="F20" s="778" t="s">
        <v>161</v>
      </c>
      <c r="G20" s="779" t="s">
        <v>64</v>
      </c>
      <c r="H20" s="509" t="s">
        <v>65</v>
      </c>
      <c r="I20" s="509">
        <v>15396</v>
      </c>
      <c r="J20" s="509">
        <v>0</v>
      </c>
      <c r="K20" s="509">
        <v>12</v>
      </c>
      <c r="L20" s="780">
        <f t="shared" si="0"/>
        <v>1283</v>
      </c>
      <c r="M20" s="781">
        <v>45786</v>
      </c>
      <c r="N20" s="781">
        <v>45782</v>
      </c>
      <c r="O20" s="782"/>
      <c r="P20" s="782" t="s">
        <v>103</v>
      </c>
      <c r="Q20" s="509" t="s">
        <v>162</v>
      </c>
      <c r="R20" s="784">
        <v>45727</v>
      </c>
      <c r="S20" s="784" t="s">
        <v>66</v>
      </c>
      <c r="T20" s="784" t="s">
        <v>66</v>
      </c>
      <c r="U20" s="784"/>
      <c r="V20" s="784"/>
      <c r="W20" s="776" t="s">
        <v>163</v>
      </c>
      <c r="X20" s="781" t="s">
        <v>164</v>
      </c>
      <c r="Y20" s="785">
        <v>4.1</v>
      </c>
      <c r="Z20" s="786">
        <f t="shared" si="5"/>
        <v>63123.6</v>
      </c>
      <c r="AA20" s="509"/>
      <c r="AB20" s="509" t="s">
        <v>165</v>
      </c>
      <c r="AC20" s="509" t="s">
        <v>76</v>
      </c>
      <c r="AD20" s="509"/>
      <c r="AE20" s="635" t="s">
        <v>166</v>
      </c>
      <c r="AF20" s="635"/>
      <c r="AG20" s="788" t="s">
        <v>80</v>
      </c>
      <c r="AH20" s="782" t="e">
        <f t="shared" si="6"/>
        <v>#VALUE!</v>
      </c>
      <c r="AI20" s="509"/>
      <c r="AJ20" s="509"/>
      <c r="AK20" s="509"/>
      <c r="AL20" s="777">
        <f t="shared" si="1"/>
        <v>15396</v>
      </c>
      <c r="AM20" s="656"/>
      <c r="AN20" s="656"/>
      <c r="AO20" s="656"/>
      <c r="AP20" s="777"/>
      <c r="AQ20" s="656">
        <f>I20</f>
        <v>15396</v>
      </c>
      <c r="AR20" s="777">
        <f t="shared" si="7"/>
        <v>15396</v>
      </c>
      <c r="AS20" s="777"/>
      <c r="AT20" s="777">
        <f t="shared" si="4"/>
        <v>15396</v>
      </c>
      <c r="AU20" s="777"/>
      <c r="AV20" s="778"/>
      <c r="AW20" s="778"/>
      <c r="AX20" s="778"/>
      <c r="AY20" s="778"/>
      <c r="AZ20" s="778"/>
      <c r="BA20" s="778"/>
      <c r="BB20" s="778"/>
      <c r="BC20" s="778"/>
      <c r="BD20" s="778"/>
      <c r="BE20" s="778"/>
      <c r="BF20" s="778"/>
      <c r="BG20" s="778"/>
      <c r="BH20" s="778"/>
      <c r="BI20" s="778"/>
      <c r="BJ20" s="778"/>
      <c r="BK20" s="778"/>
      <c r="BL20" s="778"/>
      <c r="BM20" s="778"/>
    </row>
    <row r="21" s="771" customFormat="1" ht="31" hidden="1" customHeight="1" spans="1:65">
      <c r="A21" s="775">
        <v>45744</v>
      </c>
      <c r="B21" s="776" t="s">
        <v>128</v>
      </c>
      <c r="C21" s="509" t="s">
        <v>90</v>
      </c>
      <c r="D21" s="777">
        <v>4500161760</v>
      </c>
      <c r="E21" s="886" t="s">
        <v>167</v>
      </c>
      <c r="F21" s="778" t="s">
        <v>168</v>
      </c>
      <c r="G21" s="779" t="s">
        <v>93</v>
      </c>
      <c r="H21" s="509" t="s">
        <v>94</v>
      </c>
      <c r="I21" s="509">
        <v>760</v>
      </c>
      <c r="J21" s="509">
        <v>0</v>
      </c>
      <c r="K21" s="509">
        <v>4</v>
      </c>
      <c r="L21" s="780">
        <f t="shared" si="0"/>
        <v>190</v>
      </c>
      <c r="M21" s="781">
        <v>45789</v>
      </c>
      <c r="N21" s="781">
        <v>45785</v>
      </c>
      <c r="O21" s="782" t="s">
        <v>169</v>
      </c>
      <c r="P21" s="782" t="s">
        <v>103</v>
      </c>
      <c r="Q21" s="509"/>
      <c r="R21" s="784" t="s">
        <v>132</v>
      </c>
      <c r="S21" s="784" t="s">
        <v>66</v>
      </c>
      <c r="T21" s="784" t="s">
        <v>133</v>
      </c>
      <c r="U21" s="683" t="s">
        <v>133</v>
      </c>
      <c r="V21" s="784"/>
      <c r="W21" s="776" t="s">
        <v>134</v>
      </c>
      <c r="X21" s="781" t="s">
        <v>98</v>
      </c>
      <c r="Y21" s="785">
        <v>5</v>
      </c>
      <c r="Z21" s="786">
        <f t="shared" si="5"/>
        <v>3800</v>
      </c>
      <c r="AA21" s="509"/>
      <c r="AB21" s="509" t="s">
        <v>93</v>
      </c>
      <c r="AC21" s="509" t="s">
        <v>76</v>
      </c>
      <c r="AD21" s="509"/>
      <c r="AE21" s="635" t="s">
        <v>69</v>
      </c>
      <c r="AF21" s="635"/>
      <c r="AG21" s="788">
        <v>760</v>
      </c>
      <c r="AH21" s="782">
        <f t="shared" si="6"/>
        <v>0</v>
      </c>
      <c r="AI21" s="509"/>
      <c r="AJ21" s="509"/>
      <c r="AK21" s="509"/>
      <c r="AL21" s="777">
        <f t="shared" si="1"/>
        <v>760</v>
      </c>
      <c r="AM21" s="656"/>
      <c r="AN21" s="656"/>
      <c r="AO21" s="656"/>
      <c r="AP21" s="777">
        <f>I21</f>
        <v>760</v>
      </c>
      <c r="AQ21" s="656"/>
      <c r="AR21" s="777">
        <f t="shared" si="7"/>
        <v>760</v>
      </c>
      <c r="AS21" s="777"/>
      <c r="AT21" s="777">
        <f t="shared" si="4"/>
        <v>760</v>
      </c>
      <c r="AU21" s="777"/>
      <c r="AV21" s="778"/>
      <c r="AW21" s="778"/>
      <c r="AX21" s="778"/>
      <c r="AY21" s="778"/>
      <c r="AZ21" s="778"/>
      <c r="BA21" s="778"/>
      <c r="BB21" s="778"/>
      <c r="BC21" s="778"/>
      <c r="BD21" s="777">
        <f>I21/4</f>
        <v>190</v>
      </c>
      <c r="BE21" s="778"/>
      <c r="BF21" s="778"/>
      <c r="BG21" s="778"/>
      <c r="BH21" s="778"/>
      <c r="BI21" s="778"/>
      <c r="BJ21" s="778"/>
      <c r="BK21" s="778"/>
      <c r="BL21" s="778"/>
      <c r="BM21" s="778"/>
    </row>
    <row r="22" s="771" customFormat="1" ht="31" hidden="1" customHeight="1" spans="1:65">
      <c r="A22" s="775">
        <v>45726</v>
      </c>
      <c r="B22" s="776" t="s">
        <v>89</v>
      </c>
      <c r="C22" s="509" t="s">
        <v>90</v>
      </c>
      <c r="D22" s="777">
        <v>4500159654</v>
      </c>
      <c r="E22" s="509" t="s">
        <v>170</v>
      </c>
      <c r="F22" s="778" t="s">
        <v>171</v>
      </c>
      <c r="G22" s="779" t="s">
        <v>93</v>
      </c>
      <c r="H22" s="509" t="s">
        <v>94</v>
      </c>
      <c r="I22" s="509">
        <v>2768</v>
      </c>
      <c r="J22" s="509">
        <v>0</v>
      </c>
      <c r="K22" s="509">
        <v>4</v>
      </c>
      <c r="L22" s="780">
        <f t="shared" si="0"/>
        <v>692</v>
      </c>
      <c r="M22" s="781">
        <v>45789</v>
      </c>
      <c r="N22" s="781">
        <v>45785</v>
      </c>
      <c r="O22" s="782" t="s">
        <v>169</v>
      </c>
      <c r="P22" s="782" t="s">
        <v>103</v>
      </c>
      <c r="Q22" s="509"/>
      <c r="R22" s="784">
        <v>45727</v>
      </c>
      <c r="S22" s="784" t="s">
        <v>96</v>
      </c>
      <c r="T22" s="784">
        <v>45727</v>
      </c>
      <c r="U22" s="784" t="s">
        <v>172</v>
      </c>
      <c r="V22" s="784"/>
      <c r="W22" s="776" t="s">
        <v>173</v>
      </c>
      <c r="X22" s="781" t="s">
        <v>98</v>
      </c>
      <c r="Y22" s="785">
        <v>5</v>
      </c>
      <c r="Z22" s="786">
        <f t="shared" si="5"/>
        <v>13840</v>
      </c>
      <c r="AA22" s="509"/>
      <c r="AB22" s="509" t="s">
        <v>93</v>
      </c>
      <c r="AC22" s="509" t="s">
        <v>76</v>
      </c>
      <c r="AD22" s="509"/>
      <c r="AE22" s="635" t="s">
        <v>69</v>
      </c>
      <c r="AF22" s="635"/>
      <c r="AG22" s="788">
        <v>2768</v>
      </c>
      <c r="AH22" s="782">
        <f t="shared" si="6"/>
        <v>0</v>
      </c>
      <c r="AI22" s="509"/>
      <c r="AJ22" s="509"/>
      <c r="AK22" s="509"/>
      <c r="AL22" s="777">
        <f t="shared" si="1"/>
        <v>2768</v>
      </c>
      <c r="AM22" s="656"/>
      <c r="AN22" s="656"/>
      <c r="AO22" s="656"/>
      <c r="AP22" s="777">
        <f>I22</f>
        <v>2768</v>
      </c>
      <c r="AQ22" s="656"/>
      <c r="AR22" s="777">
        <f t="shared" si="7"/>
        <v>2768</v>
      </c>
      <c r="AS22" s="777"/>
      <c r="AT22" s="777">
        <f t="shared" si="4"/>
        <v>2768</v>
      </c>
      <c r="AU22" s="777"/>
      <c r="AV22" s="778"/>
      <c r="AW22" s="778"/>
      <c r="AX22" s="778"/>
      <c r="AY22" s="778"/>
      <c r="AZ22" s="778"/>
      <c r="BA22" s="778"/>
      <c r="BB22" s="778"/>
      <c r="BC22" s="778"/>
      <c r="BD22" s="777">
        <f>I22/4</f>
        <v>692</v>
      </c>
      <c r="BE22" s="778"/>
      <c r="BF22" s="778"/>
      <c r="BG22" s="778"/>
      <c r="BH22" s="778"/>
      <c r="BI22" s="778"/>
      <c r="BJ22" s="778"/>
      <c r="BK22" s="778"/>
      <c r="BL22" s="778"/>
      <c r="BM22" s="778"/>
    </row>
    <row r="23" s="771" customFormat="1" ht="31" hidden="1" customHeight="1" spans="1:65">
      <c r="A23" s="775">
        <v>45726</v>
      </c>
      <c r="B23" s="776" t="s">
        <v>89</v>
      </c>
      <c r="C23" s="509" t="s">
        <v>90</v>
      </c>
      <c r="D23" s="777">
        <v>4500159654</v>
      </c>
      <c r="E23" s="509" t="s">
        <v>174</v>
      </c>
      <c r="F23" s="778" t="s">
        <v>175</v>
      </c>
      <c r="G23" s="779" t="s">
        <v>93</v>
      </c>
      <c r="H23" s="509" t="s">
        <v>94</v>
      </c>
      <c r="I23" s="509">
        <v>3560</v>
      </c>
      <c r="J23" s="509">
        <v>0</v>
      </c>
      <c r="K23" s="509">
        <v>4</v>
      </c>
      <c r="L23" s="780">
        <f t="shared" si="0"/>
        <v>890</v>
      </c>
      <c r="M23" s="781">
        <v>45789</v>
      </c>
      <c r="N23" s="781">
        <v>45785</v>
      </c>
      <c r="O23" s="782" t="s">
        <v>169</v>
      </c>
      <c r="P23" s="782" t="s">
        <v>103</v>
      </c>
      <c r="Q23" s="509"/>
      <c r="R23" s="784">
        <v>45727</v>
      </c>
      <c r="S23" s="784" t="s">
        <v>96</v>
      </c>
      <c r="T23" s="784">
        <v>45727</v>
      </c>
      <c r="U23" s="784" t="s">
        <v>172</v>
      </c>
      <c r="V23" s="784"/>
      <c r="W23" s="776" t="s">
        <v>173</v>
      </c>
      <c r="X23" s="781" t="s">
        <v>98</v>
      </c>
      <c r="Y23" s="785">
        <v>5</v>
      </c>
      <c r="Z23" s="786">
        <f t="shared" si="5"/>
        <v>17800</v>
      </c>
      <c r="AA23" s="509"/>
      <c r="AB23" s="509" t="s">
        <v>93</v>
      </c>
      <c r="AC23" s="509" t="s">
        <v>76</v>
      </c>
      <c r="AD23" s="509"/>
      <c r="AE23" s="635" t="s">
        <v>69</v>
      </c>
      <c r="AF23" s="635"/>
      <c r="AG23" s="788">
        <v>3560</v>
      </c>
      <c r="AH23" s="782">
        <f t="shared" si="6"/>
        <v>0</v>
      </c>
      <c r="AI23" s="509"/>
      <c r="AJ23" s="509"/>
      <c r="AK23" s="509"/>
      <c r="AL23" s="777">
        <f t="shared" si="1"/>
        <v>3560</v>
      </c>
      <c r="AM23" s="656"/>
      <c r="AN23" s="656"/>
      <c r="AO23" s="656"/>
      <c r="AP23" s="777">
        <f>I23</f>
        <v>3560</v>
      </c>
      <c r="AQ23" s="656"/>
      <c r="AR23" s="777">
        <f t="shared" si="7"/>
        <v>3560</v>
      </c>
      <c r="AS23" s="777"/>
      <c r="AT23" s="777">
        <f t="shared" si="4"/>
        <v>3560</v>
      </c>
      <c r="AU23" s="777"/>
      <c r="AV23" s="778"/>
      <c r="AW23" s="778"/>
      <c r="AX23" s="778"/>
      <c r="AY23" s="778"/>
      <c r="AZ23" s="778"/>
      <c r="BA23" s="778"/>
      <c r="BB23" s="778"/>
      <c r="BC23" s="778"/>
      <c r="BD23" s="777">
        <f>I23/4</f>
        <v>890</v>
      </c>
      <c r="BE23" s="778"/>
      <c r="BF23" s="778"/>
      <c r="BG23" s="778"/>
      <c r="BH23" s="778"/>
      <c r="BI23" s="778"/>
      <c r="BJ23" s="778"/>
      <c r="BK23" s="778"/>
      <c r="BL23" s="778"/>
      <c r="BM23" s="778"/>
    </row>
    <row r="24" s="771" customFormat="1" ht="31" hidden="1" customHeight="1" spans="1:65">
      <c r="A24" s="775">
        <v>45726</v>
      </c>
      <c r="B24" s="776" t="s">
        <v>89</v>
      </c>
      <c r="C24" s="509" t="s">
        <v>90</v>
      </c>
      <c r="D24" s="777">
        <v>4500159654</v>
      </c>
      <c r="E24" s="509" t="s">
        <v>176</v>
      </c>
      <c r="F24" s="778" t="s">
        <v>177</v>
      </c>
      <c r="G24" s="779" t="s">
        <v>93</v>
      </c>
      <c r="H24" s="509" t="s">
        <v>94</v>
      </c>
      <c r="I24" s="509">
        <v>3344</v>
      </c>
      <c r="J24" s="509">
        <v>0</v>
      </c>
      <c r="K24" s="509">
        <v>4</v>
      </c>
      <c r="L24" s="780">
        <f t="shared" si="0"/>
        <v>836</v>
      </c>
      <c r="M24" s="781">
        <v>45789</v>
      </c>
      <c r="N24" s="781">
        <v>45785</v>
      </c>
      <c r="O24" s="782" t="s">
        <v>169</v>
      </c>
      <c r="P24" s="782" t="s">
        <v>103</v>
      </c>
      <c r="Q24" s="509"/>
      <c r="R24" s="784">
        <v>45727</v>
      </c>
      <c r="S24" s="784" t="s">
        <v>96</v>
      </c>
      <c r="T24" s="784">
        <v>45727</v>
      </c>
      <c r="U24" s="784" t="s">
        <v>172</v>
      </c>
      <c r="V24" s="784"/>
      <c r="W24" s="776" t="s">
        <v>173</v>
      </c>
      <c r="X24" s="781" t="s">
        <v>98</v>
      </c>
      <c r="Y24" s="785">
        <v>5</v>
      </c>
      <c r="Z24" s="786">
        <f t="shared" si="5"/>
        <v>16720</v>
      </c>
      <c r="AA24" s="509"/>
      <c r="AB24" s="509" t="s">
        <v>93</v>
      </c>
      <c r="AC24" s="509" t="s">
        <v>76</v>
      </c>
      <c r="AD24" s="509"/>
      <c r="AE24" s="635" t="s">
        <v>69</v>
      </c>
      <c r="AF24" s="635"/>
      <c r="AG24" s="788">
        <v>3344</v>
      </c>
      <c r="AH24" s="782">
        <f t="shared" si="6"/>
        <v>0</v>
      </c>
      <c r="AI24" s="509"/>
      <c r="AJ24" s="509"/>
      <c r="AK24" s="509"/>
      <c r="AL24" s="777">
        <f t="shared" si="1"/>
        <v>3344</v>
      </c>
      <c r="AM24" s="656"/>
      <c r="AN24" s="656"/>
      <c r="AO24" s="656"/>
      <c r="AP24" s="777">
        <f>I24</f>
        <v>3344</v>
      </c>
      <c r="AQ24" s="656"/>
      <c r="AR24" s="777">
        <f t="shared" si="7"/>
        <v>3344</v>
      </c>
      <c r="AS24" s="777"/>
      <c r="AT24" s="777">
        <f t="shared" si="4"/>
        <v>3344</v>
      </c>
      <c r="AU24" s="777"/>
      <c r="AV24" s="778"/>
      <c r="AW24" s="778"/>
      <c r="AX24" s="778"/>
      <c r="AY24" s="778"/>
      <c r="AZ24" s="778"/>
      <c r="BA24" s="778"/>
      <c r="BB24" s="778"/>
      <c r="BC24" s="778"/>
      <c r="BD24" s="777">
        <f>I24/4</f>
        <v>836</v>
      </c>
      <c r="BE24" s="778"/>
      <c r="BF24" s="778"/>
      <c r="BG24" s="778"/>
      <c r="BH24" s="778"/>
      <c r="BI24" s="778"/>
      <c r="BJ24" s="778"/>
      <c r="BK24" s="778"/>
      <c r="BL24" s="778"/>
      <c r="BM24" s="778"/>
    </row>
    <row r="25" s="771" customFormat="1" ht="31" hidden="1" customHeight="1" spans="1:65">
      <c r="A25" s="775">
        <v>45755</v>
      </c>
      <c r="B25" s="776" t="s">
        <v>178</v>
      </c>
      <c r="C25" s="509" t="s">
        <v>179</v>
      </c>
      <c r="D25" s="777">
        <v>4500162820</v>
      </c>
      <c r="E25" s="509">
        <v>5200006528</v>
      </c>
      <c r="F25" s="778" t="s">
        <v>180</v>
      </c>
      <c r="G25" s="779" t="s">
        <v>141</v>
      </c>
      <c r="H25" s="509" t="s">
        <v>94</v>
      </c>
      <c r="I25" s="509">
        <v>2444</v>
      </c>
      <c r="J25" s="509">
        <v>0</v>
      </c>
      <c r="K25" s="509">
        <v>4</v>
      </c>
      <c r="L25" s="780">
        <f t="shared" si="0"/>
        <v>611</v>
      </c>
      <c r="M25" s="781">
        <v>45789</v>
      </c>
      <c r="N25" s="781">
        <v>45785</v>
      </c>
      <c r="O25" s="782"/>
      <c r="P25" s="782" t="s">
        <v>103</v>
      </c>
      <c r="Q25" s="509"/>
      <c r="R25" s="784">
        <v>45757</v>
      </c>
      <c r="S25" s="784" t="s">
        <v>66</v>
      </c>
      <c r="T25" s="784">
        <v>45764</v>
      </c>
      <c r="U25" s="784"/>
      <c r="V25" s="784"/>
      <c r="W25" s="776" t="s">
        <v>181</v>
      </c>
      <c r="X25" s="781" t="s">
        <v>145</v>
      </c>
      <c r="Y25" s="785">
        <v>5.03</v>
      </c>
      <c r="Z25" s="786">
        <f t="shared" si="5"/>
        <v>12293.32</v>
      </c>
      <c r="AA25" s="509"/>
      <c r="AB25" s="509" t="s">
        <v>141</v>
      </c>
      <c r="AC25" s="509" t="s">
        <v>76</v>
      </c>
      <c r="AD25" s="509"/>
      <c r="AE25" s="635" t="s">
        <v>69</v>
      </c>
      <c r="AF25" s="635"/>
      <c r="AG25" s="788">
        <v>2444</v>
      </c>
      <c r="AH25" s="782">
        <f t="shared" si="6"/>
        <v>0</v>
      </c>
      <c r="AI25" s="509"/>
      <c r="AJ25" s="509"/>
      <c r="AK25" s="509"/>
      <c r="AL25" s="777">
        <f t="shared" si="1"/>
        <v>2444</v>
      </c>
      <c r="AM25" s="656"/>
      <c r="AN25" s="656"/>
      <c r="AO25" s="656"/>
      <c r="AP25" s="777"/>
      <c r="AQ25" s="656">
        <f>I25</f>
        <v>2444</v>
      </c>
      <c r="AR25" s="777">
        <f t="shared" si="7"/>
        <v>2444</v>
      </c>
      <c r="AS25" s="777"/>
      <c r="AT25" s="777">
        <f t="shared" si="4"/>
        <v>2444</v>
      </c>
      <c r="AU25" s="777"/>
      <c r="AV25" s="778"/>
      <c r="AW25" s="778"/>
      <c r="AX25" s="778"/>
      <c r="AY25" s="778"/>
      <c r="AZ25" s="778"/>
      <c r="BA25" s="778"/>
      <c r="BB25" s="778"/>
      <c r="BC25" s="778"/>
      <c r="BD25" s="778"/>
      <c r="BE25" s="777">
        <f>I25/4</f>
        <v>611</v>
      </c>
      <c r="BF25" s="778"/>
      <c r="BG25" s="778"/>
      <c r="BH25" s="778"/>
      <c r="BI25" s="778"/>
      <c r="BJ25" s="778"/>
      <c r="BK25" s="778"/>
      <c r="BL25" s="778"/>
      <c r="BM25" s="778"/>
    </row>
    <row r="26" s="771" customFormat="1" ht="31" hidden="1" customHeight="1" spans="1:65">
      <c r="A26" s="775">
        <v>45773</v>
      </c>
      <c r="B26" s="776"/>
      <c r="C26" s="509"/>
      <c r="D26" s="777" t="s">
        <v>182</v>
      </c>
      <c r="E26" s="509"/>
      <c r="F26" s="778"/>
      <c r="G26" s="779" t="s">
        <v>64</v>
      </c>
      <c r="H26" s="509" t="s">
        <v>65</v>
      </c>
      <c r="I26" s="509">
        <v>108</v>
      </c>
      <c r="J26" s="509">
        <v>0</v>
      </c>
      <c r="K26" s="509">
        <v>12</v>
      </c>
      <c r="L26" s="780">
        <f t="shared" si="0"/>
        <v>9</v>
      </c>
      <c r="M26" s="781">
        <v>45789</v>
      </c>
      <c r="N26" s="781">
        <v>45785</v>
      </c>
      <c r="O26" s="782"/>
      <c r="P26" s="782" t="s">
        <v>103</v>
      </c>
      <c r="Q26" s="509"/>
      <c r="R26" s="784">
        <v>45773</v>
      </c>
      <c r="S26" s="784" t="s">
        <v>66</v>
      </c>
      <c r="T26" s="784" t="s">
        <v>66</v>
      </c>
      <c r="U26" s="784"/>
      <c r="V26" s="784"/>
      <c r="W26" s="776" t="s">
        <v>183</v>
      </c>
      <c r="X26" s="781" t="s">
        <v>79</v>
      </c>
      <c r="Y26" s="785"/>
      <c r="Z26" s="786"/>
      <c r="AA26" s="509"/>
      <c r="AB26" s="509" t="s">
        <v>64</v>
      </c>
      <c r="AC26" s="509" t="s">
        <v>76</v>
      </c>
      <c r="AD26" s="509"/>
      <c r="AE26" s="635" t="s">
        <v>69</v>
      </c>
      <c r="AF26" s="635"/>
      <c r="AG26" s="788">
        <v>108</v>
      </c>
      <c r="AH26" s="782">
        <f t="shared" si="6"/>
        <v>0</v>
      </c>
      <c r="AI26" s="509"/>
      <c r="AJ26" s="509"/>
      <c r="AK26" s="509"/>
      <c r="AL26" s="777">
        <f t="shared" si="1"/>
        <v>108</v>
      </c>
      <c r="AM26" s="656"/>
      <c r="AN26" s="656"/>
      <c r="AO26" s="656"/>
      <c r="AP26" s="777">
        <f t="shared" ref="AP26:AP31" si="8">I26</f>
        <v>108</v>
      </c>
      <c r="AQ26" s="656"/>
      <c r="AR26" s="777">
        <f t="shared" si="7"/>
        <v>108</v>
      </c>
      <c r="AS26" s="777"/>
      <c r="AT26" s="543">
        <f t="shared" si="4"/>
        <v>108</v>
      </c>
      <c r="AU26" s="777"/>
      <c r="AV26" s="778"/>
      <c r="AW26" s="778"/>
      <c r="AX26" s="778"/>
      <c r="AY26" s="778"/>
      <c r="AZ26" s="778"/>
      <c r="BA26" s="778"/>
      <c r="BB26" s="778"/>
      <c r="BC26" s="778"/>
      <c r="BD26" s="778"/>
      <c r="BE26" s="778"/>
      <c r="BF26" s="778"/>
      <c r="BG26" s="778"/>
      <c r="BH26" s="778"/>
      <c r="BI26" s="778"/>
      <c r="BJ26" s="778"/>
      <c r="BK26" s="778"/>
      <c r="BL26" s="778"/>
      <c r="BM26" s="778"/>
    </row>
    <row r="27" s="771" customFormat="1" ht="31" hidden="1" customHeight="1" spans="1:65">
      <c r="A27" s="775">
        <v>45741</v>
      </c>
      <c r="B27" s="776" t="s">
        <v>184</v>
      </c>
      <c r="C27" s="509" t="s">
        <v>90</v>
      </c>
      <c r="D27" s="777">
        <v>4500161407</v>
      </c>
      <c r="E27" s="509">
        <v>216951853</v>
      </c>
      <c r="F27" s="778" t="s">
        <v>185</v>
      </c>
      <c r="G27" s="779" t="s">
        <v>186</v>
      </c>
      <c r="H27" s="509" t="s">
        <v>94</v>
      </c>
      <c r="I27" s="509">
        <v>800</v>
      </c>
      <c r="J27" s="509">
        <v>0</v>
      </c>
      <c r="K27" s="509">
        <v>4</v>
      </c>
      <c r="L27" s="780">
        <f t="shared" si="0"/>
        <v>200</v>
      </c>
      <c r="M27" s="781">
        <v>45790</v>
      </c>
      <c r="N27" s="781">
        <v>45786</v>
      </c>
      <c r="O27" s="782"/>
      <c r="P27" s="782" t="s">
        <v>103</v>
      </c>
      <c r="Q27" s="509"/>
      <c r="R27" s="784">
        <v>45771</v>
      </c>
      <c r="S27" s="784" t="s">
        <v>66</v>
      </c>
      <c r="T27" s="784" t="s">
        <v>66</v>
      </c>
      <c r="U27" s="784"/>
      <c r="V27" s="784"/>
      <c r="W27" s="776" t="s">
        <v>187</v>
      </c>
      <c r="X27" s="781" t="s">
        <v>188</v>
      </c>
      <c r="Y27" s="785">
        <v>4.1</v>
      </c>
      <c r="Z27" s="786">
        <f t="shared" ref="Z27:Z77" si="9">Y27*I27</f>
        <v>3280</v>
      </c>
      <c r="AA27" s="509"/>
      <c r="AB27" s="509" t="s">
        <v>186</v>
      </c>
      <c r="AC27" s="509" t="s">
        <v>76</v>
      </c>
      <c r="AD27" s="509"/>
      <c r="AE27" s="635" t="s">
        <v>69</v>
      </c>
      <c r="AF27" s="635"/>
      <c r="AG27" s="788">
        <v>800</v>
      </c>
      <c r="AH27" s="782">
        <f t="shared" si="6"/>
        <v>0</v>
      </c>
      <c r="AI27" s="509"/>
      <c r="AJ27" s="509"/>
      <c r="AK27" s="509"/>
      <c r="AL27" s="777">
        <f t="shared" si="1"/>
        <v>800</v>
      </c>
      <c r="AM27" s="656"/>
      <c r="AN27" s="656"/>
      <c r="AO27" s="656"/>
      <c r="AP27" s="777">
        <f t="shared" si="8"/>
        <v>800</v>
      </c>
      <c r="AQ27" s="656"/>
      <c r="AR27" s="777">
        <f t="shared" si="7"/>
        <v>800</v>
      </c>
      <c r="AS27" s="777"/>
      <c r="AT27" s="777">
        <f t="shared" ref="AT27:AT90" si="10">I27</f>
        <v>800</v>
      </c>
      <c r="AU27" s="777"/>
      <c r="AV27" s="778"/>
      <c r="AW27" s="778"/>
      <c r="AX27" s="778"/>
      <c r="AY27" s="778"/>
      <c r="AZ27" s="778"/>
      <c r="BA27" s="778"/>
      <c r="BB27" s="778"/>
      <c r="BC27" s="778"/>
      <c r="BD27" s="778"/>
      <c r="BE27" s="778"/>
      <c r="BF27" s="778"/>
      <c r="BG27" s="778"/>
      <c r="BH27" s="778"/>
      <c r="BI27" s="778"/>
      <c r="BJ27" s="778"/>
      <c r="BK27" s="778"/>
      <c r="BL27" s="778"/>
      <c r="BM27" s="778"/>
    </row>
    <row r="28" s="771" customFormat="1" ht="31" hidden="1" customHeight="1" spans="1:65">
      <c r="A28" s="775">
        <v>45741</v>
      </c>
      <c r="B28" s="776" t="s">
        <v>184</v>
      </c>
      <c r="C28" s="509" t="s">
        <v>90</v>
      </c>
      <c r="D28" s="777">
        <v>4500161408</v>
      </c>
      <c r="E28" s="509">
        <v>216951858</v>
      </c>
      <c r="F28" s="778" t="s">
        <v>189</v>
      </c>
      <c r="G28" s="779" t="s">
        <v>186</v>
      </c>
      <c r="H28" s="509" t="s">
        <v>94</v>
      </c>
      <c r="I28" s="509">
        <v>600</v>
      </c>
      <c r="J28" s="509">
        <v>0</v>
      </c>
      <c r="K28" s="509">
        <v>4</v>
      </c>
      <c r="L28" s="780">
        <f t="shared" si="0"/>
        <v>150</v>
      </c>
      <c r="M28" s="781">
        <v>45790</v>
      </c>
      <c r="N28" s="781">
        <v>45786</v>
      </c>
      <c r="O28" s="782"/>
      <c r="P28" s="782" t="s">
        <v>103</v>
      </c>
      <c r="Q28" s="509"/>
      <c r="R28" s="784">
        <v>45771</v>
      </c>
      <c r="S28" s="784" t="s">
        <v>66</v>
      </c>
      <c r="T28" s="784" t="s">
        <v>66</v>
      </c>
      <c r="U28" s="784"/>
      <c r="V28" s="784"/>
      <c r="W28" s="776" t="s">
        <v>187</v>
      </c>
      <c r="X28" s="781" t="s">
        <v>188</v>
      </c>
      <c r="Y28" s="785">
        <v>4.19</v>
      </c>
      <c r="Z28" s="786">
        <f t="shared" si="9"/>
        <v>2514</v>
      </c>
      <c r="AA28" s="509"/>
      <c r="AB28" s="509" t="s">
        <v>186</v>
      </c>
      <c r="AC28" s="509" t="s">
        <v>76</v>
      </c>
      <c r="AD28" s="509"/>
      <c r="AE28" s="635" t="s">
        <v>69</v>
      </c>
      <c r="AF28" s="635"/>
      <c r="AG28" s="788">
        <v>600</v>
      </c>
      <c r="AH28" s="782">
        <f t="shared" si="6"/>
        <v>0</v>
      </c>
      <c r="AI28" s="509"/>
      <c r="AJ28" s="509"/>
      <c r="AK28" s="509"/>
      <c r="AL28" s="777">
        <f t="shared" si="1"/>
        <v>600</v>
      </c>
      <c r="AM28" s="656"/>
      <c r="AN28" s="656"/>
      <c r="AO28" s="656"/>
      <c r="AP28" s="777">
        <f t="shared" si="8"/>
        <v>600</v>
      </c>
      <c r="AQ28" s="656"/>
      <c r="AR28" s="777">
        <f t="shared" si="7"/>
        <v>600</v>
      </c>
      <c r="AS28" s="777"/>
      <c r="AT28" s="777">
        <f t="shared" si="10"/>
        <v>600</v>
      </c>
      <c r="AU28" s="777"/>
      <c r="AV28" s="778"/>
      <c r="AW28" s="778"/>
      <c r="AX28" s="778"/>
      <c r="AY28" s="778"/>
      <c r="AZ28" s="778"/>
      <c r="BA28" s="778"/>
      <c r="BB28" s="778"/>
      <c r="BC28" s="778"/>
      <c r="BD28" s="778"/>
      <c r="BE28" s="778"/>
      <c r="BF28" s="778"/>
      <c r="BG28" s="778"/>
      <c r="BH28" s="778"/>
      <c r="BI28" s="778"/>
      <c r="BJ28" s="778"/>
      <c r="BK28" s="778"/>
      <c r="BL28" s="778"/>
      <c r="BM28" s="778"/>
    </row>
    <row r="29" s="771" customFormat="1" ht="31" hidden="1" customHeight="1" spans="1:65">
      <c r="A29" s="775">
        <v>45737</v>
      </c>
      <c r="B29" s="776" t="s">
        <v>190</v>
      </c>
      <c r="C29" s="509" t="s">
        <v>191</v>
      </c>
      <c r="D29" s="777">
        <v>4500160943</v>
      </c>
      <c r="E29" s="509" t="s">
        <v>192</v>
      </c>
      <c r="F29" s="778" t="s">
        <v>193</v>
      </c>
      <c r="G29" s="779" t="s">
        <v>93</v>
      </c>
      <c r="H29" s="509" t="s">
        <v>94</v>
      </c>
      <c r="I29" s="509">
        <v>608</v>
      </c>
      <c r="J29" s="509">
        <v>0</v>
      </c>
      <c r="K29" s="509">
        <v>4</v>
      </c>
      <c r="L29" s="780">
        <f t="shared" si="0"/>
        <v>152</v>
      </c>
      <c r="M29" s="781">
        <v>45792</v>
      </c>
      <c r="N29" s="781">
        <v>45789</v>
      </c>
      <c r="O29" s="782"/>
      <c r="P29" s="782" t="s">
        <v>103</v>
      </c>
      <c r="Q29" s="509"/>
      <c r="R29" s="784">
        <v>45737</v>
      </c>
      <c r="S29" s="784" t="s">
        <v>66</v>
      </c>
      <c r="T29" s="784">
        <v>45755</v>
      </c>
      <c r="U29" s="784" t="s">
        <v>194</v>
      </c>
      <c r="V29" s="784"/>
      <c r="W29" s="776" t="s">
        <v>195</v>
      </c>
      <c r="X29" s="781" t="s">
        <v>196</v>
      </c>
      <c r="Y29" s="785">
        <v>5</v>
      </c>
      <c r="Z29" s="786">
        <f t="shared" si="9"/>
        <v>3040</v>
      </c>
      <c r="AA29" s="509"/>
      <c r="AB29" s="509" t="s">
        <v>93</v>
      </c>
      <c r="AC29" s="509" t="s">
        <v>76</v>
      </c>
      <c r="AD29" s="509"/>
      <c r="AE29" s="635" t="s">
        <v>69</v>
      </c>
      <c r="AF29" s="635"/>
      <c r="AG29" s="788">
        <v>608</v>
      </c>
      <c r="AH29" s="782">
        <f t="shared" si="6"/>
        <v>0</v>
      </c>
      <c r="AI29" s="509"/>
      <c r="AJ29" s="509"/>
      <c r="AK29" s="509"/>
      <c r="AL29" s="777">
        <f t="shared" si="1"/>
        <v>608</v>
      </c>
      <c r="AM29" s="656"/>
      <c r="AN29" s="656"/>
      <c r="AO29" s="656"/>
      <c r="AP29" s="777"/>
      <c r="AQ29" s="656">
        <f>I29</f>
        <v>608</v>
      </c>
      <c r="AR29" s="777">
        <f t="shared" si="7"/>
        <v>608</v>
      </c>
      <c r="AS29" s="777"/>
      <c r="AT29" s="777">
        <f t="shared" si="10"/>
        <v>608</v>
      </c>
      <c r="AU29" s="777"/>
      <c r="AV29" s="778"/>
      <c r="AW29" s="778"/>
      <c r="AX29" s="778"/>
      <c r="AY29" s="778"/>
      <c r="AZ29" s="778"/>
      <c r="BA29" s="778"/>
      <c r="BB29" s="778"/>
      <c r="BC29" s="778"/>
      <c r="BD29" s="777"/>
      <c r="BE29" s="778">
        <f>I29/4</f>
        <v>152</v>
      </c>
      <c r="BF29" s="778"/>
      <c r="BG29" s="778"/>
      <c r="BH29" s="778"/>
      <c r="BI29" s="778"/>
      <c r="BJ29" s="778"/>
      <c r="BK29" s="778"/>
      <c r="BL29" s="778"/>
      <c r="BM29" s="778"/>
    </row>
    <row r="30" s="771" customFormat="1" ht="31" hidden="1" customHeight="1" spans="1:65">
      <c r="A30" s="775">
        <v>45742</v>
      </c>
      <c r="B30" s="776" t="s">
        <v>197</v>
      </c>
      <c r="C30" s="509" t="s">
        <v>198</v>
      </c>
      <c r="D30" s="777">
        <v>4500161426</v>
      </c>
      <c r="E30" s="509" t="s">
        <v>199</v>
      </c>
      <c r="F30" s="778" t="s">
        <v>200</v>
      </c>
      <c r="G30" s="779" t="s">
        <v>93</v>
      </c>
      <c r="H30" s="509" t="s">
        <v>94</v>
      </c>
      <c r="I30" s="509">
        <v>240</v>
      </c>
      <c r="J30" s="509">
        <v>0</v>
      </c>
      <c r="K30" s="509">
        <v>4</v>
      </c>
      <c r="L30" s="780">
        <f t="shared" si="0"/>
        <v>60</v>
      </c>
      <c r="M30" s="781">
        <v>45792</v>
      </c>
      <c r="N30" s="781">
        <v>45789</v>
      </c>
      <c r="O30" s="782"/>
      <c r="P30" s="782" t="s">
        <v>103</v>
      </c>
      <c r="Q30" s="509"/>
      <c r="R30" s="784">
        <v>45742</v>
      </c>
      <c r="S30" s="784" t="s">
        <v>66</v>
      </c>
      <c r="T30" s="784">
        <v>45755</v>
      </c>
      <c r="U30" s="784"/>
      <c r="V30" s="784"/>
      <c r="W30" s="776" t="s">
        <v>201</v>
      </c>
      <c r="X30" s="781" t="s">
        <v>196</v>
      </c>
      <c r="Y30" s="785">
        <v>5</v>
      </c>
      <c r="Z30" s="786">
        <f t="shared" si="9"/>
        <v>1200</v>
      </c>
      <c r="AA30" s="509"/>
      <c r="AB30" s="509" t="s">
        <v>93</v>
      </c>
      <c r="AC30" s="509" t="s">
        <v>76</v>
      </c>
      <c r="AD30" s="509"/>
      <c r="AE30" s="635" t="s">
        <v>69</v>
      </c>
      <c r="AF30" s="635"/>
      <c r="AG30" s="788">
        <v>240</v>
      </c>
      <c r="AH30" s="782">
        <f t="shared" si="6"/>
        <v>0</v>
      </c>
      <c r="AI30" s="509"/>
      <c r="AJ30" s="509"/>
      <c r="AK30" s="509"/>
      <c r="AL30" s="777">
        <f t="shared" si="1"/>
        <v>240</v>
      </c>
      <c r="AM30" s="656"/>
      <c r="AN30" s="656"/>
      <c r="AO30" s="656"/>
      <c r="AP30" s="777">
        <f t="shared" si="8"/>
        <v>240</v>
      </c>
      <c r="AQ30" s="656"/>
      <c r="AR30" s="777">
        <f t="shared" si="7"/>
        <v>240</v>
      </c>
      <c r="AS30" s="777"/>
      <c r="AT30" s="777">
        <f t="shared" si="10"/>
        <v>240</v>
      </c>
      <c r="AU30" s="777"/>
      <c r="AV30" s="778"/>
      <c r="AW30" s="778"/>
      <c r="AX30" s="778"/>
      <c r="AY30" s="778"/>
      <c r="AZ30" s="778"/>
      <c r="BA30" s="778"/>
      <c r="BB30" s="778"/>
      <c r="BC30" s="778"/>
      <c r="BD30" s="778"/>
      <c r="BE30" s="777">
        <f>I30/4</f>
        <v>60</v>
      </c>
      <c r="BF30" s="778"/>
      <c r="BG30" s="778"/>
      <c r="BH30" s="778"/>
      <c r="BI30" s="778"/>
      <c r="BJ30" s="778"/>
      <c r="BK30" s="778"/>
      <c r="BL30" s="778"/>
      <c r="BM30" s="778"/>
    </row>
    <row r="31" s="771" customFormat="1" ht="31" hidden="1" customHeight="1" spans="1:65">
      <c r="A31" s="775">
        <v>45757</v>
      </c>
      <c r="B31" s="776" t="s">
        <v>202</v>
      </c>
      <c r="C31" s="509" t="s">
        <v>203</v>
      </c>
      <c r="D31" s="777">
        <v>4500163177</v>
      </c>
      <c r="E31" s="509" t="s">
        <v>204</v>
      </c>
      <c r="F31" s="778" t="s">
        <v>205</v>
      </c>
      <c r="G31" s="779" t="s">
        <v>64</v>
      </c>
      <c r="H31" s="509" t="s">
        <v>65</v>
      </c>
      <c r="I31" s="509">
        <v>720</v>
      </c>
      <c r="J31" s="509">
        <v>0</v>
      </c>
      <c r="K31" s="509">
        <v>12</v>
      </c>
      <c r="L31" s="780">
        <f t="shared" si="0"/>
        <v>60</v>
      </c>
      <c r="M31" s="781">
        <v>45792</v>
      </c>
      <c r="N31" s="781">
        <v>45789</v>
      </c>
      <c r="O31" s="782"/>
      <c r="P31" s="782" t="s">
        <v>103</v>
      </c>
      <c r="Q31" s="509"/>
      <c r="R31" s="784">
        <v>45758</v>
      </c>
      <c r="S31" s="784" t="s">
        <v>66</v>
      </c>
      <c r="T31" s="784">
        <v>45762</v>
      </c>
      <c r="U31" s="784"/>
      <c r="V31" s="784"/>
      <c r="W31" s="776" t="s">
        <v>206</v>
      </c>
      <c r="X31" s="781" t="s">
        <v>207</v>
      </c>
      <c r="Y31" s="785">
        <v>4.18</v>
      </c>
      <c r="Z31" s="786">
        <f t="shared" si="9"/>
        <v>3009.6</v>
      </c>
      <c r="AA31" s="509"/>
      <c r="AB31" s="509" t="s">
        <v>64</v>
      </c>
      <c r="AC31" s="509" t="s">
        <v>76</v>
      </c>
      <c r="AD31" s="509"/>
      <c r="AE31" s="635" t="s">
        <v>69</v>
      </c>
      <c r="AF31" s="635"/>
      <c r="AG31" s="788" t="s">
        <v>80</v>
      </c>
      <c r="AH31" s="782" t="e">
        <f t="shared" si="6"/>
        <v>#VALUE!</v>
      </c>
      <c r="AI31" s="509"/>
      <c r="AJ31" s="509"/>
      <c r="AK31" s="509"/>
      <c r="AL31" s="777">
        <f t="shared" si="1"/>
        <v>720</v>
      </c>
      <c r="AM31" s="656"/>
      <c r="AN31" s="656"/>
      <c r="AO31" s="656"/>
      <c r="AP31" s="777">
        <f t="shared" si="8"/>
        <v>720</v>
      </c>
      <c r="AQ31" s="656"/>
      <c r="AR31" s="777">
        <f t="shared" si="7"/>
        <v>720</v>
      </c>
      <c r="AS31" s="777"/>
      <c r="AT31" s="777">
        <f t="shared" si="10"/>
        <v>720</v>
      </c>
      <c r="AU31" s="777"/>
      <c r="AV31" s="778"/>
      <c r="AW31" s="778"/>
      <c r="AX31" s="778"/>
      <c r="AY31" s="778"/>
      <c r="AZ31" s="778"/>
      <c r="BA31" s="778"/>
      <c r="BB31" s="778"/>
      <c r="BC31" s="778"/>
      <c r="BD31" s="778"/>
      <c r="BE31" s="778"/>
      <c r="BF31" s="778"/>
      <c r="BG31" s="778"/>
      <c r="BH31" s="778"/>
      <c r="BI31" s="778"/>
      <c r="BJ31" s="778"/>
      <c r="BK31" s="778"/>
      <c r="BL31" s="778"/>
      <c r="BM31" s="778"/>
    </row>
    <row r="32" s="771" customFormat="1" ht="31" hidden="1" customHeight="1" spans="1:65">
      <c r="A32" s="775">
        <v>45733</v>
      </c>
      <c r="B32" s="776" t="s">
        <v>152</v>
      </c>
      <c r="C32" s="509" t="s">
        <v>153</v>
      </c>
      <c r="D32" s="777">
        <v>4500160504</v>
      </c>
      <c r="E32" s="509">
        <v>9900923472</v>
      </c>
      <c r="F32" s="778" t="s">
        <v>208</v>
      </c>
      <c r="G32" s="779" t="s">
        <v>155</v>
      </c>
      <c r="H32" s="509" t="s">
        <v>65</v>
      </c>
      <c r="I32" s="509">
        <v>10</v>
      </c>
      <c r="J32" s="509">
        <v>0</v>
      </c>
      <c r="K32" s="509">
        <v>2</v>
      </c>
      <c r="L32" s="780">
        <f t="shared" si="0"/>
        <v>5</v>
      </c>
      <c r="M32" s="781">
        <v>45793</v>
      </c>
      <c r="N32" s="781">
        <v>45789</v>
      </c>
      <c r="O32" s="782" t="s">
        <v>209</v>
      </c>
      <c r="P32" s="782" t="s">
        <v>103</v>
      </c>
      <c r="Q32" s="509"/>
      <c r="R32" s="784">
        <v>45748</v>
      </c>
      <c r="S32" s="784" t="s">
        <v>66</v>
      </c>
      <c r="T32" s="784">
        <v>45734</v>
      </c>
      <c r="U32" s="784"/>
      <c r="V32" s="784"/>
      <c r="W32" s="776" t="s">
        <v>210</v>
      </c>
      <c r="X32" s="781" t="s">
        <v>158</v>
      </c>
      <c r="Y32" s="785">
        <v>4.1</v>
      </c>
      <c r="Z32" s="786">
        <f t="shared" si="9"/>
        <v>41</v>
      </c>
      <c r="AA32" s="509"/>
      <c r="AB32" s="509" t="s">
        <v>155</v>
      </c>
      <c r="AC32" s="509" t="s">
        <v>76</v>
      </c>
      <c r="AD32" s="509"/>
      <c r="AE32" s="635" t="s">
        <v>69</v>
      </c>
      <c r="AF32" s="635"/>
      <c r="AG32" s="788">
        <v>10</v>
      </c>
      <c r="AH32" s="782">
        <f t="shared" si="6"/>
        <v>0</v>
      </c>
      <c r="AI32" s="509"/>
      <c r="AJ32" s="509"/>
      <c r="AK32" s="509"/>
      <c r="AL32" s="777">
        <f t="shared" si="1"/>
        <v>10</v>
      </c>
      <c r="AM32" s="656"/>
      <c r="AN32" s="656"/>
      <c r="AO32" s="656"/>
      <c r="AP32" s="777"/>
      <c r="AQ32" s="656">
        <f>I32</f>
        <v>10</v>
      </c>
      <c r="AR32" s="777">
        <f t="shared" si="7"/>
        <v>10</v>
      </c>
      <c r="AS32" s="777"/>
      <c r="AT32" s="777">
        <f t="shared" si="10"/>
        <v>10</v>
      </c>
      <c r="AU32" s="777"/>
      <c r="AV32" s="778"/>
      <c r="AW32" s="778"/>
      <c r="AX32" s="778"/>
      <c r="AY32" s="778"/>
      <c r="AZ32" s="778"/>
      <c r="BA32" s="778"/>
      <c r="BB32" s="778"/>
      <c r="BC32" s="778"/>
      <c r="BD32" s="778"/>
      <c r="BE32" s="778"/>
      <c r="BF32" s="778"/>
      <c r="BG32" s="778"/>
      <c r="BH32" s="778"/>
      <c r="BI32" s="778"/>
      <c r="BJ32" s="778"/>
      <c r="BK32" s="778"/>
      <c r="BL32" s="778"/>
      <c r="BM32" s="778"/>
    </row>
    <row r="33" s="771" customFormat="1" ht="31" hidden="1" customHeight="1" spans="1:65">
      <c r="A33" s="775">
        <v>45733</v>
      </c>
      <c r="B33" s="776" t="s">
        <v>152</v>
      </c>
      <c r="C33" s="509" t="s">
        <v>153</v>
      </c>
      <c r="D33" s="777">
        <v>4500160504</v>
      </c>
      <c r="E33" s="509">
        <v>9900924260</v>
      </c>
      <c r="F33" s="778" t="s">
        <v>211</v>
      </c>
      <c r="G33" s="779" t="s">
        <v>155</v>
      </c>
      <c r="H33" s="509" t="s">
        <v>65</v>
      </c>
      <c r="I33" s="509">
        <v>1996</v>
      </c>
      <c r="J33" s="509">
        <v>0</v>
      </c>
      <c r="K33" s="509">
        <v>2</v>
      </c>
      <c r="L33" s="780">
        <f t="shared" si="0"/>
        <v>998</v>
      </c>
      <c r="M33" s="781">
        <v>45793</v>
      </c>
      <c r="N33" s="781">
        <v>45789</v>
      </c>
      <c r="O33" s="782" t="s">
        <v>209</v>
      </c>
      <c r="P33" s="782" t="s">
        <v>103</v>
      </c>
      <c r="Q33" s="509"/>
      <c r="R33" s="784">
        <v>45748</v>
      </c>
      <c r="S33" s="784" t="s">
        <v>66</v>
      </c>
      <c r="T33" s="784">
        <v>45734</v>
      </c>
      <c r="U33" s="784"/>
      <c r="V33" s="784"/>
      <c r="W33" s="776" t="s">
        <v>157</v>
      </c>
      <c r="X33" s="781" t="s">
        <v>158</v>
      </c>
      <c r="Y33" s="785">
        <v>4.1</v>
      </c>
      <c r="Z33" s="786">
        <f t="shared" si="9"/>
        <v>8183.6</v>
      </c>
      <c r="AA33" s="509"/>
      <c r="AB33" s="509" t="s">
        <v>155</v>
      </c>
      <c r="AC33" s="509" t="s">
        <v>76</v>
      </c>
      <c r="AD33" s="509"/>
      <c r="AE33" s="635" t="s">
        <v>69</v>
      </c>
      <c r="AF33" s="635"/>
      <c r="AG33" s="788">
        <f>1968+28</f>
        <v>1996</v>
      </c>
      <c r="AH33" s="782">
        <f t="shared" si="6"/>
        <v>0</v>
      </c>
      <c r="AI33" s="509"/>
      <c r="AJ33" s="509"/>
      <c r="AK33" s="509"/>
      <c r="AL33" s="777">
        <f t="shared" si="1"/>
        <v>1996</v>
      </c>
      <c r="AM33" s="656"/>
      <c r="AN33" s="656"/>
      <c r="AO33" s="656"/>
      <c r="AP33" s="777"/>
      <c r="AQ33" s="656">
        <f>I33</f>
        <v>1996</v>
      </c>
      <c r="AR33" s="777">
        <f t="shared" si="7"/>
        <v>1996</v>
      </c>
      <c r="AS33" s="777"/>
      <c r="AT33" s="777">
        <f t="shared" si="10"/>
        <v>1996</v>
      </c>
      <c r="AU33" s="777"/>
      <c r="AV33" s="778"/>
      <c r="AW33" s="778"/>
      <c r="AX33" s="778"/>
      <c r="AY33" s="778"/>
      <c r="AZ33" s="778"/>
      <c r="BA33" s="778"/>
      <c r="BB33" s="778"/>
      <c r="BC33" s="778"/>
      <c r="BD33" s="778"/>
      <c r="BE33" s="778"/>
      <c r="BF33" s="778"/>
      <c r="BG33" s="778"/>
      <c r="BH33" s="778"/>
      <c r="BI33" s="778"/>
      <c r="BJ33" s="778"/>
      <c r="BK33" s="778"/>
      <c r="BL33" s="778"/>
      <c r="BM33" s="778"/>
    </row>
    <row r="34" s="771" customFormat="1" ht="31" hidden="1" customHeight="1" spans="1:65">
      <c r="A34" s="775">
        <v>45744</v>
      </c>
      <c r="B34" s="776" t="s">
        <v>128</v>
      </c>
      <c r="C34" s="509" t="s">
        <v>90</v>
      </c>
      <c r="D34" s="777">
        <v>4500161761</v>
      </c>
      <c r="E34" s="886" t="s">
        <v>212</v>
      </c>
      <c r="F34" s="778" t="s">
        <v>213</v>
      </c>
      <c r="G34" s="779" t="s">
        <v>93</v>
      </c>
      <c r="H34" s="509" t="s">
        <v>94</v>
      </c>
      <c r="I34" s="509">
        <v>912</v>
      </c>
      <c r="J34" s="509">
        <v>0</v>
      </c>
      <c r="K34" s="509">
        <v>4</v>
      </c>
      <c r="L34" s="780">
        <f t="shared" si="0"/>
        <v>228</v>
      </c>
      <c r="M34" s="781">
        <v>45793</v>
      </c>
      <c r="N34" s="781">
        <v>45789</v>
      </c>
      <c r="O34" s="782" t="s">
        <v>214</v>
      </c>
      <c r="P34" s="782" t="s">
        <v>103</v>
      </c>
      <c r="Q34" s="509"/>
      <c r="R34" s="784" t="s">
        <v>132</v>
      </c>
      <c r="S34" s="784" t="s">
        <v>66</v>
      </c>
      <c r="T34" s="784" t="s">
        <v>133</v>
      </c>
      <c r="U34" s="683" t="s">
        <v>133</v>
      </c>
      <c r="V34" s="784"/>
      <c r="W34" s="776" t="s">
        <v>134</v>
      </c>
      <c r="X34" s="781" t="s">
        <v>98</v>
      </c>
      <c r="Y34" s="785">
        <v>5</v>
      </c>
      <c r="Z34" s="786">
        <f t="shared" si="9"/>
        <v>4560</v>
      </c>
      <c r="AA34" s="509"/>
      <c r="AB34" s="509" t="s">
        <v>93</v>
      </c>
      <c r="AC34" s="509" t="s">
        <v>76</v>
      </c>
      <c r="AD34" s="509"/>
      <c r="AE34" s="635" t="s">
        <v>69</v>
      </c>
      <c r="AF34" s="635"/>
      <c r="AG34" s="788">
        <v>912</v>
      </c>
      <c r="AH34" s="782">
        <f t="shared" si="6"/>
        <v>0</v>
      </c>
      <c r="AI34" s="509"/>
      <c r="AJ34" s="509"/>
      <c r="AK34" s="509"/>
      <c r="AL34" s="777">
        <f t="shared" si="1"/>
        <v>912</v>
      </c>
      <c r="AM34" s="656"/>
      <c r="AN34" s="656"/>
      <c r="AO34" s="656"/>
      <c r="AP34" s="777">
        <f>I34</f>
        <v>912</v>
      </c>
      <c r="AQ34" s="656"/>
      <c r="AR34" s="777">
        <f t="shared" si="7"/>
        <v>912</v>
      </c>
      <c r="AS34" s="777"/>
      <c r="AT34" s="777">
        <f t="shared" si="10"/>
        <v>912</v>
      </c>
      <c r="AU34" s="777"/>
      <c r="AV34" s="778"/>
      <c r="AW34" s="778"/>
      <c r="AX34" s="778"/>
      <c r="AY34" s="778"/>
      <c r="AZ34" s="778"/>
      <c r="BA34" s="778"/>
      <c r="BB34" s="778"/>
      <c r="BC34" s="778"/>
      <c r="BD34" s="777">
        <f>I34/4</f>
        <v>228</v>
      </c>
      <c r="BE34" s="778"/>
      <c r="BF34" s="778"/>
      <c r="BG34" s="778"/>
      <c r="BH34" s="778"/>
      <c r="BI34" s="778"/>
      <c r="BJ34" s="778"/>
      <c r="BK34" s="778"/>
      <c r="BL34" s="778"/>
      <c r="BM34" s="778"/>
    </row>
    <row r="35" s="771" customFormat="1" ht="31" hidden="1" customHeight="1" spans="1:65">
      <c r="A35" s="775">
        <v>45742</v>
      </c>
      <c r="B35" s="776" t="s">
        <v>215</v>
      </c>
      <c r="C35" s="509" t="s">
        <v>216</v>
      </c>
      <c r="D35" s="777">
        <v>4500160993</v>
      </c>
      <c r="E35" s="509">
        <v>11098</v>
      </c>
      <c r="F35" s="778" t="s">
        <v>217</v>
      </c>
      <c r="G35" s="779" t="s">
        <v>64</v>
      </c>
      <c r="H35" s="509" t="s">
        <v>65</v>
      </c>
      <c r="I35" s="509">
        <v>240</v>
      </c>
      <c r="J35" s="509">
        <v>0</v>
      </c>
      <c r="K35" s="509">
        <v>12</v>
      </c>
      <c r="L35" s="780">
        <f t="shared" si="0"/>
        <v>20</v>
      </c>
      <c r="M35" s="781">
        <v>45793</v>
      </c>
      <c r="N35" s="781">
        <v>45789</v>
      </c>
      <c r="O35" s="782"/>
      <c r="P35" s="782" t="s">
        <v>103</v>
      </c>
      <c r="Q35" s="509"/>
      <c r="R35" s="784">
        <v>45758</v>
      </c>
      <c r="S35" s="784" t="s">
        <v>66</v>
      </c>
      <c r="T35" s="784">
        <v>45762</v>
      </c>
      <c r="U35" s="784"/>
      <c r="V35" s="784"/>
      <c r="W35" s="776" t="s">
        <v>218</v>
      </c>
      <c r="X35" s="781" t="s">
        <v>219</v>
      </c>
      <c r="Y35" s="785">
        <v>4.1</v>
      </c>
      <c r="Z35" s="786">
        <f t="shared" si="9"/>
        <v>984</v>
      </c>
      <c r="AA35" s="509"/>
      <c r="AB35" s="509" t="s">
        <v>165</v>
      </c>
      <c r="AC35" s="509" t="s">
        <v>76</v>
      </c>
      <c r="AD35" s="509"/>
      <c r="AE35" s="635" t="s">
        <v>69</v>
      </c>
      <c r="AF35" s="635"/>
      <c r="AG35" s="788">
        <v>240</v>
      </c>
      <c r="AH35" s="782">
        <f t="shared" si="6"/>
        <v>0</v>
      </c>
      <c r="AI35" s="509"/>
      <c r="AJ35" s="509"/>
      <c r="AK35" s="509"/>
      <c r="AL35" s="777">
        <f t="shared" si="1"/>
        <v>240</v>
      </c>
      <c r="AM35" s="656"/>
      <c r="AN35" s="656"/>
      <c r="AO35" s="656"/>
      <c r="AP35" s="777"/>
      <c r="AQ35" s="656">
        <f>I35</f>
        <v>240</v>
      </c>
      <c r="AR35" s="777">
        <f t="shared" si="7"/>
        <v>240</v>
      </c>
      <c r="AS35" s="777"/>
      <c r="AT35" s="777">
        <f t="shared" si="10"/>
        <v>240</v>
      </c>
      <c r="AU35" s="777"/>
      <c r="AV35" s="778"/>
      <c r="AW35" s="778"/>
      <c r="AX35" s="778"/>
      <c r="AY35" s="778"/>
      <c r="AZ35" s="778"/>
      <c r="BA35" s="778"/>
      <c r="BB35" s="778"/>
      <c r="BC35" s="778"/>
      <c r="BD35" s="778"/>
      <c r="BE35" s="778"/>
      <c r="BF35" s="778"/>
      <c r="BG35" s="778"/>
      <c r="BH35" s="778"/>
      <c r="BI35" s="778"/>
      <c r="BJ35" s="778"/>
      <c r="BK35" s="778"/>
      <c r="BL35" s="778"/>
      <c r="BM35" s="778"/>
    </row>
    <row r="36" s="771" customFormat="1" ht="31" hidden="1" customHeight="1" spans="1:65">
      <c r="A36" s="775">
        <v>45727</v>
      </c>
      <c r="B36" s="776" t="s">
        <v>220</v>
      </c>
      <c r="C36" s="509" t="s">
        <v>90</v>
      </c>
      <c r="D36" s="777">
        <v>4500159604</v>
      </c>
      <c r="E36" s="509" t="s">
        <v>221</v>
      </c>
      <c r="F36" s="778" t="s">
        <v>222</v>
      </c>
      <c r="G36" s="779" t="s">
        <v>223</v>
      </c>
      <c r="H36" s="509" t="s">
        <v>224</v>
      </c>
      <c r="I36" s="509">
        <v>4704</v>
      </c>
      <c r="J36" s="509">
        <v>0</v>
      </c>
      <c r="K36" s="509">
        <v>4</v>
      </c>
      <c r="L36" s="780">
        <f t="shared" si="0"/>
        <v>1176</v>
      </c>
      <c r="M36" s="781">
        <v>45777</v>
      </c>
      <c r="N36" s="781">
        <v>45789</v>
      </c>
      <c r="O36" s="782"/>
      <c r="P36" s="782" t="s">
        <v>103</v>
      </c>
      <c r="Q36" s="509"/>
      <c r="R36" s="784">
        <v>45743</v>
      </c>
      <c r="S36" s="784" t="s">
        <v>96</v>
      </c>
      <c r="T36" s="784">
        <v>45749</v>
      </c>
      <c r="U36" s="784"/>
      <c r="V36" s="784"/>
      <c r="W36" s="776" t="s">
        <v>225</v>
      </c>
      <c r="X36" s="781" t="s">
        <v>226</v>
      </c>
      <c r="Y36" s="785">
        <v>5.53</v>
      </c>
      <c r="Z36" s="786">
        <f t="shared" si="9"/>
        <v>26013.12</v>
      </c>
      <c r="AA36" s="509"/>
      <c r="AB36" s="509" t="s">
        <v>223</v>
      </c>
      <c r="AC36" s="509" t="s">
        <v>76</v>
      </c>
      <c r="AD36" s="509"/>
      <c r="AE36" s="635" t="s">
        <v>69</v>
      </c>
      <c r="AF36" s="635"/>
      <c r="AG36" s="788" t="s">
        <v>80</v>
      </c>
      <c r="AH36" s="782" t="e">
        <f t="shared" si="6"/>
        <v>#VALUE!</v>
      </c>
      <c r="AI36" s="509"/>
      <c r="AJ36" s="509"/>
      <c r="AK36" s="509"/>
      <c r="AL36" s="777"/>
      <c r="AM36" s="656"/>
      <c r="AN36" s="656">
        <f>I36</f>
        <v>4704</v>
      </c>
      <c r="AO36" s="656"/>
      <c r="AP36" s="777"/>
      <c r="AQ36" s="656"/>
      <c r="AR36" s="777"/>
      <c r="AS36" s="777"/>
      <c r="AT36" s="777">
        <f t="shared" si="10"/>
        <v>4704</v>
      </c>
      <c r="AU36" s="777"/>
      <c r="AV36" s="778"/>
      <c r="AW36" s="778"/>
      <c r="AX36" s="778"/>
      <c r="AY36" s="778"/>
      <c r="AZ36" s="778"/>
      <c r="BA36" s="778"/>
      <c r="BB36" s="778">
        <f>I36</f>
        <v>4704</v>
      </c>
      <c r="BC36" s="778">
        <f>I36</f>
        <v>4704</v>
      </c>
      <c r="BD36" s="777">
        <f>I36/4</f>
        <v>1176</v>
      </c>
      <c r="BE36" s="778"/>
      <c r="BF36" s="778"/>
      <c r="BG36" s="778"/>
      <c r="BH36" s="778"/>
      <c r="BI36" s="778"/>
      <c r="BJ36" s="778"/>
      <c r="BK36" s="778"/>
      <c r="BL36" s="778"/>
      <c r="BM36" s="778"/>
    </row>
    <row r="37" s="771" customFormat="1" ht="31" hidden="1" customHeight="1" spans="1:65">
      <c r="A37" s="775">
        <v>45709</v>
      </c>
      <c r="B37" s="776" t="s">
        <v>220</v>
      </c>
      <c r="C37" s="509" t="s">
        <v>90</v>
      </c>
      <c r="D37" s="777">
        <v>4500158149</v>
      </c>
      <c r="E37" s="509" t="s">
        <v>227</v>
      </c>
      <c r="F37" s="778" t="s">
        <v>228</v>
      </c>
      <c r="G37" s="779" t="s">
        <v>223</v>
      </c>
      <c r="H37" s="509" t="s">
        <v>224</v>
      </c>
      <c r="I37" s="509">
        <v>3416</v>
      </c>
      <c r="J37" s="509">
        <v>0</v>
      </c>
      <c r="K37" s="509">
        <v>4</v>
      </c>
      <c r="L37" s="780">
        <f t="shared" si="0"/>
        <v>854</v>
      </c>
      <c r="M37" s="781">
        <v>45775</v>
      </c>
      <c r="N37" s="781">
        <v>45789</v>
      </c>
      <c r="O37" s="782" t="s">
        <v>131</v>
      </c>
      <c r="P37" s="782" t="s">
        <v>103</v>
      </c>
      <c r="Q37" s="509"/>
      <c r="R37" s="784">
        <v>45748</v>
      </c>
      <c r="S37" s="784" t="s">
        <v>96</v>
      </c>
      <c r="T37" s="784">
        <v>45749</v>
      </c>
      <c r="U37" s="784"/>
      <c r="V37" s="784"/>
      <c r="W37" s="776" t="s">
        <v>229</v>
      </c>
      <c r="X37" s="781" t="s">
        <v>226</v>
      </c>
      <c r="Y37" s="785">
        <v>5.53</v>
      </c>
      <c r="Z37" s="786">
        <f t="shared" si="9"/>
        <v>18890.48</v>
      </c>
      <c r="AA37" s="509"/>
      <c r="AB37" s="509" t="s">
        <v>223</v>
      </c>
      <c r="AC37" s="509" t="s">
        <v>76</v>
      </c>
      <c r="AD37" s="509"/>
      <c r="AE37" s="635" t="s">
        <v>69</v>
      </c>
      <c r="AF37" s="635"/>
      <c r="AG37" s="788" t="s">
        <v>80</v>
      </c>
      <c r="AH37" s="782" t="e">
        <f t="shared" si="6"/>
        <v>#VALUE!</v>
      </c>
      <c r="AI37" s="509"/>
      <c r="AJ37" s="509"/>
      <c r="AK37" s="509"/>
      <c r="AL37" s="777"/>
      <c r="AM37" s="656"/>
      <c r="AN37" s="656">
        <f>I37</f>
        <v>3416</v>
      </c>
      <c r="AO37" s="656"/>
      <c r="AP37" s="777"/>
      <c r="AQ37" s="656"/>
      <c r="AR37" s="777"/>
      <c r="AS37" s="777"/>
      <c r="AT37" s="777">
        <f t="shared" si="10"/>
        <v>3416</v>
      </c>
      <c r="AU37" s="777"/>
      <c r="AV37" s="778"/>
      <c r="AW37" s="778"/>
      <c r="AX37" s="778"/>
      <c r="AY37" s="778"/>
      <c r="AZ37" s="778"/>
      <c r="BA37" s="778"/>
      <c r="BB37" s="778">
        <f>I37</f>
        <v>3416</v>
      </c>
      <c r="BC37" s="778">
        <f>I37</f>
        <v>3416</v>
      </c>
      <c r="BD37" s="777">
        <f>I37/4</f>
        <v>854</v>
      </c>
      <c r="BE37" s="778"/>
      <c r="BF37" s="778"/>
      <c r="BG37" s="778"/>
      <c r="BH37" s="778"/>
      <c r="BI37" s="778"/>
      <c r="BJ37" s="778"/>
      <c r="BK37" s="778"/>
      <c r="BL37" s="778"/>
      <c r="BM37" s="778"/>
    </row>
    <row r="38" s="771" customFormat="1" ht="31" hidden="1" customHeight="1" spans="1:65">
      <c r="A38" s="775">
        <v>45670</v>
      </c>
      <c r="B38" s="776" t="s">
        <v>230</v>
      </c>
      <c r="C38" s="509" t="s">
        <v>231</v>
      </c>
      <c r="D38" s="777">
        <v>4500155602</v>
      </c>
      <c r="E38" s="509" t="s">
        <v>232</v>
      </c>
      <c r="F38" s="778" t="s">
        <v>233</v>
      </c>
      <c r="G38" s="779" t="s">
        <v>148</v>
      </c>
      <c r="H38" s="509" t="s">
        <v>65</v>
      </c>
      <c r="I38" s="509">
        <v>3008</v>
      </c>
      <c r="J38" s="509">
        <v>0</v>
      </c>
      <c r="K38" s="509">
        <v>8</v>
      </c>
      <c r="L38" s="780">
        <f t="shared" si="0"/>
        <v>376</v>
      </c>
      <c r="M38" s="781">
        <v>45796</v>
      </c>
      <c r="N38" s="781">
        <v>45792</v>
      </c>
      <c r="O38" s="782"/>
      <c r="P38" s="782" t="s">
        <v>103</v>
      </c>
      <c r="Q38" s="509"/>
      <c r="R38" s="784">
        <v>45670</v>
      </c>
      <c r="S38" s="784" t="s">
        <v>66</v>
      </c>
      <c r="T38" s="784" t="s">
        <v>149</v>
      </c>
      <c r="U38" s="784"/>
      <c r="V38" s="784"/>
      <c r="W38" s="776" t="s">
        <v>234</v>
      </c>
      <c r="X38" s="781" t="s">
        <v>235</v>
      </c>
      <c r="Y38" s="785">
        <v>5</v>
      </c>
      <c r="Z38" s="786">
        <f t="shared" si="9"/>
        <v>15040</v>
      </c>
      <c r="AA38" s="509"/>
      <c r="AB38" s="509" t="s">
        <v>148</v>
      </c>
      <c r="AC38" s="509" t="s">
        <v>76</v>
      </c>
      <c r="AD38" s="509"/>
      <c r="AE38" s="635" t="s">
        <v>69</v>
      </c>
      <c r="AF38" s="635"/>
      <c r="AG38" s="788">
        <f>3000+8</f>
        <v>3008</v>
      </c>
      <c r="AH38" s="782">
        <f t="shared" si="6"/>
        <v>0</v>
      </c>
      <c r="AI38" s="509"/>
      <c r="AJ38" s="509"/>
      <c r="AK38" s="509"/>
      <c r="AL38" s="777">
        <f t="shared" ref="AL38:AL53" si="11">I38</f>
        <v>3008</v>
      </c>
      <c r="AM38" s="656"/>
      <c r="AN38" s="656"/>
      <c r="AO38" s="656"/>
      <c r="AP38" s="777"/>
      <c r="AQ38" s="656"/>
      <c r="AR38" s="777"/>
      <c r="AS38" s="777"/>
      <c r="AT38" s="777">
        <f t="shared" si="10"/>
        <v>3008</v>
      </c>
      <c r="AU38" s="777"/>
      <c r="AV38" s="778"/>
      <c r="AW38" s="778"/>
      <c r="AX38" s="778"/>
      <c r="AY38" s="778"/>
      <c r="AZ38" s="777">
        <f>I38</f>
        <v>3008</v>
      </c>
      <c r="BA38" s="777">
        <f>I38</f>
        <v>3008</v>
      </c>
      <c r="BB38" s="778"/>
      <c r="BC38" s="778"/>
      <c r="BD38" s="778"/>
      <c r="BE38" s="777">
        <f>I38/4</f>
        <v>752</v>
      </c>
      <c r="BF38" s="778"/>
      <c r="BG38" s="778"/>
      <c r="BH38" s="778"/>
      <c r="BI38" s="778"/>
      <c r="BJ38" s="778"/>
      <c r="BK38" s="778"/>
      <c r="BL38" s="778"/>
      <c r="BM38" s="778"/>
    </row>
    <row r="39" s="771" customFormat="1" ht="31" hidden="1" customHeight="1" spans="1:65">
      <c r="A39" s="775">
        <v>45670</v>
      </c>
      <c r="B39" s="776" t="s">
        <v>230</v>
      </c>
      <c r="C39" s="509" t="s">
        <v>231</v>
      </c>
      <c r="D39" s="777">
        <v>4500155602</v>
      </c>
      <c r="E39" s="509" t="s">
        <v>236</v>
      </c>
      <c r="F39" s="778" t="s">
        <v>237</v>
      </c>
      <c r="G39" s="779" t="s">
        <v>148</v>
      </c>
      <c r="H39" s="509" t="s">
        <v>65</v>
      </c>
      <c r="I39" s="509">
        <v>1504</v>
      </c>
      <c r="J39" s="509">
        <v>0</v>
      </c>
      <c r="K39" s="509">
        <v>8</v>
      </c>
      <c r="L39" s="780">
        <f t="shared" si="0"/>
        <v>188</v>
      </c>
      <c r="M39" s="781">
        <v>45796</v>
      </c>
      <c r="N39" s="781">
        <v>45792</v>
      </c>
      <c r="O39" s="782"/>
      <c r="P39" s="782" t="s">
        <v>103</v>
      </c>
      <c r="Q39" s="509"/>
      <c r="R39" s="784">
        <v>45670</v>
      </c>
      <c r="S39" s="784" t="s">
        <v>66</v>
      </c>
      <c r="T39" s="784" t="s">
        <v>149</v>
      </c>
      <c r="U39" s="784"/>
      <c r="V39" s="784"/>
      <c r="W39" s="776" t="s">
        <v>234</v>
      </c>
      <c r="X39" s="781" t="s">
        <v>235</v>
      </c>
      <c r="Y39" s="785">
        <v>5</v>
      </c>
      <c r="Z39" s="786">
        <f t="shared" si="9"/>
        <v>7520</v>
      </c>
      <c r="AA39" s="509"/>
      <c r="AB39" s="509" t="s">
        <v>148</v>
      </c>
      <c r="AC39" s="509" t="s">
        <v>76</v>
      </c>
      <c r="AD39" s="509"/>
      <c r="AE39" s="635" t="s">
        <v>69</v>
      </c>
      <c r="AF39" s="635"/>
      <c r="AG39" s="788">
        <v>1504</v>
      </c>
      <c r="AH39" s="782">
        <f t="shared" si="6"/>
        <v>0</v>
      </c>
      <c r="AI39" s="509"/>
      <c r="AJ39" s="509"/>
      <c r="AK39" s="509"/>
      <c r="AL39" s="777">
        <f t="shared" si="11"/>
        <v>1504</v>
      </c>
      <c r="AM39" s="656"/>
      <c r="AN39" s="656"/>
      <c r="AO39" s="656"/>
      <c r="AP39" s="777"/>
      <c r="AQ39" s="656"/>
      <c r="AR39" s="777"/>
      <c r="AS39" s="777"/>
      <c r="AT39" s="777">
        <f t="shared" si="10"/>
        <v>1504</v>
      </c>
      <c r="AU39" s="777"/>
      <c r="AV39" s="778"/>
      <c r="AW39" s="778"/>
      <c r="AX39" s="778"/>
      <c r="AY39" s="778"/>
      <c r="AZ39" s="777">
        <f>I39</f>
        <v>1504</v>
      </c>
      <c r="BA39" s="777">
        <f>I39</f>
        <v>1504</v>
      </c>
      <c r="BB39" s="778"/>
      <c r="BC39" s="778"/>
      <c r="BD39" s="778"/>
      <c r="BE39" s="777">
        <f>I39/4</f>
        <v>376</v>
      </c>
      <c r="BF39" s="778"/>
      <c r="BG39" s="778"/>
      <c r="BH39" s="778"/>
      <c r="BI39" s="778"/>
      <c r="BJ39" s="778"/>
      <c r="BK39" s="778"/>
      <c r="BL39" s="778"/>
      <c r="BM39" s="778"/>
    </row>
    <row r="40" s="771" customFormat="1" ht="31" hidden="1" customHeight="1" spans="1:65">
      <c r="A40" s="775">
        <v>45758</v>
      </c>
      <c r="B40" s="776" t="s">
        <v>238</v>
      </c>
      <c r="C40" s="509" t="s">
        <v>153</v>
      </c>
      <c r="D40" s="777">
        <v>4500163438</v>
      </c>
      <c r="E40" s="509">
        <v>3501527805</v>
      </c>
      <c r="F40" s="778" t="s">
        <v>239</v>
      </c>
      <c r="G40" s="779" t="s">
        <v>64</v>
      </c>
      <c r="H40" s="509" t="s">
        <v>65</v>
      </c>
      <c r="I40" s="509">
        <v>1104</v>
      </c>
      <c r="J40" s="509">
        <v>0</v>
      </c>
      <c r="K40" s="509">
        <v>12</v>
      </c>
      <c r="L40" s="780">
        <f t="shared" si="0"/>
        <v>92</v>
      </c>
      <c r="M40" s="781">
        <v>45796</v>
      </c>
      <c r="N40" s="781">
        <v>45792</v>
      </c>
      <c r="O40" s="782" t="s">
        <v>240</v>
      </c>
      <c r="P40" s="782" t="s">
        <v>103</v>
      </c>
      <c r="Q40" s="509"/>
      <c r="R40" s="784">
        <v>45764</v>
      </c>
      <c r="S40" s="784" t="s">
        <v>66</v>
      </c>
      <c r="T40" s="784">
        <v>45764</v>
      </c>
      <c r="U40" s="784"/>
      <c r="V40" s="784"/>
      <c r="W40" s="776" t="s">
        <v>241</v>
      </c>
      <c r="X40" s="781" t="s">
        <v>242</v>
      </c>
      <c r="Y40" s="785">
        <v>4.1</v>
      </c>
      <c r="Z40" s="786">
        <f t="shared" si="9"/>
        <v>4526.4</v>
      </c>
      <c r="AA40" s="509"/>
      <c r="AB40" s="509" t="s">
        <v>165</v>
      </c>
      <c r="AC40" s="509" t="s">
        <v>76</v>
      </c>
      <c r="AD40" s="509"/>
      <c r="AE40" s="635" t="s">
        <v>69</v>
      </c>
      <c r="AF40" s="635"/>
      <c r="AG40" s="788">
        <v>1104</v>
      </c>
      <c r="AH40" s="782">
        <f t="shared" si="6"/>
        <v>0</v>
      </c>
      <c r="AI40" s="509"/>
      <c r="AJ40" s="509"/>
      <c r="AK40" s="509"/>
      <c r="AL40" s="777">
        <f t="shared" si="11"/>
        <v>1104</v>
      </c>
      <c r="AM40" s="656"/>
      <c r="AN40" s="656"/>
      <c r="AO40" s="656"/>
      <c r="AP40" s="777"/>
      <c r="AQ40" s="656">
        <f>I40</f>
        <v>1104</v>
      </c>
      <c r="AR40" s="777">
        <f t="shared" ref="AR40:AR53" si="12">I40</f>
        <v>1104</v>
      </c>
      <c r="AS40" s="777"/>
      <c r="AT40" s="777">
        <f t="shared" si="10"/>
        <v>1104</v>
      </c>
      <c r="AU40" s="777"/>
      <c r="AV40" s="778"/>
      <c r="AW40" s="778"/>
      <c r="AX40" s="778"/>
      <c r="AY40" s="778"/>
      <c r="AZ40" s="778"/>
      <c r="BA40" s="778"/>
      <c r="BB40" s="778"/>
      <c r="BC40" s="778"/>
      <c r="BD40" s="778"/>
      <c r="BE40" s="778"/>
      <c r="BF40" s="778"/>
      <c r="BG40" s="778"/>
      <c r="BH40" s="778"/>
      <c r="BI40" s="778"/>
      <c r="BJ40" s="778"/>
      <c r="BK40" s="778"/>
      <c r="BL40" s="778"/>
      <c r="BM40" s="778"/>
    </row>
    <row r="41" s="771" customFormat="1" ht="31" hidden="1" customHeight="1" spans="1:65">
      <c r="A41" s="775">
        <v>45726</v>
      </c>
      <c r="B41" s="776" t="s">
        <v>89</v>
      </c>
      <c r="C41" s="509" t="s">
        <v>90</v>
      </c>
      <c r="D41" s="777">
        <v>4500159658</v>
      </c>
      <c r="E41" s="509" t="s">
        <v>243</v>
      </c>
      <c r="F41" s="778" t="s">
        <v>244</v>
      </c>
      <c r="G41" s="779" t="s">
        <v>93</v>
      </c>
      <c r="H41" s="509" t="s">
        <v>94</v>
      </c>
      <c r="I41" s="509">
        <v>4960</v>
      </c>
      <c r="J41" s="509">
        <v>0</v>
      </c>
      <c r="K41" s="509">
        <v>4</v>
      </c>
      <c r="L41" s="780">
        <f t="shared" si="0"/>
        <v>1240</v>
      </c>
      <c r="M41" s="781">
        <v>45797</v>
      </c>
      <c r="N41" s="781">
        <v>45793</v>
      </c>
      <c r="O41" s="782" t="s">
        <v>245</v>
      </c>
      <c r="P41" s="782" t="s">
        <v>103</v>
      </c>
      <c r="Q41" s="509"/>
      <c r="R41" s="784">
        <v>45727</v>
      </c>
      <c r="S41" s="784" t="s">
        <v>96</v>
      </c>
      <c r="T41" s="784">
        <v>45727</v>
      </c>
      <c r="U41" s="784" t="s">
        <v>172</v>
      </c>
      <c r="V41" s="784"/>
      <c r="W41" s="776" t="s">
        <v>173</v>
      </c>
      <c r="X41" s="781" t="s">
        <v>98</v>
      </c>
      <c r="Y41" s="785">
        <v>5</v>
      </c>
      <c r="Z41" s="786">
        <f t="shared" si="9"/>
        <v>24800</v>
      </c>
      <c r="AA41" s="509"/>
      <c r="AB41" s="509" t="s">
        <v>93</v>
      </c>
      <c r="AC41" s="509" t="s">
        <v>76</v>
      </c>
      <c r="AD41" s="509"/>
      <c r="AE41" s="635" t="s">
        <v>69</v>
      </c>
      <c r="AF41" s="635"/>
      <c r="AG41" s="788" t="s">
        <v>80</v>
      </c>
      <c r="AH41" s="782" t="e">
        <f t="shared" si="6"/>
        <v>#VALUE!</v>
      </c>
      <c r="AI41" s="509"/>
      <c r="AJ41" s="509"/>
      <c r="AK41" s="509"/>
      <c r="AL41" s="777">
        <f t="shared" si="11"/>
        <v>4960</v>
      </c>
      <c r="AM41" s="656"/>
      <c r="AN41" s="656"/>
      <c r="AO41" s="656"/>
      <c r="AP41" s="777">
        <f t="shared" ref="AP41:AP48" si="13">I41</f>
        <v>4960</v>
      </c>
      <c r="AQ41" s="656"/>
      <c r="AR41" s="777">
        <f t="shared" si="12"/>
        <v>4960</v>
      </c>
      <c r="AS41" s="777"/>
      <c r="AT41" s="777">
        <f t="shared" si="10"/>
        <v>4960</v>
      </c>
      <c r="AU41" s="777"/>
      <c r="AV41" s="778"/>
      <c r="AW41" s="778"/>
      <c r="AX41" s="778"/>
      <c r="AY41" s="778"/>
      <c r="AZ41" s="778"/>
      <c r="BA41" s="778"/>
      <c r="BB41" s="778"/>
      <c r="BC41" s="778"/>
      <c r="BD41" s="777">
        <f t="shared" ref="BD41:BD48" si="14">I41/4</f>
        <v>1240</v>
      </c>
      <c r="BE41" s="778"/>
      <c r="BF41" s="778"/>
      <c r="BG41" s="778"/>
      <c r="BH41" s="778"/>
      <c r="BI41" s="778"/>
      <c r="BJ41" s="778"/>
      <c r="BK41" s="778"/>
      <c r="BL41" s="778"/>
      <c r="BM41" s="778"/>
    </row>
    <row r="42" s="771" customFormat="1" ht="31" hidden="1" customHeight="1" spans="1:65">
      <c r="A42" s="775">
        <v>45726</v>
      </c>
      <c r="B42" s="776" t="s">
        <v>89</v>
      </c>
      <c r="C42" s="509" t="s">
        <v>90</v>
      </c>
      <c r="D42" s="777">
        <v>4500159658</v>
      </c>
      <c r="E42" s="509" t="s">
        <v>246</v>
      </c>
      <c r="F42" s="778" t="s">
        <v>247</v>
      </c>
      <c r="G42" s="779" t="s">
        <v>93</v>
      </c>
      <c r="H42" s="509" t="s">
        <v>94</v>
      </c>
      <c r="I42" s="509">
        <v>4112</v>
      </c>
      <c r="J42" s="509">
        <v>0</v>
      </c>
      <c r="K42" s="509">
        <v>4</v>
      </c>
      <c r="L42" s="780">
        <f t="shared" si="0"/>
        <v>1028</v>
      </c>
      <c r="M42" s="781">
        <v>45797</v>
      </c>
      <c r="N42" s="781">
        <v>45793</v>
      </c>
      <c r="O42" s="782" t="s">
        <v>245</v>
      </c>
      <c r="P42" s="782" t="s">
        <v>103</v>
      </c>
      <c r="Q42" s="509"/>
      <c r="R42" s="784">
        <v>45727</v>
      </c>
      <c r="S42" s="784" t="s">
        <v>96</v>
      </c>
      <c r="T42" s="784">
        <v>45727</v>
      </c>
      <c r="U42" s="784" t="s">
        <v>172</v>
      </c>
      <c r="V42" s="784"/>
      <c r="W42" s="776" t="s">
        <v>173</v>
      </c>
      <c r="X42" s="781" t="s">
        <v>98</v>
      </c>
      <c r="Y42" s="785">
        <v>5</v>
      </c>
      <c r="Z42" s="786">
        <f t="shared" si="9"/>
        <v>20560</v>
      </c>
      <c r="AA42" s="509"/>
      <c r="AB42" s="509" t="s">
        <v>93</v>
      </c>
      <c r="AC42" s="509" t="s">
        <v>76</v>
      </c>
      <c r="AD42" s="509"/>
      <c r="AE42" s="635" t="s">
        <v>69</v>
      </c>
      <c r="AF42" s="635"/>
      <c r="AG42" s="788">
        <v>4112</v>
      </c>
      <c r="AH42" s="782">
        <f t="shared" si="6"/>
        <v>0</v>
      </c>
      <c r="AI42" s="509"/>
      <c r="AJ42" s="509"/>
      <c r="AK42" s="509"/>
      <c r="AL42" s="777">
        <f t="shared" si="11"/>
        <v>4112</v>
      </c>
      <c r="AM42" s="656"/>
      <c r="AN42" s="656"/>
      <c r="AO42" s="656"/>
      <c r="AP42" s="777">
        <f t="shared" si="13"/>
        <v>4112</v>
      </c>
      <c r="AQ42" s="656"/>
      <c r="AR42" s="777">
        <f t="shared" si="12"/>
        <v>4112</v>
      </c>
      <c r="AS42" s="777"/>
      <c r="AT42" s="777">
        <f t="shared" si="10"/>
        <v>4112</v>
      </c>
      <c r="AU42" s="777"/>
      <c r="AV42" s="778"/>
      <c r="AW42" s="778"/>
      <c r="AX42" s="778"/>
      <c r="AY42" s="778"/>
      <c r="AZ42" s="778"/>
      <c r="BA42" s="778"/>
      <c r="BB42" s="778"/>
      <c r="BC42" s="778"/>
      <c r="BD42" s="777">
        <f t="shared" si="14"/>
        <v>1028</v>
      </c>
      <c r="BE42" s="778"/>
      <c r="BF42" s="778"/>
      <c r="BG42" s="778"/>
      <c r="BH42" s="778"/>
      <c r="BI42" s="778"/>
      <c r="BJ42" s="778"/>
      <c r="BK42" s="778"/>
      <c r="BL42" s="778"/>
      <c r="BM42" s="778"/>
    </row>
    <row r="43" s="771" customFormat="1" ht="31" hidden="1" customHeight="1" spans="1:65">
      <c r="A43" s="775">
        <v>45729</v>
      </c>
      <c r="B43" s="776" t="s">
        <v>248</v>
      </c>
      <c r="C43" s="509" t="s">
        <v>249</v>
      </c>
      <c r="D43" s="777">
        <v>4500160042</v>
      </c>
      <c r="E43" s="509">
        <v>14402521</v>
      </c>
      <c r="F43" s="778" t="s">
        <v>250</v>
      </c>
      <c r="G43" s="779" t="s">
        <v>251</v>
      </c>
      <c r="H43" s="509" t="s">
        <v>252</v>
      </c>
      <c r="I43" s="509">
        <v>2656</v>
      </c>
      <c r="J43" s="509">
        <v>4</v>
      </c>
      <c r="K43" s="509">
        <v>16</v>
      </c>
      <c r="L43" s="780">
        <f t="shared" si="0"/>
        <v>166</v>
      </c>
      <c r="M43" s="781">
        <v>45797</v>
      </c>
      <c r="N43" s="781">
        <v>45793</v>
      </c>
      <c r="O43" s="782"/>
      <c r="P43" s="782" t="s">
        <v>103</v>
      </c>
      <c r="Q43" s="509"/>
      <c r="R43" s="784">
        <v>45740</v>
      </c>
      <c r="S43" s="784" t="s">
        <v>66</v>
      </c>
      <c r="T43" s="784" t="s">
        <v>66</v>
      </c>
      <c r="U43" s="784"/>
      <c r="V43" s="784"/>
      <c r="W43" s="776" t="s">
        <v>253</v>
      </c>
      <c r="X43" s="781" t="s">
        <v>254</v>
      </c>
      <c r="Y43" s="785">
        <v>5</v>
      </c>
      <c r="Z43" s="786">
        <f t="shared" si="9"/>
        <v>13280</v>
      </c>
      <c r="AA43" s="509"/>
      <c r="AB43" s="509" t="s">
        <v>251</v>
      </c>
      <c r="AC43" s="509" t="s">
        <v>76</v>
      </c>
      <c r="AD43" s="509"/>
      <c r="AE43" s="635" t="s">
        <v>69</v>
      </c>
      <c r="AF43" s="635"/>
      <c r="AG43" s="788" t="s">
        <v>80</v>
      </c>
      <c r="AH43" s="782" t="e">
        <f t="shared" si="6"/>
        <v>#VALUE!</v>
      </c>
      <c r="AI43" s="509"/>
      <c r="AJ43" s="509"/>
      <c r="AK43" s="509"/>
      <c r="AL43" s="777">
        <f t="shared" si="11"/>
        <v>2656</v>
      </c>
      <c r="AM43" s="656"/>
      <c r="AN43" s="656"/>
      <c r="AO43" s="656"/>
      <c r="AP43" s="777">
        <f t="shared" si="13"/>
        <v>2656</v>
      </c>
      <c r="AQ43" s="656"/>
      <c r="AR43" s="777">
        <f t="shared" si="12"/>
        <v>2656</v>
      </c>
      <c r="AS43" s="777"/>
      <c r="AT43" s="777">
        <f t="shared" si="10"/>
        <v>2656</v>
      </c>
      <c r="AU43" s="777"/>
      <c r="AV43" s="778"/>
      <c r="AW43" s="778"/>
      <c r="AX43" s="778"/>
      <c r="AY43" s="778"/>
      <c r="AZ43" s="778"/>
      <c r="BA43" s="778"/>
      <c r="BB43" s="778"/>
      <c r="BC43" s="778"/>
      <c r="BD43" s="777">
        <f t="shared" si="14"/>
        <v>664</v>
      </c>
      <c r="BE43" s="778"/>
      <c r="BF43" s="778"/>
      <c r="BG43" s="778"/>
      <c r="BH43" s="778"/>
      <c r="BI43" s="778"/>
      <c r="BJ43" s="778"/>
      <c r="BK43" s="778"/>
      <c r="BL43" s="778"/>
      <c r="BM43" s="778"/>
    </row>
    <row r="44" s="771" customFormat="1" ht="31" hidden="1" customHeight="1" spans="1:65">
      <c r="A44" s="775">
        <v>45744</v>
      </c>
      <c r="B44" s="776" t="s">
        <v>128</v>
      </c>
      <c r="C44" s="509" t="s">
        <v>90</v>
      </c>
      <c r="D44" s="777">
        <v>4500161762</v>
      </c>
      <c r="E44" s="509" t="s">
        <v>255</v>
      </c>
      <c r="F44" s="778" t="s">
        <v>256</v>
      </c>
      <c r="G44" s="779" t="s">
        <v>93</v>
      </c>
      <c r="H44" s="509" t="s">
        <v>94</v>
      </c>
      <c r="I44" s="509">
        <v>608</v>
      </c>
      <c r="J44" s="509">
        <v>0</v>
      </c>
      <c r="K44" s="509">
        <v>4</v>
      </c>
      <c r="L44" s="780">
        <f t="shared" si="0"/>
        <v>152</v>
      </c>
      <c r="M44" s="781">
        <v>45797</v>
      </c>
      <c r="N44" s="781">
        <v>45793</v>
      </c>
      <c r="O44" s="782" t="s">
        <v>245</v>
      </c>
      <c r="P44" s="782" t="s">
        <v>103</v>
      </c>
      <c r="Q44" s="509"/>
      <c r="R44" s="784" t="s">
        <v>132</v>
      </c>
      <c r="S44" s="784" t="s">
        <v>66</v>
      </c>
      <c r="T44" s="784" t="s">
        <v>133</v>
      </c>
      <c r="U44" s="683" t="s">
        <v>133</v>
      </c>
      <c r="V44" s="784"/>
      <c r="W44" s="776" t="s">
        <v>134</v>
      </c>
      <c r="X44" s="781" t="s">
        <v>98</v>
      </c>
      <c r="Y44" s="785">
        <v>5</v>
      </c>
      <c r="Z44" s="786">
        <f t="shared" si="9"/>
        <v>3040</v>
      </c>
      <c r="AA44" s="509"/>
      <c r="AB44" s="509" t="s">
        <v>93</v>
      </c>
      <c r="AC44" s="509" t="s">
        <v>76</v>
      </c>
      <c r="AD44" s="509"/>
      <c r="AE44" s="635" t="s">
        <v>69</v>
      </c>
      <c r="AF44" s="635"/>
      <c r="AG44" s="788">
        <f>592+16</f>
        <v>608</v>
      </c>
      <c r="AH44" s="782">
        <f t="shared" si="6"/>
        <v>0</v>
      </c>
      <c r="AI44" s="509"/>
      <c r="AJ44" s="509"/>
      <c r="AK44" s="509"/>
      <c r="AL44" s="777">
        <f t="shared" si="11"/>
        <v>608</v>
      </c>
      <c r="AM44" s="656"/>
      <c r="AN44" s="656"/>
      <c r="AO44" s="656"/>
      <c r="AP44" s="777">
        <f t="shared" si="13"/>
        <v>608</v>
      </c>
      <c r="AQ44" s="656"/>
      <c r="AR44" s="777">
        <f t="shared" si="12"/>
        <v>608</v>
      </c>
      <c r="AS44" s="777"/>
      <c r="AT44" s="777">
        <f t="shared" si="10"/>
        <v>608</v>
      </c>
      <c r="AU44" s="777"/>
      <c r="AV44" s="778"/>
      <c r="AW44" s="778"/>
      <c r="AX44" s="778"/>
      <c r="AY44" s="778"/>
      <c r="AZ44" s="778"/>
      <c r="BA44" s="778"/>
      <c r="BB44" s="778"/>
      <c r="BC44" s="778"/>
      <c r="BD44" s="777">
        <f t="shared" si="14"/>
        <v>152</v>
      </c>
      <c r="BE44" s="778"/>
      <c r="BF44" s="778"/>
      <c r="BG44" s="778"/>
      <c r="BH44" s="778"/>
      <c r="BI44" s="778"/>
      <c r="BJ44" s="778"/>
      <c r="BK44" s="778"/>
      <c r="BL44" s="778"/>
      <c r="BM44" s="778"/>
    </row>
    <row r="45" s="771" customFormat="1" ht="31" hidden="1" customHeight="1" spans="1:65">
      <c r="A45" s="775">
        <v>45744</v>
      </c>
      <c r="B45" s="776" t="s">
        <v>128</v>
      </c>
      <c r="C45" s="509" t="s">
        <v>90</v>
      </c>
      <c r="D45" s="777">
        <v>4500161762</v>
      </c>
      <c r="E45" s="509" t="s">
        <v>257</v>
      </c>
      <c r="F45" s="778" t="s">
        <v>258</v>
      </c>
      <c r="G45" s="779" t="s">
        <v>93</v>
      </c>
      <c r="H45" s="509" t="s">
        <v>94</v>
      </c>
      <c r="I45" s="509">
        <v>608</v>
      </c>
      <c r="J45" s="509">
        <v>0</v>
      </c>
      <c r="K45" s="509">
        <v>4</v>
      </c>
      <c r="L45" s="780">
        <f t="shared" si="0"/>
        <v>152</v>
      </c>
      <c r="M45" s="781">
        <v>45797</v>
      </c>
      <c r="N45" s="781">
        <v>45793</v>
      </c>
      <c r="O45" s="782" t="s">
        <v>245</v>
      </c>
      <c r="P45" s="782" t="s">
        <v>103</v>
      </c>
      <c r="Q45" s="509"/>
      <c r="R45" s="784" t="s">
        <v>132</v>
      </c>
      <c r="S45" s="784" t="s">
        <v>66</v>
      </c>
      <c r="T45" s="784" t="s">
        <v>133</v>
      </c>
      <c r="U45" s="683" t="s">
        <v>133</v>
      </c>
      <c r="V45" s="784"/>
      <c r="W45" s="776" t="s">
        <v>134</v>
      </c>
      <c r="X45" s="781" t="s">
        <v>98</v>
      </c>
      <c r="Y45" s="785">
        <v>5</v>
      </c>
      <c r="Z45" s="786">
        <f t="shared" si="9"/>
        <v>3040</v>
      </c>
      <c r="AA45" s="509"/>
      <c r="AB45" s="509" t="s">
        <v>93</v>
      </c>
      <c r="AC45" s="509" t="s">
        <v>76</v>
      </c>
      <c r="AD45" s="509"/>
      <c r="AE45" s="635" t="s">
        <v>69</v>
      </c>
      <c r="AF45" s="635"/>
      <c r="AG45" s="788">
        <f>600+8</f>
        <v>608</v>
      </c>
      <c r="AH45" s="782">
        <f t="shared" si="6"/>
        <v>0</v>
      </c>
      <c r="AI45" s="509"/>
      <c r="AJ45" s="509"/>
      <c r="AK45" s="509"/>
      <c r="AL45" s="777">
        <f t="shared" si="11"/>
        <v>608</v>
      </c>
      <c r="AM45" s="656"/>
      <c r="AN45" s="656"/>
      <c r="AO45" s="656"/>
      <c r="AP45" s="777">
        <f t="shared" si="13"/>
        <v>608</v>
      </c>
      <c r="AQ45" s="656"/>
      <c r="AR45" s="777">
        <f t="shared" si="12"/>
        <v>608</v>
      </c>
      <c r="AS45" s="777"/>
      <c r="AT45" s="777">
        <f t="shared" si="10"/>
        <v>608</v>
      </c>
      <c r="AU45" s="777"/>
      <c r="AV45" s="778"/>
      <c r="AW45" s="778"/>
      <c r="AX45" s="778"/>
      <c r="AY45" s="778"/>
      <c r="AZ45" s="778"/>
      <c r="BA45" s="778"/>
      <c r="BB45" s="778"/>
      <c r="BC45" s="778"/>
      <c r="BD45" s="777">
        <f t="shared" si="14"/>
        <v>152</v>
      </c>
      <c r="BE45" s="778"/>
      <c r="BF45" s="778"/>
      <c r="BG45" s="778"/>
      <c r="BH45" s="778"/>
      <c r="BI45" s="778"/>
      <c r="BJ45" s="778"/>
      <c r="BK45" s="778"/>
      <c r="BL45" s="778"/>
      <c r="BM45" s="778"/>
    </row>
    <row r="46" s="771" customFormat="1" ht="31" hidden="1" customHeight="1" spans="1:65">
      <c r="A46" s="775">
        <v>45744</v>
      </c>
      <c r="B46" s="776" t="s">
        <v>128</v>
      </c>
      <c r="C46" s="509" t="s">
        <v>90</v>
      </c>
      <c r="D46" s="777">
        <v>4500161762</v>
      </c>
      <c r="E46" s="509" t="s">
        <v>259</v>
      </c>
      <c r="F46" s="778" t="s">
        <v>260</v>
      </c>
      <c r="G46" s="779" t="s">
        <v>93</v>
      </c>
      <c r="H46" s="509" t="s">
        <v>94</v>
      </c>
      <c r="I46" s="509">
        <v>616</v>
      </c>
      <c r="J46" s="509">
        <v>0</v>
      </c>
      <c r="K46" s="509">
        <v>4</v>
      </c>
      <c r="L46" s="780">
        <f t="shared" si="0"/>
        <v>154</v>
      </c>
      <c r="M46" s="781">
        <v>45797</v>
      </c>
      <c r="N46" s="781">
        <v>45793</v>
      </c>
      <c r="O46" s="782" t="s">
        <v>245</v>
      </c>
      <c r="P46" s="782" t="s">
        <v>103</v>
      </c>
      <c r="Q46" s="509"/>
      <c r="R46" s="784" t="s">
        <v>132</v>
      </c>
      <c r="S46" s="784" t="s">
        <v>66</v>
      </c>
      <c r="T46" s="784" t="s">
        <v>133</v>
      </c>
      <c r="U46" s="683" t="s">
        <v>133</v>
      </c>
      <c r="V46" s="784"/>
      <c r="W46" s="776" t="s">
        <v>134</v>
      </c>
      <c r="X46" s="781" t="s">
        <v>98</v>
      </c>
      <c r="Y46" s="785">
        <v>5</v>
      </c>
      <c r="Z46" s="786">
        <f t="shared" si="9"/>
        <v>3080</v>
      </c>
      <c r="AA46" s="509"/>
      <c r="AB46" s="509" t="s">
        <v>93</v>
      </c>
      <c r="AC46" s="509" t="s">
        <v>76</v>
      </c>
      <c r="AD46" s="509"/>
      <c r="AE46" s="635" t="s">
        <v>69</v>
      </c>
      <c r="AF46" s="635"/>
      <c r="AG46" s="788">
        <f>608+8</f>
        <v>616</v>
      </c>
      <c r="AH46" s="782">
        <f t="shared" si="6"/>
        <v>0</v>
      </c>
      <c r="AI46" s="509"/>
      <c r="AJ46" s="509"/>
      <c r="AK46" s="509"/>
      <c r="AL46" s="777">
        <f t="shared" si="11"/>
        <v>616</v>
      </c>
      <c r="AM46" s="656"/>
      <c r="AN46" s="656"/>
      <c r="AO46" s="656"/>
      <c r="AP46" s="777">
        <f t="shared" si="13"/>
        <v>616</v>
      </c>
      <c r="AQ46" s="656"/>
      <c r="AR46" s="777">
        <f t="shared" si="12"/>
        <v>616</v>
      </c>
      <c r="AS46" s="777"/>
      <c r="AT46" s="777">
        <f t="shared" si="10"/>
        <v>616</v>
      </c>
      <c r="AU46" s="777"/>
      <c r="AV46" s="778"/>
      <c r="AW46" s="778"/>
      <c r="AX46" s="778"/>
      <c r="AY46" s="778"/>
      <c r="AZ46" s="778"/>
      <c r="BA46" s="778"/>
      <c r="BB46" s="778"/>
      <c r="BC46" s="778"/>
      <c r="BD46" s="777">
        <f t="shared" si="14"/>
        <v>154</v>
      </c>
      <c r="BE46" s="778"/>
      <c r="BF46" s="778"/>
      <c r="BG46" s="778"/>
      <c r="BH46" s="778"/>
      <c r="BI46" s="778"/>
      <c r="BJ46" s="778"/>
      <c r="BK46" s="778"/>
      <c r="BL46" s="778"/>
      <c r="BM46" s="778"/>
    </row>
    <row r="47" s="771" customFormat="1" ht="31" hidden="1" customHeight="1" spans="1:65">
      <c r="A47" s="775">
        <v>45744</v>
      </c>
      <c r="B47" s="776" t="s">
        <v>128</v>
      </c>
      <c r="C47" s="509" t="s">
        <v>90</v>
      </c>
      <c r="D47" s="777">
        <v>4500161762</v>
      </c>
      <c r="E47" s="509" t="s">
        <v>261</v>
      </c>
      <c r="F47" s="778" t="s">
        <v>262</v>
      </c>
      <c r="G47" s="779" t="s">
        <v>93</v>
      </c>
      <c r="H47" s="509" t="s">
        <v>94</v>
      </c>
      <c r="I47" s="509">
        <v>792</v>
      </c>
      <c r="J47" s="509">
        <v>0</v>
      </c>
      <c r="K47" s="509">
        <v>4</v>
      </c>
      <c r="L47" s="780">
        <f t="shared" si="0"/>
        <v>198</v>
      </c>
      <c r="M47" s="781">
        <v>45797</v>
      </c>
      <c r="N47" s="781">
        <v>45793</v>
      </c>
      <c r="O47" s="782" t="s">
        <v>245</v>
      </c>
      <c r="P47" s="782" t="s">
        <v>103</v>
      </c>
      <c r="Q47" s="509"/>
      <c r="R47" s="784" t="s">
        <v>132</v>
      </c>
      <c r="S47" s="784" t="s">
        <v>66</v>
      </c>
      <c r="T47" s="784" t="s">
        <v>133</v>
      </c>
      <c r="U47" s="683" t="s">
        <v>133</v>
      </c>
      <c r="V47" s="784"/>
      <c r="W47" s="776" t="s">
        <v>134</v>
      </c>
      <c r="X47" s="781" t="s">
        <v>98</v>
      </c>
      <c r="Y47" s="785">
        <v>5</v>
      </c>
      <c r="Z47" s="786">
        <f t="shared" si="9"/>
        <v>3960</v>
      </c>
      <c r="AA47" s="509" t="s">
        <v>263</v>
      </c>
      <c r="AB47" s="509" t="s">
        <v>93</v>
      </c>
      <c r="AC47" s="509" t="s">
        <v>76</v>
      </c>
      <c r="AD47" s="509"/>
      <c r="AE47" s="635" t="s">
        <v>69</v>
      </c>
      <c r="AF47" s="635"/>
      <c r="AG47" s="788">
        <v>792</v>
      </c>
      <c r="AH47" s="782">
        <f t="shared" si="6"/>
        <v>0</v>
      </c>
      <c r="AI47" s="509"/>
      <c r="AJ47" s="509"/>
      <c r="AK47" s="509"/>
      <c r="AL47" s="777">
        <f t="shared" si="11"/>
        <v>792</v>
      </c>
      <c r="AM47" s="656"/>
      <c r="AN47" s="656"/>
      <c r="AO47" s="656"/>
      <c r="AP47" s="777">
        <f t="shared" si="13"/>
        <v>792</v>
      </c>
      <c r="AQ47" s="656"/>
      <c r="AR47" s="777">
        <f t="shared" si="12"/>
        <v>792</v>
      </c>
      <c r="AS47" s="777"/>
      <c r="AT47" s="777">
        <f t="shared" si="10"/>
        <v>792</v>
      </c>
      <c r="AU47" s="777"/>
      <c r="AV47" s="778"/>
      <c r="AW47" s="778"/>
      <c r="AX47" s="778"/>
      <c r="AY47" s="778"/>
      <c r="AZ47" s="778"/>
      <c r="BA47" s="778"/>
      <c r="BB47" s="778"/>
      <c r="BC47" s="778"/>
      <c r="BD47" s="777">
        <f t="shared" si="14"/>
        <v>198</v>
      </c>
      <c r="BE47" s="778"/>
      <c r="BF47" s="778"/>
      <c r="BG47" s="778"/>
      <c r="BH47" s="778"/>
      <c r="BI47" s="778"/>
      <c r="BJ47" s="778"/>
      <c r="BK47" s="778"/>
      <c r="BL47" s="778"/>
      <c r="BM47" s="778"/>
    </row>
    <row r="48" s="771" customFormat="1" ht="31" hidden="1" customHeight="1" spans="1:65">
      <c r="A48" s="775">
        <v>45744</v>
      </c>
      <c r="B48" s="776" t="s">
        <v>128</v>
      </c>
      <c r="C48" s="509" t="s">
        <v>90</v>
      </c>
      <c r="D48" s="777">
        <v>4500161762</v>
      </c>
      <c r="E48" s="509" t="s">
        <v>264</v>
      </c>
      <c r="F48" s="778" t="s">
        <v>265</v>
      </c>
      <c r="G48" s="779" t="s">
        <v>93</v>
      </c>
      <c r="H48" s="509" t="s">
        <v>94</v>
      </c>
      <c r="I48" s="509">
        <v>744</v>
      </c>
      <c r="J48" s="509">
        <v>0</v>
      </c>
      <c r="K48" s="509">
        <v>4</v>
      </c>
      <c r="L48" s="780">
        <f t="shared" si="0"/>
        <v>186</v>
      </c>
      <c r="M48" s="781">
        <v>45797</v>
      </c>
      <c r="N48" s="781">
        <v>45793</v>
      </c>
      <c r="O48" s="782" t="s">
        <v>245</v>
      </c>
      <c r="P48" s="782" t="s">
        <v>103</v>
      </c>
      <c r="Q48" s="509"/>
      <c r="R48" s="784" t="s">
        <v>132</v>
      </c>
      <c r="S48" s="784" t="s">
        <v>66</v>
      </c>
      <c r="T48" s="784" t="s">
        <v>133</v>
      </c>
      <c r="U48" s="683" t="s">
        <v>133</v>
      </c>
      <c r="V48" s="784"/>
      <c r="W48" s="776" t="s">
        <v>134</v>
      </c>
      <c r="X48" s="781" t="s">
        <v>98</v>
      </c>
      <c r="Y48" s="785">
        <v>5</v>
      </c>
      <c r="Z48" s="786">
        <f t="shared" si="9"/>
        <v>3720</v>
      </c>
      <c r="AA48" s="509"/>
      <c r="AB48" s="509" t="s">
        <v>93</v>
      </c>
      <c r="AC48" s="509" t="s">
        <v>76</v>
      </c>
      <c r="AD48" s="509"/>
      <c r="AE48" s="635" t="s">
        <v>69</v>
      </c>
      <c r="AF48" s="635"/>
      <c r="AG48" s="788">
        <f>740+4</f>
        <v>744</v>
      </c>
      <c r="AH48" s="782">
        <f t="shared" si="6"/>
        <v>0</v>
      </c>
      <c r="AI48" s="509"/>
      <c r="AJ48" s="509"/>
      <c r="AK48" s="509"/>
      <c r="AL48" s="777">
        <f t="shared" si="11"/>
        <v>744</v>
      </c>
      <c r="AM48" s="656"/>
      <c r="AN48" s="656"/>
      <c r="AO48" s="656"/>
      <c r="AP48" s="777">
        <f t="shared" si="13"/>
        <v>744</v>
      </c>
      <c r="AQ48" s="656"/>
      <c r="AR48" s="777">
        <f t="shared" si="12"/>
        <v>744</v>
      </c>
      <c r="AS48" s="777"/>
      <c r="AT48" s="777">
        <f t="shared" si="10"/>
        <v>744</v>
      </c>
      <c r="AU48" s="777"/>
      <c r="AV48" s="778"/>
      <c r="AW48" s="778"/>
      <c r="AX48" s="778"/>
      <c r="AY48" s="778"/>
      <c r="AZ48" s="778"/>
      <c r="BA48" s="778"/>
      <c r="BB48" s="778"/>
      <c r="BC48" s="778"/>
      <c r="BD48" s="777">
        <f t="shared" si="14"/>
        <v>186</v>
      </c>
      <c r="BE48" s="778"/>
      <c r="BF48" s="778"/>
      <c r="BG48" s="778"/>
      <c r="BH48" s="778"/>
      <c r="BI48" s="778"/>
      <c r="BJ48" s="778"/>
      <c r="BK48" s="778"/>
      <c r="BL48" s="778"/>
      <c r="BM48" s="778"/>
    </row>
    <row r="49" s="771" customFormat="1" ht="31" hidden="1" customHeight="1" spans="1:65">
      <c r="A49" s="775">
        <v>45749</v>
      </c>
      <c r="B49" s="776" t="s">
        <v>266</v>
      </c>
      <c r="C49" s="509" t="s">
        <v>216</v>
      </c>
      <c r="D49" s="777">
        <v>4500162375</v>
      </c>
      <c r="E49" s="509">
        <v>20106</v>
      </c>
      <c r="F49" s="778" t="s">
        <v>267</v>
      </c>
      <c r="G49" s="779" t="s">
        <v>64</v>
      </c>
      <c r="H49" s="509" t="s">
        <v>65</v>
      </c>
      <c r="I49" s="509">
        <v>252</v>
      </c>
      <c r="J49" s="509">
        <v>0</v>
      </c>
      <c r="K49" s="509">
        <v>12</v>
      </c>
      <c r="L49" s="780">
        <f t="shared" si="0"/>
        <v>21</v>
      </c>
      <c r="M49" s="781">
        <v>45797</v>
      </c>
      <c r="N49" s="781">
        <v>45793</v>
      </c>
      <c r="O49" s="782"/>
      <c r="P49" s="782" t="s">
        <v>103</v>
      </c>
      <c r="Q49" s="509"/>
      <c r="R49" s="784">
        <v>45750</v>
      </c>
      <c r="S49" s="784" t="s">
        <v>66</v>
      </c>
      <c r="T49" s="784">
        <v>45768</v>
      </c>
      <c r="U49" s="784"/>
      <c r="V49" s="784"/>
      <c r="W49" s="776" t="s">
        <v>268</v>
      </c>
      <c r="X49" s="781" t="s">
        <v>269</v>
      </c>
      <c r="Y49" s="785">
        <v>4.1</v>
      </c>
      <c r="Z49" s="786">
        <f t="shared" si="9"/>
        <v>1033.2</v>
      </c>
      <c r="AA49" s="509"/>
      <c r="AB49" s="509" t="s">
        <v>165</v>
      </c>
      <c r="AC49" s="509" t="s">
        <v>76</v>
      </c>
      <c r="AD49" s="509"/>
      <c r="AE49" s="635" t="s">
        <v>69</v>
      </c>
      <c r="AF49" s="635"/>
      <c r="AG49" s="788">
        <v>252</v>
      </c>
      <c r="AH49" s="782">
        <f t="shared" si="6"/>
        <v>0</v>
      </c>
      <c r="AI49" s="509"/>
      <c r="AJ49" s="509"/>
      <c r="AK49" s="509"/>
      <c r="AL49" s="777">
        <f t="shared" si="11"/>
        <v>252</v>
      </c>
      <c r="AM49" s="656"/>
      <c r="AN49" s="656"/>
      <c r="AO49" s="656"/>
      <c r="AP49" s="777"/>
      <c r="AQ49" s="656">
        <f>I49</f>
        <v>252</v>
      </c>
      <c r="AR49" s="777">
        <f t="shared" si="12"/>
        <v>252</v>
      </c>
      <c r="AS49" s="777"/>
      <c r="AT49" s="777">
        <f t="shared" si="10"/>
        <v>252</v>
      </c>
      <c r="AU49" s="777"/>
      <c r="AV49" s="778"/>
      <c r="AW49" s="778"/>
      <c r="AX49" s="778"/>
      <c r="AY49" s="778"/>
      <c r="AZ49" s="778"/>
      <c r="BA49" s="778"/>
      <c r="BB49" s="778"/>
      <c r="BC49" s="778"/>
      <c r="BD49" s="778"/>
      <c r="BE49" s="778"/>
      <c r="BF49" s="778"/>
      <c r="BG49" s="778"/>
      <c r="BH49" s="778"/>
      <c r="BI49" s="778"/>
      <c r="BJ49" s="778"/>
      <c r="BK49" s="778"/>
      <c r="BL49" s="778"/>
      <c r="BM49" s="778"/>
    </row>
    <row r="50" s="771" customFormat="1" ht="31" hidden="1" customHeight="1" spans="1:65">
      <c r="A50" s="775">
        <v>45750</v>
      </c>
      <c r="B50" s="776" t="s">
        <v>270</v>
      </c>
      <c r="C50" s="509" t="s">
        <v>271</v>
      </c>
      <c r="D50" s="777">
        <v>4500162314</v>
      </c>
      <c r="E50" s="509">
        <v>5200006540</v>
      </c>
      <c r="F50" s="778" t="s">
        <v>272</v>
      </c>
      <c r="G50" s="779" t="s">
        <v>141</v>
      </c>
      <c r="H50" s="509" t="s">
        <v>94</v>
      </c>
      <c r="I50" s="509">
        <v>3352</v>
      </c>
      <c r="J50" s="509">
        <v>0</v>
      </c>
      <c r="K50" s="509">
        <v>4</v>
      </c>
      <c r="L50" s="780">
        <f t="shared" si="0"/>
        <v>838</v>
      </c>
      <c r="M50" s="781">
        <v>45799</v>
      </c>
      <c r="N50" s="781">
        <v>45796</v>
      </c>
      <c r="O50" s="782"/>
      <c r="P50" s="782" t="s">
        <v>103</v>
      </c>
      <c r="Q50" s="509"/>
      <c r="R50" s="784">
        <v>45750</v>
      </c>
      <c r="S50" s="784" t="s">
        <v>66</v>
      </c>
      <c r="T50" s="784">
        <v>45768</v>
      </c>
      <c r="U50" s="784"/>
      <c r="V50" s="784"/>
      <c r="W50" s="776" t="s">
        <v>273</v>
      </c>
      <c r="X50" s="781" t="s">
        <v>274</v>
      </c>
      <c r="Y50" s="785">
        <v>5.03</v>
      </c>
      <c r="Z50" s="786">
        <f t="shared" si="9"/>
        <v>16860.56</v>
      </c>
      <c r="AA50" s="509"/>
      <c r="AB50" s="509" t="s">
        <v>141</v>
      </c>
      <c r="AC50" s="509" t="s">
        <v>76</v>
      </c>
      <c r="AD50" s="509"/>
      <c r="AE50" s="635" t="s">
        <v>69</v>
      </c>
      <c r="AF50" s="635"/>
      <c r="AG50" s="788">
        <v>3352</v>
      </c>
      <c r="AH50" s="782">
        <f t="shared" si="6"/>
        <v>0</v>
      </c>
      <c r="AI50" s="509"/>
      <c r="AJ50" s="509"/>
      <c r="AK50" s="509"/>
      <c r="AL50" s="777">
        <f t="shared" si="11"/>
        <v>3352</v>
      </c>
      <c r="AM50" s="656"/>
      <c r="AN50" s="656"/>
      <c r="AO50" s="656"/>
      <c r="AP50" s="777"/>
      <c r="AQ50" s="656">
        <f>I50</f>
        <v>3352</v>
      </c>
      <c r="AR50" s="777">
        <f t="shared" si="12"/>
        <v>3352</v>
      </c>
      <c r="AS50" s="777"/>
      <c r="AT50" s="777">
        <f t="shared" si="10"/>
        <v>3352</v>
      </c>
      <c r="AU50" s="777"/>
      <c r="AV50" s="778"/>
      <c r="AW50" s="778"/>
      <c r="AX50" s="778"/>
      <c r="AY50" s="778"/>
      <c r="AZ50" s="778"/>
      <c r="BA50" s="778"/>
      <c r="BB50" s="778"/>
      <c r="BC50" s="778"/>
      <c r="BD50" s="778"/>
      <c r="BE50" s="777">
        <f>I50/4</f>
        <v>838</v>
      </c>
      <c r="BF50" s="778"/>
      <c r="BG50" s="778"/>
      <c r="BH50" s="778"/>
      <c r="BI50" s="778"/>
      <c r="BJ50" s="778"/>
      <c r="BK50" s="778"/>
      <c r="BL50" s="778"/>
      <c r="BM50" s="778"/>
    </row>
    <row r="51" s="771" customFormat="1" ht="31" hidden="1" customHeight="1" spans="1:65">
      <c r="A51" s="775">
        <v>45722</v>
      </c>
      <c r="B51" s="776" t="s">
        <v>275</v>
      </c>
      <c r="C51" s="509" t="s">
        <v>90</v>
      </c>
      <c r="D51" s="777">
        <v>4500159089</v>
      </c>
      <c r="E51" s="509" t="s">
        <v>276</v>
      </c>
      <c r="F51" s="778" t="s">
        <v>277</v>
      </c>
      <c r="G51" s="779" t="s">
        <v>64</v>
      </c>
      <c r="H51" s="509" t="s">
        <v>65</v>
      </c>
      <c r="I51" s="509">
        <v>2064</v>
      </c>
      <c r="J51" s="509">
        <v>0</v>
      </c>
      <c r="K51" s="509">
        <v>12</v>
      </c>
      <c r="L51" s="780">
        <f t="shared" si="0"/>
        <v>172</v>
      </c>
      <c r="M51" s="781">
        <v>45800</v>
      </c>
      <c r="N51" s="781">
        <f>M51-4</f>
        <v>45796</v>
      </c>
      <c r="O51" s="782"/>
      <c r="P51" s="782" t="s">
        <v>103</v>
      </c>
      <c r="Q51" s="509"/>
      <c r="R51" s="784">
        <v>45722</v>
      </c>
      <c r="S51" s="784" t="s">
        <v>66</v>
      </c>
      <c r="T51" s="784" t="s">
        <v>66</v>
      </c>
      <c r="U51" s="784"/>
      <c r="V51" s="784"/>
      <c r="W51" s="776" t="s">
        <v>278</v>
      </c>
      <c r="X51" s="781" t="s">
        <v>279</v>
      </c>
      <c r="Y51" s="785">
        <v>4.1</v>
      </c>
      <c r="Z51" s="786">
        <f t="shared" si="9"/>
        <v>8462.4</v>
      </c>
      <c r="AA51" s="509"/>
      <c r="AB51" s="509" t="s">
        <v>64</v>
      </c>
      <c r="AC51" s="509" t="s">
        <v>76</v>
      </c>
      <c r="AD51" s="509"/>
      <c r="AE51" s="635" t="s">
        <v>69</v>
      </c>
      <c r="AF51" s="635"/>
      <c r="AG51" s="788">
        <f>2040+24</f>
        <v>2064</v>
      </c>
      <c r="AH51" s="782">
        <f t="shared" si="6"/>
        <v>0</v>
      </c>
      <c r="AI51" s="509"/>
      <c r="AJ51" s="509"/>
      <c r="AK51" s="509"/>
      <c r="AL51" s="777">
        <f t="shared" si="11"/>
        <v>2064</v>
      </c>
      <c r="AM51" s="656"/>
      <c r="AN51" s="656"/>
      <c r="AO51" s="656"/>
      <c r="AP51" s="777">
        <f>I51</f>
        <v>2064</v>
      </c>
      <c r="AQ51" s="656"/>
      <c r="AR51" s="777">
        <f t="shared" si="12"/>
        <v>2064</v>
      </c>
      <c r="AS51" s="777"/>
      <c r="AT51" s="777">
        <f t="shared" si="10"/>
        <v>2064</v>
      </c>
      <c r="AU51" s="777"/>
      <c r="AV51" s="778"/>
      <c r="AW51" s="778"/>
      <c r="AX51" s="778"/>
      <c r="AY51" s="778"/>
      <c r="AZ51" s="778"/>
      <c r="BA51" s="778"/>
      <c r="BB51" s="778"/>
      <c r="BC51" s="778"/>
      <c r="BD51" s="778"/>
      <c r="BE51" s="778"/>
      <c r="BF51" s="778"/>
      <c r="BG51" s="778"/>
      <c r="BH51" s="778"/>
      <c r="BI51" s="778"/>
      <c r="BJ51" s="778"/>
      <c r="BK51" s="778"/>
      <c r="BL51" s="778"/>
      <c r="BM51" s="778"/>
    </row>
    <row r="52" s="771" customFormat="1" ht="31" hidden="1" customHeight="1" spans="1:65">
      <c r="A52" s="775">
        <v>45727</v>
      </c>
      <c r="B52" s="776" t="s">
        <v>280</v>
      </c>
      <c r="C52" s="509" t="s">
        <v>249</v>
      </c>
      <c r="D52" s="777">
        <v>4500159575</v>
      </c>
      <c r="E52" s="509" t="s">
        <v>281</v>
      </c>
      <c r="F52" s="778" t="s">
        <v>282</v>
      </c>
      <c r="G52" s="779" t="s">
        <v>102</v>
      </c>
      <c r="H52" s="509" t="s">
        <v>65</v>
      </c>
      <c r="I52" s="509">
        <v>3008</v>
      </c>
      <c r="J52" s="509">
        <v>0</v>
      </c>
      <c r="K52" s="509">
        <v>16</v>
      </c>
      <c r="L52" s="780">
        <f t="shared" si="0"/>
        <v>188</v>
      </c>
      <c r="M52" s="781">
        <v>45800</v>
      </c>
      <c r="N52" s="781">
        <f>M52-4</f>
        <v>45796</v>
      </c>
      <c r="O52" s="782" t="s">
        <v>283</v>
      </c>
      <c r="P52" s="782" t="s">
        <v>103</v>
      </c>
      <c r="Q52" s="509"/>
      <c r="R52" s="784">
        <v>45727</v>
      </c>
      <c r="S52" s="784" t="s">
        <v>66</v>
      </c>
      <c r="T52" s="784">
        <v>45776</v>
      </c>
      <c r="U52" s="784"/>
      <c r="V52" s="784"/>
      <c r="W52" s="776" t="s">
        <v>284</v>
      </c>
      <c r="X52" s="781" t="s">
        <v>285</v>
      </c>
      <c r="Y52" s="785">
        <v>4.39</v>
      </c>
      <c r="Z52" s="786">
        <f t="shared" si="9"/>
        <v>13205.12</v>
      </c>
      <c r="AA52" s="509"/>
      <c r="AB52" s="509" t="s">
        <v>102</v>
      </c>
      <c r="AC52" s="509" t="s">
        <v>76</v>
      </c>
      <c r="AD52" s="509"/>
      <c r="AE52" s="635" t="s">
        <v>69</v>
      </c>
      <c r="AF52" s="635"/>
      <c r="AG52" s="788">
        <f>2976+32</f>
        <v>3008</v>
      </c>
      <c r="AH52" s="782">
        <f t="shared" si="6"/>
        <v>0</v>
      </c>
      <c r="AI52" s="509"/>
      <c r="AJ52" s="509"/>
      <c r="AK52" s="509"/>
      <c r="AL52" s="777">
        <f t="shared" si="11"/>
        <v>3008</v>
      </c>
      <c r="AM52" s="656"/>
      <c r="AN52" s="656"/>
      <c r="AO52" s="656"/>
      <c r="AP52" s="777">
        <f>I52</f>
        <v>3008</v>
      </c>
      <c r="AQ52" s="656"/>
      <c r="AR52" s="777">
        <f t="shared" si="12"/>
        <v>3008</v>
      </c>
      <c r="AS52" s="777"/>
      <c r="AT52" s="777">
        <f t="shared" si="10"/>
        <v>3008</v>
      </c>
      <c r="AU52" s="777"/>
      <c r="AV52" s="778"/>
      <c r="AW52" s="778"/>
      <c r="AX52" s="778"/>
      <c r="AY52" s="778"/>
      <c r="AZ52" s="778"/>
      <c r="BA52" s="778"/>
      <c r="BB52" s="778"/>
      <c r="BC52" s="778"/>
      <c r="BD52" s="777">
        <f>I52/4</f>
        <v>752</v>
      </c>
      <c r="BE52" s="778"/>
      <c r="BF52" s="778"/>
      <c r="BG52" s="778"/>
      <c r="BH52" s="778"/>
      <c r="BI52" s="778"/>
      <c r="BJ52" s="778"/>
      <c r="BK52" s="778"/>
      <c r="BL52" s="778"/>
      <c r="BM52" s="778"/>
    </row>
    <row r="53" s="771" customFormat="1" ht="31" hidden="1" customHeight="1" spans="1:65">
      <c r="A53" s="775">
        <v>45761</v>
      </c>
      <c r="B53" s="776" t="s">
        <v>286</v>
      </c>
      <c r="C53" s="509" t="s">
        <v>249</v>
      </c>
      <c r="D53" s="777">
        <v>4500163316</v>
      </c>
      <c r="E53" s="509" t="s">
        <v>287</v>
      </c>
      <c r="F53" s="778" t="s">
        <v>288</v>
      </c>
      <c r="G53" s="779" t="s">
        <v>93</v>
      </c>
      <c r="H53" s="509" t="s">
        <v>94</v>
      </c>
      <c r="I53" s="509">
        <v>1608</v>
      </c>
      <c r="J53" s="509">
        <v>0</v>
      </c>
      <c r="K53" s="509">
        <v>4</v>
      </c>
      <c r="L53" s="780">
        <f t="shared" si="0"/>
        <v>402</v>
      </c>
      <c r="M53" s="781">
        <v>45800</v>
      </c>
      <c r="N53" s="781">
        <v>45796</v>
      </c>
      <c r="O53" s="782"/>
      <c r="P53" s="782" t="s">
        <v>103</v>
      </c>
      <c r="Q53" s="509"/>
      <c r="R53" s="784">
        <v>45758</v>
      </c>
      <c r="S53" s="784" t="s">
        <v>66</v>
      </c>
      <c r="T53" s="784">
        <v>45764</v>
      </c>
      <c r="U53" s="784"/>
      <c r="V53" s="784"/>
      <c r="W53" s="776" t="s">
        <v>289</v>
      </c>
      <c r="X53" s="781" t="s">
        <v>290</v>
      </c>
      <c r="Y53" s="785">
        <v>5.1</v>
      </c>
      <c r="Z53" s="786">
        <f t="shared" si="9"/>
        <v>8200.8</v>
      </c>
      <c r="AA53" s="509"/>
      <c r="AB53" s="509" t="s">
        <v>141</v>
      </c>
      <c r="AC53" s="509" t="s">
        <v>76</v>
      </c>
      <c r="AD53" s="509"/>
      <c r="AE53" s="635" t="s">
        <v>69</v>
      </c>
      <c r="AF53" s="635"/>
      <c r="AG53" s="788">
        <v>1608</v>
      </c>
      <c r="AH53" s="782">
        <f t="shared" si="6"/>
        <v>0</v>
      </c>
      <c r="AI53" s="509"/>
      <c r="AJ53" s="509"/>
      <c r="AK53" s="509"/>
      <c r="AL53" s="777">
        <f t="shared" si="11"/>
        <v>1608</v>
      </c>
      <c r="AM53" s="656"/>
      <c r="AN53" s="656"/>
      <c r="AO53" s="656"/>
      <c r="AP53" s="777"/>
      <c r="AQ53" s="656">
        <f>I53</f>
        <v>1608</v>
      </c>
      <c r="AR53" s="777">
        <f t="shared" si="12"/>
        <v>1608</v>
      </c>
      <c r="AS53" s="777"/>
      <c r="AT53" s="777">
        <f t="shared" si="10"/>
        <v>1608</v>
      </c>
      <c r="AU53" s="777"/>
      <c r="AV53" s="778"/>
      <c r="AW53" s="778"/>
      <c r="AX53" s="778"/>
      <c r="AY53" s="778"/>
      <c r="AZ53" s="778"/>
      <c r="BA53" s="778"/>
      <c r="BB53" s="778"/>
      <c r="BC53" s="778"/>
      <c r="BD53" s="778"/>
      <c r="BE53" s="777">
        <f>I53/4</f>
        <v>402</v>
      </c>
      <c r="BF53" s="778"/>
      <c r="BG53" s="778"/>
      <c r="BH53" s="778"/>
      <c r="BI53" s="778"/>
      <c r="BJ53" s="778"/>
      <c r="BK53" s="778"/>
      <c r="BL53" s="778"/>
      <c r="BM53" s="778"/>
    </row>
    <row r="54" s="771" customFormat="1" ht="31" hidden="1" customHeight="1" spans="1:65">
      <c r="A54" s="775">
        <v>45723</v>
      </c>
      <c r="B54" s="776" t="s">
        <v>220</v>
      </c>
      <c r="C54" s="509" t="s">
        <v>90</v>
      </c>
      <c r="D54" s="777">
        <v>4500159315</v>
      </c>
      <c r="E54" s="509" t="s">
        <v>291</v>
      </c>
      <c r="F54" s="778" t="s">
        <v>292</v>
      </c>
      <c r="G54" s="779" t="s">
        <v>223</v>
      </c>
      <c r="H54" s="509" t="s">
        <v>224</v>
      </c>
      <c r="I54" s="509">
        <v>6000</v>
      </c>
      <c r="J54" s="509">
        <v>0</v>
      </c>
      <c r="K54" s="509">
        <v>4</v>
      </c>
      <c r="L54" s="780">
        <f t="shared" si="0"/>
        <v>1500</v>
      </c>
      <c r="M54" s="781">
        <v>45775</v>
      </c>
      <c r="N54" s="781">
        <v>45789</v>
      </c>
      <c r="O54" s="782"/>
      <c r="P54" s="782" t="s">
        <v>103</v>
      </c>
      <c r="Q54" s="509"/>
      <c r="R54" s="784">
        <v>45741</v>
      </c>
      <c r="S54" s="784" t="s">
        <v>96</v>
      </c>
      <c r="T54" s="784">
        <v>45749</v>
      </c>
      <c r="U54" s="784"/>
      <c r="V54" s="784"/>
      <c r="W54" s="776" t="s">
        <v>293</v>
      </c>
      <c r="X54" s="781" t="s">
        <v>226</v>
      </c>
      <c r="Y54" s="785">
        <v>5.53</v>
      </c>
      <c r="Z54" s="786">
        <f t="shared" si="9"/>
        <v>33180</v>
      </c>
      <c r="AA54" s="509"/>
      <c r="AB54" s="509" t="s">
        <v>223</v>
      </c>
      <c r="AC54" s="509" t="s">
        <v>76</v>
      </c>
      <c r="AD54" s="509"/>
      <c r="AE54" s="635" t="s">
        <v>69</v>
      </c>
      <c r="AF54" s="635"/>
      <c r="AG54" s="788">
        <v>6000</v>
      </c>
      <c r="AH54" s="782">
        <f t="shared" si="6"/>
        <v>0</v>
      </c>
      <c r="AI54" s="509"/>
      <c r="AJ54" s="509"/>
      <c r="AK54" s="509"/>
      <c r="AL54" s="777"/>
      <c r="AM54" s="656"/>
      <c r="AN54" s="656">
        <f>I54</f>
        <v>6000</v>
      </c>
      <c r="AO54" s="656"/>
      <c r="AP54" s="777"/>
      <c r="AQ54" s="656"/>
      <c r="AR54" s="777"/>
      <c r="AS54" s="777"/>
      <c r="AT54" s="777">
        <f t="shared" si="10"/>
        <v>6000</v>
      </c>
      <c r="AU54" s="777"/>
      <c r="AV54" s="778"/>
      <c r="AW54" s="778"/>
      <c r="AX54" s="778"/>
      <c r="AY54" s="778"/>
      <c r="AZ54" s="778"/>
      <c r="BA54" s="778"/>
      <c r="BB54" s="778">
        <f>I54</f>
        <v>6000</v>
      </c>
      <c r="BC54" s="778">
        <f>I54</f>
        <v>6000</v>
      </c>
      <c r="BD54" s="777">
        <f>I54/4</f>
        <v>1500</v>
      </c>
      <c r="BE54" s="778"/>
      <c r="BF54" s="778"/>
      <c r="BG54" s="778"/>
      <c r="BH54" s="778"/>
      <c r="BI54" s="778"/>
      <c r="BJ54" s="778"/>
      <c r="BK54" s="778"/>
      <c r="BL54" s="778"/>
      <c r="BM54" s="778"/>
    </row>
    <row r="55" s="771" customFormat="1" ht="31" hidden="1" customHeight="1" spans="1:65">
      <c r="A55" s="775">
        <v>45695</v>
      </c>
      <c r="B55" s="776" t="s">
        <v>294</v>
      </c>
      <c r="C55" s="509" t="s">
        <v>271</v>
      </c>
      <c r="D55" s="777">
        <v>4500156861</v>
      </c>
      <c r="E55" s="509">
        <v>4400464930</v>
      </c>
      <c r="F55" s="778" t="s">
        <v>295</v>
      </c>
      <c r="G55" s="779" t="s">
        <v>148</v>
      </c>
      <c r="H55" s="509" t="s">
        <v>65</v>
      </c>
      <c r="I55" s="509">
        <v>1000</v>
      </c>
      <c r="J55" s="509">
        <v>0</v>
      </c>
      <c r="K55" s="509">
        <v>8</v>
      </c>
      <c r="L55" s="780">
        <f t="shared" si="0"/>
        <v>125</v>
      </c>
      <c r="M55" s="781">
        <v>45799</v>
      </c>
      <c r="N55" s="781">
        <v>45796</v>
      </c>
      <c r="O55" s="782"/>
      <c r="P55" s="782" t="s">
        <v>103</v>
      </c>
      <c r="Q55" s="509"/>
      <c r="R55" s="784">
        <v>45696</v>
      </c>
      <c r="S55" s="784" t="s">
        <v>66</v>
      </c>
      <c r="T55" s="784" t="s">
        <v>296</v>
      </c>
      <c r="U55" s="784"/>
      <c r="V55" s="784"/>
      <c r="W55" s="776" t="s">
        <v>297</v>
      </c>
      <c r="X55" s="781" t="s">
        <v>235</v>
      </c>
      <c r="Y55" s="785">
        <v>5</v>
      </c>
      <c r="Z55" s="786">
        <f t="shared" si="9"/>
        <v>5000</v>
      </c>
      <c r="AA55" s="509"/>
      <c r="AB55" s="509" t="s">
        <v>148</v>
      </c>
      <c r="AC55" s="509" t="s">
        <v>76</v>
      </c>
      <c r="AD55" s="509"/>
      <c r="AE55" s="635" t="s">
        <v>69</v>
      </c>
      <c r="AF55" s="635"/>
      <c r="AG55" s="788">
        <v>1000</v>
      </c>
      <c r="AH55" s="782">
        <f t="shared" si="6"/>
        <v>0</v>
      </c>
      <c r="AI55" s="509"/>
      <c r="AJ55" s="509"/>
      <c r="AK55" s="509"/>
      <c r="AL55" s="777">
        <f t="shared" ref="AL55:AL92" si="15">I55</f>
        <v>1000</v>
      </c>
      <c r="AM55" s="656"/>
      <c r="AN55" s="656"/>
      <c r="AO55" s="656"/>
      <c r="AP55" s="777"/>
      <c r="AQ55" s="656"/>
      <c r="AR55" s="777"/>
      <c r="AS55" s="777"/>
      <c r="AT55" s="777">
        <f t="shared" si="10"/>
        <v>1000</v>
      </c>
      <c r="AU55" s="777"/>
      <c r="AV55" s="778"/>
      <c r="AW55" s="778"/>
      <c r="AX55" s="778"/>
      <c r="AY55" s="778"/>
      <c r="AZ55" s="777">
        <f>I55</f>
        <v>1000</v>
      </c>
      <c r="BA55" s="777">
        <f>I55</f>
        <v>1000</v>
      </c>
      <c r="BB55" s="778"/>
      <c r="BC55" s="778"/>
      <c r="BD55" s="777"/>
      <c r="BE55" s="777">
        <f>I55/4</f>
        <v>250</v>
      </c>
      <c r="BF55" s="778"/>
      <c r="BG55" s="778"/>
      <c r="BH55" s="778"/>
      <c r="BI55" s="778"/>
      <c r="BJ55" s="778"/>
      <c r="BK55" s="778"/>
      <c r="BL55" s="778"/>
      <c r="BM55" s="778"/>
    </row>
    <row r="56" s="771" customFormat="1" ht="31" hidden="1" customHeight="1" spans="1:65">
      <c r="A56" s="775">
        <v>45741</v>
      </c>
      <c r="B56" s="776" t="s">
        <v>298</v>
      </c>
      <c r="C56" s="509" t="s">
        <v>299</v>
      </c>
      <c r="D56" s="777">
        <v>4500161312</v>
      </c>
      <c r="E56" s="509">
        <v>5907181238</v>
      </c>
      <c r="F56" s="778" t="s">
        <v>300</v>
      </c>
      <c r="G56" s="779" t="s">
        <v>64</v>
      </c>
      <c r="H56" s="509" t="s">
        <v>65</v>
      </c>
      <c r="I56" s="509">
        <v>360</v>
      </c>
      <c r="J56" s="509">
        <v>0</v>
      </c>
      <c r="K56" s="509">
        <v>12</v>
      </c>
      <c r="L56" s="780">
        <f t="shared" si="0"/>
        <v>30</v>
      </c>
      <c r="M56" s="781">
        <v>45799</v>
      </c>
      <c r="N56" s="781">
        <v>45796</v>
      </c>
      <c r="O56" s="782"/>
      <c r="P56" s="782" t="s">
        <v>103</v>
      </c>
      <c r="Q56" s="509"/>
      <c r="R56" s="784" t="s">
        <v>301</v>
      </c>
      <c r="S56" s="784" t="s">
        <v>66</v>
      </c>
      <c r="T56" s="784" t="s">
        <v>302</v>
      </c>
      <c r="U56" s="784"/>
      <c r="V56" s="784"/>
      <c r="W56" s="776" t="s">
        <v>303</v>
      </c>
      <c r="X56" s="781" t="s">
        <v>304</v>
      </c>
      <c r="Y56" s="785">
        <v>4.1</v>
      </c>
      <c r="Z56" s="786">
        <f t="shared" si="9"/>
        <v>1476</v>
      </c>
      <c r="AA56" s="509"/>
      <c r="AB56" s="509" t="s">
        <v>165</v>
      </c>
      <c r="AC56" s="509" t="s">
        <v>76</v>
      </c>
      <c r="AD56" s="509"/>
      <c r="AE56" s="635" t="s">
        <v>69</v>
      </c>
      <c r="AF56" s="635"/>
      <c r="AG56" s="788">
        <v>360</v>
      </c>
      <c r="AH56" s="782">
        <f t="shared" si="6"/>
        <v>0</v>
      </c>
      <c r="AI56" s="509"/>
      <c r="AJ56" s="509"/>
      <c r="AK56" s="509"/>
      <c r="AL56" s="777">
        <f t="shared" si="15"/>
        <v>360</v>
      </c>
      <c r="AM56" s="656"/>
      <c r="AN56" s="656"/>
      <c r="AO56" s="656"/>
      <c r="AP56" s="777"/>
      <c r="AQ56" s="656">
        <f>I56</f>
        <v>360</v>
      </c>
      <c r="AR56" s="777">
        <f t="shared" ref="AR56:AR83" si="16">I56</f>
        <v>360</v>
      </c>
      <c r="AS56" s="777"/>
      <c r="AT56" s="777">
        <f t="shared" si="10"/>
        <v>360</v>
      </c>
      <c r="AU56" s="777"/>
      <c r="AV56" s="778"/>
      <c r="AW56" s="778"/>
      <c r="AX56" s="778"/>
      <c r="AY56" s="778"/>
      <c r="AZ56" s="778"/>
      <c r="BA56" s="778"/>
      <c r="BB56" s="778"/>
      <c r="BC56" s="778"/>
      <c r="BD56" s="778"/>
      <c r="BE56" s="778"/>
      <c r="BF56" s="778"/>
      <c r="BG56" s="778"/>
      <c r="BH56" s="778"/>
      <c r="BI56" s="778"/>
      <c r="BJ56" s="778"/>
      <c r="BK56" s="778"/>
      <c r="BL56" s="778"/>
      <c r="BM56" s="778"/>
    </row>
    <row r="57" s="771" customFormat="1" ht="31" hidden="1" customHeight="1" spans="1:65">
      <c r="A57" s="775">
        <v>45741</v>
      </c>
      <c r="B57" s="776" t="s">
        <v>305</v>
      </c>
      <c r="C57" s="509" t="s">
        <v>306</v>
      </c>
      <c r="D57" s="777">
        <v>4500161302</v>
      </c>
      <c r="E57" s="509">
        <v>4407181237</v>
      </c>
      <c r="F57" s="778" t="s">
        <v>307</v>
      </c>
      <c r="G57" s="779" t="s">
        <v>64</v>
      </c>
      <c r="H57" s="509" t="s">
        <v>65</v>
      </c>
      <c r="I57" s="509">
        <v>396</v>
      </c>
      <c r="J57" s="509">
        <v>0</v>
      </c>
      <c r="K57" s="509">
        <v>12</v>
      </c>
      <c r="L57" s="780">
        <f t="shared" si="0"/>
        <v>33</v>
      </c>
      <c r="M57" s="781">
        <v>45799</v>
      </c>
      <c r="N57" s="781">
        <v>45796</v>
      </c>
      <c r="O57" s="782"/>
      <c r="P57" s="782" t="s">
        <v>103</v>
      </c>
      <c r="Q57" s="509"/>
      <c r="R57" s="784" t="s">
        <v>301</v>
      </c>
      <c r="S57" s="784" t="s">
        <v>66</v>
      </c>
      <c r="T57" s="784">
        <v>45768</v>
      </c>
      <c r="U57" s="784"/>
      <c r="V57" s="784"/>
      <c r="W57" s="776" t="s">
        <v>308</v>
      </c>
      <c r="X57" s="781" t="s">
        <v>304</v>
      </c>
      <c r="Y57" s="785">
        <v>4.1</v>
      </c>
      <c r="Z57" s="786">
        <f t="shared" si="9"/>
        <v>1623.6</v>
      </c>
      <c r="AA57" s="509"/>
      <c r="AB57" s="509" t="s">
        <v>165</v>
      </c>
      <c r="AC57" s="509" t="s">
        <v>76</v>
      </c>
      <c r="AD57" s="509"/>
      <c r="AE57" s="635" t="s">
        <v>69</v>
      </c>
      <c r="AF57" s="635"/>
      <c r="AG57" s="788">
        <v>396</v>
      </c>
      <c r="AH57" s="782">
        <f t="shared" si="6"/>
        <v>0</v>
      </c>
      <c r="AI57" s="509"/>
      <c r="AJ57" s="509"/>
      <c r="AK57" s="509"/>
      <c r="AL57" s="777">
        <f t="shared" si="15"/>
        <v>396</v>
      </c>
      <c r="AM57" s="656"/>
      <c r="AN57" s="656"/>
      <c r="AO57" s="656"/>
      <c r="AP57" s="777"/>
      <c r="AQ57" s="656">
        <f>I57</f>
        <v>396</v>
      </c>
      <c r="AR57" s="777">
        <f t="shared" si="16"/>
        <v>396</v>
      </c>
      <c r="AS57" s="777"/>
      <c r="AT57" s="777">
        <f t="shared" si="10"/>
        <v>396</v>
      </c>
      <c r="AU57" s="777"/>
      <c r="AV57" s="778"/>
      <c r="AW57" s="778"/>
      <c r="AX57" s="778"/>
      <c r="AY57" s="778"/>
      <c r="AZ57" s="778"/>
      <c r="BA57" s="778"/>
      <c r="BB57" s="778"/>
      <c r="BC57" s="778"/>
      <c r="BD57" s="778"/>
      <c r="BE57" s="778"/>
      <c r="BF57" s="778"/>
      <c r="BG57" s="778"/>
      <c r="BH57" s="778"/>
      <c r="BI57" s="778"/>
      <c r="BJ57" s="778"/>
      <c r="BK57" s="778"/>
      <c r="BL57" s="778"/>
      <c r="BM57" s="778"/>
    </row>
    <row r="58" s="771" customFormat="1" ht="31" hidden="1" customHeight="1" spans="1:65">
      <c r="A58" s="775">
        <v>45741</v>
      </c>
      <c r="B58" s="776" t="s">
        <v>309</v>
      </c>
      <c r="C58" s="509" t="s">
        <v>310</v>
      </c>
      <c r="D58" s="777">
        <v>4500161306</v>
      </c>
      <c r="E58" s="509">
        <v>8807181239</v>
      </c>
      <c r="F58" s="778" t="s">
        <v>311</v>
      </c>
      <c r="G58" s="779" t="s">
        <v>64</v>
      </c>
      <c r="H58" s="509" t="s">
        <v>65</v>
      </c>
      <c r="I58" s="509">
        <v>540</v>
      </c>
      <c r="J58" s="509">
        <v>0</v>
      </c>
      <c r="K58" s="509">
        <v>12</v>
      </c>
      <c r="L58" s="780">
        <f t="shared" si="0"/>
        <v>45</v>
      </c>
      <c r="M58" s="781">
        <v>45799</v>
      </c>
      <c r="N58" s="781">
        <v>45796</v>
      </c>
      <c r="O58" s="782"/>
      <c r="P58" s="782" t="s">
        <v>103</v>
      </c>
      <c r="Q58" s="509"/>
      <c r="R58" s="784" t="s">
        <v>301</v>
      </c>
      <c r="S58" s="784" t="s">
        <v>66</v>
      </c>
      <c r="T58" s="784" t="s">
        <v>302</v>
      </c>
      <c r="U58" s="784"/>
      <c r="V58" s="784"/>
      <c r="W58" s="776" t="s">
        <v>303</v>
      </c>
      <c r="X58" s="781" t="s">
        <v>304</v>
      </c>
      <c r="Y58" s="785">
        <v>4.1</v>
      </c>
      <c r="Z58" s="786">
        <f t="shared" si="9"/>
        <v>2214</v>
      </c>
      <c r="AA58" s="509"/>
      <c r="AB58" s="509" t="s">
        <v>165</v>
      </c>
      <c r="AC58" s="509" t="s">
        <v>76</v>
      </c>
      <c r="AD58" s="509"/>
      <c r="AE58" s="635" t="s">
        <v>69</v>
      </c>
      <c r="AF58" s="635"/>
      <c r="AG58" s="788">
        <v>540</v>
      </c>
      <c r="AH58" s="782">
        <f t="shared" si="6"/>
        <v>0</v>
      </c>
      <c r="AI58" s="509"/>
      <c r="AJ58" s="509"/>
      <c r="AK58" s="509"/>
      <c r="AL58" s="777">
        <f t="shared" si="15"/>
        <v>540</v>
      </c>
      <c r="AM58" s="656"/>
      <c r="AN58" s="656"/>
      <c r="AO58" s="656"/>
      <c r="AP58" s="777"/>
      <c r="AQ58" s="656">
        <f>I58</f>
        <v>540</v>
      </c>
      <c r="AR58" s="777">
        <f t="shared" si="16"/>
        <v>540</v>
      </c>
      <c r="AS58" s="777"/>
      <c r="AT58" s="777">
        <f t="shared" si="10"/>
        <v>540</v>
      </c>
      <c r="AU58" s="777"/>
      <c r="AV58" s="778"/>
      <c r="AW58" s="778"/>
      <c r="AX58" s="778"/>
      <c r="AY58" s="778"/>
      <c r="AZ58" s="778"/>
      <c r="BA58" s="778"/>
      <c r="BB58" s="778"/>
      <c r="BC58" s="778"/>
      <c r="BD58" s="778"/>
      <c r="BE58" s="778"/>
      <c r="BF58" s="778"/>
      <c r="BG58" s="778"/>
      <c r="BH58" s="778"/>
      <c r="BI58" s="778"/>
      <c r="BJ58" s="778"/>
      <c r="BK58" s="778"/>
      <c r="BL58" s="778"/>
      <c r="BM58" s="778"/>
    </row>
    <row r="59" s="771" customFormat="1" ht="31" hidden="1" customHeight="1" spans="1:65">
      <c r="A59" s="775">
        <v>45758</v>
      </c>
      <c r="B59" s="776" t="s">
        <v>312</v>
      </c>
      <c r="C59" s="509" t="s">
        <v>90</v>
      </c>
      <c r="D59" s="777">
        <v>4500163428</v>
      </c>
      <c r="E59" s="509" t="s">
        <v>313</v>
      </c>
      <c r="F59" s="778" t="s">
        <v>314</v>
      </c>
      <c r="G59" s="779" t="s">
        <v>93</v>
      </c>
      <c r="H59" s="509" t="s">
        <v>94</v>
      </c>
      <c r="I59" s="509">
        <v>640</v>
      </c>
      <c r="J59" s="509">
        <v>0</v>
      </c>
      <c r="K59" s="509">
        <v>4</v>
      </c>
      <c r="L59" s="780">
        <f t="shared" si="0"/>
        <v>160</v>
      </c>
      <c r="M59" s="781">
        <v>45824</v>
      </c>
      <c r="N59" s="781">
        <v>45820</v>
      </c>
      <c r="O59" s="782"/>
      <c r="P59" s="782" t="s">
        <v>103</v>
      </c>
      <c r="Q59" s="509"/>
      <c r="R59" s="784">
        <v>45758</v>
      </c>
      <c r="S59" s="784" t="s">
        <v>66</v>
      </c>
      <c r="T59" s="784" t="s">
        <v>66</v>
      </c>
      <c r="U59" s="784"/>
      <c r="V59" s="784"/>
      <c r="W59" s="776" t="s">
        <v>315</v>
      </c>
      <c r="X59" s="781" t="s">
        <v>316</v>
      </c>
      <c r="Y59" s="785">
        <v>5.1</v>
      </c>
      <c r="Z59" s="786">
        <f t="shared" si="9"/>
        <v>3264</v>
      </c>
      <c r="AA59" s="509" t="s">
        <v>317</v>
      </c>
      <c r="AB59" s="509" t="s">
        <v>93</v>
      </c>
      <c r="AC59" s="509" t="s">
        <v>76</v>
      </c>
      <c r="AD59" s="509"/>
      <c r="AE59" s="635" t="s">
        <v>69</v>
      </c>
      <c r="AF59" s="635"/>
      <c r="AG59" s="788">
        <v>640</v>
      </c>
      <c r="AH59" s="782">
        <f t="shared" si="6"/>
        <v>0</v>
      </c>
      <c r="AI59" s="509"/>
      <c r="AJ59" s="509"/>
      <c r="AK59" s="509"/>
      <c r="AL59" s="777">
        <f t="shared" si="15"/>
        <v>640</v>
      </c>
      <c r="AM59" s="656"/>
      <c r="AN59" s="656"/>
      <c r="AO59" s="656"/>
      <c r="AP59" s="777">
        <f>I59</f>
        <v>640</v>
      </c>
      <c r="AQ59" s="656"/>
      <c r="AR59" s="777">
        <f t="shared" si="16"/>
        <v>640</v>
      </c>
      <c r="AS59" s="777"/>
      <c r="AT59" s="777">
        <f t="shared" si="10"/>
        <v>640</v>
      </c>
      <c r="AU59" s="777"/>
      <c r="AV59" s="778"/>
      <c r="AW59" s="778"/>
      <c r="AX59" s="778"/>
      <c r="AY59" s="778"/>
      <c r="AZ59" s="778"/>
      <c r="BA59" s="778"/>
      <c r="BB59" s="778"/>
      <c r="BC59" s="778"/>
      <c r="BD59" s="777">
        <f>I59/4</f>
        <v>160</v>
      </c>
      <c r="BE59" s="778"/>
      <c r="BF59" s="778"/>
      <c r="BG59" s="778"/>
      <c r="BH59" s="778"/>
      <c r="BI59" s="778"/>
      <c r="BJ59" s="778"/>
      <c r="BK59" s="778"/>
      <c r="BL59" s="778"/>
      <c r="BM59" s="778"/>
    </row>
    <row r="60" s="771" customFormat="1" ht="31" hidden="1" customHeight="1" spans="1:65">
      <c r="A60" s="775">
        <v>45758</v>
      </c>
      <c r="B60" s="776" t="s">
        <v>312</v>
      </c>
      <c r="C60" s="509" t="s">
        <v>90</v>
      </c>
      <c r="D60" s="777">
        <v>4500163428</v>
      </c>
      <c r="E60" s="509" t="s">
        <v>318</v>
      </c>
      <c r="F60" s="778" t="s">
        <v>319</v>
      </c>
      <c r="G60" s="779" t="s">
        <v>93</v>
      </c>
      <c r="H60" s="509" t="s">
        <v>94</v>
      </c>
      <c r="I60" s="509">
        <v>1440</v>
      </c>
      <c r="J60" s="509">
        <v>0</v>
      </c>
      <c r="K60" s="509">
        <v>4</v>
      </c>
      <c r="L60" s="780">
        <f t="shared" si="0"/>
        <v>360</v>
      </c>
      <c r="M60" s="781">
        <v>45824</v>
      </c>
      <c r="N60" s="781">
        <v>45820</v>
      </c>
      <c r="O60" s="782"/>
      <c r="P60" s="782" t="s">
        <v>103</v>
      </c>
      <c r="Q60" s="509"/>
      <c r="R60" s="784">
        <v>45758</v>
      </c>
      <c r="S60" s="784" t="s">
        <v>66</v>
      </c>
      <c r="T60" s="784" t="s">
        <v>66</v>
      </c>
      <c r="U60" s="784"/>
      <c r="V60" s="784"/>
      <c r="W60" s="776" t="s">
        <v>315</v>
      </c>
      <c r="X60" s="781" t="s">
        <v>316</v>
      </c>
      <c r="Y60" s="785">
        <v>5.1</v>
      </c>
      <c r="Z60" s="786">
        <f t="shared" si="9"/>
        <v>7344</v>
      </c>
      <c r="AA60" s="509" t="s">
        <v>320</v>
      </c>
      <c r="AB60" s="509" t="s">
        <v>93</v>
      </c>
      <c r="AC60" s="509" t="s">
        <v>76</v>
      </c>
      <c r="AD60" s="509"/>
      <c r="AE60" s="635" t="s">
        <v>69</v>
      </c>
      <c r="AF60" s="635"/>
      <c r="AG60" s="788">
        <v>1440</v>
      </c>
      <c r="AH60" s="782">
        <f t="shared" si="6"/>
        <v>0</v>
      </c>
      <c r="AI60" s="509"/>
      <c r="AJ60" s="509"/>
      <c r="AK60" s="509"/>
      <c r="AL60" s="777">
        <f t="shared" si="15"/>
        <v>1440</v>
      </c>
      <c r="AM60" s="656"/>
      <c r="AN60" s="656"/>
      <c r="AO60" s="656"/>
      <c r="AP60" s="777">
        <f>I60</f>
        <v>1440</v>
      </c>
      <c r="AQ60" s="656"/>
      <c r="AR60" s="777">
        <f t="shared" si="16"/>
        <v>1440</v>
      </c>
      <c r="AS60" s="777"/>
      <c r="AT60" s="777">
        <f t="shared" si="10"/>
        <v>1440</v>
      </c>
      <c r="AU60" s="777"/>
      <c r="AV60" s="778"/>
      <c r="AW60" s="778"/>
      <c r="AX60" s="778"/>
      <c r="AY60" s="778"/>
      <c r="AZ60" s="778"/>
      <c r="BA60" s="778"/>
      <c r="BB60" s="778"/>
      <c r="BC60" s="778"/>
      <c r="BD60" s="777">
        <f>I60/4</f>
        <v>360</v>
      </c>
      <c r="BE60" s="778"/>
      <c r="BF60" s="778"/>
      <c r="BG60" s="778"/>
      <c r="BH60" s="778"/>
      <c r="BI60" s="778"/>
      <c r="BJ60" s="778"/>
      <c r="BK60" s="778"/>
      <c r="BL60" s="778"/>
      <c r="BM60" s="778"/>
    </row>
    <row r="61" s="771" customFormat="1" ht="31" hidden="1" customHeight="1" spans="1:65">
      <c r="A61" s="775">
        <v>45726</v>
      </c>
      <c r="B61" s="776" t="s">
        <v>89</v>
      </c>
      <c r="C61" s="509" t="s">
        <v>90</v>
      </c>
      <c r="D61" s="777">
        <v>4500159664</v>
      </c>
      <c r="E61" s="509" t="s">
        <v>321</v>
      </c>
      <c r="F61" s="778" t="s">
        <v>322</v>
      </c>
      <c r="G61" s="779" t="s">
        <v>93</v>
      </c>
      <c r="H61" s="509" t="s">
        <v>94</v>
      </c>
      <c r="I61" s="509">
        <v>3304</v>
      </c>
      <c r="J61" s="509">
        <v>0</v>
      </c>
      <c r="K61" s="509">
        <v>4</v>
      </c>
      <c r="L61" s="780">
        <f t="shared" si="0"/>
        <v>826</v>
      </c>
      <c r="M61" s="781">
        <v>45803</v>
      </c>
      <c r="N61" s="781">
        <v>45799</v>
      </c>
      <c r="O61" s="782" t="s">
        <v>323</v>
      </c>
      <c r="P61" s="782" t="s">
        <v>103</v>
      </c>
      <c r="Q61" s="509"/>
      <c r="R61" s="784">
        <v>45727</v>
      </c>
      <c r="S61" s="784" t="s">
        <v>96</v>
      </c>
      <c r="T61" s="784">
        <v>45727</v>
      </c>
      <c r="U61" s="784" t="s">
        <v>172</v>
      </c>
      <c r="V61" s="784"/>
      <c r="W61" s="776" t="s">
        <v>173</v>
      </c>
      <c r="X61" s="781" t="s">
        <v>98</v>
      </c>
      <c r="Y61" s="785">
        <v>5</v>
      </c>
      <c r="Z61" s="786">
        <f t="shared" si="9"/>
        <v>16520</v>
      </c>
      <c r="AA61" s="509"/>
      <c r="AB61" s="509" t="s">
        <v>93</v>
      </c>
      <c r="AC61" s="509" t="s">
        <v>76</v>
      </c>
      <c r="AD61" s="509"/>
      <c r="AE61" s="635" t="s">
        <v>69</v>
      </c>
      <c r="AF61" s="635"/>
      <c r="AG61" s="788">
        <v>3304</v>
      </c>
      <c r="AH61" s="782">
        <f t="shared" si="6"/>
        <v>0</v>
      </c>
      <c r="AI61" s="509"/>
      <c r="AJ61" s="509"/>
      <c r="AK61" s="509"/>
      <c r="AL61" s="777">
        <f t="shared" si="15"/>
        <v>3304</v>
      </c>
      <c r="AM61" s="656"/>
      <c r="AN61" s="656"/>
      <c r="AO61" s="656"/>
      <c r="AP61" s="777">
        <f>I61</f>
        <v>3304</v>
      </c>
      <c r="AQ61" s="656"/>
      <c r="AR61" s="777">
        <f t="shared" si="16"/>
        <v>3304</v>
      </c>
      <c r="AS61" s="777"/>
      <c r="AT61" s="777">
        <f t="shared" si="10"/>
        <v>3304</v>
      </c>
      <c r="AU61" s="777"/>
      <c r="AV61" s="778"/>
      <c r="AW61" s="778"/>
      <c r="AX61" s="778"/>
      <c r="AY61" s="778"/>
      <c r="AZ61" s="778"/>
      <c r="BA61" s="778"/>
      <c r="BB61" s="778"/>
      <c r="BC61" s="778"/>
      <c r="BD61" s="777">
        <f>I61/4</f>
        <v>826</v>
      </c>
      <c r="BE61" s="778"/>
      <c r="BF61" s="778"/>
      <c r="BG61" s="778"/>
      <c r="BH61" s="778"/>
      <c r="BI61" s="778"/>
      <c r="BJ61" s="778"/>
      <c r="BK61" s="778"/>
      <c r="BL61" s="778"/>
      <c r="BM61" s="778"/>
    </row>
    <row r="62" s="771" customFormat="1" ht="31" hidden="1" customHeight="1" spans="1:65">
      <c r="A62" s="775">
        <v>45726</v>
      </c>
      <c r="B62" s="776" t="s">
        <v>89</v>
      </c>
      <c r="C62" s="509" t="s">
        <v>90</v>
      </c>
      <c r="D62" s="777">
        <v>4500159664</v>
      </c>
      <c r="E62" s="509" t="s">
        <v>324</v>
      </c>
      <c r="F62" s="778" t="s">
        <v>325</v>
      </c>
      <c r="G62" s="779" t="s">
        <v>93</v>
      </c>
      <c r="H62" s="509" t="s">
        <v>94</v>
      </c>
      <c r="I62" s="509">
        <v>3320</v>
      </c>
      <c r="J62" s="509">
        <v>0</v>
      </c>
      <c r="K62" s="509">
        <v>4</v>
      </c>
      <c r="L62" s="780">
        <f t="shared" si="0"/>
        <v>830</v>
      </c>
      <c r="M62" s="781">
        <v>45803</v>
      </c>
      <c r="N62" s="781">
        <v>45799</v>
      </c>
      <c r="O62" s="782" t="s">
        <v>323</v>
      </c>
      <c r="P62" s="782" t="s">
        <v>103</v>
      </c>
      <c r="Q62" s="509"/>
      <c r="R62" s="784">
        <v>45727</v>
      </c>
      <c r="S62" s="784" t="s">
        <v>96</v>
      </c>
      <c r="T62" s="784">
        <v>45727</v>
      </c>
      <c r="U62" s="784" t="s">
        <v>172</v>
      </c>
      <c r="V62" s="784"/>
      <c r="W62" s="776" t="s">
        <v>173</v>
      </c>
      <c r="X62" s="781" t="s">
        <v>98</v>
      </c>
      <c r="Y62" s="785">
        <v>5</v>
      </c>
      <c r="Z62" s="786">
        <f t="shared" si="9"/>
        <v>16600</v>
      </c>
      <c r="AA62" s="509"/>
      <c r="AB62" s="509" t="s">
        <v>93</v>
      </c>
      <c r="AC62" s="509" t="s">
        <v>76</v>
      </c>
      <c r="AD62" s="509"/>
      <c r="AE62" s="635" t="s">
        <v>69</v>
      </c>
      <c r="AF62" s="635"/>
      <c r="AG62" s="788">
        <v>3320</v>
      </c>
      <c r="AH62" s="782">
        <f t="shared" si="6"/>
        <v>0</v>
      </c>
      <c r="AI62" s="509"/>
      <c r="AJ62" s="509"/>
      <c r="AK62" s="509"/>
      <c r="AL62" s="777">
        <f t="shared" si="15"/>
        <v>3320</v>
      </c>
      <c r="AM62" s="656"/>
      <c r="AN62" s="656"/>
      <c r="AO62" s="656"/>
      <c r="AP62" s="777">
        <f>I62</f>
        <v>3320</v>
      </c>
      <c r="AQ62" s="656"/>
      <c r="AR62" s="777">
        <f t="shared" si="16"/>
        <v>3320</v>
      </c>
      <c r="AS62" s="777"/>
      <c r="AT62" s="777">
        <f t="shared" si="10"/>
        <v>3320</v>
      </c>
      <c r="AU62" s="777"/>
      <c r="AV62" s="778"/>
      <c r="AW62" s="778"/>
      <c r="AX62" s="778"/>
      <c r="AY62" s="778"/>
      <c r="AZ62" s="778"/>
      <c r="BA62" s="778"/>
      <c r="BB62" s="778"/>
      <c r="BC62" s="778"/>
      <c r="BD62" s="777">
        <f>I62/4</f>
        <v>830</v>
      </c>
      <c r="BE62" s="778"/>
      <c r="BF62" s="778"/>
      <c r="BG62" s="778"/>
      <c r="BH62" s="778"/>
      <c r="BI62" s="778"/>
      <c r="BJ62" s="778"/>
      <c r="BK62" s="778"/>
      <c r="BL62" s="778"/>
      <c r="BM62" s="778"/>
    </row>
    <row r="63" s="771" customFormat="1" ht="31" hidden="1" customHeight="1" spans="1:65">
      <c r="A63" s="775">
        <v>45744</v>
      </c>
      <c r="B63" s="776" t="s">
        <v>128</v>
      </c>
      <c r="C63" s="509" t="s">
        <v>90</v>
      </c>
      <c r="D63" s="777">
        <v>4500161763</v>
      </c>
      <c r="E63" s="886" t="s">
        <v>326</v>
      </c>
      <c r="F63" s="778" t="s">
        <v>327</v>
      </c>
      <c r="G63" s="779" t="s">
        <v>93</v>
      </c>
      <c r="H63" s="509" t="s">
        <v>94</v>
      </c>
      <c r="I63" s="509">
        <v>912</v>
      </c>
      <c r="J63" s="509">
        <v>0</v>
      </c>
      <c r="K63" s="509">
        <v>4</v>
      </c>
      <c r="L63" s="780">
        <f t="shared" si="0"/>
        <v>228</v>
      </c>
      <c r="M63" s="781">
        <v>45803</v>
      </c>
      <c r="N63" s="781">
        <v>45799</v>
      </c>
      <c r="O63" s="782" t="s">
        <v>328</v>
      </c>
      <c r="P63" s="782" t="s">
        <v>103</v>
      </c>
      <c r="Q63" s="509"/>
      <c r="R63" s="784" t="s">
        <v>132</v>
      </c>
      <c r="S63" s="784" t="s">
        <v>66</v>
      </c>
      <c r="T63" s="784" t="s">
        <v>329</v>
      </c>
      <c r="U63" s="683" t="s">
        <v>133</v>
      </c>
      <c r="V63" s="784"/>
      <c r="W63" s="776" t="s">
        <v>330</v>
      </c>
      <c r="X63" s="781" t="s">
        <v>98</v>
      </c>
      <c r="Y63" s="785">
        <v>5</v>
      </c>
      <c r="Z63" s="786">
        <f t="shared" si="9"/>
        <v>4560</v>
      </c>
      <c r="AA63" s="509"/>
      <c r="AB63" s="509" t="s">
        <v>93</v>
      </c>
      <c r="AC63" s="509" t="s">
        <v>76</v>
      </c>
      <c r="AD63" s="509"/>
      <c r="AE63" s="635" t="s">
        <v>69</v>
      </c>
      <c r="AF63" s="635"/>
      <c r="AG63" s="788">
        <v>912</v>
      </c>
      <c r="AH63" s="782">
        <f t="shared" si="6"/>
        <v>0</v>
      </c>
      <c r="AI63" s="509"/>
      <c r="AJ63" s="509"/>
      <c r="AK63" s="509"/>
      <c r="AL63" s="777">
        <f t="shared" si="15"/>
        <v>912</v>
      </c>
      <c r="AM63" s="656"/>
      <c r="AN63" s="656"/>
      <c r="AO63" s="656"/>
      <c r="AP63" s="777">
        <f>I63</f>
        <v>912</v>
      </c>
      <c r="AQ63" s="656"/>
      <c r="AR63" s="777">
        <f t="shared" si="16"/>
        <v>912</v>
      </c>
      <c r="AS63" s="777"/>
      <c r="AT63" s="777">
        <f t="shared" si="10"/>
        <v>912</v>
      </c>
      <c r="AU63" s="777"/>
      <c r="AV63" s="778"/>
      <c r="AW63" s="778"/>
      <c r="AX63" s="778"/>
      <c r="AY63" s="778"/>
      <c r="AZ63" s="778"/>
      <c r="BA63" s="778"/>
      <c r="BB63" s="778"/>
      <c r="BC63" s="778"/>
      <c r="BD63" s="777">
        <f>I63/4</f>
        <v>228</v>
      </c>
      <c r="BE63" s="778"/>
      <c r="BF63" s="778"/>
      <c r="BG63" s="778"/>
      <c r="BH63" s="778"/>
      <c r="BI63" s="778"/>
      <c r="BJ63" s="778"/>
      <c r="BK63" s="778"/>
      <c r="BL63" s="778"/>
      <c r="BM63" s="778"/>
    </row>
    <row r="64" s="771" customFormat="1" ht="31" hidden="1" customHeight="1" spans="1:65">
      <c r="A64" s="775">
        <v>45749</v>
      </c>
      <c r="B64" s="776" t="s">
        <v>331</v>
      </c>
      <c r="C64" s="509" t="s">
        <v>216</v>
      </c>
      <c r="D64" s="777">
        <v>4500162197</v>
      </c>
      <c r="E64" s="509">
        <v>32577893</v>
      </c>
      <c r="F64" s="778" t="s">
        <v>332</v>
      </c>
      <c r="G64" s="779" t="s">
        <v>93</v>
      </c>
      <c r="H64" s="509" t="s">
        <v>94</v>
      </c>
      <c r="I64" s="509">
        <v>200</v>
      </c>
      <c r="J64" s="509">
        <v>0</v>
      </c>
      <c r="K64" s="509">
        <v>4</v>
      </c>
      <c r="L64" s="780">
        <f t="shared" si="0"/>
        <v>50</v>
      </c>
      <c r="M64" s="781">
        <v>45803</v>
      </c>
      <c r="N64" s="781">
        <v>45799</v>
      </c>
      <c r="O64" s="782" t="s">
        <v>323</v>
      </c>
      <c r="P64" s="782" t="s">
        <v>103</v>
      </c>
      <c r="Q64" s="509"/>
      <c r="R64" s="784">
        <v>45749</v>
      </c>
      <c r="S64" s="784" t="s">
        <v>66</v>
      </c>
      <c r="T64" s="784" t="s">
        <v>66</v>
      </c>
      <c r="U64" s="784"/>
      <c r="V64" s="784"/>
      <c r="W64" s="776" t="s">
        <v>333</v>
      </c>
      <c r="X64" s="781" t="s">
        <v>269</v>
      </c>
      <c r="Y64" s="785">
        <v>4.3</v>
      </c>
      <c r="Z64" s="786">
        <f t="shared" si="9"/>
        <v>860</v>
      </c>
      <c r="AA64" s="509"/>
      <c r="AB64" s="509" t="s">
        <v>141</v>
      </c>
      <c r="AC64" s="509" t="s">
        <v>76</v>
      </c>
      <c r="AD64" s="509"/>
      <c r="AE64" s="635" t="s">
        <v>69</v>
      </c>
      <c r="AF64" s="635"/>
      <c r="AG64" s="788">
        <f>196+4</f>
        <v>200</v>
      </c>
      <c r="AH64" s="782">
        <f t="shared" si="6"/>
        <v>0</v>
      </c>
      <c r="AI64" s="509"/>
      <c r="AJ64" s="509"/>
      <c r="AK64" s="509"/>
      <c r="AL64" s="777">
        <f t="shared" si="15"/>
        <v>200</v>
      </c>
      <c r="AM64" s="656"/>
      <c r="AN64" s="656"/>
      <c r="AO64" s="656"/>
      <c r="AP64" s="777"/>
      <c r="AQ64" s="656">
        <f>I64</f>
        <v>200</v>
      </c>
      <c r="AR64" s="777">
        <f t="shared" si="16"/>
        <v>200</v>
      </c>
      <c r="AS64" s="777"/>
      <c r="AT64" s="777">
        <f t="shared" si="10"/>
        <v>200</v>
      </c>
      <c r="AU64" s="777"/>
      <c r="AV64" s="778"/>
      <c r="AW64" s="778"/>
      <c r="AX64" s="778"/>
      <c r="AY64" s="778"/>
      <c r="AZ64" s="778"/>
      <c r="BA64" s="778"/>
      <c r="BB64" s="778"/>
      <c r="BC64" s="778"/>
      <c r="BD64" s="778"/>
      <c r="BE64" s="777">
        <f>I64/4</f>
        <v>50</v>
      </c>
      <c r="BF64" s="778"/>
      <c r="BG64" s="778"/>
      <c r="BH64" s="778"/>
      <c r="BI64" s="778"/>
      <c r="BJ64" s="778"/>
      <c r="BK64" s="778"/>
      <c r="BL64" s="778"/>
      <c r="BM64" s="778"/>
    </row>
    <row r="65" s="771" customFormat="1" ht="31" hidden="1" customHeight="1" spans="1:65">
      <c r="A65" s="775">
        <v>45749</v>
      </c>
      <c r="B65" s="776" t="s">
        <v>334</v>
      </c>
      <c r="C65" s="509" t="s">
        <v>335</v>
      </c>
      <c r="D65" s="777">
        <v>4500161573</v>
      </c>
      <c r="E65" s="509">
        <v>4100411993</v>
      </c>
      <c r="F65" s="778" t="s">
        <v>336</v>
      </c>
      <c r="G65" s="779" t="s">
        <v>93</v>
      </c>
      <c r="H65" s="509" t="s">
        <v>65</v>
      </c>
      <c r="I65" s="509">
        <v>240</v>
      </c>
      <c r="J65" s="509">
        <v>0</v>
      </c>
      <c r="K65" s="509">
        <v>4</v>
      </c>
      <c r="L65" s="780">
        <f t="shared" si="0"/>
        <v>60</v>
      </c>
      <c r="M65" s="781">
        <v>45803</v>
      </c>
      <c r="N65" s="781">
        <v>45799</v>
      </c>
      <c r="O65" s="782"/>
      <c r="P65" s="782" t="s">
        <v>103</v>
      </c>
      <c r="Q65" s="509"/>
      <c r="R65" s="784">
        <v>45769</v>
      </c>
      <c r="S65" s="784" t="s">
        <v>66</v>
      </c>
      <c r="T65" s="784">
        <v>45765</v>
      </c>
      <c r="U65" s="784"/>
      <c r="V65" s="784"/>
      <c r="W65" s="776" t="s">
        <v>337</v>
      </c>
      <c r="X65" s="781" t="s">
        <v>219</v>
      </c>
      <c r="Y65" s="785">
        <v>5.1</v>
      </c>
      <c r="Z65" s="786">
        <f t="shared" si="9"/>
        <v>1224</v>
      </c>
      <c r="AA65" s="509"/>
      <c r="AB65" s="509" t="s">
        <v>141</v>
      </c>
      <c r="AC65" s="509" t="s">
        <v>76</v>
      </c>
      <c r="AD65" s="509"/>
      <c r="AE65" s="635" t="s">
        <v>69</v>
      </c>
      <c r="AF65" s="635"/>
      <c r="AG65" s="788">
        <v>240</v>
      </c>
      <c r="AH65" s="782">
        <f t="shared" si="6"/>
        <v>0</v>
      </c>
      <c r="AI65" s="509"/>
      <c r="AJ65" s="509"/>
      <c r="AK65" s="509"/>
      <c r="AL65" s="777">
        <f t="shared" si="15"/>
        <v>240</v>
      </c>
      <c r="AM65" s="656"/>
      <c r="AN65" s="656"/>
      <c r="AO65" s="656"/>
      <c r="AP65" s="777"/>
      <c r="AQ65" s="656">
        <f>I65</f>
        <v>240</v>
      </c>
      <c r="AR65" s="777">
        <f t="shared" si="16"/>
        <v>240</v>
      </c>
      <c r="AS65" s="777"/>
      <c r="AT65" s="777">
        <f t="shared" si="10"/>
        <v>240</v>
      </c>
      <c r="AU65" s="777"/>
      <c r="AV65" s="778"/>
      <c r="AW65" s="778"/>
      <c r="AX65" s="778"/>
      <c r="AY65" s="778"/>
      <c r="AZ65" s="778"/>
      <c r="BA65" s="778"/>
      <c r="BB65" s="778"/>
      <c r="BC65" s="778"/>
      <c r="BD65" s="778"/>
      <c r="BE65" s="777">
        <f>I65/4</f>
        <v>60</v>
      </c>
      <c r="BF65" s="778"/>
      <c r="BG65" s="778"/>
      <c r="BH65" s="778"/>
      <c r="BI65" s="778"/>
      <c r="BJ65" s="778"/>
      <c r="BK65" s="778"/>
      <c r="BL65" s="778"/>
      <c r="BM65" s="778"/>
    </row>
    <row r="66" s="771" customFormat="1" ht="31" hidden="1" customHeight="1" spans="1:65">
      <c r="A66" s="775">
        <v>45768</v>
      </c>
      <c r="B66" s="776" t="s">
        <v>338</v>
      </c>
      <c r="C66" s="509" t="s">
        <v>90</v>
      </c>
      <c r="D66" s="777">
        <v>4500164375</v>
      </c>
      <c r="E66" s="509" t="s">
        <v>339</v>
      </c>
      <c r="F66" s="778" t="s">
        <v>340</v>
      </c>
      <c r="G66" s="779" t="s">
        <v>102</v>
      </c>
      <c r="H66" s="509" t="s">
        <v>65</v>
      </c>
      <c r="I66" s="509">
        <v>800</v>
      </c>
      <c r="J66" s="509">
        <v>0</v>
      </c>
      <c r="K66" s="509">
        <v>16</v>
      </c>
      <c r="L66" s="780">
        <f t="shared" si="0"/>
        <v>50</v>
      </c>
      <c r="M66" s="781">
        <v>45804</v>
      </c>
      <c r="N66" s="781">
        <v>45800</v>
      </c>
      <c r="O66" s="782"/>
      <c r="P66" s="782" t="s">
        <v>103</v>
      </c>
      <c r="Q66" s="509"/>
      <c r="R66" s="784">
        <v>45771</v>
      </c>
      <c r="S66" s="784" t="s">
        <v>66</v>
      </c>
      <c r="T66" s="784" t="s">
        <v>66</v>
      </c>
      <c r="U66" s="784"/>
      <c r="V66" s="784"/>
      <c r="W66" s="776" t="s">
        <v>341</v>
      </c>
      <c r="X66" s="781" t="s">
        <v>342</v>
      </c>
      <c r="Y66" s="785">
        <v>2.634</v>
      </c>
      <c r="Z66" s="786">
        <f t="shared" si="9"/>
        <v>2107.2</v>
      </c>
      <c r="AA66" s="509"/>
      <c r="AB66" s="509" t="s">
        <v>102</v>
      </c>
      <c r="AC66" s="509" t="s">
        <v>76</v>
      </c>
      <c r="AD66" s="509"/>
      <c r="AE66" s="635" t="s">
        <v>69</v>
      </c>
      <c r="AF66" s="635"/>
      <c r="AG66" s="788">
        <v>800</v>
      </c>
      <c r="AH66" s="782">
        <f t="shared" si="6"/>
        <v>0</v>
      </c>
      <c r="AI66" s="509"/>
      <c r="AJ66" s="509"/>
      <c r="AK66" s="509"/>
      <c r="AL66" s="777">
        <f t="shared" si="15"/>
        <v>800</v>
      </c>
      <c r="AM66" s="656"/>
      <c r="AN66" s="656"/>
      <c r="AO66" s="656"/>
      <c r="AP66" s="777">
        <f>I66</f>
        <v>800</v>
      </c>
      <c r="AQ66" s="656"/>
      <c r="AR66" s="777">
        <f t="shared" si="16"/>
        <v>800</v>
      </c>
      <c r="AS66" s="777"/>
      <c r="AT66" s="777">
        <f t="shared" si="10"/>
        <v>800</v>
      </c>
      <c r="AU66" s="777"/>
      <c r="AV66" s="778"/>
      <c r="AW66" s="778"/>
      <c r="AX66" s="778"/>
      <c r="AY66" s="778"/>
      <c r="AZ66" s="778"/>
      <c r="BA66" s="778"/>
      <c r="BB66" s="778"/>
      <c r="BC66" s="778"/>
      <c r="BD66" s="777">
        <f>I66/4</f>
        <v>200</v>
      </c>
      <c r="BE66" s="778"/>
      <c r="BF66" s="778"/>
      <c r="BG66" s="778"/>
      <c r="BH66" s="778"/>
      <c r="BI66" s="778"/>
      <c r="BJ66" s="778"/>
      <c r="BK66" s="778"/>
      <c r="BL66" s="778"/>
      <c r="BM66" s="778"/>
    </row>
    <row r="67" s="771" customFormat="1" ht="31" hidden="1" customHeight="1" spans="1:65">
      <c r="A67" s="775">
        <v>45771</v>
      </c>
      <c r="B67" s="776" t="s">
        <v>138</v>
      </c>
      <c r="C67" s="509" t="s">
        <v>139</v>
      </c>
      <c r="D67" s="777">
        <v>4500164783</v>
      </c>
      <c r="E67" s="509">
        <v>5200006663</v>
      </c>
      <c r="F67" s="778" t="s">
        <v>343</v>
      </c>
      <c r="G67" s="779" t="s">
        <v>344</v>
      </c>
      <c r="H67" s="509" t="s">
        <v>345</v>
      </c>
      <c r="I67" s="509">
        <v>1200</v>
      </c>
      <c r="J67" s="509">
        <v>0</v>
      </c>
      <c r="K67" s="509">
        <v>4</v>
      </c>
      <c r="L67" s="780">
        <f t="shared" si="0"/>
        <v>300</v>
      </c>
      <c r="M67" s="781">
        <v>45804</v>
      </c>
      <c r="N67" s="781">
        <v>45800</v>
      </c>
      <c r="O67" s="782"/>
      <c r="P67" s="782" t="s">
        <v>103</v>
      </c>
      <c r="Q67" s="509"/>
      <c r="R67" s="784">
        <v>45772</v>
      </c>
      <c r="S67" s="784" t="s">
        <v>66</v>
      </c>
      <c r="T67" s="784">
        <v>45783</v>
      </c>
      <c r="U67" s="784"/>
      <c r="V67" s="784"/>
      <c r="W67" s="776" t="s">
        <v>346</v>
      </c>
      <c r="X67" s="781" t="s">
        <v>347</v>
      </c>
      <c r="Y67" s="785">
        <v>4.1</v>
      </c>
      <c r="Z67" s="786">
        <f t="shared" si="9"/>
        <v>4920</v>
      </c>
      <c r="AA67" s="509"/>
      <c r="AB67" s="509" t="s">
        <v>348</v>
      </c>
      <c r="AC67" s="509" t="s">
        <v>76</v>
      </c>
      <c r="AD67" s="509"/>
      <c r="AE67" s="635" t="s">
        <v>69</v>
      </c>
      <c r="AF67" s="635"/>
      <c r="AG67" s="788">
        <v>1200</v>
      </c>
      <c r="AH67" s="782">
        <f t="shared" si="6"/>
        <v>0</v>
      </c>
      <c r="AI67" s="509"/>
      <c r="AJ67" s="509"/>
      <c r="AK67" s="509"/>
      <c r="AL67" s="777">
        <f t="shared" si="15"/>
        <v>1200</v>
      </c>
      <c r="AM67" s="656"/>
      <c r="AN67" s="656"/>
      <c r="AO67" s="656"/>
      <c r="AP67" s="777"/>
      <c r="AQ67" s="656">
        <f>I67</f>
        <v>1200</v>
      </c>
      <c r="AR67" s="777">
        <f t="shared" si="16"/>
        <v>1200</v>
      </c>
      <c r="AS67" s="777"/>
      <c r="AT67" s="777">
        <f t="shared" si="10"/>
        <v>1200</v>
      </c>
      <c r="AU67" s="777"/>
      <c r="AV67" s="778"/>
      <c r="AW67" s="778"/>
      <c r="AX67" s="778"/>
      <c r="AY67" s="778"/>
      <c r="AZ67" s="778"/>
      <c r="BA67" s="778"/>
      <c r="BB67" s="778"/>
      <c r="BC67" s="778"/>
      <c r="BD67" s="778"/>
      <c r="BE67" s="778"/>
      <c r="BF67" s="778"/>
      <c r="BG67" s="778"/>
      <c r="BH67" s="778"/>
      <c r="BI67" s="778"/>
      <c r="BJ67" s="778"/>
      <c r="BK67" s="778"/>
      <c r="BL67" s="778"/>
      <c r="BM67" s="778"/>
    </row>
    <row r="68" s="771" customFormat="1" ht="31" hidden="1" customHeight="1" spans="1:65">
      <c r="A68" s="775">
        <v>45740</v>
      </c>
      <c r="B68" s="776" t="s">
        <v>349</v>
      </c>
      <c r="C68" s="509" t="s">
        <v>139</v>
      </c>
      <c r="D68" s="777">
        <v>4500161168</v>
      </c>
      <c r="E68" s="509">
        <v>10355376</v>
      </c>
      <c r="F68" s="778" t="s">
        <v>350</v>
      </c>
      <c r="G68" s="779" t="s">
        <v>93</v>
      </c>
      <c r="H68" s="509" t="s">
        <v>94</v>
      </c>
      <c r="I68" s="509">
        <v>540</v>
      </c>
      <c r="J68" s="509">
        <v>0</v>
      </c>
      <c r="K68" s="509">
        <v>4</v>
      </c>
      <c r="L68" s="780">
        <f t="shared" si="0"/>
        <v>135</v>
      </c>
      <c r="M68" s="781">
        <v>45807</v>
      </c>
      <c r="N68" s="781">
        <v>45803</v>
      </c>
      <c r="O68" s="782"/>
      <c r="P68" s="782" t="s">
        <v>103</v>
      </c>
      <c r="Q68" s="509"/>
      <c r="R68" s="784">
        <v>45772</v>
      </c>
      <c r="S68" s="784" t="s">
        <v>96</v>
      </c>
      <c r="T68" s="784">
        <v>45774</v>
      </c>
      <c r="U68" s="784"/>
      <c r="V68" s="784"/>
      <c r="W68" s="776" t="s">
        <v>351</v>
      </c>
      <c r="X68" s="781" t="s">
        <v>352</v>
      </c>
      <c r="Y68" s="785">
        <v>5</v>
      </c>
      <c r="Z68" s="786">
        <f t="shared" si="9"/>
        <v>2700</v>
      </c>
      <c r="AA68" s="509"/>
      <c r="AB68" s="509" t="s">
        <v>141</v>
      </c>
      <c r="AC68" s="509" t="s">
        <v>76</v>
      </c>
      <c r="AD68" s="509"/>
      <c r="AE68" s="635" t="s">
        <v>69</v>
      </c>
      <c r="AF68" s="635"/>
      <c r="AG68" s="788">
        <v>540</v>
      </c>
      <c r="AH68" s="782">
        <f t="shared" si="6"/>
        <v>0</v>
      </c>
      <c r="AI68" s="509"/>
      <c r="AJ68" s="509"/>
      <c r="AK68" s="509"/>
      <c r="AL68" s="777">
        <f t="shared" si="15"/>
        <v>540</v>
      </c>
      <c r="AM68" s="656"/>
      <c r="AN68" s="656"/>
      <c r="AO68" s="656"/>
      <c r="AP68" s="777"/>
      <c r="AQ68" s="656">
        <f>I68</f>
        <v>540</v>
      </c>
      <c r="AR68" s="777">
        <f t="shared" si="16"/>
        <v>540</v>
      </c>
      <c r="AS68" s="777"/>
      <c r="AT68" s="777">
        <f t="shared" si="10"/>
        <v>540</v>
      </c>
      <c r="AU68" s="777"/>
      <c r="AV68" s="778"/>
      <c r="AW68" s="778"/>
      <c r="AX68" s="778"/>
      <c r="AY68" s="778"/>
      <c r="AZ68" s="778"/>
      <c r="BA68" s="778"/>
      <c r="BB68" s="778"/>
      <c r="BC68" s="778"/>
      <c r="BD68" s="778"/>
      <c r="BE68" s="777">
        <f>I68/4</f>
        <v>135</v>
      </c>
      <c r="BF68" s="778"/>
      <c r="BG68" s="778"/>
      <c r="BH68" s="778"/>
      <c r="BI68" s="778"/>
      <c r="BJ68" s="778"/>
      <c r="BK68" s="778"/>
      <c r="BL68" s="778"/>
      <c r="BM68" s="778"/>
    </row>
    <row r="69" s="771" customFormat="1" ht="31" hidden="1" customHeight="1" spans="1:65">
      <c r="A69" s="775">
        <v>45744</v>
      </c>
      <c r="B69" s="776" t="s">
        <v>128</v>
      </c>
      <c r="C69" s="509" t="s">
        <v>90</v>
      </c>
      <c r="D69" s="777">
        <v>4500161764</v>
      </c>
      <c r="E69" s="886" t="s">
        <v>353</v>
      </c>
      <c r="F69" s="778" t="s">
        <v>354</v>
      </c>
      <c r="G69" s="779" t="s">
        <v>93</v>
      </c>
      <c r="H69" s="509" t="s">
        <v>94</v>
      </c>
      <c r="I69" s="509">
        <v>1104</v>
      </c>
      <c r="J69" s="509">
        <v>0</v>
      </c>
      <c r="K69" s="509">
        <v>4</v>
      </c>
      <c r="L69" s="780">
        <f t="shared" si="0"/>
        <v>276</v>
      </c>
      <c r="M69" s="781">
        <v>45807</v>
      </c>
      <c r="N69" s="781">
        <v>45803</v>
      </c>
      <c r="O69" s="782" t="s">
        <v>328</v>
      </c>
      <c r="P69" s="782" t="s">
        <v>103</v>
      </c>
      <c r="Q69" s="509"/>
      <c r="R69" s="784" t="s">
        <v>132</v>
      </c>
      <c r="S69" s="784" t="s">
        <v>66</v>
      </c>
      <c r="T69" s="784" t="s">
        <v>329</v>
      </c>
      <c r="U69" s="683" t="s">
        <v>133</v>
      </c>
      <c r="V69" s="784"/>
      <c r="W69" s="776" t="s">
        <v>134</v>
      </c>
      <c r="X69" s="781" t="s">
        <v>98</v>
      </c>
      <c r="Y69" s="785">
        <v>5</v>
      </c>
      <c r="Z69" s="786">
        <f t="shared" si="9"/>
        <v>5520</v>
      </c>
      <c r="AA69" s="509"/>
      <c r="AB69" s="509" t="s">
        <v>93</v>
      </c>
      <c r="AC69" s="509" t="s">
        <v>76</v>
      </c>
      <c r="AD69" s="509"/>
      <c r="AE69" s="635" t="s">
        <v>69</v>
      </c>
      <c r="AF69" s="635"/>
      <c r="AG69" s="788">
        <v>1104</v>
      </c>
      <c r="AH69" s="782">
        <f t="shared" si="6"/>
        <v>0</v>
      </c>
      <c r="AI69" s="509"/>
      <c r="AJ69" s="509"/>
      <c r="AK69" s="509"/>
      <c r="AL69" s="777">
        <f t="shared" si="15"/>
        <v>1104</v>
      </c>
      <c r="AM69" s="656"/>
      <c r="AN69" s="656"/>
      <c r="AO69" s="656"/>
      <c r="AP69" s="777">
        <f>I69</f>
        <v>1104</v>
      </c>
      <c r="AQ69" s="656"/>
      <c r="AR69" s="777">
        <f t="shared" si="16"/>
        <v>1104</v>
      </c>
      <c r="AS69" s="777"/>
      <c r="AT69" s="777">
        <f t="shared" si="10"/>
        <v>1104</v>
      </c>
      <c r="AU69" s="777"/>
      <c r="AV69" s="778"/>
      <c r="AW69" s="778"/>
      <c r="AX69" s="778"/>
      <c r="AY69" s="778"/>
      <c r="AZ69" s="778"/>
      <c r="BA69" s="778"/>
      <c r="BB69" s="778"/>
      <c r="BC69" s="778"/>
      <c r="BD69" s="777">
        <f>I69/4</f>
        <v>276</v>
      </c>
      <c r="BE69" s="778"/>
      <c r="BF69" s="778"/>
      <c r="BG69" s="778"/>
      <c r="BH69" s="778"/>
      <c r="BI69" s="778"/>
      <c r="BJ69" s="778"/>
      <c r="BK69" s="778"/>
      <c r="BL69" s="778"/>
      <c r="BM69" s="778"/>
    </row>
    <row r="70" s="771" customFormat="1" ht="31" hidden="1" customHeight="1" spans="1:65">
      <c r="A70" s="775">
        <v>45758</v>
      </c>
      <c r="B70" s="776" t="s">
        <v>355</v>
      </c>
      <c r="C70" s="509" t="s">
        <v>356</v>
      </c>
      <c r="D70" s="777">
        <v>4500163040</v>
      </c>
      <c r="E70" s="509"/>
      <c r="F70" s="778" t="s">
        <v>357</v>
      </c>
      <c r="G70" s="779" t="s">
        <v>64</v>
      </c>
      <c r="H70" s="509" t="s">
        <v>65</v>
      </c>
      <c r="I70" s="509">
        <v>240</v>
      </c>
      <c r="J70" s="509">
        <v>0</v>
      </c>
      <c r="K70" s="509">
        <v>12</v>
      </c>
      <c r="L70" s="780">
        <f t="shared" ref="L70:L133" si="17">I70/K70</f>
        <v>20</v>
      </c>
      <c r="M70" s="781">
        <v>45807</v>
      </c>
      <c r="N70" s="781">
        <v>45803</v>
      </c>
      <c r="O70" s="782"/>
      <c r="P70" s="782" t="s">
        <v>103</v>
      </c>
      <c r="Q70" s="509"/>
      <c r="R70" s="784">
        <v>45758</v>
      </c>
      <c r="S70" s="784" t="s">
        <v>66</v>
      </c>
      <c r="T70" s="784">
        <v>45761</v>
      </c>
      <c r="U70" s="784"/>
      <c r="V70" s="784"/>
      <c r="W70" s="776" t="s">
        <v>358</v>
      </c>
      <c r="X70" s="781" t="s">
        <v>359</v>
      </c>
      <c r="Y70" s="785">
        <v>4.1</v>
      </c>
      <c r="Z70" s="786">
        <f t="shared" si="9"/>
        <v>984</v>
      </c>
      <c r="AA70" s="509"/>
      <c r="AB70" s="509" t="s">
        <v>165</v>
      </c>
      <c r="AC70" s="509" t="s">
        <v>76</v>
      </c>
      <c r="AD70" s="509"/>
      <c r="AE70" s="635" t="s">
        <v>69</v>
      </c>
      <c r="AF70" s="635"/>
      <c r="AG70" s="788">
        <v>240</v>
      </c>
      <c r="AH70" s="782">
        <f t="shared" si="6"/>
        <v>0</v>
      </c>
      <c r="AI70" s="509"/>
      <c r="AJ70" s="509"/>
      <c r="AK70" s="509"/>
      <c r="AL70" s="777">
        <f t="shared" si="15"/>
        <v>240</v>
      </c>
      <c r="AM70" s="656"/>
      <c r="AN70" s="656"/>
      <c r="AO70" s="656"/>
      <c r="AP70" s="777"/>
      <c r="AQ70" s="656">
        <f>I70</f>
        <v>240</v>
      </c>
      <c r="AR70" s="777">
        <f t="shared" si="16"/>
        <v>240</v>
      </c>
      <c r="AS70" s="777"/>
      <c r="AT70" s="777">
        <f t="shared" si="10"/>
        <v>240</v>
      </c>
      <c r="AU70" s="777"/>
      <c r="AV70" s="778"/>
      <c r="AW70" s="778"/>
      <c r="AX70" s="778"/>
      <c r="AY70" s="778"/>
      <c r="AZ70" s="778"/>
      <c r="BA70" s="778"/>
      <c r="BB70" s="778"/>
      <c r="BC70" s="778"/>
      <c r="BD70" s="778"/>
      <c r="BE70" s="778"/>
      <c r="BF70" s="778"/>
      <c r="BG70" s="778"/>
      <c r="BH70" s="778"/>
      <c r="BI70" s="778"/>
      <c r="BJ70" s="778"/>
      <c r="BK70" s="778"/>
      <c r="BL70" s="778"/>
      <c r="BM70" s="778"/>
    </row>
    <row r="71" s="771" customFormat="1" ht="31" hidden="1" customHeight="1" spans="1:65">
      <c r="A71" s="775">
        <v>45758</v>
      </c>
      <c r="B71" s="776" t="s">
        <v>360</v>
      </c>
      <c r="C71" s="509" t="s">
        <v>249</v>
      </c>
      <c r="D71" s="777">
        <v>4500163218</v>
      </c>
      <c r="E71" s="509" t="s">
        <v>361</v>
      </c>
      <c r="F71" s="778" t="s">
        <v>362</v>
      </c>
      <c r="G71" s="779" t="s">
        <v>64</v>
      </c>
      <c r="H71" s="509" t="s">
        <v>65</v>
      </c>
      <c r="I71" s="509">
        <v>156</v>
      </c>
      <c r="J71" s="509">
        <v>0</v>
      </c>
      <c r="K71" s="509">
        <v>12</v>
      </c>
      <c r="L71" s="780">
        <f t="shared" si="17"/>
        <v>13</v>
      </c>
      <c r="M71" s="781">
        <v>45807</v>
      </c>
      <c r="N71" s="781">
        <v>45803</v>
      </c>
      <c r="O71" s="782"/>
      <c r="P71" s="782" t="s">
        <v>103</v>
      </c>
      <c r="Q71" s="509"/>
      <c r="R71" s="784">
        <v>45758</v>
      </c>
      <c r="S71" s="784" t="s">
        <v>66</v>
      </c>
      <c r="T71" s="784">
        <v>45775</v>
      </c>
      <c r="U71" s="784"/>
      <c r="V71" s="784"/>
      <c r="W71" s="776" t="s">
        <v>363</v>
      </c>
      <c r="X71" s="781" t="s">
        <v>364</v>
      </c>
      <c r="Y71" s="785">
        <v>4.1</v>
      </c>
      <c r="Z71" s="786">
        <f t="shared" si="9"/>
        <v>639.6</v>
      </c>
      <c r="AA71" s="509"/>
      <c r="AB71" s="509" t="s">
        <v>64</v>
      </c>
      <c r="AC71" s="509" t="s">
        <v>76</v>
      </c>
      <c r="AD71" s="509"/>
      <c r="AE71" s="635" t="s">
        <v>69</v>
      </c>
      <c r="AF71" s="635"/>
      <c r="AG71" s="788">
        <v>156</v>
      </c>
      <c r="AH71" s="782">
        <f t="shared" si="6"/>
        <v>0</v>
      </c>
      <c r="AI71" s="509"/>
      <c r="AJ71" s="509"/>
      <c r="AK71" s="509"/>
      <c r="AL71" s="777">
        <f t="shared" si="15"/>
        <v>156</v>
      </c>
      <c r="AM71" s="656"/>
      <c r="AN71" s="656"/>
      <c r="AO71" s="656"/>
      <c r="AP71" s="777">
        <f>I71</f>
        <v>156</v>
      </c>
      <c r="AQ71" s="656"/>
      <c r="AR71" s="777">
        <f t="shared" si="16"/>
        <v>156</v>
      </c>
      <c r="AS71" s="777"/>
      <c r="AT71" s="777">
        <f t="shared" si="10"/>
        <v>156</v>
      </c>
      <c r="AU71" s="777"/>
      <c r="AV71" s="778"/>
      <c r="AW71" s="778"/>
      <c r="AX71" s="778"/>
      <c r="AY71" s="778"/>
      <c r="AZ71" s="778"/>
      <c r="BA71" s="778"/>
      <c r="BB71" s="778"/>
      <c r="BC71" s="778"/>
      <c r="BD71" s="778"/>
      <c r="BE71" s="778"/>
      <c r="BF71" s="778"/>
      <c r="BG71" s="778"/>
      <c r="BH71" s="778"/>
      <c r="BI71" s="778"/>
      <c r="BJ71" s="778"/>
      <c r="BK71" s="778"/>
      <c r="BL71" s="778"/>
      <c r="BM71" s="778"/>
    </row>
    <row r="72" s="771" customFormat="1" ht="31" hidden="1" customHeight="1" spans="1:65">
      <c r="A72" s="775">
        <v>45772</v>
      </c>
      <c r="B72" s="776" t="s">
        <v>365</v>
      </c>
      <c r="C72" s="509" t="s">
        <v>366</v>
      </c>
      <c r="D72" s="777">
        <v>4500164781</v>
      </c>
      <c r="E72" s="509"/>
      <c r="F72" s="778" t="s">
        <v>367</v>
      </c>
      <c r="G72" s="779" t="s">
        <v>93</v>
      </c>
      <c r="H72" s="509" t="s">
        <v>94</v>
      </c>
      <c r="I72" s="509">
        <v>320</v>
      </c>
      <c r="J72" s="509">
        <v>0</v>
      </c>
      <c r="K72" s="509">
        <v>4</v>
      </c>
      <c r="L72" s="780">
        <f t="shared" si="17"/>
        <v>80</v>
      </c>
      <c r="M72" s="781">
        <v>45810</v>
      </c>
      <c r="N72" s="781">
        <v>45806</v>
      </c>
      <c r="O72" s="782"/>
      <c r="P72" s="782" t="s">
        <v>103</v>
      </c>
      <c r="Q72" s="509"/>
      <c r="R72" s="784">
        <v>45785</v>
      </c>
      <c r="S72" s="784" t="s">
        <v>66</v>
      </c>
      <c r="T72" s="784" t="s">
        <v>368</v>
      </c>
      <c r="U72" s="784"/>
      <c r="V72" s="784"/>
      <c r="W72" s="776" t="s">
        <v>369</v>
      </c>
      <c r="X72" s="781" t="s">
        <v>370</v>
      </c>
      <c r="Y72" s="785">
        <v>5.1</v>
      </c>
      <c r="Z72" s="786">
        <f t="shared" si="9"/>
        <v>1632</v>
      </c>
      <c r="AA72" s="509"/>
      <c r="AB72" s="509" t="s">
        <v>141</v>
      </c>
      <c r="AC72" s="509" t="s">
        <v>76</v>
      </c>
      <c r="AD72" s="509"/>
      <c r="AE72" s="635" t="s">
        <v>69</v>
      </c>
      <c r="AF72" s="635"/>
      <c r="AG72" s="788">
        <v>320</v>
      </c>
      <c r="AH72" s="782">
        <f t="shared" si="6"/>
        <v>0</v>
      </c>
      <c r="AI72" s="509"/>
      <c r="AJ72" s="509"/>
      <c r="AK72" s="509"/>
      <c r="AL72" s="777">
        <f t="shared" si="15"/>
        <v>320</v>
      </c>
      <c r="AM72" s="656"/>
      <c r="AN72" s="656"/>
      <c r="AO72" s="656"/>
      <c r="AP72" s="777"/>
      <c r="AQ72" s="656">
        <f>I72</f>
        <v>320</v>
      </c>
      <c r="AR72" s="777">
        <f t="shared" si="16"/>
        <v>320</v>
      </c>
      <c r="AS72" s="777"/>
      <c r="AT72" s="777">
        <f t="shared" si="10"/>
        <v>320</v>
      </c>
      <c r="AU72" s="777"/>
      <c r="AV72" s="778"/>
      <c r="AW72" s="778"/>
      <c r="AX72" s="778"/>
      <c r="AY72" s="778"/>
      <c r="AZ72" s="778"/>
      <c r="BA72" s="778"/>
      <c r="BB72" s="778"/>
      <c r="BC72" s="778"/>
      <c r="BD72" s="778"/>
      <c r="BE72" s="777">
        <f>I72/4</f>
        <v>80</v>
      </c>
      <c r="BF72" s="778"/>
      <c r="BG72" s="778"/>
      <c r="BH72" s="778"/>
      <c r="BI72" s="778"/>
      <c r="BJ72" s="778"/>
      <c r="BK72" s="778"/>
      <c r="BL72" s="778"/>
      <c r="BM72" s="778"/>
    </row>
    <row r="73" s="771" customFormat="1" ht="31" hidden="1" customHeight="1" spans="1:65">
      <c r="A73" s="775">
        <v>45763</v>
      </c>
      <c r="B73" s="776" t="s">
        <v>371</v>
      </c>
      <c r="C73" s="509" t="s">
        <v>216</v>
      </c>
      <c r="D73" s="777">
        <v>4500163205</v>
      </c>
      <c r="E73" s="509">
        <v>14675</v>
      </c>
      <c r="F73" s="778" t="s">
        <v>372</v>
      </c>
      <c r="G73" s="779" t="s">
        <v>93</v>
      </c>
      <c r="H73" s="509" t="s">
        <v>94</v>
      </c>
      <c r="I73" s="509">
        <v>12</v>
      </c>
      <c r="J73" s="509">
        <v>0</v>
      </c>
      <c r="K73" s="509">
        <v>4</v>
      </c>
      <c r="L73" s="780">
        <f t="shared" si="17"/>
        <v>3</v>
      </c>
      <c r="M73" s="781">
        <v>45811</v>
      </c>
      <c r="N73" s="781">
        <v>45807</v>
      </c>
      <c r="O73" s="782"/>
      <c r="P73" s="782" t="s">
        <v>103</v>
      </c>
      <c r="Q73" s="509"/>
      <c r="R73" s="784">
        <v>45763</v>
      </c>
      <c r="S73" s="784" t="s">
        <v>66</v>
      </c>
      <c r="T73" s="784">
        <v>45789</v>
      </c>
      <c r="U73" s="784"/>
      <c r="V73" s="784"/>
      <c r="W73" s="776" t="s">
        <v>373</v>
      </c>
      <c r="X73" s="781" t="s">
        <v>269</v>
      </c>
      <c r="Y73" s="785">
        <v>5.1</v>
      </c>
      <c r="Z73" s="786">
        <f t="shared" si="9"/>
        <v>61.2</v>
      </c>
      <c r="AA73" s="509"/>
      <c r="AB73" s="509" t="s">
        <v>141</v>
      </c>
      <c r="AC73" s="509" t="s">
        <v>76</v>
      </c>
      <c r="AD73" s="509"/>
      <c r="AE73" s="635" t="s">
        <v>69</v>
      </c>
      <c r="AF73" s="635"/>
      <c r="AG73" s="788">
        <v>12</v>
      </c>
      <c r="AH73" s="782">
        <f t="shared" ref="AH73:AH92" si="18">AG73-I73</f>
        <v>0</v>
      </c>
      <c r="AI73" s="509"/>
      <c r="AJ73" s="509"/>
      <c r="AK73" s="509"/>
      <c r="AL73" s="777">
        <f t="shared" si="15"/>
        <v>12</v>
      </c>
      <c r="AM73" s="656"/>
      <c r="AN73" s="656"/>
      <c r="AO73" s="656"/>
      <c r="AP73" s="777"/>
      <c r="AQ73" s="656">
        <f>I73</f>
        <v>12</v>
      </c>
      <c r="AR73" s="777">
        <f t="shared" si="16"/>
        <v>12</v>
      </c>
      <c r="AS73" s="777"/>
      <c r="AT73" s="777">
        <f t="shared" si="10"/>
        <v>12</v>
      </c>
      <c r="AU73" s="777"/>
      <c r="AV73" s="778"/>
      <c r="AW73" s="778"/>
      <c r="AX73" s="778"/>
      <c r="AY73" s="778"/>
      <c r="AZ73" s="778"/>
      <c r="BA73" s="778"/>
      <c r="BB73" s="778"/>
      <c r="BC73" s="778"/>
      <c r="BD73" s="778"/>
      <c r="BE73" s="777">
        <f>I73/4</f>
        <v>3</v>
      </c>
      <c r="BF73" s="778"/>
      <c r="BG73" s="778"/>
      <c r="BH73" s="778"/>
      <c r="BI73" s="778"/>
      <c r="BJ73" s="778"/>
      <c r="BK73" s="778"/>
      <c r="BL73" s="778"/>
      <c r="BM73" s="778"/>
    </row>
    <row r="74" s="771" customFormat="1" ht="31" hidden="1" customHeight="1" spans="1:65">
      <c r="A74" s="775">
        <v>45763</v>
      </c>
      <c r="B74" s="776" t="s">
        <v>371</v>
      </c>
      <c r="C74" s="509" t="s">
        <v>216</v>
      </c>
      <c r="D74" s="777">
        <v>4500163205</v>
      </c>
      <c r="E74" s="509">
        <v>14675</v>
      </c>
      <c r="F74" s="778" t="s">
        <v>374</v>
      </c>
      <c r="G74" s="779" t="s">
        <v>64</v>
      </c>
      <c r="H74" s="509" t="s">
        <v>65</v>
      </c>
      <c r="I74" s="509">
        <v>300</v>
      </c>
      <c r="J74" s="509">
        <v>0</v>
      </c>
      <c r="K74" s="509">
        <v>12</v>
      </c>
      <c r="L74" s="780">
        <f t="shared" si="17"/>
        <v>25</v>
      </c>
      <c r="M74" s="781">
        <v>45811</v>
      </c>
      <c r="N74" s="781">
        <v>45807</v>
      </c>
      <c r="O74" s="782"/>
      <c r="P74" s="782" t="s">
        <v>103</v>
      </c>
      <c r="Q74" s="509"/>
      <c r="R74" s="784">
        <v>45763</v>
      </c>
      <c r="S74" s="784" t="s">
        <v>66</v>
      </c>
      <c r="T74" s="784">
        <v>45789</v>
      </c>
      <c r="U74" s="784"/>
      <c r="V74" s="784"/>
      <c r="W74" s="776" t="s">
        <v>375</v>
      </c>
      <c r="X74" s="781" t="s">
        <v>269</v>
      </c>
      <c r="Y74" s="785">
        <v>4.1</v>
      </c>
      <c r="Z74" s="786">
        <f t="shared" si="9"/>
        <v>1230</v>
      </c>
      <c r="AA74" s="509"/>
      <c r="AB74" s="509" t="s">
        <v>165</v>
      </c>
      <c r="AC74" s="509" t="s">
        <v>76</v>
      </c>
      <c r="AD74" s="509"/>
      <c r="AE74" s="635" t="s">
        <v>69</v>
      </c>
      <c r="AF74" s="635"/>
      <c r="AG74" s="788">
        <v>300</v>
      </c>
      <c r="AH74" s="782">
        <f t="shared" si="18"/>
        <v>0</v>
      </c>
      <c r="AI74" s="509"/>
      <c r="AJ74" s="509"/>
      <c r="AK74" s="509"/>
      <c r="AL74" s="777">
        <f t="shared" si="15"/>
        <v>300</v>
      </c>
      <c r="AM74" s="656"/>
      <c r="AN74" s="656"/>
      <c r="AO74" s="656"/>
      <c r="AP74" s="777"/>
      <c r="AQ74" s="656">
        <f>I74</f>
        <v>300</v>
      </c>
      <c r="AR74" s="777">
        <f t="shared" si="16"/>
        <v>300</v>
      </c>
      <c r="AS74" s="777"/>
      <c r="AT74" s="777">
        <f t="shared" si="10"/>
        <v>300</v>
      </c>
      <c r="AU74" s="777"/>
      <c r="AV74" s="778"/>
      <c r="AW74" s="778"/>
      <c r="AX74" s="778"/>
      <c r="AY74" s="778"/>
      <c r="AZ74" s="778"/>
      <c r="BA74" s="778"/>
      <c r="BB74" s="778"/>
      <c r="BC74" s="778"/>
      <c r="BD74" s="778"/>
      <c r="BE74" s="778"/>
      <c r="BF74" s="778"/>
      <c r="BG74" s="778"/>
      <c r="BH74" s="778"/>
      <c r="BI74" s="778"/>
      <c r="BJ74" s="778"/>
      <c r="BK74" s="778"/>
      <c r="BL74" s="778"/>
      <c r="BM74" s="778"/>
    </row>
    <row r="75" s="771" customFormat="1" ht="31" hidden="1" customHeight="1" spans="1:65">
      <c r="A75" s="775">
        <v>45765</v>
      </c>
      <c r="B75" s="776" t="s">
        <v>376</v>
      </c>
      <c r="C75" s="509" t="s">
        <v>377</v>
      </c>
      <c r="D75" s="777">
        <v>4500164226</v>
      </c>
      <c r="E75" s="509" t="s">
        <v>378</v>
      </c>
      <c r="F75" s="778" t="s">
        <v>379</v>
      </c>
      <c r="G75" s="779" t="s">
        <v>93</v>
      </c>
      <c r="H75" s="509" t="s">
        <v>94</v>
      </c>
      <c r="I75" s="509">
        <v>960</v>
      </c>
      <c r="J75" s="509">
        <v>0</v>
      </c>
      <c r="K75" s="509">
        <v>4</v>
      </c>
      <c r="L75" s="780">
        <f t="shared" si="17"/>
        <v>240</v>
      </c>
      <c r="M75" s="781">
        <v>45811</v>
      </c>
      <c r="N75" s="781">
        <v>45807</v>
      </c>
      <c r="O75" s="782"/>
      <c r="P75" s="782" t="s">
        <v>103</v>
      </c>
      <c r="Q75" s="509"/>
      <c r="R75" s="784">
        <v>45772</v>
      </c>
      <c r="S75" s="784" t="s">
        <v>66</v>
      </c>
      <c r="T75" s="784">
        <v>45786</v>
      </c>
      <c r="U75" s="784"/>
      <c r="V75" s="784"/>
      <c r="W75" s="776" t="s">
        <v>380</v>
      </c>
      <c r="X75" s="781" t="s">
        <v>381</v>
      </c>
      <c r="Y75" s="785">
        <v>5</v>
      </c>
      <c r="Z75" s="786">
        <f t="shared" si="9"/>
        <v>4800</v>
      </c>
      <c r="AA75" s="509"/>
      <c r="AB75" s="509" t="s">
        <v>141</v>
      </c>
      <c r="AC75" s="509" t="s">
        <v>76</v>
      </c>
      <c r="AD75" s="509"/>
      <c r="AE75" s="635" t="s">
        <v>69</v>
      </c>
      <c r="AF75" s="635"/>
      <c r="AG75" s="788">
        <v>960</v>
      </c>
      <c r="AH75" s="782">
        <f t="shared" si="18"/>
        <v>0</v>
      </c>
      <c r="AI75" s="509"/>
      <c r="AJ75" s="509"/>
      <c r="AK75" s="509"/>
      <c r="AL75" s="777">
        <f t="shared" si="15"/>
        <v>960</v>
      </c>
      <c r="AM75" s="656"/>
      <c r="AN75" s="656"/>
      <c r="AO75" s="656"/>
      <c r="AP75" s="777"/>
      <c r="AQ75" s="656">
        <f>I75</f>
        <v>960</v>
      </c>
      <c r="AR75" s="777">
        <f t="shared" si="16"/>
        <v>960</v>
      </c>
      <c r="AS75" s="777"/>
      <c r="AT75" s="777">
        <f t="shared" si="10"/>
        <v>960</v>
      </c>
      <c r="AU75" s="777"/>
      <c r="AV75" s="778"/>
      <c r="AW75" s="778"/>
      <c r="AX75" s="778"/>
      <c r="AY75" s="778"/>
      <c r="AZ75" s="778"/>
      <c r="BA75" s="778"/>
      <c r="BB75" s="778"/>
      <c r="BC75" s="778"/>
      <c r="BD75" s="778"/>
      <c r="BE75" s="777">
        <f>I75/4</f>
        <v>240</v>
      </c>
      <c r="BF75" s="778"/>
      <c r="BG75" s="778"/>
      <c r="BH75" s="778"/>
      <c r="BI75" s="778"/>
      <c r="BJ75" s="778"/>
      <c r="BK75" s="778"/>
      <c r="BL75" s="778"/>
      <c r="BM75" s="778"/>
    </row>
    <row r="76" s="771" customFormat="1" ht="31" hidden="1" customHeight="1" spans="1:65">
      <c r="A76" s="775">
        <v>45761</v>
      </c>
      <c r="B76" s="776" t="s">
        <v>382</v>
      </c>
      <c r="C76" s="509" t="s">
        <v>71</v>
      </c>
      <c r="D76" s="777">
        <v>4500163518</v>
      </c>
      <c r="E76" s="509">
        <v>3006</v>
      </c>
      <c r="F76" s="778" t="s">
        <v>383</v>
      </c>
      <c r="G76" s="779" t="s">
        <v>118</v>
      </c>
      <c r="H76" s="509" t="s">
        <v>119</v>
      </c>
      <c r="I76" s="509">
        <v>504</v>
      </c>
      <c r="J76" s="509">
        <v>0</v>
      </c>
      <c r="K76" s="509">
        <v>6</v>
      </c>
      <c r="L76" s="780">
        <f t="shared" si="17"/>
        <v>84</v>
      </c>
      <c r="M76" s="781">
        <v>45813</v>
      </c>
      <c r="N76" s="781">
        <v>45810</v>
      </c>
      <c r="O76" s="782"/>
      <c r="P76" s="782" t="s">
        <v>103</v>
      </c>
      <c r="Q76" s="509"/>
      <c r="R76" s="784">
        <v>45761</v>
      </c>
      <c r="S76" s="784" t="s">
        <v>66</v>
      </c>
      <c r="T76" s="784">
        <v>45768</v>
      </c>
      <c r="U76" s="784"/>
      <c r="V76" s="784"/>
      <c r="W76" s="776" t="s">
        <v>384</v>
      </c>
      <c r="X76" s="781" t="s">
        <v>75</v>
      </c>
      <c r="Y76" s="785">
        <v>4.2099</v>
      </c>
      <c r="Z76" s="786">
        <f t="shared" si="9"/>
        <v>2121.7896</v>
      </c>
      <c r="AA76" s="509"/>
      <c r="AB76" s="509" t="s">
        <v>118</v>
      </c>
      <c r="AC76" s="509" t="s">
        <v>76</v>
      </c>
      <c r="AD76" s="509"/>
      <c r="AE76" s="635" t="s">
        <v>69</v>
      </c>
      <c r="AF76" s="635"/>
      <c r="AG76" s="788">
        <v>504</v>
      </c>
      <c r="AH76" s="782">
        <f t="shared" si="18"/>
        <v>0</v>
      </c>
      <c r="AI76" s="509"/>
      <c r="AJ76" s="509"/>
      <c r="AK76" s="509"/>
      <c r="AL76" s="777">
        <f t="shared" si="15"/>
        <v>504</v>
      </c>
      <c r="AM76" s="656"/>
      <c r="AN76" s="656"/>
      <c r="AO76" s="656"/>
      <c r="AP76" s="777">
        <f>I76</f>
        <v>504</v>
      </c>
      <c r="AQ76" s="656"/>
      <c r="AR76" s="777">
        <f t="shared" si="16"/>
        <v>504</v>
      </c>
      <c r="AS76" s="777"/>
      <c r="AT76" s="777">
        <f t="shared" si="10"/>
        <v>504</v>
      </c>
      <c r="AU76" s="777"/>
      <c r="AV76" s="778"/>
      <c r="AW76" s="778"/>
      <c r="AX76" s="778"/>
      <c r="AY76" s="778"/>
      <c r="AZ76" s="778"/>
      <c r="BA76" s="778"/>
      <c r="BB76" s="778"/>
      <c r="BC76" s="778"/>
      <c r="BD76" s="778"/>
      <c r="BE76" s="778"/>
      <c r="BF76" s="778"/>
      <c r="BG76" s="778"/>
      <c r="BH76" s="778"/>
      <c r="BI76" s="778"/>
      <c r="BJ76" s="778"/>
      <c r="BK76" s="778"/>
      <c r="BL76" s="778"/>
      <c r="BM76" s="778"/>
    </row>
    <row r="77" s="771" customFormat="1" ht="31" hidden="1" customHeight="1" spans="1:65">
      <c r="A77" s="775">
        <v>45756</v>
      </c>
      <c r="B77" s="776" t="s">
        <v>122</v>
      </c>
      <c r="C77" s="509" t="s">
        <v>116</v>
      </c>
      <c r="D77" s="777">
        <v>4500162968</v>
      </c>
      <c r="E77" s="509">
        <v>20768339</v>
      </c>
      <c r="F77" s="778" t="s">
        <v>385</v>
      </c>
      <c r="G77" s="779" t="s">
        <v>64</v>
      </c>
      <c r="H77" s="509" t="s">
        <v>65</v>
      </c>
      <c r="I77" s="509">
        <v>1500</v>
      </c>
      <c r="J77" s="509">
        <v>0</v>
      </c>
      <c r="K77" s="509">
        <v>12</v>
      </c>
      <c r="L77" s="780">
        <f t="shared" si="17"/>
        <v>125</v>
      </c>
      <c r="M77" s="781">
        <v>45803</v>
      </c>
      <c r="N77" s="781">
        <v>45799</v>
      </c>
      <c r="O77" s="782"/>
      <c r="P77" s="782" t="s">
        <v>103</v>
      </c>
      <c r="Q77" s="509"/>
      <c r="R77" s="784">
        <v>45769</v>
      </c>
      <c r="S77" s="784" t="s">
        <v>96</v>
      </c>
      <c r="T77" s="784">
        <v>45783</v>
      </c>
      <c r="U77" s="784"/>
      <c r="V77" s="784"/>
      <c r="W77" s="776" t="s">
        <v>386</v>
      </c>
      <c r="X77" s="781" t="s">
        <v>121</v>
      </c>
      <c r="Y77" s="785">
        <v>4.19</v>
      </c>
      <c r="Z77" s="786">
        <f t="shared" si="9"/>
        <v>6285</v>
      </c>
      <c r="AA77" s="509"/>
      <c r="AB77" s="509" t="s">
        <v>64</v>
      </c>
      <c r="AC77" s="509" t="s">
        <v>76</v>
      </c>
      <c r="AD77" s="509"/>
      <c r="AE77" s="635" t="s">
        <v>69</v>
      </c>
      <c r="AF77" s="635"/>
      <c r="AG77" s="788">
        <v>1500</v>
      </c>
      <c r="AH77" s="782">
        <f t="shared" si="18"/>
        <v>0</v>
      </c>
      <c r="AI77" s="509"/>
      <c r="AJ77" s="509"/>
      <c r="AK77" s="509"/>
      <c r="AL77" s="777">
        <f t="shared" si="15"/>
        <v>1500</v>
      </c>
      <c r="AM77" s="656"/>
      <c r="AN77" s="656"/>
      <c r="AO77" s="656"/>
      <c r="AP77" s="777">
        <f>I77</f>
        <v>1500</v>
      </c>
      <c r="AQ77" s="656"/>
      <c r="AR77" s="777">
        <f t="shared" si="16"/>
        <v>1500</v>
      </c>
      <c r="AS77" s="777"/>
      <c r="AT77" s="777">
        <f t="shared" si="10"/>
        <v>1500</v>
      </c>
      <c r="AU77" s="777"/>
      <c r="AV77" s="778"/>
      <c r="AW77" s="778"/>
      <c r="AX77" s="778"/>
      <c r="AY77" s="778"/>
      <c r="AZ77" s="778"/>
      <c r="BA77" s="778"/>
      <c r="BB77" s="778"/>
      <c r="BC77" s="778"/>
      <c r="BD77" s="778"/>
      <c r="BE77" s="778"/>
      <c r="BF77" s="778"/>
      <c r="BG77" s="778"/>
      <c r="BH77" s="778"/>
      <c r="BI77" s="778"/>
      <c r="BJ77" s="778"/>
      <c r="BK77" s="778"/>
      <c r="BL77" s="778"/>
      <c r="BM77" s="778"/>
    </row>
    <row r="78" s="771" customFormat="1" ht="31" hidden="1" customHeight="1" spans="1:65">
      <c r="A78" s="775">
        <v>45791</v>
      </c>
      <c r="B78" s="776"/>
      <c r="C78" s="509"/>
      <c r="D78" s="777" t="s">
        <v>387</v>
      </c>
      <c r="E78" s="509"/>
      <c r="F78" s="778"/>
      <c r="G78" s="779" t="s">
        <v>64</v>
      </c>
      <c r="H78" s="509" t="s">
        <v>65</v>
      </c>
      <c r="I78" s="509">
        <v>168</v>
      </c>
      <c r="J78" s="509">
        <v>0</v>
      </c>
      <c r="K78" s="509">
        <v>12</v>
      </c>
      <c r="L78" s="780">
        <f t="shared" si="17"/>
        <v>14</v>
      </c>
      <c r="M78" s="781">
        <v>45806</v>
      </c>
      <c r="N78" s="781">
        <v>45803</v>
      </c>
      <c r="O78" s="782"/>
      <c r="P78" s="782" t="s">
        <v>103</v>
      </c>
      <c r="Q78" s="509"/>
      <c r="R78" s="784">
        <v>45791</v>
      </c>
      <c r="S78" s="784" t="s">
        <v>66</v>
      </c>
      <c r="T78" s="784" t="s">
        <v>66</v>
      </c>
      <c r="U78" s="784"/>
      <c r="V78" s="784"/>
      <c r="W78" s="776" t="s">
        <v>78</v>
      </c>
      <c r="X78" s="781" t="s">
        <v>85</v>
      </c>
      <c r="Y78" s="785"/>
      <c r="Z78" s="786"/>
      <c r="AA78" s="509" t="s">
        <v>388</v>
      </c>
      <c r="AB78" s="509" t="s">
        <v>64</v>
      </c>
      <c r="AC78" s="509" t="s">
        <v>76</v>
      </c>
      <c r="AD78" s="509"/>
      <c r="AE78" s="635" t="s">
        <v>69</v>
      </c>
      <c r="AF78" s="635"/>
      <c r="AG78" s="788">
        <v>168</v>
      </c>
      <c r="AH78" s="782">
        <f t="shared" si="18"/>
        <v>0</v>
      </c>
      <c r="AI78" s="509"/>
      <c r="AJ78" s="509"/>
      <c r="AK78" s="509"/>
      <c r="AL78" s="777">
        <f t="shared" si="15"/>
        <v>168</v>
      </c>
      <c r="AM78" s="656"/>
      <c r="AN78" s="656"/>
      <c r="AO78" s="656"/>
      <c r="AP78" s="777">
        <f>I78</f>
        <v>168</v>
      </c>
      <c r="AQ78" s="656"/>
      <c r="AR78" s="777">
        <f t="shared" si="16"/>
        <v>168</v>
      </c>
      <c r="AS78" s="777"/>
      <c r="AT78" s="777">
        <f t="shared" si="10"/>
        <v>168</v>
      </c>
      <c r="AU78" s="777"/>
      <c r="AV78" s="778"/>
      <c r="AW78" s="778"/>
      <c r="AX78" s="778"/>
      <c r="AY78" s="778"/>
      <c r="AZ78" s="778"/>
      <c r="BA78" s="778"/>
      <c r="BB78" s="778"/>
      <c r="BC78" s="778"/>
      <c r="BD78" s="778"/>
      <c r="BE78" s="778"/>
      <c r="BF78" s="778"/>
      <c r="BG78" s="778"/>
      <c r="BH78" s="778"/>
      <c r="BI78" s="778"/>
      <c r="BJ78" s="778"/>
      <c r="BK78" s="778"/>
      <c r="BL78" s="778"/>
      <c r="BM78" s="778"/>
    </row>
    <row r="79" s="771" customFormat="1" ht="31" hidden="1" customHeight="1" spans="1:65">
      <c r="A79" s="775">
        <v>45764</v>
      </c>
      <c r="B79" s="776" t="s">
        <v>270</v>
      </c>
      <c r="C79" s="509" t="s">
        <v>271</v>
      </c>
      <c r="D79" s="777">
        <v>4500163334</v>
      </c>
      <c r="E79" s="509">
        <v>5200006584</v>
      </c>
      <c r="F79" s="778" t="s">
        <v>389</v>
      </c>
      <c r="G79" s="779" t="s">
        <v>141</v>
      </c>
      <c r="H79" s="509" t="s">
        <v>94</v>
      </c>
      <c r="I79" s="509">
        <v>6700</v>
      </c>
      <c r="J79" s="509">
        <v>0</v>
      </c>
      <c r="K79" s="509">
        <v>4</v>
      </c>
      <c r="L79" s="780">
        <f t="shared" si="17"/>
        <v>1675</v>
      </c>
      <c r="M79" s="781">
        <v>45808</v>
      </c>
      <c r="N79" s="781">
        <v>45804</v>
      </c>
      <c r="O79" s="782"/>
      <c r="P79" s="782" t="s">
        <v>103</v>
      </c>
      <c r="Q79" s="509"/>
      <c r="R79" s="784">
        <v>45768</v>
      </c>
      <c r="S79" s="784" t="s">
        <v>66</v>
      </c>
      <c r="T79" s="784" t="s">
        <v>368</v>
      </c>
      <c r="U79" s="784"/>
      <c r="V79" s="784"/>
      <c r="W79" s="776" t="s">
        <v>390</v>
      </c>
      <c r="X79" s="781" t="s">
        <v>391</v>
      </c>
      <c r="Y79" s="785">
        <v>5.03</v>
      </c>
      <c r="Z79" s="786">
        <f t="shared" ref="Z79:Z84" si="19">Y79*I79</f>
        <v>33701</v>
      </c>
      <c r="AA79" s="509"/>
      <c r="AB79" s="509" t="s">
        <v>141</v>
      </c>
      <c r="AC79" s="509" t="s">
        <v>76</v>
      </c>
      <c r="AD79" s="509"/>
      <c r="AE79" s="635" t="s">
        <v>69</v>
      </c>
      <c r="AF79" s="635"/>
      <c r="AG79" s="788">
        <f>20+6680</f>
        <v>6700</v>
      </c>
      <c r="AH79" s="782">
        <f t="shared" si="18"/>
        <v>0</v>
      </c>
      <c r="AI79" s="509"/>
      <c r="AJ79" s="509"/>
      <c r="AK79" s="509"/>
      <c r="AL79" s="777">
        <f t="shared" si="15"/>
        <v>6700</v>
      </c>
      <c r="AM79" s="656"/>
      <c r="AN79" s="656"/>
      <c r="AO79" s="656"/>
      <c r="AP79" s="777"/>
      <c r="AQ79" s="656">
        <f>I79</f>
        <v>6700</v>
      </c>
      <c r="AR79" s="777">
        <f t="shared" si="16"/>
        <v>6700</v>
      </c>
      <c r="AS79" s="777"/>
      <c r="AT79" s="777">
        <f t="shared" si="10"/>
        <v>6700</v>
      </c>
      <c r="AU79" s="777"/>
      <c r="AV79" s="778"/>
      <c r="AW79" s="778"/>
      <c r="AX79" s="778"/>
      <c r="AY79" s="778"/>
      <c r="AZ79" s="778"/>
      <c r="BA79" s="778"/>
      <c r="BB79" s="778"/>
      <c r="BC79" s="778"/>
      <c r="BD79" s="778"/>
      <c r="BE79" s="777">
        <f>I79/4</f>
        <v>1675</v>
      </c>
      <c r="BF79" s="778"/>
      <c r="BG79" s="778"/>
      <c r="BH79" s="778"/>
      <c r="BI79" s="778"/>
      <c r="BJ79" s="778"/>
      <c r="BK79" s="778"/>
      <c r="BL79" s="778"/>
      <c r="BM79" s="778"/>
    </row>
    <row r="80" s="771" customFormat="1" ht="31" hidden="1" customHeight="1" spans="1:65">
      <c r="A80" s="775">
        <v>45765</v>
      </c>
      <c r="B80" s="776" t="s">
        <v>392</v>
      </c>
      <c r="C80" s="509" t="s">
        <v>366</v>
      </c>
      <c r="D80" s="777">
        <v>4500163950</v>
      </c>
      <c r="E80" s="509"/>
      <c r="F80" s="778" t="s">
        <v>393</v>
      </c>
      <c r="G80" s="779" t="s">
        <v>102</v>
      </c>
      <c r="H80" s="509" t="s">
        <v>65</v>
      </c>
      <c r="I80" s="509">
        <v>1600</v>
      </c>
      <c r="J80" s="509">
        <v>0</v>
      </c>
      <c r="K80" s="509">
        <v>16</v>
      </c>
      <c r="L80" s="780">
        <f t="shared" si="17"/>
        <v>100</v>
      </c>
      <c r="M80" s="781">
        <v>45810</v>
      </c>
      <c r="N80" s="781">
        <v>45806</v>
      </c>
      <c r="O80" s="782"/>
      <c r="P80" s="782" t="s">
        <v>103</v>
      </c>
      <c r="Q80" s="509"/>
      <c r="R80" s="784">
        <v>45777</v>
      </c>
      <c r="S80" s="784" t="s">
        <v>66</v>
      </c>
      <c r="T80" s="784">
        <v>45784</v>
      </c>
      <c r="U80" s="784"/>
      <c r="V80" s="784"/>
      <c r="W80" s="776" t="s">
        <v>394</v>
      </c>
      <c r="X80" s="781" t="s">
        <v>395</v>
      </c>
      <c r="Y80" s="785">
        <v>4.39</v>
      </c>
      <c r="Z80" s="786">
        <f t="shared" si="19"/>
        <v>7024</v>
      </c>
      <c r="AA80" s="509" t="s">
        <v>396</v>
      </c>
      <c r="AB80" s="509" t="s">
        <v>397</v>
      </c>
      <c r="AC80" s="509" t="s">
        <v>76</v>
      </c>
      <c r="AD80" s="509"/>
      <c r="AE80" s="635" t="s">
        <v>69</v>
      </c>
      <c r="AF80" s="635"/>
      <c r="AG80" s="788">
        <v>1600</v>
      </c>
      <c r="AH80" s="782">
        <f t="shared" si="18"/>
        <v>0</v>
      </c>
      <c r="AI80" s="509"/>
      <c r="AJ80" s="509"/>
      <c r="AK80" s="509"/>
      <c r="AL80" s="777">
        <f t="shared" si="15"/>
        <v>1600</v>
      </c>
      <c r="AM80" s="656"/>
      <c r="AN80" s="656"/>
      <c r="AO80" s="656"/>
      <c r="AP80" s="777"/>
      <c r="AQ80" s="656">
        <f>I80</f>
        <v>1600</v>
      </c>
      <c r="AR80" s="777">
        <f t="shared" si="16"/>
        <v>1600</v>
      </c>
      <c r="AS80" s="777"/>
      <c r="AT80" s="777">
        <f t="shared" si="10"/>
        <v>1600</v>
      </c>
      <c r="AU80" s="777"/>
      <c r="AV80" s="778"/>
      <c r="AW80" s="778"/>
      <c r="AX80" s="778"/>
      <c r="AY80" s="778"/>
      <c r="AZ80" s="778"/>
      <c r="BA80" s="778"/>
      <c r="BB80" s="778"/>
      <c r="BC80" s="778"/>
      <c r="BD80" s="778"/>
      <c r="BE80" s="777">
        <f>I80/4</f>
        <v>400</v>
      </c>
      <c r="BF80" s="778"/>
      <c r="BG80" s="778"/>
      <c r="BH80" s="778"/>
      <c r="BI80" s="778"/>
      <c r="BJ80" s="778"/>
      <c r="BK80" s="778"/>
      <c r="BL80" s="778"/>
      <c r="BM80" s="778"/>
    </row>
    <row r="81" s="771" customFormat="1" ht="31" hidden="1" customHeight="1" spans="1:65">
      <c r="A81" s="775">
        <v>45769</v>
      </c>
      <c r="B81" s="776" t="s">
        <v>398</v>
      </c>
      <c r="C81" s="509" t="s">
        <v>356</v>
      </c>
      <c r="D81" s="777">
        <v>4500163874</v>
      </c>
      <c r="E81" s="509"/>
      <c r="F81" s="778" t="s">
        <v>399</v>
      </c>
      <c r="G81" s="779" t="s">
        <v>118</v>
      </c>
      <c r="H81" s="509" t="s">
        <v>119</v>
      </c>
      <c r="I81" s="509">
        <v>480</v>
      </c>
      <c r="J81" s="509">
        <v>0</v>
      </c>
      <c r="K81" s="509">
        <v>6</v>
      </c>
      <c r="L81" s="780">
        <f t="shared" si="17"/>
        <v>80</v>
      </c>
      <c r="M81" s="781">
        <v>45812</v>
      </c>
      <c r="N81" s="781">
        <f>M81-4</f>
        <v>45808</v>
      </c>
      <c r="O81" s="782"/>
      <c r="P81" s="782" t="s">
        <v>103</v>
      </c>
      <c r="Q81" s="509"/>
      <c r="R81" s="784">
        <v>45774</v>
      </c>
      <c r="S81" s="784" t="s">
        <v>66</v>
      </c>
      <c r="T81" s="784">
        <v>45790</v>
      </c>
      <c r="U81" s="784" t="s">
        <v>400</v>
      </c>
      <c r="V81" s="784"/>
      <c r="W81" s="776" t="s">
        <v>401</v>
      </c>
      <c r="X81" s="781" t="s">
        <v>395</v>
      </c>
      <c r="Y81" s="785">
        <v>4.2099</v>
      </c>
      <c r="Z81" s="786">
        <f t="shared" si="19"/>
        <v>2020.752</v>
      </c>
      <c r="AA81" s="509"/>
      <c r="AB81" s="509" t="s">
        <v>402</v>
      </c>
      <c r="AC81" s="509" t="s">
        <v>76</v>
      </c>
      <c r="AD81" s="509"/>
      <c r="AE81" s="635" t="s">
        <v>69</v>
      </c>
      <c r="AF81" s="635"/>
      <c r="AG81" s="788">
        <v>480</v>
      </c>
      <c r="AH81" s="782">
        <f t="shared" si="18"/>
        <v>0</v>
      </c>
      <c r="AI81" s="509"/>
      <c r="AJ81" s="509" t="s">
        <v>403</v>
      </c>
      <c r="AK81" s="509"/>
      <c r="AL81" s="777">
        <f t="shared" si="15"/>
        <v>480</v>
      </c>
      <c r="AM81" s="656"/>
      <c r="AN81" s="656"/>
      <c r="AO81" s="656"/>
      <c r="AP81" s="777"/>
      <c r="AQ81" s="656">
        <f>I81</f>
        <v>480</v>
      </c>
      <c r="AR81" s="777">
        <f t="shared" si="16"/>
        <v>480</v>
      </c>
      <c r="AS81" s="777"/>
      <c r="AT81" s="777">
        <f t="shared" si="10"/>
        <v>480</v>
      </c>
      <c r="AU81" s="777"/>
      <c r="AV81" s="778"/>
      <c r="AW81" s="778"/>
      <c r="AX81" s="778"/>
      <c r="AY81" s="778"/>
      <c r="AZ81" s="778"/>
      <c r="BA81" s="778"/>
      <c r="BB81" s="778"/>
      <c r="BC81" s="778"/>
      <c r="BD81" s="778"/>
      <c r="BE81" s="778"/>
      <c r="BF81" s="778"/>
      <c r="BG81" s="778"/>
      <c r="BH81" s="778"/>
      <c r="BI81" s="778"/>
      <c r="BJ81" s="778"/>
      <c r="BK81" s="778"/>
      <c r="BL81" s="778"/>
      <c r="BM81" s="778"/>
    </row>
    <row r="82" s="771" customFormat="1" ht="31" hidden="1" customHeight="1" spans="1:65">
      <c r="A82" s="775">
        <v>45768</v>
      </c>
      <c r="B82" s="776" t="s">
        <v>404</v>
      </c>
      <c r="C82" s="509" t="s">
        <v>216</v>
      </c>
      <c r="D82" s="777">
        <v>4500164402</v>
      </c>
      <c r="E82" s="509">
        <v>1310</v>
      </c>
      <c r="F82" s="778" t="s">
        <v>405</v>
      </c>
      <c r="G82" s="779" t="s">
        <v>64</v>
      </c>
      <c r="H82" s="509" t="s">
        <v>65</v>
      </c>
      <c r="I82" s="509">
        <v>1800</v>
      </c>
      <c r="J82" s="509">
        <v>0</v>
      </c>
      <c r="K82" s="509">
        <v>12</v>
      </c>
      <c r="L82" s="780">
        <f t="shared" si="17"/>
        <v>150</v>
      </c>
      <c r="M82" s="781">
        <v>45814</v>
      </c>
      <c r="N82" s="781">
        <v>45810</v>
      </c>
      <c r="O82" s="782"/>
      <c r="P82" s="782" t="s">
        <v>103</v>
      </c>
      <c r="Q82" s="509"/>
      <c r="R82" s="784">
        <v>45768</v>
      </c>
      <c r="S82" s="784" t="s">
        <v>66</v>
      </c>
      <c r="T82" s="784">
        <v>45786</v>
      </c>
      <c r="U82" s="784" t="s">
        <v>406</v>
      </c>
      <c r="V82" s="784"/>
      <c r="W82" s="776" t="s">
        <v>407</v>
      </c>
      <c r="X82" s="781" t="s">
        <v>269</v>
      </c>
      <c r="Y82" s="785">
        <v>4.1</v>
      </c>
      <c r="Z82" s="786">
        <f t="shared" si="19"/>
        <v>7380</v>
      </c>
      <c r="AA82" s="509"/>
      <c r="AB82" s="509" t="s">
        <v>165</v>
      </c>
      <c r="AC82" s="509" t="s">
        <v>76</v>
      </c>
      <c r="AD82" s="509"/>
      <c r="AE82" s="635" t="s">
        <v>69</v>
      </c>
      <c r="AF82" s="635"/>
      <c r="AG82" s="788">
        <v>1800</v>
      </c>
      <c r="AH82" s="782">
        <f t="shared" si="18"/>
        <v>0</v>
      </c>
      <c r="AI82" s="509"/>
      <c r="AJ82" s="509"/>
      <c r="AK82" s="509"/>
      <c r="AL82" s="777">
        <f t="shared" si="15"/>
        <v>1800</v>
      </c>
      <c r="AM82" s="656"/>
      <c r="AN82" s="656"/>
      <c r="AO82" s="656"/>
      <c r="AP82" s="777"/>
      <c r="AQ82" s="656">
        <f>I82</f>
        <v>1800</v>
      </c>
      <c r="AR82" s="777">
        <f t="shared" si="16"/>
        <v>1800</v>
      </c>
      <c r="AS82" s="777"/>
      <c r="AT82" s="777">
        <f t="shared" si="10"/>
        <v>1800</v>
      </c>
      <c r="AU82" s="777"/>
      <c r="AV82" s="778"/>
      <c r="AW82" s="778"/>
      <c r="AX82" s="778"/>
      <c r="AY82" s="778"/>
      <c r="AZ82" s="778"/>
      <c r="BA82" s="778"/>
      <c r="BB82" s="778"/>
      <c r="BC82" s="778"/>
      <c r="BD82" s="778"/>
      <c r="BE82" s="778"/>
      <c r="BF82" s="778"/>
      <c r="BG82" s="778"/>
      <c r="BH82" s="778"/>
      <c r="BI82" s="778"/>
      <c r="BJ82" s="778"/>
      <c r="BK82" s="778"/>
      <c r="BL82" s="778"/>
      <c r="BM82" s="778"/>
    </row>
    <row r="83" s="771" customFormat="1" ht="31" hidden="1" customHeight="1" spans="1:65">
      <c r="A83" s="775">
        <v>45765</v>
      </c>
      <c r="B83" s="776" t="s">
        <v>408</v>
      </c>
      <c r="C83" s="509" t="s">
        <v>249</v>
      </c>
      <c r="D83" s="777">
        <v>4500164250</v>
      </c>
      <c r="E83" s="509" t="s">
        <v>409</v>
      </c>
      <c r="F83" s="778" t="s">
        <v>410</v>
      </c>
      <c r="G83" s="779" t="s">
        <v>64</v>
      </c>
      <c r="H83" s="509" t="s">
        <v>65</v>
      </c>
      <c r="I83" s="509">
        <v>504</v>
      </c>
      <c r="J83" s="509">
        <v>0</v>
      </c>
      <c r="K83" s="509">
        <v>12</v>
      </c>
      <c r="L83" s="780">
        <f t="shared" si="17"/>
        <v>42</v>
      </c>
      <c r="M83" s="781">
        <v>45814</v>
      </c>
      <c r="N83" s="781">
        <v>45810</v>
      </c>
      <c r="O83" s="782"/>
      <c r="P83" s="782" t="s">
        <v>103</v>
      </c>
      <c r="Q83" s="509"/>
      <c r="R83" s="784" t="s">
        <v>411</v>
      </c>
      <c r="S83" s="784" t="s">
        <v>96</v>
      </c>
      <c r="T83" s="784" t="s">
        <v>412</v>
      </c>
      <c r="U83" s="784"/>
      <c r="V83" s="784"/>
      <c r="W83" s="776" t="s">
        <v>413</v>
      </c>
      <c r="X83" s="781" t="s">
        <v>414</v>
      </c>
      <c r="Y83" s="785">
        <v>4.1</v>
      </c>
      <c r="Z83" s="786">
        <f t="shared" si="19"/>
        <v>2066.4</v>
      </c>
      <c r="AA83" s="509"/>
      <c r="AB83" s="509" t="s">
        <v>165</v>
      </c>
      <c r="AC83" s="509" t="s">
        <v>76</v>
      </c>
      <c r="AD83" s="509"/>
      <c r="AE83" s="635" t="s">
        <v>69</v>
      </c>
      <c r="AF83" s="635"/>
      <c r="AG83" s="788">
        <v>504</v>
      </c>
      <c r="AH83" s="782">
        <f t="shared" si="18"/>
        <v>0</v>
      </c>
      <c r="AI83" s="509"/>
      <c r="AJ83" s="509"/>
      <c r="AK83" s="509"/>
      <c r="AL83" s="777">
        <f t="shared" si="15"/>
        <v>504</v>
      </c>
      <c r="AM83" s="656"/>
      <c r="AN83" s="656"/>
      <c r="AO83" s="656"/>
      <c r="AP83" s="777"/>
      <c r="AQ83" s="656">
        <f>I83</f>
        <v>504</v>
      </c>
      <c r="AR83" s="777">
        <f t="shared" si="16"/>
        <v>504</v>
      </c>
      <c r="AS83" s="777"/>
      <c r="AT83" s="777">
        <f t="shared" si="10"/>
        <v>504</v>
      </c>
      <c r="AU83" s="777"/>
      <c r="AV83" s="778"/>
      <c r="AW83" s="778"/>
      <c r="AX83" s="778"/>
      <c r="AY83" s="778"/>
      <c r="AZ83" s="778"/>
      <c r="BA83" s="778"/>
      <c r="BB83" s="778"/>
      <c r="BC83" s="778"/>
      <c r="BD83" s="778"/>
      <c r="BE83" s="778"/>
      <c r="BF83" s="778"/>
      <c r="BG83" s="778"/>
      <c r="BH83" s="778"/>
      <c r="BI83" s="778"/>
      <c r="BJ83" s="778"/>
      <c r="BK83" s="778"/>
      <c r="BL83" s="778"/>
      <c r="BM83" s="778"/>
    </row>
    <row r="84" s="771" customFormat="1" ht="31" hidden="1" customHeight="1" spans="1:65">
      <c r="A84" s="775">
        <v>45775</v>
      </c>
      <c r="B84" s="776" t="s">
        <v>415</v>
      </c>
      <c r="C84" s="509" t="s">
        <v>416</v>
      </c>
      <c r="D84" s="777">
        <v>4500164557</v>
      </c>
      <c r="E84" s="509">
        <v>47996</v>
      </c>
      <c r="F84" s="778" t="s">
        <v>417</v>
      </c>
      <c r="G84" s="779" t="s">
        <v>64</v>
      </c>
      <c r="H84" s="509" t="s">
        <v>418</v>
      </c>
      <c r="I84" s="509">
        <v>504</v>
      </c>
      <c r="J84" s="509">
        <v>0</v>
      </c>
      <c r="K84" s="509">
        <v>12</v>
      </c>
      <c r="L84" s="780">
        <f t="shared" si="17"/>
        <v>42</v>
      </c>
      <c r="M84" s="781">
        <v>45814</v>
      </c>
      <c r="N84" s="781">
        <v>45810</v>
      </c>
      <c r="O84" s="782"/>
      <c r="P84" s="782" t="s">
        <v>103</v>
      </c>
      <c r="Q84" s="509"/>
      <c r="R84" s="784">
        <v>45775</v>
      </c>
      <c r="S84" s="784" t="s">
        <v>66</v>
      </c>
      <c r="T84" s="784">
        <v>45783</v>
      </c>
      <c r="U84" s="784"/>
      <c r="V84" s="784"/>
      <c r="W84" s="776" t="s">
        <v>419</v>
      </c>
      <c r="X84" s="781" t="s">
        <v>420</v>
      </c>
      <c r="Y84" s="785">
        <v>4.18</v>
      </c>
      <c r="Z84" s="786">
        <f t="shared" si="19"/>
        <v>2106.72</v>
      </c>
      <c r="AA84" s="509"/>
      <c r="AB84" s="509" t="s">
        <v>421</v>
      </c>
      <c r="AC84" s="509" t="s">
        <v>76</v>
      </c>
      <c r="AD84" s="509"/>
      <c r="AE84" s="635" t="s">
        <v>69</v>
      </c>
      <c r="AF84" s="635"/>
      <c r="AG84" s="788">
        <v>504</v>
      </c>
      <c r="AH84" s="782">
        <f t="shared" si="18"/>
        <v>0</v>
      </c>
      <c r="AI84" s="509"/>
      <c r="AJ84" s="509"/>
      <c r="AK84" s="509"/>
      <c r="AL84" s="777">
        <f t="shared" si="15"/>
        <v>504</v>
      </c>
      <c r="AM84" s="656"/>
      <c r="AN84" s="656"/>
      <c r="AO84" s="656"/>
      <c r="AP84" s="777"/>
      <c r="AQ84" s="656"/>
      <c r="AR84" s="777"/>
      <c r="AS84" s="777"/>
      <c r="AT84" s="777">
        <f t="shared" si="10"/>
        <v>504</v>
      </c>
      <c r="AU84" s="777"/>
      <c r="AV84" s="778"/>
      <c r="AW84" s="778"/>
      <c r="AX84" s="778"/>
      <c r="AY84" s="778"/>
      <c r="AZ84" s="778">
        <f>I84</f>
        <v>504</v>
      </c>
      <c r="BA84" s="778">
        <f>I84</f>
        <v>504</v>
      </c>
      <c r="BB84" s="778"/>
      <c r="BC84" s="778"/>
      <c r="BD84" s="778"/>
      <c r="BE84" s="778"/>
      <c r="BF84" s="778"/>
      <c r="BG84" s="778"/>
      <c r="BH84" s="778"/>
      <c r="BI84" s="778"/>
      <c r="BJ84" s="778"/>
      <c r="BK84" s="778"/>
      <c r="BL84" s="778"/>
      <c r="BM84" s="778"/>
    </row>
    <row r="85" s="771" customFormat="1" ht="31" hidden="1" customHeight="1" spans="1:65">
      <c r="A85" s="775">
        <v>45784</v>
      </c>
      <c r="B85" s="776"/>
      <c r="C85" s="509"/>
      <c r="D85" s="777" t="s">
        <v>422</v>
      </c>
      <c r="E85" s="509"/>
      <c r="F85" s="778"/>
      <c r="G85" s="779" t="s">
        <v>423</v>
      </c>
      <c r="H85" s="509" t="s">
        <v>424</v>
      </c>
      <c r="I85" s="509">
        <v>48</v>
      </c>
      <c r="J85" s="509">
        <v>0</v>
      </c>
      <c r="K85" s="509">
        <v>6</v>
      </c>
      <c r="L85" s="780">
        <f t="shared" si="17"/>
        <v>8</v>
      </c>
      <c r="M85" s="781">
        <v>45797</v>
      </c>
      <c r="N85" s="781">
        <v>45793</v>
      </c>
      <c r="O85" s="782"/>
      <c r="P85" s="782"/>
      <c r="Q85" s="509"/>
      <c r="R85" s="784">
        <v>45784</v>
      </c>
      <c r="S85" s="784" t="s">
        <v>66</v>
      </c>
      <c r="T85" s="784" t="s">
        <v>66</v>
      </c>
      <c r="U85" s="784"/>
      <c r="V85" s="784"/>
      <c r="W85" s="776" t="s">
        <v>425</v>
      </c>
      <c r="X85" s="781" t="s">
        <v>79</v>
      </c>
      <c r="Y85" s="785"/>
      <c r="Z85" s="786"/>
      <c r="AA85" s="509" t="s">
        <v>426</v>
      </c>
      <c r="AB85" s="670" t="s">
        <v>427</v>
      </c>
      <c r="AC85" s="509" t="s">
        <v>76</v>
      </c>
      <c r="AD85" s="509"/>
      <c r="AE85" s="635" t="s">
        <v>69</v>
      </c>
      <c r="AF85" s="635"/>
      <c r="AG85" s="788">
        <v>48</v>
      </c>
      <c r="AH85" s="782">
        <f t="shared" si="18"/>
        <v>0</v>
      </c>
      <c r="AI85" s="509"/>
      <c r="AJ85" s="509"/>
      <c r="AK85" s="509"/>
      <c r="AL85" s="777">
        <f t="shared" si="15"/>
        <v>48</v>
      </c>
      <c r="AM85" s="656"/>
      <c r="AN85" s="656"/>
      <c r="AO85" s="656"/>
      <c r="AP85" s="778"/>
      <c r="AQ85" s="656">
        <f>I85</f>
        <v>48</v>
      </c>
      <c r="AR85" s="777">
        <f t="shared" ref="AR85:AR92" si="20">I85</f>
        <v>48</v>
      </c>
      <c r="AS85" s="777"/>
      <c r="AT85" s="777">
        <f t="shared" si="10"/>
        <v>48</v>
      </c>
      <c r="AU85" s="777"/>
      <c r="AV85" s="778"/>
      <c r="AW85" s="778"/>
      <c r="AX85" s="778"/>
      <c r="AY85" s="778"/>
      <c r="AZ85" s="778"/>
      <c r="BA85" s="778"/>
      <c r="BB85" s="778"/>
      <c r="BC85" s="778"/>
      <c r="BD85" s="778"/>
      <c r="BE85" s="778"/>
      <c r="BF85" s="778"/>
      <c r="BG85" s="778"/>
      <c r="BH85" s="778"/>
      <c r="BI85" s="777"/>
      <c r="BJ85" s="777">
        <f>I85</f>
        <v>48</v>
      </c>
      <c r="BK85" s="778"/>
      <c r="BL85" s="778"/>
      <c r="BM85" s="778"/>
    </row>
    <row r="86" s="771" customFormat="1" ht="31" hidden="1" customHeight="1" spans="1:65">
      <c r="A86" s="775">
        <v>45775</v>
      </c>
      <c r="B86" s="776" t="s">
        <v>128</v>
      </c>
      <c r="C86" s="509" t="s">
        <v>90</v>
      </c>
      <c r="D86" s="777">
        <v>4500162787</v>
      </c>
      <c r="E86" s="509" t="s">
        <v>428</v>
      </c>
      <c r="F86" s="778" t="s">
        <v>429</v>
      </c>
      <c r="G86" s="779" t="s">
        <v>93</v>
      </c>
      <c r="H86" s="509" t="s">
        <v>94</v>
      </c>
      <c r="I86" s="509">
        <v>732</v>
      </c>
      <c r="J86" s="509">
        <v>0</v>
      </c>
      <c r="K86" s="509">
        <v>4</v>
      </c>
      <c r="L86" s="780">
        <f t="shared" si="17"/>
        <v>183</v>
      </c>
      <c r="M86" s="781">
        <v>45811</v>
      </c>
      <c r="N86" s="781">
        <v>45807</v>
      </c>
      <c r="O86" s="782"/>
      <c r="P86" s="782" t="s">
        <v>103</v>
      </c>
      <c r="Q86" s="509"/>
      <c r="R86" s="784" t="s">
        <v>430</v>
      </c>
      <c r="S86" s="784" t="s">
        <v>66</v>
      </c>
      <c r="T86" s="784" t="s">
        <v>133</v>
      </c>
      <c r="U86" s="683" t="s">
        <v>133</v>
      </c>
      <c r="V86" s="784"/>
      <c r="W86" s="776" t="s">
        <v>431</v>
      </c>
      <c r="X86" s="781" t="s">
        <v>98</v>
      </c>
      <c r="Y86" s="785">
        <v>3.06</v>
      </c>
      <c r="Z86" s="786">
        <f t="shared" ref="Z86:Z92" si="21">Y86*I86</f>
        <v>2239.92</v>
      </c>
      <c r="AA86" s="509"/>
      <c r="AB86" s="509" t="s">
        <v>93</v>
      </c>
      <c r="AC86" s="509" t="s">
        <v>76</v>
      </c>
      <c r="AD86" s="509"/>
      <c r="AE86" s="635" t="s">
        <v>69</v>
      </c>
      <c r="AF86" s="635"/>
      <c r="AG86" s="788">
        <f>728+4</f>
        <v>732</v>
      </c>
      <c r="AH86" s="782">
        <f t="shared" si="18"/>
        <v>0</v>
      </c>
      <c r="AI86" s="509"/>
      <c r="AJ86" s="509"/>
      <c r="AK86" s="509"/>
      <c r="AL86" s="777">
        <f t="shared" si="15"/>
        <v>732</v>
      </c>
      <c r="AM86" s="656"/>
      <c r="AN86" s="656"/>
      <c r="AO86" s="656"/>
      <c r="AP86" s="777">
        <f t="shared" ref="AP86:AP92" si="22">I86</f>
        <v>732</v>
      </c>
      <c r="AQ86" s="656"/>
      <c r="AR86" s="777">
        <f t="shared" si="20"/>
        <v>732</v>
      </c>
      <c r="AS86" s="777"/>
      <c r="AT86" s="543">
        <f t="shared" si="10"/>
        <v>732</v>
      </c>
      <c r="AU86" s="777"/>
      <c r="AV86" s="778"/>
      <c r="AW86" s="778"/>
      <c r="AX86" s="778"/>
      <c r="AY86" s="778"/>
      <c r="AZ86" s="778"/>
      <c r="BA86" s="778"/>
      <c r="BB86" s="778"/>
      <c r="BC86" s="778"/>
      <c r="BD86" s="777">
        <f t="shared" ref="BD86:BD92" si="23">I86/4</f>
        <v>183</v>
      </c>
      <c r="BE86" s="778"/>
      <c r="BF86" s="778"/>
      <c r="BG86" s="778"/>
      <c r="BH86" s="778"/>
      <c r="BI86" s="778"/>
      <c r="BJ86" s="778"/>
      <c r="BK86" s="778"/>
      <c r="BL86" s="778"/>
      <c r="BM86" s="778"/>
    </row>
    <row r="87" s="771" customFormat="1" ht="31" hidden="1" customHeight="1" spans="1:65">
      <c r="A87" s="775">
        <v>45775</v>
      </c>
      <c r="B87" s="776" t="s">
        <v>128</v>
      </c>
      <c r="C87" s="509" t="s">
        <v>90</v>
      </c>
      <c r="D87" s="777">
        <v>4500162787</v>
      </c>
      <c r="E87" s="509" t="s">
        <v>432</v>
      </c>
      <c r="F87" s="778" t="s">
        <v>433</v>
      </c>
      <c r="G87" s="779" t="s">
        <v>93</v>
      </c>
      <c r="H87" s="509" t="s">
        <v>94</v>
      </c>
      <c r="I87" s="509">
        <v>740</v>
      </c>
      <c r="J87" s="509">
        <v>0</v>
      </c>
      <c r="K87" s="509">
        <v>4</v>
      </c>
      <c r="L87" s="780">
        <f t="shared" si="17"/>
        <v>185</v>
      </c>
      <c r="M87" s="781">
        <v>45811</v>
      </c>
      <c r="N87" s="781">
        <v>45807</v>
      </c>
      <c r="O87" s="782"/>
      <c r="P87" s="782" t="s">
        <v>103</v>
      </c>
      <c r="Q87" s="509"/>
      <c r="R87" s="784" t="s">
        <v>430</v>
      </c>
      <c r="S87" s="784" t="s">
        <v>66</v>
      </c>
      <c r="T87" s="784" t="s">
        <v>133</v>
      </c>
      <c r="U87" s="683" t="s">
        <v>133</v>
      </c>
      <c r="V87" s="784"/>
      <c r="W87" s="776" t="s">
        <v>431</v>
      </c>
      <c r="X87" s="781" t="s">
        <v>98</v>
      </c>
      <c r="Y87" s="785">
        <v>3.06</v>
      </c>
      <c r="Z87" s="786">
        <f t="shared" si="21"/>
        <v>2264.4</v>
      </c>
      <c r="AA87" s="509"/>
      <c r="AB87" s="509" t="s">
        <v>93</v>
      </c>
      <c r="AC87" s="509" t="s">
        <v>76</v>
      </c>
      <c r="AD87" s="509"/>
      <c r="AE87" s="635" t="s">
        <v>69</v>
      </c>
      <c r="AF87" s="635"/>
      <c r="AG87" s="788">
        <v>740</v>
      </c>
      <c r="AH87" s="782">
        <f t="shared" si="18"/>
        <v>0</v>
      </c>
      <c r="AI87" s="509"/>
      <c r="AJ87" s="509"/>
      <c r="AK87" s="509"/>
      <c r="AL87" s="777">
        <f t="shared" si="15"/>
        <v>740</v>
      </c>
      <c r="AM87" s="656"/>
      <c r="AN87" s="656"/>
      <c r="AO87" s="656"/>
      <c r="AP87" s="777">
        <f t="shared" si="22"/>
        <v>740</v>
      </c>
      <c r="AQ87" s="656"/>
      <c r="AR87" s="777">
        <f t="shared" si="20"/>
        <v>740</v>
      </c>
      <c r="AS87" s="777"/>
      <c r="AT87" s="543">
        <f t="shared" si="10"/>
        <v>740</v>
      </c>
      <c r="AU87" s="777"/>
      <c r="AV87" s="778"/>
      <c r="AW87" s="778"/>
      <c r="AX87" s="778"/>
      <c r="AY87" s="778"/>
      <c r="AZ87" s="778"/>
      <c r="BA87" s="778"/>
      <c r="BB87" s="778"/>
      <c r="BC87" s="778"/>
      <c r="BD87" s="777">
        <f t="shared" si="23"/>
        <v>185</v>
      </c>
      <c r="BE87" s="778"/>
      <c r="BF87" s="778"/>
      <c r="BG87" s="778"/>
      <c r="BH87" s="778"/>
      <c r="BI87" s="778"/>
      <c r="BJ87" s="778"/>
      <c r="BK87" s="778"/>
      <c r="BL87" s="778"/>
      <c r="BM87" s="778"/>
    </row>
    <row r="88" s="771" customFormat="1" ht="31" hidden="1" customHeight="1" spans="1:65">
      <c r="A88" s="775">
        <v>45775</v>
      </c>
      <c r="B88" s="776" t="s">
        <v>128</v>
      </c>
      <c r="C88" s="509" t="s">
        <v>90</v>
      </c>
      <c r="D88" s="777">
        <v>4500162787</v>
      </c>
      <c r="E88" s="509" t="s">
        <v>434</v>
      </c>
      <c r="F88" s="778" t="s">
        <v>435</v>
      </c>
      <c r="G88" s="779" t="s">
        <v>93</v>
      </c>
      <c r="H88" s="509" t="s">
        <v>94</v>
      </c>
      <c r="I88" s="509">
        <v>656</v>
      </c>
      <c r="J88" s="509">
        <v>0</v>
      </c>
      <c r="K88" s="509">
        <v>4</v>
      </c>
      <c r="L88" s="780">
        <f t="shared" si="17"/>
        <v>164</v>
      </c>
      <c r="M88" s="781">
        <v>45811</v>
      </c>
      <c r="N88" s="781">
        <v>45807</v>
      </c>
      <c r="O88" s="782"/>
      <c r="P88" s="782" t="s">
        <v>103</v>
      </c>
      <c r="Q88" s="509"/>
      <c r="R88" s="784" t="s">
        <v>430</v>
      </c>
      <c r="S88" s="784" t="s">
        <v>66</v>
      </c>
      <c r="T88" s="784" t="s">
        <v>133</v>
      </c>
      <c r="U88" s="683" t="s">
        <v>133</v>
      </c>
      <c r="V88" s="784"/>
      <c r="W88" s="776" t="s">
        <v>431</v>
      </c>
      <c r="X88" s="781" t="s">
        <v>98</v>
      </c>
      <c r="Y88" s="785">
        <v>3.06</v>
      </c>
      <c r="Z88" s="786">
        <f t="shared" si="21"/>
        <v>2007.36</v>
      </c>
      <c r="AA88" s="509"/>
      <c r="AB88" s="509" t="s">
        <v>93</v>
      </c>
      <c r="AC88" s="509" t="s">
        <v>76</v>
      </c>
      <c r="AD88" s="509"/>
      <c r="AE88" s="635" t="s">
        <v>69</v>
      </c>
      <c r="AF88" s="635"/>
      <c r="AG88" s="788">
        <f>652+4</f>
        <v>656</v>
      </c>
      <c r="AH88" s="782">
        <f t="shared" si="18"/>
        <v>0</v>
      </c>
      <c r="AI88" s="509"/>
      <c r="AJ88" s="509"/>
      <c r="AK88" s="509"/>
      <c r="AL88" s="777">
        <f t="shared" si="15"/>
        <v>656</v>
      </c>
      <c r="AM88" s="656"/>
      <c r="AN88" s="656"/>
      <c r="AO88" s="656"/>
      <c r="AP88" s="777">
        <f t="shared" si="22"/>
        <v>656</v>
      </c>
      <c r="AQ88" s="656"/>
      <c r="AR88" s="777">
        <f t="shared" si="20"/>
        <v>656</v>
      </c>
      <c r="AS88" s="777"/>
      <c r="AT88" s="543">
        <f t="shared" si="10"/>
        <v>656</v>
      </c>
      <c r="AU88" s="777"/>
      <c r="AV88" s="778"/>
      <c r="AW88" s="778"/>
      <c r="AX88" s="778"/>
      <c r="AY88" s="778"/>
      <c r="AZ88" s="778"/>
      <c r="BA88" s="778"/>
      <c r="BB88" s="778"/>
      <c r="BC88" s="778"/>
      <c r="BD88" s="777">
        <f t="shared" si="23"/>
        <v>164</v>
      </c>
      <c r="BE88" s="778"/>
      <c r="BF88" s="778"/>
      <c r="BG88" s="778"/>
      <c r="BH88" s="778"/>
      <c r="BI88" s="778"/>
      <c r="BJ88" s="778"/>
      <c r="BK88" s="778"/>
      <c r="BL88" s="778"/>
      <c r="BM88" s="778"/>
    </row>
    <row r="89" s="771" customFormat="1" ht="31" hidden="1" customHeight="1" spans="1:65">
      <c r="A89" s="775">
        <v>45775</v>
      </c>
      <c r="B89" s="776" t="s">
        <v>128</v>
      </c>
      <c r="C89" s="509" t="s">
        <v>90</v>
      </c>
      <c r="D89" s="777">
        <v>4500162787</v>
      </c>
      <c r="E89" s="509" t="s">
        <v>436</v>
      </c>
      <c r="F89" s="778" t="s">
        <v>437</v>
      </c>
      <c r="G89" s="779" t="s">
        <v>93</v>
      </c>
      <c r="H89" s="509" t="s">
        <v>94</v>
      </c>
      <c r="I89" s="509">
        <v>848</v>
      </c>
      <c r="J89" s="509">
        <v>0</v>
      </c>
      <c r="K89" s="509">
        <v>4</v>
      </c>
      <c r="L89" s="780">
        <f t="shared" si="17"/>
        <v>212</v>
      </c>
      <c r="M89" s="781">
        <v>45811</v>
      </c>
      <c r="N89" s="781">
        <v>45807</v>
      </c>
      <c r="O89" s="782"/>
      <c r="P89" s="782" t="s">
        <v>103</v>
      </c>
      <c r="Q89" s="509"/>
      <c r="R89" s="784" t="s">
        <v>430</v>
      </c>
      <c r="S89" s="784" t="s">
        <v>66</v>
      </c>
      <c r="T89" s="784" t="s">
        <v>133</v>
      </c>
      <c r="U89" s="683" t="s">
        <v>133</v>
      </c>
      <c r="V89" s="784"/>
      <c r="W89" s="776" t="s">
        <v>431</v>
      </c>
      <c r="X89" s="781" t="s">
        <v>98</v>
      </c>
      <c r="Y89" s="785">
        <v>3.06</v>
      </c>
      <c r="Z89" s="786">
        <f t="shared" si="21"/>
        <v>2594.88</v>
      </c>
      <c r="AA89" s="509"/>
      <c r="AB89" s="509" t="s">
        <v>93</v>
      </c>
      <c r="AC89" s="509" t="s">
        <v>76</v>
      </c>
      <c r="AD89" s="509"/>
      <c r="AE89" s="635" t="s">
        <v>69</v>
      </c>
      <c r="AF89" s="635"/>
      <c r="AG89" s="788">
        <f>836+12</f>
        <v>848</v>
      </c>
      <c r="AH89" s="782">
        <f t="shared" si="18"/>
        <v>0</v>
      </c>
      <c r="AI89" s="509"/>
      <c r="AJ89" s="509"/>
      <c r="AK89" s="509"/>
      <c r="AL89" s="777">
        <f t="shared" si="15"/>
        <v>848</v>
      </c>
      <c r="AM89" s="656"/>
      <c r="AN89" s="656"/>
      <c r="AO89" s="656"/>
      <c r="AP89" s="777">
        <f t="shared" si="22"/>
        <v>848</v>
      </c>
      <c r="AQ89" s="656"/>
      <c r="AR89" s="777">
        <f t="shared" si="20"/>
        <v>848</v>
      </c>
      <c r="AS89" s="777"/>
      <c r="AT89" s="543">
        <f t="shared" si="10"/>
        <v>848</v>
      </c>
      <c r="AU89" s="777"/>
      <c r="AV89" s="778"/>
      <c r="AW89" s="778"/>
      <c r="AX89" s="778"/>
      <c r="AY89" s="778"/>
      <c r="AZ89" s="778"/>
      <c r="BA89" s="778"/>
      <c r="BB89" s="778"/>
      <c r="BC89" s="778"/>
      <c r="BD89" s="777">
        <f t="shared" si="23"/>
        <v>212</v>
      </c>
      <c r="BE89" s="778"/>
      <c r="BF89" s="778"/>
      <c r="BG89" s="778"/>
      <c r="BH89" s="778"/>
      <c r="BI89" s="778"/>
      <c r="BJ89" s="778"/>
      <c r="BK89" s="778"/>
      <c r="BL89" s="778"/>
      <c r="BM89" s="778"/>
    </row>
    <row r="90" s="771" customFormat="1" ht="31" hidden="1" customHeight="1" spans="1:65">
      <c r="A90" s="775">
        <v>45775</v>
      </c>
      <c r="B90" s="776" t="s">
        <v>128</v>
      </c>
      <c r="C90" s="509" t="s">
        <v>90</v>
      </c>
      <c r="D90" s="777">
        <v>4500162787</v>
      </c>
      <c r="E90" s="509" t="s">
        <v>438</v>
      </c>
      <c r="F90" s="778" t="s">
        <v>439</v>
      </c>
      <c r="G90" s="779" t="s">
        <v>93</v>
      </c>
      <c r="H90" s="509" t="s">
        <v>94</v>
      </c>
      <c r="I90" s="509">
        <v>796</v>
      </c>
      <c r="J90" s="509">
        <v>0</v>
      </c>
      <c r="K90" s="509">
        <v>4</v>
      </c>
      <c r="L90" s="780">
        <f t="shared" si="17"/>
        <v>199</v>
      </c>
      <c r="M90" s="781">
        <v>45811</v>
      </c>
      <c r="N90" s="781">
        <v>45807</v>
      </c>
      <c r="O90" s="782"/>
      <c r="P90" s="782" t="s">
        <v>103</v>
      </c>
      <c r="Q90" s="509"/>
      <c r="R90" s="784" t="s">
        <v>430</v>
      </c>
      <c r="S90" s="784" t="s">
        <v>66</v>
      </c>
      <c r="T90" s="784" t="s">
        <v>133</v>
      </c>
      <c r="U90" s="683" t="s">
        <v>133</v>
      </c>
      <c r="V90" s="784"/>
      <c r="W90" s="776" t="s">
        <v>431</v>
      </c>
      <c r="X90" s="781" t="s">
        <v>98</v>
      </c>
      <c r="Y90" s="785">
        <v>3.06</v>
      </c>
      <c r="Z90" s="786">
        <f t="shared" si="21"/>
        <v>2435.76</v>
      </c>
      <c r="AA90" s="509"/>
      <c r="AB90" s="509" t="s">
        <v>93</v>
      </c>
      <c r="AC90" s="509" t="s">
        <v>76</v>
      </c>
      <c r="AD90" s="509"/>
      <c r="AE90" s="635" t="s">
        <v>69</v>
      </c>
      <c r="AF90" s="635"/>
      <c r="AG90" s="788">
        <f>792+4</f>
        <v>796</v>
      </c>
      <c r="AH90" s="782">
        <f t="shared" si="18"/>
        <v>0</v>
      </c>
      <c r="AI90" s="509"/>
      <c r="AJ90" s="509"/>
      <c r="AK90" s="509"/>
      <c r="AL90" s="777">
        <f t="shared" si="15"/>
        <v>796</v>
      </c>
      <c r="AM90" s="656"/>
      <c r="AN90" s="656"/>
      <c r="AO90" s="656"/>
      <c r="AP90" s="777">
        <f t="shared" si="22"/>
        <v>796</v>
      </c>
      <c r="AQ90" s="656"/>
      <c r="AR90" s="777">
        <f t="shared" si="20"/>
        <v>796</v>
      </c>
      <c r="AS90" s="777"/>
      <c r="AT90" s="543">
        <f t="shared" si="10"/>
        <v>796</v>
      </c>
      <c r="AU90" s="777"/>
      <c r="AV90" s="778"/>
      <c r="AW90" s="778"/>
      <c r="AX90" s="778"/>
      <c r="AY90" s="778"/>
      <c r="AZ90" s="778"/>
      <c r="BA90" s="778"/>
      <c r="BB90" s="778"/>
      <c r="BC90" s="778"/>
      <c r="BD90" s="777">
        <f t="shared" si="23"/>
        <v>199</v>
      </c>
      <c r="BE90" s="778"/>
      <c r="BF90" s="778"/>
      <c r="BG90" s="778"/>
      <c r="BH90" s="778"/>
      <c r="BI90" s="778"/>
      <c r="BJ90" s="778"/>
      <c r="BK90" s="778"/>
      <c r="BL90" s="778"/>
      <c r="BM90" s="778"/>
    </row>
    <row r="91" s="771" customFormat="1" ht="31" hidden="1" customHeight="1" spans="1:65">
      <c r="A91" s="775">
        <v>45771</v>
      </c>
      <c r="B91" s="776" t="s">
        <v>440</v>
      </c>
      <c r="C91" s="509" t="s">
        <v>249</v>
      </c>
      <c r="D91" s="777">
        <v>4500164759</v>
      </c>
      <c r="E91" s="509" t="s">
        <v>441</v>
      </c>
      <c r="F91" s="778" t="s">
        <v>442</v>
      </c>
      <c r="G91" s="779" t="s">
        <v>251</v>
      </c>
      <c r="H91" s="509" t="s">
        <v>252</v>
      </c>
      <c r="I91" s="509">
        <v>512</v>
      </c>
      <c r="J91" s="509">
        <v>4</v>
      </c>
      <c r="K91" s="509">
        <v>16</v>
      </c>
      <c r="L91" s="780">
        <f t="shared" si="17"/>
        <v>32</v>
      </c>
      <c r="M91" s="781">
        <v>45812</v>
      </c>
      <c r="N91" s="781">
        <f>M91-4</f>
        <v>45808</v>
      </c>
      <c r="O91" s="782"/>
      <c r="P91" s="782" t="s">
        <v>103</v>
      </c>
      <c r="Q91" s="509"/>
      <c r="R91" s="784">
        <v>45784</v>
      </c>
      <c r="S91" s="784" t="s">
        <v>66</v>
      </c>
      <c r="T91" s="784" t="s">
        <v>443</v>
      </c>
      <c r="U91" s="784"/>
      <c r="V91" s="784"/>
      <c r="W91" s="776" t="s">
        <v>444</v>
      </c>
      <c r="X91" s="781" t="s">
        <v>254</v>
      </c>
      <c r="Y91" s="785">
        <v>5</v>
      </c>
      <c r="Z91" s="786">
        <f t="shared" si="21"/>
        <v>2560</v>
      </c>
      <c r="AA91" s="509"/>
      <c r="AB91" s="509" t="s">
        <v>251</v>
      </c>
      <c r="AC91" s="509" t="s">
        <v>76</v>
      </c>
      <c r="AD91" s="509"/>
      <c r="AE91" s="635" t="s">
        <v>69</v>
      </c>
      <c r="AF91" s="635"/>
      <c r="AG91" s="788">
        <v>512</v>
      </c>
      <c r="AH91" s="782">
        <f t="shared" si="18"/>
        <v>0</v>
      </c>
      <c r="AI91" s="509"/>
      <c r="AJ91" s="509" t="s">
        <v>114</v>
      </c>
      <c r="AK91" s="509"/>
      <c r="AL91" s="777">
        <f t="shared" si="15"/>
        <v>512</v>
      </c>
      <c r="AM91" s="656"/>
      <c r="AN91" s="656"/>
      <c r="AO91" s="656"/>
      <c r="AP91" s="777">
        <f t="shared" si="22"/>
        <v>512</v>
      </c>
      <c r="AQ91" s="656"/>
      <c r="AR91" s="777">
        <f t="shared" si="20"/>
        <v>512</v>
      </c>
      <c r="AS91" s="777"/>
      <c r="AT91" s="777">
        <f>I91</f>
        <v>512</v>
      </c>
      <c r="AU91" s="777"/>
      <c r="AV91" s="778"/>
      <c r="AW91" s="778"/>
      <c r="AX91" s="778"/>
      <c r="AY91" s="778"/>
      <c r="AZ91" s="778"/>
      <c r="BA91" s="778"/>
      <c r="BB91" s="778"/>
      <c r="BC91" s="778"/>
      <c r="BD91" s="777">
        <f t="shared" si="23"/>
        <v>128</v>
      </c>
      <c r="BE91" s="778"/>
      <c r="BF91" s="778"/>
      <c r="BG91" s="778"/>
      <c r="BH91" s="778"/>
      <c r="BI91" s="778"/>
      <c r="BJ91" s="778"/>
      <c r="BK91" s="778"/>
      <c r="BL91" s="778"/>
      <c r="BM91" s="778"/>
    </row>
    <row r="92" s="771" customFormat="1" ht="31" hidden="1" customHeight="1" spans="1:65">
      <c r="A92" s="775">
        <v>45750</v>
      </c>
      <c r="B92" s="776" t="s">
        <v>445</v>
      </c>
      <c r="C92" s="509" t="s">
        <v>446</v>
      </c>
      <c r="D92" s="777">
        <v>4500162474</v>
      </c>
      <c r="E92" s="509" t="s">
        <v>447</v>
      </c>
      <c r="F92" s="778" t="s">
        <v>448</v>
      </c>
      <c r="G92" s="790" t="s">
        <v>449</v>
      </c>
      <c r="H92" s="509" t="s">
        <v>65</v>
      </c>
      <c r="I92" s="509">
        <v>480</v>
      </c>
      <c r="J92" s="509">
        <v>0</v>
      </c>
      <c r="K92" s="783">
        <v>16</v>
      </c>
      <c r="L92" s="780">
        <f t="shared" si="17"/>
        <v>30</v>
      </c>
      <c r="M92" s="781">
        <v>45792</v>
      </c>
      <c r="N92" s="781">
        <v>45810</v>
      </c>
      <c r="O92" s="782"/>
      <c r="P92" s="782" t="s">
        <v>103</v>
      </c>
      <c r="Q92" s="509"/>
      <c r="R92" s="784">
        <v>45762</v>
      </c>
      <c r="S92" s="784" t="s">
        <v>66</v>
      </c>
      <c r="T92" s="784">
        <v>45776</v>
      </c>
      <c r="U92" s="784"/>
      <c r="V92" s="784"/>
      <c r="W92" s="776" t="s">
        <v>450</v>
      </c>
      <c r="X92" s="781" t="s">
        <v>451</v>
      </c>
      <c r="Y92" s="785">
        <v>4.39</v>
      </c>
      <c r="Z92" s="786">
        <f t="shared" si="21"/>
        <v>2107.2</v>
      </c>
      <c r="AA92" s="517" t="s">
        <v>452</v>
      </c>
      <c r="AB92" s="509" t="s">
        <v>102</v>
      </c>
      <c r="AC92" s="509" t="s">
        <v>76</v>
      </c>
      <c r="AD92" s="509"/>
      <c r="AE92" s="635" t="s">
        <v>69</v>
      </c>
      <c r="AF92" s="635"/>
      <c r="AG92" s="788">
        <v>480</v>
      </c>
      <c r="AH92" s="782">
        <f t="shared" si="18"/>
        <v>0</v>
      </c>
      <c r="AI92" s="509"/>
      <c r="AJ92" s="509" t="s">
        <v>403</v>
      </c>
      <c r="AK92" s="509"/>
      <c r="AL92" s="777">
        <f t="shared" si="15"/>
        <v>480</v>
      </c>
      <c r="AM92" s="656"/>
      <c r="AN92" s="656"/>
      <c r="AO92" s="656"/>
      <c r="AP92" s="777">
        <f t="shared" si="22"/>
        <v>480</v>
      </c>
      <c r="AQ92" s="656"/>
      <c r="AR92" s="777">
        <f t="shared" si="20"/>
        <v>480</v>
      </c>
      <c r="AS92" s="777"/>
      <c r="AT92" s="777">
        <f>I92</f>
        <v>480</v>
      </c>
      <c r="AU92" s="777"/>
      <c r="AV92" s="778"/>
      <c r="AW92" s="778"/>
      <c r="AX92" s="778"/>
      <c r="AY92" s="778"/>
      <c r="AZ92" s="778"/>
      <c r="BA92" s="778"/>
      <c r="BB92" s="778"/>
      <c r="BC92" s="778"/>
      <c r="BD92" s="778">
        <f t="shared" si="23"/>
        <v>120</v>
      </c>
      <c r="BE92" s="778"/>
      <c r="BF92" s="778"/>
      <c r="BG92" s="778"/>
      <c r="BH92" s="778"/>
      <c r="BI92" s="778"/>
      <c r="BJ92" s="778"/>
      <c r="BK92" s="778"/>
      <c r="BL92" s="778"/>
      <c r="BM92" s="778"/>
    </row>
    <row r="93" s="771" customFormat="1" ht="31" hidden="1" customHeight="1" spans="1:65">
      <c r="A93" s="775">
        <v>45763</v>
      </c>
      <c r="B93" s="776" t="s">
        <v>453</v>
      </c>
      <c r="C93" s="509" t="s">
        <v>366</v>
      </c>
      <c r="D93" s="777">
        <v>4500163782</v>
      </c>
      <c r="E93" s="509"/>
      <c r="F93" s="778" t="s">
        <v>454</v>
      </c>
      <c r="G93" s="790" t="s">
        <v>62</v>
      </c>
      <c r="H93" s="509" t="s">
        <v>455</v>
      </c>
      <c r="I93" s="509">
        <v>30</v>
      </c>
      <c r="J93" s="509">
        <v>0</v>
      </c>
      <c r="K93" s="783">
        <v>1</v>
      </c>
      <c r="L93" s="780">
        <f t="shared" si="17"/>
        <v>30</v>
      </c>
      <c r="M93" s="781">
        <v>45814</v>
      </c>
      <c r="N93" s="781">
        <v>45810</v>
      </c>
      <c r="O93" s="782"/>
      <c r="P93" s="782" t="s">
        <v>103</v>
      </c>
      <c r="Q93" s="509" t="s">
        <v>456</v>
      </c>
      <c r="R93" s="784">
        <v>45786</v>
      </c>
      <c r="S93" s="784" t="s">
        <v>66</v>
      </c>
      <c r="T93" s="784">
        <v>45777</v>
      </c>
      <c r="U93" s="784"/>
      <c r="V93" s="784"/>
      <c r="W93" s="776" t="s">
        <v>457</v>
      </c>
      <c r="X93" s="781" t="s">
        <v>458</v>
      </c>
      <c r="Y93" s="785">
        <v>0</v>
      </c>
      <c r="Z93" s="786">
        <f>Y93*L93</f>
        <v>0</v>
      </c>
      <c r="AA93" s="509"/>
      <c r="AB93" s="482" t="s">
        <v>459</v>
      </c>
      <c r="AC93" s="509" t="s">
        <v>76</v>
      </c>
      <c r="AD93" s="509"/>
      <c r="AE93" s="635" t="s">
        <v>69</v>
      </c>
      <c r="AF93" s="635"/>
      <c r="AG93" s="788">
        <v>540</v>
      </c>
      <c r="AH93" s="782">
        <v>0</v>
      </c>
      <c r="AI93" s="509"/>
      <c r="AJ93" s="509"/>
      <c r="AK93" s="509"/>
      <c r="AL93" s="777"/>
      <c r="AM93" s="656"/>
      <c r="AN93" s="656"/>
      <c r="AO93" s="656"/>
      <c r="AP93" s="777"/>
      <c r="AQ93" s="656"/>
      <c r="AR93" s="777"/>
      <c r="AS93" s="777"/>
      <c r="AT93" s="543">
        <f>I93</f>
        <v>30</v>
      </c>
      <c r="AU93" s="777"/>
      <c r="AV93" s="778"/>
      <c r="AW93" s="778"/>
      <c r="AX93" s="778"/>
      <c r="AY93" s="778"/>
      <c r="AZ93" s="778"/>
      <c r="BA93" s="778"/>
      <c r="BB93" s="778"/>
      <c r="BC93" s="778"/>
      <c r="BD93" s="778"/>
      <c r="BE93" s="778"/>
      <c r="BF93" s="778"/>
      <c r="BG93" s="778"/>
      <c r="BH93" s="778"/>
      <c r="BI93" s="778"/>
      <c r="BJ93" s="778"/>
      <c r="BK93" s="778"/>
      <c r="BL93" s="778"/>
      <c r="BM93" s="778"/>
    </row>
    <row r="94" s="771" customFormat="1" ht="31" hidden="1" customHeight="1" spans="1:65">
      <c r="A94" s="775">
        <v>45763</v>
      </c>
      <c r="B94" s="776" t="s">
        <v>453</v>
      </c>
      <c r="C94" s="509" t="s">
        <v>366</v>
      </c>
      <c r="D94" s="777">
        <v>4500163782</v>
      </c>
      <c r="E94" s="509"/>
      <c r="F94" s="778" t="s">
        <v>454</v>
      </c>
      <c r="G94" s="790" t="s">
        <v>460</v>
      </c>
      <c r="H94" s="509" t="s">
        <v>65</v>
      </c>
      <c r="I94" s="509">
        <v>540</v>
      </c>
      <c r="J94" s="509">
        <v>0</v>
      </c>
      <c r="K94" s="783">
        <v>18</v>
      </c>
      <c r="L94" s="780">
        <f t="shared" si="17"/>
        <v>30</v>
      </c>
      <c r="M94" s="781">
        <v>45814</v>
      </c>
      <c r="N94" s="781">
        <v>45810</v>
      </c>
      <c r="O94" s="782"/>
      <c r="P94" s="782" t="s">
        <v>103</v>
      </c>
      <c r="Q94" s="509" t="s">
        <v>456</v>
      </c>
      <c r="R94" s="784">
        <v>45786</v>
      </c>
      <c r="S94" s="784" t="s">
        <v>66</v>
      </c>
      <c r="T94" s="784">
        <v>45777</v>
      </c>
      <c r="U94" s="784"/>
      <c r="V94" s="784"/>
      <c r="W94" s="776" t="s">
        <v>457</v>
      </c>
      <c r="X94" s="781" t="s">
        <v>458</v>
      </c>
      <c r="Y94" s="785">
        <v>171.3</v>
      </c>
      <c r="Z94" s="786">
        <f>Y94*L94</f>
        <v>5139</v>
      </c>
      <c r="AA94" s="509"/>
      <c r="AB94" s="482" t="s">
        <v>459</v>
      </c>
      <c r="AC94" s="509" t="s">
        <v>76</v>
      </c>
      <c r="AD94" s="509"/>
      <c r="AE94" s="635" t="s">
        <v>69</v>
      </c>
      <c r="AF94" s="635"/>
      <c r="AG94" s="788">
        <v>0</v>
      </c>
      <c r="AH94" s="782">
        <v>0</v>
      </c>
      <c r="AI94" s="509"/>
      <c r="AJ94" s="509"/>
      <c r="AK94" s="509"/>
      <c r="AL94" s="777">
        <f>I94</f>
        <v>540</v>
      </c>
      <c r="AM94" s="656"/>
      <c r="AN94" s="656"/>
      <c r="AO94" s="656"/>
      <c r="AP94" s="777"/>
      <c r="AQ94" s="656">
        <f>I94</f>
        <v>540</v>
      </c>
      <c r="AR94" s="777">
        <f>I94</f>
        <v>540</v>
      </c>
      <c r="AS94" s="777"/>
      <c r="AT94" s="777">
        <f t="shared" ref="AT94:AT99" si="24">I94</f>
        <v>540</v>
      </c>
      <c r="AU94" s="777"/>
      <c r="AV94" s="778"/>
      <c r="AW94" s="778"/>
      <c r="AX94" s="778"/>
      <c r="AY94" s="778"/>
      <c r="AZ94" s="778"/>
      <c r="BA94" s="778"/>
      <c r="BB94" s="778"/>
      <c r="BC94" s="778"/>
      <c r="BD94" s="778"/>
      <c r="BE94" s="778"/>
      <c r="BF94" s="778"/>
      <c r="BG94" s="778"/>
      <c r="BH94" s="778"/>
      <c r="BI94" s="778"/>
      <c r="BJ94" s="778"/>
      <c r="BK94" s="778">
        <f>I94/18</f>
        <v>30</v>
      </c>
      <c r="BL94" s="778"/>
      <c r="BM94" s="778"/>
    </row>
    <row r="95" s="771" customFormat="1" ht="31" hidden="1" customHeight="1" spans="1:65">
      <c r="A95" s="775">
        <v>45755</v>
      </c>
      <c r="B95" s="776" t="s">
        <v>190</v>
      </c>
      <c r="C95" s="509" t="s">
        <v>191</v>
      </c>
      <c r="D95" s="777">
        <v>4500161438</v>
      </c>
      <c r="E95" s="509" t="s">
        <v>461</v>
      </c>
      <c r="F95" s="778" t="s">
        <v>462</v>
      </c>
      <c r="G95" s="779" t="s">
        <v>463</v>
      </c>
      <c r="H95" s="509" t="s">
        <v>424</v>
      </c>
      <c r="I95" s="509">
        <v>600</v>
      </c>
      <c r="J95" s="509">
        <v>0</v>
      </c>
      <c r="K95" s="509">
        <v>6</v>
      </c>
      <c r="L95" s="780">
        <f t="shared" si="17"/>
        <v>100</v>
      </c>
      <c r="M95" s="781">
        <v>45805</v>
      </c>
      <c r="N95" s="781">
        <v>45814</v>
      </c>
      <c r="O95" s="782"/>
      <c r="P95" s="782" t="s">
        <v>103</v>
      </c>
      <c r="Q95" s="509" t="s">
        <v>464</v>
      </c>
      <c r="R95" s="784">
        <v>45755</v>
      </c>
      <c r="S95" s="784" t="s">
        <v>66</v>
      </c>
      <c r="T95" s="784">
        <v>45772</v>
      </c>
      <c r="U95" s="784" t="s">
        <v>465</v>
      </c>
      <c r="V95" s="784"/>
      <c r="W95" s="776" t="s">
        <v>466</v>
      </c>
      <c r="X95" s="781" t="s">
        <v>196</v>
      </c>
      <c r="Y95" s="785">
        <v>8.9</v>
      </c>
      <c r="Z95" s="786">
        <f>Y95*I95</f>
        <v>5340</v>
      </c>
      <c r="AA95" s="509"/>
      <c r="AB95" s="670" t="s">
        <v>427</v>
      </c>
      <c r="AC95" s="509" t="s">
        <v>76</v>
      </c>
      <c r="AD95" s="509"/>
      <c r="AE95" s="635" t="s">
        <v>69</v>
      </c>
      <c r="AF95" s="635"/>
      <c r="AG95" s="788">
        <f>I95</f>
        <v>600</v>
      </c>
      <c r="AH95" s="782">
        <f t="shared" ref="AH95:AH158" si="25">AG95-I95</f>
        <v>0</v>
      </c>
      <c r="AI95" s="509"/>
      <c r="AJ95" s="509"/>
      <c r="AK95" s="509"/>
      <c r="AL95" s="777">
        <f>I95</f>
        <v>600</v>
      </c>
      <c r="AM95" s="656"/>
      <c r="AN95" s="656"/>
      <c r="AO95" s="656"/>
      <c r="AP95" s="777">
        <f>I95</f>
        <v>600</v>
      </c>
      <c r="AQ95" s="656"/>
      <c r="AR95" s="777">
        <f>I95</f>
        <v>600</v>
      </c>
      <c r="AS95" s="777"/>
      <c r="AT95" s="777">
        <f t="shared" si="24"/>
        <v>600</v>
      </c>
      <c r="AU95" s="777"/>
      <c r="AV95" s="778"/>
      <c r="AW95" s="778"/>
      <c r="AX95" s="778"/>
      <c r="AY95" s="778"/>
      <c r="AZ95" s="778"/>
      <c r="BA95" s="778"/>
      <c r="BB95" s="778"/>
      <c r="BC95" s="778"/>
      <c r="BD95" s="778"/>
      <c r="BE95" s="778"/>
      <c r="BF95" s="778"/>
      <c r="BG95" s="778"/>
      <c r="BH95" s="778"/>
      <c r="BI95" s="777"/>
      <c r="BJ95" s="777">
        <f>I95</f>
        <v>600</v>
      </c>
      <c r="BK95" s="778"/>
      <c r="BL95" s="778"/>
      <c r="BM95" s="778"/>
    </row>
    <row r="96" s="771" customFormat="1" ht="31" hidden="1" customHeight="1" spans="1:65">
      <c r="A96" s="775">
        <v>45771</v>
      </c>
      <c r="B96" s="776" t="s">
        <v>467</v>
      </c>
      <c r="C96" s="509" t="s">
        <v>468</v>
      </c>
      <c r="D96" s="777">
        <v>4500164861</v>
      </c>
      <c r="E96" s="509">
        <v>50212500921</v>
      </c>
      <c r="F96" s="778" t="s">
        <v>469</v>
      </c>
      <c r="G96" s="779" t="s">
        <v>64</v>
      </c>
      <c r="H96" s="509" t="s">
        <v>65</v>
      </c>
      <c r="I96" s="509">
        <v>1800</v>
      </c>
      <c r="J96" s="509">
        <v>0</v>
      </c>
      <c r="K96" s="509">
        <v>12</v>
      </c>
      <c r="L96" s="780">
        <f t="shared" si="17"/>
        <v>150</v>
      </c>
      <c r="M96" s="781">
        <v>45819</v>
      </c>
      <c r="N96" s="781">
        <v>45815</v>
      </c>
      <c r="O96" s="782"/>
      <c r="P96" s="782" t="s">
        <v>103</v>
      </c>
      <c r="Q96" s="509" t="s">
        <v>470</v>
      </c>
      <c r="R96" s="784">
        <v>45777</v>
      </c>
      <c r="S96" s="784" t="s">
        <v>66</v>
      </c>
      <c r="T96" s="784">
        <v>45800</v>
      </c>
      <c r="U96" s="784" t="s">
        <v>471</v>
      </c>
      <c r="V96" s="784"/>
      <c r="W96" s="776" t="s">
        <v>472</v>
      </c>
      <c r="X96" s="781" t="s">
        <v>473</v>
      </c>
      <c r="Y96" s="785">
        <v>4.1456</v>
      </c>
      <c r="Z96" s="786">
        <f>Y96*I96</f>
        <v>7462.08</v>
      </c>
      <c r="AA96" s="509"/>
      <c r="AB96" s="57" t="s">
        <v>165</v>
      </c>
      <c r="AC96" s="509" t="s">
        <v>76</v>
      </c>
      <c r="AD96" s="509"/>
      <c r="AE96" s="635" t="s">
        <v>69</v>
      </c>
      <c r="AF96" s="635"/>
      <c r="AG96" s="788">
        <v>1800</v>
      </c>
      <c r="AH96" s="782">
        <f t="shared" si="25"/>
        <v>0</v>
      </c>
      <c r="AI96" s="509"/>
      <c r="AJ96" s="509" t="s">
        <v>403</v>
      </c>
      <c r="AK96" s="509"/>
      <c r="AL96" s="777">
        <f>I96</f>
        <v>1800</v>
      </c>
      <c r="AM96" s="656"/>
      <c r="AN96" s="656"/>
      <c r="AO96" s="656"/>
      <c r="AP96" s="777"/>
      <c r="AQ96" s="656">
        <f>I96</f>
        <v>1800</v>
      </c>
      <c r="AR96" s="777">
        <f>I96</f>
        <v>1800</v>
      </c>
      <c r="AS96" s="777"/>
      <c r="AT96" s="777">
        <f t="shared" si="24"/>
        <v>1800</v>
      </c>
      <c r="AU96" s="777"/>
      <c r="AV96" s="778"/>
      <c r="AW96" s="778"/>
      <c r="AX96" s="778"/>
      <c r="AY96" s="778"/>
      <c r="AZ96" s="778"/>
      <c r="BA96" s="778"/>
      <c r="BB96" s="778"/>
      <c r="BC96" s="778"/>
      <c r="BD96" s="778"/>
      <c r="BE96" s="778"/>
      <c r="BF96" s="778"/>
      <c r="BG96" s="778"/>
      <c r="BH96" s="778"/>
      <c r="BI96" s="778"/>
      <c r="BJ96" s="778"/>
      <c r="BK96" s="778"/>
      <c r="BL96" s="778"/>
      <c r="BM96" s="778"/>
    </row>
    <row r="97" s="771" customFormat="1" ht="31" hidden="1" customHeight="1" spans="1:65">
      <c r="A97" s="775">
        <v>45765</v>
      </c>
      <c r="B97" s="776" t="s">
        <v>392</v>
      </c>
      <c r="C97" s="509" t="s">
        <v>366</v>
      </c>
      <c r="D97" s="777">
        <v>4500163950</v>
      </c>
      <c r="E97" s="509"/>
      <c r="F97" s="778" t="s">
        <v>474</v>
      </c>
      <c r="G97" s="779" t="s">
        <v>62</v>
      </c>
      <c r="H97" s="509" t="s">
        <v>455</v>
      </c>
      <c r="I97" s="509">
        <v>80</v>
      </c>
      <c r="J97" s="509">
        <v>0</v>
      </c>
      <c r="K97" s="509">
        <v>1</v>
      </c>
      <c r="L97" s="780">
        <f t="shared" si="17"/>
        <v>80</v>
      </c>
      <c r="M97" s="781">
        <v>45810</v>
      </c>
      <c r="N97" s="781">
        <v>45806</v>
      </c>
      <c r="O97" s="782"/>
      <c r="P97" s="782" t="s">
        <v>103</v>
      </c>
      <c r="Q97" s="509"/>
      <c r="R97" s="784">
        <v>45777</v>
      </c>
      <c r="S97" s="784" t="s">
        <v>66</v>
      </c>
      <c r="T97" s="784">
        <v>45789</v>
      </c>
      <c r="U97" s="784"/>
      <c r="V97" s="784"/>
      <c r="W97" s="776" t="s">
        <v>475</v>
      </c>
      <c r="X97" s="781" t="s">
        <v>395</v>
      </c>
      <c r="Y97" s="785">
        <v>0</v>
      </c>
      <c r="Z97" s="786">
        <f>Y97*L97</f>
        <v>0</v>
      </c>
      <c r="AA97" s="509"/>
      <c r="AB97" s="482" t="s">
        <v>459</v>
      </c>
      <c r="AC97" s="509" t="s">
        <v>76</v>
      </c>
      <c r="AD97" s="509"/>
      <c r="AE97" s="635" t="s">
        <v>69</v>
      </c>
      <c r="AF97" s="635"/>
      <c r="AG97" s="788">
        <v>0</v>
      </c>
      <c r="AH97" s="782">
        <f t="shared" si="25"/>
        <v>-80</v>
      </c>
      <c r="AI97" s="509"/>
      <c r="AJ97" s="509"/>
      <c r="AK97" s="509"/>
      <c r="AL97" s="777"/>
      <c r="AM97" s="656"/>
      <c r="AN97" s="656"/>
      <c r="AO97" s="656"/>
      <c r="AP97" s="777"/>
      <c r="AQ97" s="656"/>
      <c r="AR97" s="777"/>
      <c r="AS97" s="777"/>
      <c r="AT97" s="543">
        <f t="shared" si="24"/>
        <v>80</v>
      </c>
      <c r="AU97" s="777"/>
      <c r="AV97" s="778"/>
      <c r="AW97" s="778"/>
      <c r="AX97" s="778"/>
      <c r="AY97" s="778"/>
      <c r="AZ97" s="778"/>
      <c r="BA97" s="778"/>
      <c r="BB97" s="778"/>
      <c r="BC97" s="778"/>
      <c r="BD97" s="778"/>
      <c r="BE97" s="778"/>
      <c r="BF97" s="778"/>
      <c r="BG97" s="778"/>
      <c r="BH97" s="778"/>
      <c r="BI97" s="778"/>
      <c r="BJ97" s="778"/>
      <c r="BK97" s="778"/>
      <c r="BL97" s="778"/>
      <c r="BM97" s="778"/>
    </row>
    <row r="98" s="771" customFormat="1" ht="31" hidden="1" customHeight="1" spans="1:65">
      <c r="A98" s="775">
        <v>45765</v>
      </c>
      <c r="B98" s="776" t="s">
        <v>392</v>
      </c>
      <c r="C98" s="509" t="s">
        <v>366</v>
      </c>
      <c r="D98" s="777">
        <v>4500163950</v>
      </c>
      <c r="E98" s="509"/>
      <c r="F98" s="778" t="s">
        <v>474</v>
      </c>
      <c r="G98" s="779" t="s">
        <v>460</v>
      </c>
      <c r="H98" s="509" t="s">
        <v>65</v>
      </c>
      <c r="I98" s="509">
        <v>1440</v>
      </c>
      <c r="J98" s="509">
        <v>0</v>
      </c>
      <c r="K98" s="509">
        <v>18</v>
      </c>
      <c r="L98" s="780">
        <f t="shared" si="17"/>
        <v>80</v>
      </c>
      <c r="M98" s="781">
        <v>45810</v>
      </c>
      <c r="N98" s="781">
        <v>45806</v>
      </c>
      <c r="O98" s="782"/>
      <c r="P98" s="782" t="s">
        <v>103</v>
      </c>
      <c r="Q98" s="509"/>
      <c r="R98" s="784">
        <v>45777</v>
      </c>
      <c r="S98" s="784" t="s">
        <v>66</v>
      </c>
      <c r="T98" s="784">
        <v>45789</v>
      </c>
      <c r="U98" s="784"/>
      <c r="V98" s="784"/>
      <c r="W98" s="776" t="s">
        <v>475</v>
      </c>
      <c r="X98" s="781" t="s">
        <v>395</v>
      </c>
      <c r="Y98" s="785">
        <v>172.3098</v>
      </c>
      <c r="Z98" s="786">
        <f>Y98*L98</f>
        <v>13784.784</v>
      </c>
      <c r="AA98" s="509" t="s">
        <v>396</v>
      </c>
      <c r="AB98" s="482" t="s">
        <v>459</v>
      </c>
      <c r="AC98" s="509" t="s">
        <v>76</v>
      </c>
      <c r="AD98" s="509"/>
      <c r="AE98" s="635" t="s">
        <v>69</v>
      </c>
      <c r="AF98" s="635"/>
      <c r="AG98" s="788">
        <v>1440</v>
      </c>
      <c r="AH98" s="782">
        <f t="shared" si="25"/>
        <v>0</v>
      </c>
      <c r="AI98" s="509"/>
      <c r="AJ98" s="509"/>
      <c r="AK98" s="509"/>
      <c r="AL98" s="777">
        <f t="shared" ref="AL98:AL128" si="26">I98</f>
        <v>1440</v>
      </c>
      <c r="AM98" s="656"/>
      <c r="AN98" s="656"/>
      <c r="AO98" s="656"/>
      <c r="AP98" s="777"/>
      <c r="AQ98" s="656">
        <f>I98</f>
        <v>1440</v>
      </c>
      <c r="AR98" s="777">
        <f>I98</f>
        <v>1440</v>
      </c>
      <c r="AS98" s="777"/>
      <c r="AT98" s="777">
        <f t="shared" si="24"/>
        <v>1440</v>
      </c>
      <c r="AU98" s="777"/>
      <c r="AV98" s="778"/>
      <c r="AW98" s="778"/>
      <c r="AX98" s="778"/>
      <c r="AY98" s="778"/>
      <c r="AZ98" s="778"/>
      <c r="BA98" s="778"/>
      <c r="BB98" s="778"/>
      <c r="BC98" s="778"/>
      <c r="BD98" s="778"/>
      <c r="BE98" s="778"/>
      <c r="BF98" s="778"/>
      <c r="BG98" s="778"/>
      <c r="BH98" s="778"/>
      <c r="BI98" s="778"/>
      <c r="BJ98" s="778"/>
      <c r="BK98" s="778"/>
      <c r="BL98" s="778"/>
      <c r="BM98" s="778"/>
    </row>
    <row r="99" s="771" customFormat="1" ht="31" hidden="1" customHeight="1" spans="1:65">
      <c r="A99" s="775">
        <v>45769</v>
      </c>
      <c r="B99" s="776" t="s">
        <v>476</v>
      </c>
      <c r="C99" s="509" t="s">
        <v>231</v>
      </c>
      <c r="D99" s="777">
        <v>4500164476</v>
      </c>
      <c r="E99" s="509">
        <v>4400474094</v>
      </c>
      <c r="F99" s="778" t="s">
        <v>477</v>
      </c>
      <c r="G99" s="779" t="s">
        <v>148</v>
      </c>
      <c r="H99" s="509" t="s">
        <v>65</v>
      </c>
      <c r="I99" s="509">
        <v>1000</v>
      </c>
      <c r="J99" s="509">
        <v>0</v>
      </c>
      <c r="K99" s="509">
        <v>8</v>
      </c>
      <c r="L99" s="780">
        <f t="shared" si="17"/>
        <v>125</v>
      </c>
      <c r="M99" s="781">
        <v>45811</v>
      </c>
      <c r="N99" s="781">
        <v>45807</v>
      </c>
      <c r="O99" s="782"/>
      <c r="P99" s="782" t="s">
        <v>103</v>
      </c>
      <c r="Q99" s="509"/>
      <c r="R99" s="784">
        <v>45769</v>
      </c>
      <c r="S99" s="784" t="s">
        <v>66</v>
      </c>
      <c r="T99" s="784" t="s">
        <v>478</v>
      </c>
      <c r="U99" s="784"/>
      <c r="V99" s="784"/>
      <c r="W99" s="776" t="s">
        <v>479</v>
      </c>
      <c r="X99" s="781" t="s">
        <v>254</v>
      </c>
      <c r="Y99" s="785">
        <v>5</v>
      </c>
      <c r="Z99" s="786">
        <f t="shared" ref="Z99:Z104" si="27">Y99*I99</f>
        <v>5000</v>
      </c>
      <c r="AA99" s="509"/>
      <c r="AB99" s="57" t="s">
        <v>148</v>
      </c>
      <c r="AC99" s="509" t="s">
        <v>76</v>
      </c>
      <c r="AD99" s="509"/>
      <c r="AE99" s="635" t="s">
        <v>69</v>
      </c>
      <c r="AF99" s="635"/>
      <c r="AG99" s="788">
        <f>976+24</f>
        <v>1000</v>
      </c>
      <c r="AH99" s="782">
        <f t="shared" si="25"/>
        <v>0</v>
      </c>
      <c r="AI99" s="509"/>
      <c r="AJ99" s="509" t="s">
        <v>114</v>
      </c>
      <c r="AK99" s="509"/>
      <c r="AL99" s="777">
        <f t="shared" si="26"/>
        <v>1000</v>
      </c>
      <c r="AM99" s="656"/>
      <c r="AN99" s="656"/>
      <c r="AO99" s="656"/>
      <c r="AP99" s="777"/>
      <c r="AQ99" s="656"/>
      <c r="AR99" s="777"/>
      <c r="AS99" s="777"/>
      <c r="AT99" s="777">
        <f t="shared" si="24"/>
        <v>1000</v>
      </c>
      <c r="AU99" s="777"/>
      <c r="AV99" s="778"/>
      <c r="AW99" s="778"/>
      <c r="AX99" s="778"/>
      <c r="AY99" s="778"/>
      <c r="AZ99" s="777">
        <f>I99</f>
        <v>1000</v>
      </c>
      <c r="BA99" s="777">
        <f>I99</f>
        <v>1000</v>
      </c>
      <c r="BB99" s="778"/>
      <c r="BC99" s="778"/>
      <c r="BD99" s="778"/>
      <c r="BE99" s="777">
        <f>I99/4</f>
        <v>250</v>
      </c>
      <c r="BF99" s="778"/>
      <c r="BG99" s="778"/>
      <c r="BH99" s="778"/>
      <c r="BI99" s="778"/>
      <c r="BJ99" s="778"/>
      <c r="BK99" s="778"/>
      <c r="BL99" s="778"/>
      <c r="BM99" s="778"/>
    </row>
    <row r="100" s="771" customFormat="1" ht="31" hidden="1" customHeight="1" spans="1:65">
      <c r="A100" s="775">
        <v>45714</v>
      </c>
      <c r="B100" s="776" t="s">
        <v>480</v>
      </c>
      <c r="C100" s="509" t="s">
        <v>356</v>
      </c>
      <c r="D100" s="777">
        <v>4500158623</v>
      </c>
      <c r="E100" s="509" t="s">
        <v>481</v>
      </c>
      <c r="F100" s="778" t="s">
        <v>482</v>
      </c>
      <c r="G100" s="779" t="s">
        <v>64</v>
      </c>
      <c r="H100" s="509" t="s">
        <v>65</v>
      </c>
      <c r="I100" s="509">
        <v>492</v>
      </c>
      <c r="J100" s="509">
        <v>0</v>
      </c>
      <c r="K100" s="509">
        <v>12</v>
      </c>
      <c r="L100" s="780">
        <f t="shared" si="17"/>
        <v>41</v>
      </c>
      <c r="M100" s="781">
        <v>45813</v>
      </c>
      <c r="N100" s="781">
        <v>45810</v>
      </c>
      <c r="O100" s="782"/>
      <c r="P100" s="782" t="s">
        <v>103</v>
      </c>
      <c r="Q100" s="509"/>
      <c r="R100" s="784" t="s">
        <v>411</v>
      </c>
      <c r="S100" s="784" t="s">
        <v>96</v>
      </c>
      <c r="T100" s="784" t="s">
        <v>483</v>
      </c>
      <c r="U100" s="784"/>
      <c r="V100" s="784"/>
      <c r="W100" s="776" t="s">
        <v>484</v>
      </c>
      <c r="X100" s="781" t="s">
        <v>485</v>
      </c>
      <c r="Y100" s="785">
        <v>4.1</v>
      </c>
      <c r="Z100" s="786">
        <f t="shared" si="27"/>
        <v>2017.2</v>
      </c>
      <c r="AA100" s="509"/>
      <c r="AB100" s="57" t="s">
        <v>165</v>
      </c>
      <c r="AC100" s="509" t="s">
        <v>76</v>
      </c>
      <c r="AD100" s="509"/>
      <c r="AE100" s="635" t="s">
        <v>69</v>
      </c>
      <c r="AF100" s="635"/>
      <c r="AG100" s="788">
        <f>480+12</f>
        <v>492</v>
      </c>
      <c r="AH100" s="782">
        <f t="shared" si="25"/>
        <v>0</v>
      </c>
      <c r="AI100" s="509"/>
      <c r="AJ100" s="509"/>
      <c r="AK100" s="509"/>
      <c r="AL100" s="777">
        <f t="shared" si="26"/>
        <v>492</v>
      </c>
      <c r="AM100" s="656"/>
      <c r="AN100" s="656"/>
      <c r="AO100" s="656"/>
      <c r="AP100" s="777"/>
      <c r="AQ100" s="656">
        <f t="shared" ref="AQ100:AQ106" si="28">I100</f>
        <v>492</v>
      </c>
      <c r="AR100" s="777">
        <f t="shared" ref="AR100:AR120" si="29">I100</f>
        <v>492</v>
      </c>
      <c r="AS100" s="777"/>
      <c r="AT100" s="777">
        <f t="shared" ref="AT100:AT123" si="30">I100</f>
        <v>492</v>
      </c>
      <c r="AU100" s="777"/>
      <c r="AV100" s="778"/>
      <c r="AW100" s="778"/>
      <c r="AX100" s="778"/>
      <c r="AY100" s="778"/>
      <c r="AZ100" s="778"/>
      <c r="BA100" s="778"/>
      <c r="BB100" s="778"/>
      <c r="BC100" s="778"/>
      <c r="BD100" s="778"/>
      <c r="BE100" s="778"/>
      <c r="BF100" s="778"/>
      <c r="BG100" s="778"/>
      <c r="BH100" s="778"/>
      <c r="BI100" s="778"/>
      <c r="BJ100" s="778"/>
      <c r="BK100" s="778"/>
      <c r="BL100" s="778"/>
      <c r="BM100" s="778"/>
    </row>
    <row r="101" s="771" customFormat="1" ht="31" hidden="1" customHeight="1" spans="1:65">
      <c r="A101" s="775">
        <v>45714</v>
      </c>
      <c r="B101" s="776" t="s">
        <v>486</v>
      </c>
      <c r="C101" s="509" t="s">
        <v>366</v>
      </c>
      <c r="D101" s="777">
        <v>4500158623</v>
      </c>
      <c r="E101" s="509" t="s">
        <v>487</v>
      </c>
      <c r="F101" s="778" t="s">
        <v>488</v>
      </c>
      <c r="G101" s="779" t="s">
        <v>64</v>
      </c>
      <c r="H101" s="509" t="s">
        <v>65</v>
      </c>
      <c r="I101" s="509">
        <v>492</v>
      </c>
      <c r="J101" s="509">
        <v>0</v>
      </c>
      <c r="K101" s="509">
        <v>12</v>
      </c>
      <c r="L101" s="780">
        <f t="shared" si="17"/>
        <v>41</v>
      </c>
      <c r="M101" s="781">
        <v>45813</v>
      </c>
      <c r="N101" s="781">
        <v>45810</v>
      </c>
      <c r="O101" s="782"/>
      <c r="P101" s="782" t="s">
        <v>103</v>
      </c>
      <c r="Q101" s="509"/>
      <c r="R101" s="784" t="s">
        <v>411</v>
      </c>
      <c r="S101" s="784" t="s">
        <v>96</v>
      </c>
      <c r="T101" s="784" t="s">
        <v>483</v>
      </c>
      <c r="U101" s="784"/>
      <c r="V101" s="784"/>
      <c r="W101" s="776" t="s">
        <v>484</v>
      </c>
      <c r="X101" s="781" t="s">
        <v>485</v>
      </c>
      <c r="Y101" s="785">
        <v>4.1</v>
      </c>
      <c r="Z101" s="786">
        <f t="shared" si="27"/>
        <v>2017.2</v>
      </c>
      <c r="AA101" s="509"/>
      <c r="AB101" s="57" t="s">
        <v>165</v>
      </c>
      <c r="AC101" s="509" t="s">
        <v>76</v>
      </c>
      <c r="AD101" s="509"/>
      <c r="AE101" s="635" t="s">
        <v>69</v>
      </c>
      <c r="AF101" s="635"/>
      <c r="AG101" s="788">
        <f>480+12</f>
        <v>492</v>
      </c>
      <c r="AH101" s="782">
        <f t="shared" si="25"/>
        <v>0</v>
      </c>
      <c r="AI101" s="509"/>
      <c r="AJ101" s="509"/>
      <c r="AK101" s="509"/>
      <c r="AL101" s="777">
        <f t="shared" si="26"/>
        <v>492</v>
      </c>
      <c r="AM101" s="656"/>
      <c r="AN101" s="656"/>
      <c r="AO101" s="656"/>
      <c r="AP101" s="777"/>
      <c r="AQ101" s="656">
        <f t="shared" si="28"/>
        <v>492</v>
      </c>
      <c r="AR101" s="777">
        <f t="shared" si="29"/>
        <v>492</v>
      </c>
      <c r="AS101" s="777"/>
      <c r="AT101" s="777">
        <f t="shared" si="30"/>
        <v>492</v>
      </c>
      <c r="AU101" s="777"/>
      <c r="AV101" s="778"/>
      <c r="AW101" s="778"/>
      <c r="AX101" s="778"/>
      <c r="AY101" s="778"/>
      <c r="AZ101" s="778"/>
      <c r="BA101" s="778"/>
      <c r="BB101" s="778"/>
      <c r="BC101" s="778"/>
      <c r="BD101" s="778"/>
      <c r="BE101" s="778"/>
      <c r="BF101" s="778"/>
      <c r="BG101" s="778"/>
      <c r="BH101" s="778"/>
      <c r="BI101" s="778"/>
      <c r="BJ101" s="778"/>
      <c r="BK101" s="778"/>
      <c r="BL101" s="778"/>
      <c r="BM101" s="778"/>
    </row>
    <row r="102" s="771" customFormat="1" ht="31" hidden="1" customHeight="1" spans="1:65">
      <c r="A102" s="775">
        <v>45720</v>
      </c>
      <c r="B102" s="776" t="s">
        <v>489</v>
      </c>
      <c r="C102" s="509" t="s">
        <v>249</v>
      </c>
      <c r="D102" s="777">
        <v>4500158582</v>
      </c>
      <c r="E102" s="509" t="s">
        <v>490</v>
      </c>
      <c r="F102" s="778" t="s">
        <v>491</v>
      </c>
      <c r="G102" s="779" t="s">
        <v>64</v>
      </c>
      <c r="H102" s="509" t="s">
        <v>65</v>
      </c>
      <c r="I102" s="509">
        <v>1380</v>
      </c>
      <c r="J102" s="509">
        <v>0</v>
      </c>
      <c r="K102" s="509">
        <v>12</v>
      </c>
      <c r="L102" s="780">
        <f t="shared" si="17"/>
        <v>115</v>
      </c>
      <c r="M102" s="781">
        <v>45813</v>
      </c>
      <c r="N102" s="781">
        <v>45810</v>
      </c>
      <c r="O102" s="782"/>
      <c r="P102" s="782" t="s">
        <v>103</v>
      </c>
      <c r="Q102" s="509"/>
      <c r="R102" s="784" t="s">
        <v>492</v>
      </c>
      <c r="S102" s="784" t="s">
        <v>96</v>
      </c>
      <c r="T102" s="784">
        <v>45727</v>
      </c>
      <c r="U102" s="784"/>
      <c r="V102" s="784"/>
      <c r="W102" s="776" t="s">
        <v>493</v>
      </c>
      <c r="X102" s="781" t="s">
        <v>414</v>
      </c>
      <c r="Y102" s="785">
        <v>4.1</v>
      </c>
      <c r="Z102" s="786">
        <f t="shared" si="27"/>
        <v>5658</v>
      </c>
      <c r="AA102" s="509"/>
      <c r="AB102" s="57" t="s">
        <v>64</v>
      </c>
      <c r="AC102" s="509" t="s">
        <v>76</v>
      </c>
      <c r="AD102" s="509"/>
      <c r="AE102" s="635" t="s">
        <v>69</v>
      </c>
      <c r="AF102" s="635"/>
      <c r="AG102" s="788">
        <v>1380</v>
      </c>
      <c r="AH102" s="782">
        <f t="shared" si="25"/>
        <v>0</v>
      </c>
      <c r="AI102" s="509"/>
      <c r="AJ102" s="509"/>
      <c r="AK102" s="509"/>
      <c r="AL102" s="777">
        <f t="shared" si="26"/>
        <v>1380</v>
      </c>
      <c r="AM102" s="656"/>
      <c r="AN102" s="656"/>
      <c r="AO102" s="656"/>
      <c r="AP102" s="777"/>
      <c r="AQ102" s="656">
        <f t="shared" si="28"/>
        <v>1380</v>
      </c>
      <c r="AR102" s="777">
        <f t="shared" si="29"/>
        <v>1380</v>
      </c>
      <c r="AS102" s="777"/>
      <c r="AT102" s="777">
        <f t="shared" si="30"/>
        <v>1380</v>
      </c>
      <c r="AU102" s="777"/>
      <c r="AV102" s="778"/>
      <c r="AW102" s="778"/>
      <c r="AX102" s="778"/>
      <c r="AY102" s="778"/>
      <c r="AZ102" s="778"/>
      <c r="BA102" s="778"/>
      <c r="BB102" s="778"/>
      <c r="BC102" s="778"/>
      <c r="BD102" s="778"/>
      <c r="BE102" s="778"/>
      <c r="BF102" s="778"/>
      <c r="BG102" s="778"/>
      <c r="BH102" s="778"/>
      <c r="BI102" s="778"/>
      <c r="BJ102" s="778"/>
      <c r="BK102" s="778"/>
      <c r="BL102" s="778"/>
      <c r="BM102" s="778"/>
    </row>
    <row r="103" s="771" customFormat="1" ht="31" hidden="1" customHeight="1" spans="1:65">
      <c r="A103" s="775">
        <v>45720</v>
      </c>
      <c r="B103" s="776" t="s">
        <v>489</v>
      </c>
      <c r="C103" s="509" t="s">
        <v>139</v>
      </c>
      <c r="D103" s="777">
        <v>4500158582</v>
      </c>
      <c r="E103" s="509" t="s">
        <v>494</v>
      </c>
      <c r="F103" s="778" t="s">
        <v>495</v>
      </c>
      <c r="G103" s="779" t="s">
        <v>64</v>
      </c>
      <c r="H103" s="509" t="s">
        <v>65</v>
      </c>
      <c r="I103" s="509">
        <v>756</v>
      </c>
      <c r="J103" s="509">
        <v>0</v>
      </c>
      <c r="K103" s="509">
        <v>12</v>
      </c>
      <c r="L103" s="780">
        <f t="shared" si="17"/>
        <v>63</v>
      </c>
      <c r="M103" s="781">
        <v>45813</v>
      </c>
      <c r="N103" s="781">
        <v>45810</v>
      </c>
      <c r="O103" s="782"/>
      <c r="P103" s="782" t="s">
        <v>103</v>
      </c>
      <c r="Q103" s="509"/>
      <c r="R103" s="784" t="s">
        <v>492</v>
      </c>
      <c r="S103" s="784" t="s">
        <v>96</v>
      </c>
      <c r="T103" s="784">
        <v>45727</v>
      </c>
      <c r="U103" s="784"/>
      <c r="V103" s="784"/>
      <c r="W103" s="776" t="s">
        <v>493</v>
      </c>
      <c r="X103" s="781" t="s">
        <v>414</v>
      </c>
      <c r="Y103" s="785">
        <v>4.1</v>
      </c>
      <c r="Z103" s="786">
        <f t="shared" si="27"/>
        <v>3099.6</v>
      </c>
      <c r="AA103" s="509"/>
      <c r="AB103" s="57" t="s">
        <v>64</v>
      </c>
      <c r="AC103" s="509" t="s">
        <v>76</v>
      </c>
      <c r="AD103" s="509"/>
      <c r="AE103" s="635" t="s">
        <v>69</v>
      </c>
      <c r="AF103" s="635"/>
      <c r="AG103" s="788">
        <v>756</v>
      </c>
      <c r="AH103" s="782">
        <f t="shared" si="25"/>
        <v>0</v>
      </c>
      <c r="AI103" s="509"/>
      <c r="AJ103" s="509"/>
      <c r="AK103" s="509"/>
      <c r="AL103" s="777">
        <f t="shared" si="26"/>
        <v>756</v>
      </c>
      <c r="AM103" s="656"/>
      <c r="AN103" s="656"/>
      <c r="AO103" s="656"/>
      <c r="AP103" s="777"/>
      <c r="AQ103" s="656">
        <f t="shared" si="28"/>
        <v>756</v>
      </c>
      <c r="AR103" s="777">
        <f t="shared" si="29"/>
        <v>756</v>
      </c>
      <c r="AS103" s="777"/>
      <c r="AT103" s="777">
        <f t="shared" si="30"/>
        <v>756</v>
      </c>
      <c r="AU103" s="777"/>
      <c r="AV103" s="778"/>
      <c r="AW103" s="778"/>
      <c r="AX103" s="778"/>
      <c r="AY103" s="778"/>
      <c r="AZ103" s="778"/>
      <c r="BA103" s="778"/>
      <c r="BB103" s="778"/>
      <c r="BC103" s="778"/>
      <c r="BD103" s="778"/>
      <c r="BE103" s="778"/>
      <c r="BF103" s="778"/>
      <c r="BG103" s="778"/>
      <c r="BH103" s="778"/>
      <c r="BI103" s="778"/>
      <c r="BJ103" s="778"/>
      <c r="BK103" s="778"/>
      <c r="BL103" s="778"/>
      <c r="BM103" s="778"/>
    </row>
    <row r="104" s="771" customFormat="1" ht="31" hidden="1" customHeight="1" spans="1:65">
      <c r="A104" s="775">
        <v>45720</v>
      </c>
      <c r="B104" s="776" t="s">
        <v>489</v>
      </c>
      <c r="C104" s="509" t="s">
        <v>271</v>
      </c>
      <c r="D104" s="777">
        <v>4500158582</v>
      </c>
      <c r="E104" s="509" t="s">
        <v>496</v>
      </c>
      <c r="F104" s="778" t="s">
        <v>497</v>
      </c>
      <c r="G104" s="779" t="s">
        <v>64</v>
      </c>
      <c r="H104" s="509" t="s">
        <v>65</v>
      </c>
      <c r="I104" s="509">
        <v>492</v>
      </c>
      <c r="J104" s="509">
        <v>0</v>
      </c>
      <c r="K104" s="509">
        <v>12</v>
      </c>
      <c r="L104" s="780">
        <f t="shared" si="17"/>
        <v>41</v>
      </c>
      <c r="M104" s="781">
        <v>45813</v>
      </c>
      <c r="N104" s="781">
        <v>45810</v>
      </c>
      <c r="O104" s="782"/>
      <c r="P104" s="782" t="s">
        <v>103</v>
      </c>
      <c r="Q104" s="509"/>
      <c r="R104" s="784" t="s">
        <v>492</v>
      </c>
      <c r="S104" s="784" t="s">
        <v>96</v>
      </c>
      <c r="T104" s="784">
        <v>45727</v>
      </c>
      <c r="U104" s="784"/>
      <c r="V104" s="784"/>
      <c r="W104" s="776" t="s">
        <v>493</v>
      </c>
      <c r="X104" s="781" t="s">
        <v>414</v>
      </c>
      <c r="Y104" s="785">
        <v>4.1</v>
      </c>
      <c r="Z104" s="786">
        <f t="shared" si="27"/>
        <v>2017.2</v>
      </c>
      <c r="AA104" s="509"/>
      <c r="AB104" s="57" t="s">
        <v>64</v>
      </c>
      <c r="AC104" s="509" t="s">
        <v>76</v>
      </c>
      <c r="AD104" s="509"/>
      <c r="AE104" s="635" t="s">
        <v>69</v>
      </c>
      <c r="AF104" s="635"/>
      <c r="AG104" s="788">
        <v>492</v>
      </c>
      <c r="AH104" s="782">
        <f t="shared" si="25"/>
        <v>0</v>
      </c>
      <c r="AI104" s="509"/>
      <c r="AJ104" s="509" t="s">
        <v>403</v>
      </c>
      <c r="AK104" s="509"/>
      <c r="AL104" s="777">
        <f t="shared" si="26"/>
        <v>492</v>
      </c>
      <c r="AM104" s="656"/>
      <c r="AN104" s="656"/>
      <c r="AO104" s="656"/>
      <c r="AP104" s="777"/>
      <c r="AQ104" s="656">
        <f t="shared" si="28"/>
        <v>492</v>
      </c>
      <c r="AR104" s="777">
        <f t="shared" si="29"/>
        <v>492</v>
      </c>
      <c r="AS104" s="777"/>
      <c r="AT104" s="777">
        <f t="shared" si="30"/>
        <v>492</v>
      </c>
      <c r="AU104" s="777"/>
      <c r="AV104" s="778"/>
      <c r="AW104" s="778"/>
      <c r="AX104" s="778"/>
      <c r="AY104" s="778"/>
      <c r="AZ104" s="778"/>
      <c r="BA104" s="778"/>
      <c r="BB104" s="778"/>
      <c r="BC104" s="778"/>
      <c r="BD104" s="778"/>
      <c r="BE104" s="778"/>
      <c r="BF104" s="778"/>
      <c r="BG104" s="778"/>
      <c r="BH104" s="778"/>
      <c r="BI104" s="778"/>
      <c r="BJ104" s="778"/>
      <c r="BK104" s="778"/>
      <c r="BL104" s="778"/>
      <c r="BM104" s="778"/>
    </row>
    <row r="105" s="771" customFormat="1" ht="31" hidden="1" customHeight="1" spans="1:65">
      <c r="A105" s="775">
        <v>45763</v>
      </c>
      <c r="B105" s="776" t="s">
        <v>498</v>
      </c>
      <c r="C105" s="509" t="s">
        <v>306</v>
      </c>
      <c r="D105" s="777">
        <v>4500162780</v>
      </c>
      <c r="E105" s="509" t="s">
        <v>473</v>
      </c>
      <c r="F105" s="778" t="s">
        <v>499</v>
      </c>
      <c r="G105" s="779" t="s">
        <v>500</v>
      </c>
      <c r="H105" s="509" t="s">
        <v>455</v>
      </c>
      <c r="I105" s="509">
        <v>504</v>
      </c>
      <c r="J105" s="509">
        <v>0</v>
      </c>
      <c r="K105" s="509">
        <v>18</v>
      </c>
      <c r="L105" s="780">
        <f t="shared" si="17"/>
        <v>28</v>
      </c>
      <c r="M105" s="781">
        <v>45813</v>
      </c>
      <c r="N105" s="781">
        <v>45810</v>
      </c>
      <c r="O105" s="782"/>
      <c r="P105" s="782" t="s">
        <v>103</v>
      </c>
      <c r="Q105" s="509"/>
      <c r="R105" s="784">
        <v>45763</v>
      </c>
      <c r="S105" s="784" t="s">
        <v>66</v>
      </c>
      <c r="T105" s="784">
        <v>45789</v>
      </c>
      <c r="U105" s="784" t="s">
        <v>501</v>
      </c>
      <c r="V105" s="784"/>
      <c r="W105" s="776" t="s">
        <v>502</v>
      </c>
      <c r="X105" s="781" t="s">
        <v>473</v>
      </c>
      <c r="Y105" s="785">
        <v>175.3</v>
      </c>
      <c r="Z105" s="786">
        <f>Y105*L105</f>
        <v>4908.4</v>
      </c>
      <c r="AA105" s="509"/>
      <c r="AB105" s="635" t="s">
        <v>503</v>
      </c>
      <c r="AC105" s="509" t="s">
        <v>76</v>
      </c>
      <c r="AD105" s="509"/>
      <c r="AE105" s="635" t="s">
        <v>69</v>
      </c>
      <c r="AF105" s="635"/>
      <c r="AG105" s="788">
        <v>504</v>
      </c>
      <c r="AH105" s="782">
        <f t="shared" si="25"/>
        <v>0</v>
      </c>
      <c r="AI105" s="509"/>
      <c r="AJ105" s="509"/>
      <c r="AK105" s="509"/>
      <c r="AL105" s="777">
        <f t="shared" si="26"/>
        <v>504</v>
      </c>
      <c r="AM105" s="656"/>
      <c r="AN105" s="656"/>
      <c r="AO105" s="656"/>
      <c r="AP105" s="777"/>
      <c r="AQ105" s="656">
        <f t="shared" si="28"/>
        <v>504</v>
      </c>
      <c r="AR105" s="777">
        <f t="shared" si="29"/>
        <v>504</v>
      </c>
      <c r="AS105" s="777"/>
      <c r="AT105" s="777">
        <f t="shared" si="30"/>
        <v>504</v>
      </c>
      <c r="AU105" s="777"/>
      <c r="AV105" s="778"/>
      <c r="AW105" s="778"/>
      <c r="AX105" s="778"/>
      <c r="AY105" s="778"/>
      <c r="AZ105" s="778"/>
      <c r="BA105" s="778"/>
      <c r="BB105" s="778"/>
      <c r="BC105" s="778"/>
      <c r="BD105" s="778"/>
      <c r="BE105" s="778"/>
      <c r="BF105" s="778"/>
      <c r="BG105" s="778"/>
      <c r="BH105" s="778"/>
      <c r="BI105" s="778"/>
      <c r="BJ105" s="778"/>
      <c r="BK105" s="778"/>
      <c r="BL105" s="778"/>
      <c r="BM105" s="778"/>
    </row>
    <row r="106" s="771" customFormat="1" ht="31" hidden="1" customHeight="1" spans="1:65">
      <c r="A106" s="775">
        <v>45775</v>
      </c>
      <c r="B106" s="776" t="s">
        <v>504</v>
      </c>
      <c r="C106" s="509" t="s">
        <v>416</v>
      </c>
      <c r="D106" s="777">
        <v>4500164946</v>
      </c>
      <c r="E106" s="509" t="s">
        <v>505</v>
      </c>
      <c r="F106" s="778" t="s">
        <v>506</v>
      </c>
      <c r="G106" s="779" t="s">
        <v>64</v>
      </c>
      <c r="H106" s="509" t="s">
        <v>65</v>
      </c>
      <c r="I106" s="509">
        <v>240</v>
      </c>
      <c r="J106" s="509">
        <v>0</v>
      </c>
      <c r="K106" s="509">
        <v>12</v>
      </c>
      <c r="L106" s="780">
        <f t="shared" si="17"/>
        <v>20</v>
      </c>
      <c r="M106" s="781">
        <v>45813</v>
      </c>
      <c r="N106" s="781">
        <v>45810</v>
      </c>
      <c r="O106" s="782"/>
      <c r="P106" s="782" t="s">
        <v>103</v>
      </c>
      <c r="Q106" s="509"/>
      <c r="R106" s="784">
        <v>45777</v>
      </c>
      <c r="S106" s="784" t="s">
        <v>66</v>
      </c>
      <c r="T106" s="784" t="s">
        <v>507</v>
      </c>
      <c r="U106" s="784"/>
      <c r="V106" s="784"/>
      <c r="W106" s="776" t="s">
        <v>508</v>
      </c>
      <c r="X106" s="781" t="s">
        <v>414</v>
      </c>
      <c r="Y106" s="785">
        <v>4.1</v>
      </c>
      <c r="Z106" s="786">
        <f t="shared" ref="Z106:Z123" si="31">Y106*I106</f>
        <v>984</v>
      </c>
      <c r="AA106" s="509"/>
      <c r="AB106" s="57" t="s">
        <v>165</v>
      </c>
      <c r="AC106" s="509" t="s">
        <v>76</v>
      </c>
      <c r="AD106" s="509"/>
      <c r="AE106" s="635" t="s">
        <v>69</v>
      </c>
      <c r="AF106" s="635"/>
      <c r="AG106" s="788">
        <v>240</v>
      </c>
      <c r="AH106" s="782">
        <f t="shared" si="25"/>
        <v>0</v>
      </c>
      <c r="AI106" s="509"/>
      <c r="AJ106" s="509"/>
      <c r="AK106" s="509"/>
      <c r="AL106" s="777">
        <f t="shared" si="26"/>
        <v>240</v>
      </c>
      <c r="AM106" s="656"/>
      <c r="AN106" s="656"/>
      <c r="AO106" s="656"/>
      <c r="AP106" s="777"/>
      <c r="AQ106" s="656">
        <f t="shared" si="28"/>
        <v>240</v>
      </c>
      <c r="AR106" s="777">
        <f t="shared" si="29"/>
        <v>240</v>
      </c>
      <c r="AS106" s="777"/>
      <c r="AT106" s="777">
        <f t="shared" si="30"/>
        <v>240</v>
      </c>
      <c r="AU106" s="777"/>
      <c r="AV106" s="778"/>
      <c r="AW106" s="778"/>
      <c r="AX106" s="778"/>
      <c r="AY106" s="778"/>
      <c r="AZ106" s="778"/>
      <c r="BA106" s="778"/>
      <c r="BB106" s="778"/>
      <c r="BC106" s="778"/>
      <c r="BD106" s="778"/>
      <c r="BE106" s="778"/>
      <c r="BF106" s="778"/>
      <c r="BG106" s="778"/>
      <c r="BH106" s="778"/>
      <c r="BI106" s="778"/>
      <c r="BJ106" s="778"/>
      <c r="BK106" s="778"/>
      <c r="BL106" s="778"/>
      <c r="BM106" s="778"/>
    </row>
    <row r="107" s="771" customFormat="1" ht="31" hidden="1" customHeight="1" spans="1:65">
      <c r="A107" s="775">
        <v>45768</v>
      </c>
      <c r="B107" s="776" t="s">
        <v>509</v>
      </c>
      <c r="C107" s="509" t="s">
        <v>510</v>
      </c>
      <c r="D107" s="777">
        <v>4500163230</v>
      </c>
      <c r="E107" s="509" t="s">
        <v>511</v>
      </c>
      <c r="F107" s="778" t="s">
        <v>512</v>
      </c>
      <c r="G107" s="779" t="s">
        <v>102</v>
      </c>
      <c r="H107" s="509" t="s">
        <v>65</v>
      </c>
      <c r="I107" s="509">
        <v>1200</v>
      </c>
      <c r="J107" s="509">
        <v>0</v>
      </c>
      <c r="K107" s="509">
        <v>16</v>
      </c>
      <c r="L107" s="780">
        <f t="shared" si="17"/>
        <v>75</v>
      </c>
      <c r="M107" s="781">
        <v>45814</v>
      </c>
      <c r="N107" s="781">
        <v>45810</v>
      </c>
      <c r="O107" s="782"/>
      <c r="P107" s="782" t="s">
        <v>103</v>
      </c>
      <c r="Q107" s="458" t="s">
        <v>513</v>
      </c>
      <c r="R107" s="784">
        <v>45770</v>
      </c>
      <c r="S107" s="784" t="s">
        <v>66</v>
      </c>
      <c r="T107" s="784">
        <v>45768</v>
      </c>
      <c r="U107" s="784"/>
      <c r="V107" s="784"/>
      <c r="W107" s="776" t="s">
        <v>514</v>
      </c>
      <c r="X107" s="781" t="s">
        <v>515</v>
      </c>
      <c r="Y107" s="785">
        <v>4.39</v>
      </c>
      <c r="Z107" s="786">
        <f t="shared" si="31"/>
        <v>5268</v>
      </c>
      <c r="AA107" s="509"/>
      <c r="AB107" s="57" t="s">
        <v>102</v>
      </c>
      <c r="AC107" s="509" t="s">
        <v>76</v>
      </c>
      <c r="AD107" s="509"/>
      <c r="AE107" s="635" t="s">
        <v>69</v>
      </c>
      <c r="AF107" s="635"/>
      <c r="AG107" s="788">
        <v>1200</v>
      </c>
      <c r="AH107" s="782">
        <f t="shared" si="25"/>
        <v>0</v>
      </c>
      <c r="AI107" s="509"/>
      <c r="AJ107" s="509"/>
      <c r="AK107" s="509"/>
      <c r="AL107" s="777">
        <f t="shared" si="26"/>
        <v>1200</v>
      </c>
      <c r="AM107" s="656"/>
      <c r="AN107" s="656"/>
      <c r="AO107" s="656"/>
      <c r="AP107" s="777">
        <f>I107</f>
        <v>1200</v>
      </c>
      <c r="AQ107" s="656"/>
      <c r="AR107" s="777">
        <f t="shared" si="29"/>
        <v>1200</v>
      </c>
      <c r="AS107" s="777"/>
      <c r="AT107" s="777">
        <f t="shared" si="30"/>
        <v>1200</v>
      </c>
      <c r="AU107" s="777"/>
      <c r="AV107" s="778"/>
      <c r="AW107" s="778"/>
      <c r="AX107" s="778"/>
      <c r="AY107" s="778"/>
      <c r="AZ107" s="778"/>
      <c r="BA107" s="778"/>
      <c r="BB107" s="778"/>
      <c r="BC107" s="778"/>
      <c r="BD107" s="777">
        <f>I107/4</f>
        <v>300</v>
      </c>
      <c r="BE107" s="778"/>
      <c r="BF107" s="778"/>
      <c r="BG107" s="778"/>
      <c r="BH107" s="778"/>
      <c r="BI107" s="778"/>
      <c r="BJ107" s="778"/>
      <c r="BK107" s="778"/>
      <c r="BL107" s="778"/>
      <c r="BM107" s="778"/>
    </row>
    <row r="108" s="771" customFormat="1" ht="31" hidden="1" customHeight="1" spans="1:65">
      <c r="A108" s="775">
        <v>45757</v>
      </c>
      <c r="B108" s="776" t="s">
        <v>516</v>
      </c>
      <c r="C108" s="509" t="s">
        <v>271</v>
      </c>
      <c r="D108" s="777">
        <v>4500163211</v>
      </c>
      <c r="E108" s="509">
        <v>2000007077</v>
      </c>
      <c r="F108" s="778" t="s">
        <v>517</v>
      </c>
      <c r="G108" s="779" t="s">
        <v>463</v>
      </c>
      <c r="H108" s="509" t="s">
        <v>424</v>
      </c>
      <c r="I108" s="509">
        <v>5400</v>
      </c>
      <c r="J108" s="509">
        <v>0</v>
      </c>
      <c r="K108" s="509">
        <v>6</v>
      </c>
      <c r="L108" s="780">
        <f t="shared" si="17"/>
        <v>900</v>
      </c>
      <c r="M108" s="781">
        <v>45807</v>
      </c>
      <c r="N108" s="781">
        <v>45811</v>
      </c>
      <c r="O108" s="782" t="s">
        <v>518</v>
      </c>
      <c r="P108" s="782" t="s">
        <v>103</v>
      </c>
      <c r="Q108" s="509"/>
      <c r="R108" s="784">
        <v>45769</v>
      </c>
      <c r="S108" s="784" t="s">
        <v>66</v>
      </c>
      <c r="T108" s="784">
        <v>45786</v>
      </c>
      <c r="U108" s="784"/>
      <c r="V108" s="784"/>
      <c r="W108" s="776" t="s">
        <v>519</v>
      </c>
      <c r="X108" s="781" t="s">
        <v>274</v>
      </c>
      <c r="Y108" s="785">
        <v>8.9</v>
      </c>
      <c r="Z108" s="786">
        <f t="shared" si="31"/>
        <v>48060</v>
      </c>
      <c r="AA108" s="509"/>
      <c r="AB108" s="670" t="s">
        <v>427</v>
      </c>
      <c r="AC108" s="509" t="s">
        <v>76</v>
      </c>
      <c r="AD108" s="509"/>
      <c r="AE108" s="635" t="s">
        <v>69</v>
      </c>
      <c r="AF108" s="635"/>
      <c r="AG108" s="788">
        <f>I108</f>
        <v>5400</v>
      </c>
      <c r="AH108" s="782">
        <f t="shared" si="25"/>
        <v>0</v>
      </c>
      <c r="AI108" s="509"/>
      <c r="AJ108" s="509"/>
      <c r="AK108" s="509"/>
      <c r="AL108" s="777">
        <f t="shared" si="26"/>
        <v>5400</v>
      </c>
      <c r="AM108" s="656"/>
      <c r="AN108" s="656"/>
      <c r="AO108" s="656"/>
      <c r="AP108" s="777"/>
      <c r="AQ108" s="656">
        <f>I108</f>
        <v>5400</v>
      </c>
      <c r="AR108" s="777">
        <f t="shared" si="29"/>
        <v>5400</v>
      </c>
      <c r="AS108" s="777"/>
      <c r="AT108" s="777">
        <f t="shared" si="30"/>
        <v>5400</v>
      </c>
      <c r="AU108" s="777"/>
      <c r="AV108" s="778"/>
      <c r="AW108" s="778"/>
      <c r="AX108" s="778"/>
      <c r="AY108" s="778"/>
      <c r="AZ108" s="778"/>
      <c r="BA108" s="778"/>
      <c r="BB108" s="778"/>
      <c r="BC108" s="778"/>
      <c r="BD108" s="778"/>
      <c r="BE108" s="778"/>
      <c r="BF108" s="778"/>
      <c r="BG108" s="778"/>
      <c r="BH108" s="778"/>
      <c r="BI108" s="777"/>
      <c r="BJ108" s="777">
        <f>I108</f>
        <v>5400</v>
      </c>
      <c r="BK108" s="778"/>
      <c r="BL108" s="778"/>
      <c r="BM108" s="778"/>
    </row>
    <row r="109" s="771" customFormat="1" ht="31" hidden="1" customHeight="1" spans="1:65">
      <c r="A109" s="775">
        <v>45757</v>
      </c>
      <c r="B109" s="776" t="s">
        <v>520</v>
      </c>
      <c r="C109" s="509" t="s">
        <v>366</v>
      </c>
      <c r="D109" s="777">
        <v>4500163212</v>
      </c>
      <c r="E109" s="509">
        <v>2000007076</v>
      </c>
      <c r="F109" s="778" t="s">
        <v>521</v>
      </c>
      <c r="G109" s="779" t="s">
        <v>463</v>
      </c>
      <c r="H109" s="509" t="s">
        <v>424</v>
      </c>
      <c r="I109" s="509">
        <v>3414</v>
      </c>
      <c r="J109" s="509">
        <v>0</v>
      </c>
      <c r="K109" s="509">
        <v>6</v>
      </c>
      <c r="L109" s="780">
        <f t="shared" si="17"/>
        <v>569</v>
      </c>
      <c r="M109" s="781">
        <v>45807</v>
      </c>
      <c r="N109" s="781">
        <v>45811</v>
      </c>
      <c r="O109" s="782"/>
      <c r="P109" s="782" t="s">
        <v>103</v>
      </c>
      <c r="Q109" s="509"/>
      <c r="R109" s="784">
        <v>45769</v>
      </c>
      <c r="S109" s="784" t="s">
        <v>66</v>
      </c>
      <c r="T109" s="784">
        <v>45786</v>
      </c>
      <c r="U109" s="784"/>
      <c r="V109" s="784"/>
      <c r="W109" s="776" t="s">
        <v>522</v>
      </c>
      <c r="X109" s="781" t="s">
        <v>274</v>
      </c>
      <c r="Y109" s="785">
        <v>8.9</v>
      </c>
      <c r="Z109" s="786">
        <f t="shared" si="31"/>
        <v>30384.6</v>
      </c>
      <c r="AA109" s="509"/>
      <c r="AB109" s="670" t="s">
        <v>427</v>
      </c>
      <c r="AC109" s="509" t="s">
        <v>76</v>
      </c>
      <c r="AD109" s="509"/>
      <c r="AE109" s="635" t="s">
        <v>69</v>
      </c>
      <c r="AF109" s="635"/>
      <c r="AG109" s="788">
        <f>3024</f>
        <v>3024</v>
      </c>
      <c r="AH109" s="782">
        <f t="shared" si="25"/>
        <v>-390</v>
      </c>
      <c r="AI109" s="509"/>
      <c r="AJ109" s="509"/>
      <c r="AK109" s="509"/>
      <c r="AL109" s="777">
        <f t="shared" si="26"/>
        <v>3414</v>
      </c>
      <c r="AM109" s="656"/>
      <c r="AN109" s="656"/>
      <c r="AO109" s="656"/>
      <c r="AP109" s="777"/>
      <c r="AQ109" s="656">
        <f>I109</f>
        <v>3414</v>
      </c>
      <c r="AR109" s="777">
        <f t="shared" si="29"/>
        <v>3414</v>
      </c>
      <c r="AS109" s="777"/>
      <c r="AT109" s="777">
        <f t="shared" si="30"/>
        <v>3414</v>
      </c>
      <c r="AU109" s="777"/>
      <c r="AV109" s="778"/>
      <c r="AW109" s="778"/>
      <c r="AX109" s="778"/>
      <c r="AY109" s="778"/>
      <c r="AZ109" s="778"/>
      <c r="BA109" s="778"/>
      <c r="BB109" s="778"/>
      <c r="BC109" s="778"/>
      <c r="BD109" s="778"/>
      <c r="BE109" s="778"/>
      <c r="BF109" s="778"/>
      <c r="BG109" s="778"/>
      <c r="BH109" s="778"/>
      <c r="BI109" s="777"/>
      <c r="BJ109" s="777">
        <f>I109</f>
        <v>3414</v>
      </c>
      <c r="BK109" s="778"/>
      <c r="BL109" s="778"/>
      <c r="BM109" s="778"/>
    </row>
    <row r="110" s="771" customFormat="1" ht="31" hidden="1" customHeight="1" spans="1:65">
      <c r="A110" s="775">
        <v>45784</v>
      </c>
      <c r="B110" s="776" t="s">
        <v>523</v>
      </c>
      <c r="C110" s="509" t="s">
        <v>524</v>
      </c>
      <c r="D110" s="777">
        <v>4500165640</v>
      </c>
      <c r="E110" s="509"/>
      <c r="F110" s="778" t="s">
        <v>525</v>
      </c>
      <c r="G110" s="779" t="s">
        <v>64</v>
      </c>
      <c r="H110" s="509" t="s">
        <v>65</v>
      </c>
      <c r="I110" s="509">
        <v>792</v>
      </c>
      <c r="J110" s="509">
        <v>0</v>
      </c>
      <c r="K110" s="509">
        <v>12</v>
      </c>
      <c r="L110" s="780">
        <f t="shared" si="17"/>
        <v>66</v>
      </c>
      <c r="M110" s="781">
        <v>45818</v>
      </c>
      <c r="N110" s="781">
        <v>45814</v>
      </c>
      <c r="O110" s="782"/>
      <c r="P110" s="782" t="s">
        <v>103</v>
      </c>
      <c r="Q110" s="509"/>
      <c r="R110" s="784">
        <v>45786</v>
      </c>
      <c r="S110" s="784" t="s">
        <v>66</v>
      </c>
      <c r="T110" s="784">
        <v>18749</v>
      </c>
      <c r="U110" s="784"/>
      <c r="V110" s="784"/>
      <c r="W110" s="776" t="s">
        <v>526</v>
      </c>
      <c r="X110" s="781" t="s">
        <v>207</v>
      </c>
      <c r="Y110" s="785">
        <v>4.1456</v>
      </c>
      <c r="Z110" s="786">
        <f t="shared" si="31"/>
        <v>3283.3152</v>
      </c>
      <c r="AA110" s="509"/>
      <c r="AB110" s="57" t="s">
        <v>64</v>
      </c>
      <c r="AC110" s="509" t="s">
        <v>76</v>
      </c>
      <c r="AD110" s="509"/>
      <c r="AE110" s="635" t="s">
        <v>69</v>
      </c>
      <c r="AF110" s="635"/>
      <c r="AG110" s="788">
        <v>792</v>
      </c>
      <c r="AH110" s="782">
        <f t="shared" si="25"/>
        <v>0</v>
      </c>
      <c r="AI110" s="509"/>
      <c r="AJ110" s="509"/>
      <c r="AK110" s="509"/>
      <c r="AL110" s="777">
        <f t="shared" si="26"/>
        <v>792</v>
      </c>
      <c r="AM110" s="656"/>
      <c r="AN110" s="656"/>
      <c r="AO110" s="656"/>
      <c r="AP110" s="777">
        <f>I110</f>
        <v>792</v>
      </c>
      <c r="AQ110" s="656"/>
      <c r="AR110" s="777">
        <f t="shared" si="29"/>
        <v>792</v>
      </c>
      <c r="AS110" s="777"/>
      <c r="AT110" s="777">
        <f t="shared" si="30"/>
        <v>792</v>
      </c>
      <c r="AU110" s="777"/>
      <c r="AV110" s="778"/>
      <c r="AW110" s="778"/>
      <c r="AX110" s="778"/>
      <c r="AY110" s="778"/>
      <c r="AZ110" s="778"/>
      <c r="BA110" s="778"/>
      <c r="BB110" s="778"/>
      <c r="BC110" s="778"/>
      <c r="BD110" s="778"/>
      <c r="BE110" s="778"/>
      <c r="BF110" s="778"/>
      <c r="BG110" s="778"/>
      <c r="BH110" s="778"/>
      <c r="BI110" s="778"/>
      <c r="BJ110" s="778"/>
      <c r="BK110" s="778"/>
      <c r="BL110" s="778"/>
      <c r="BM110" s="778"/>
    </row>
    <row r="111" s="771" customFormat="1" ht="31" hidden="1" customHeight="1" spans="1:65">
      <c r="A111" s="775">
        <v>45774</v>
      </c>
      <c r="B111" s="776" t="s">
        <v>527</v>
      </c>
      <c r="C111" s="509" t="s">
        <v>90</v>
      </c>
      <c r="D111" s="777">
        <v>4500165209</v>
      </c>
      <c r="E111" s="509" t="s">
        <v>528</v>
      </c>
      <c r="F111" s="778" t="s">
        <v>529</v>
      </c>
      <c r="G111" s="779" t="s">
        <v>102</v>
      </c>
      <c r="H111" s="509" t="s">
        <v>65</v>
      </c>
      <c r="I111" s="509">
        <v>48</v>
      </c>
      <c r="J111" s="509">
        <v>0</v>
      </c>
      <c r="K111" s="509">
        <v>16</v>
      </c>
      <c r="L111" s="780">
        <f t="shared" si="17"/>
        <v>3</v>
      </c>
      <c r="M111" s="781">
        <v>45817</v>
      </c>
      <c r="N111" s="781">
        <v>45820</v>
      </c>
      <c r="O111" s="782"/>
      <c r="P111" s="782" t="s">
        <v>103</v>
      </c>
      <c r="Q111" s="509"/>
      <c r="R111" s="784">
        <v>45784</v>
      </c>
      <c r="S111" s="784" t="s">
        <v>66</v>
      </c>
      <c r="T111" s="784" t="s">
        <v>66</v>
      </c>
      <c r="U111" s="784"/>
      <c r="V111" s="784"/>
      <c r="W111" s="776" t="s">
        <v>530</v>
      </c>
      <c r="X111" s="781" t="s">
        <v>342</v>
      </c>
      <c r="Y111" s="785">
        <v>2.634</v>
      </c>
      <c r="Z111" s="786">
        <f t="shared" si="31"/>
        <v>126.432</v>
      </c>
      <c r="AA111" s="509"/>
      <c r="AB111" s="57" t="s">
        <v>102</v>
      </c>
      <c r="AC111" s="509" t="s">
        <v>76</v>
      </c>
      <c r="AD111" s="509"/>
      <c r="AE111" s="635" t="s">
        <v>69</v>
      </c>
      <c r="AF111" s="635"/>
      <c r="AG111" s="788">
        <v>48</v>
      </c>
      <c r="AH111" s="782">
        <f t="shared" si="25"/>
        <v>0</v>
      </c>
      <c r="AI111" s="509"/>
      <c r="AJ111" s="509"/>
      <c r="AK111" s="509"/>
      <c r="AL111" s="777">
        <f t="shared" si="26"/>
        <v>48</v>
      </c>
      <c r="AM111" s="656"/>
      <c r="AN111" s="656"/>
      <c r="AO111" s="656"/>
      <c r="AP111" s="777">
        <f>I111</f>
        <v>48</v>
      </c>
      <c r="AQ111" s="656"/>
      <c r="AR111" s="777">
        <f t="shared" si="29"/>
        <v>48</v>
      </c>
      <c r="AS111" s="777"/>
      <c r="AT111" s="777">
        <f t="shared" si="30"/>
        <v>48</v>
      </c>
      <c r="AU111" s="777"/>
      <c r="AV111" s="778"/>
      <c r="AW111" s="778"/>
      <c r="AX111" s="778"/>
      <c r="AY111" s="778"/>
      <c r="AZ111" s="778"/>
      <c r="BA111" s="778"/>
      <c r="BB111" s="778"/>
      <c r="BC111" s="778"/>
      <c r="BD111" s="777">
        <f>I111/4</f>
        <v>12</v>
      </c>
      <c r="BE111" s="778"/>
      <c r="BF111" s="778"/>
      <c r="BG111" s="778"/>
      <c r="BH111" s="778"/>
      <c r="BI111" s="778"/>
      <c r="BJ111" s="778"/>
      <c r="BK111" s="778"/>
      <c r="BL111" s="778"/>
      <c r="BM111" s="778"/>
    </row>
    <row r="112" s="771" customFormat="1" ht="31" hidden="1" customHeight="1" spans="1:65">
      <c r="A112" s="775">
        <v>45774</v>
      </c>
      <c r="B112" s="776" t="s">
        <v>527</v>
      </c>
      <c r="C112" s="509" t="s">
        <v>90</v>
      </c>
      <c r="D112" s="777">
        <v>4500165209</v>
      </c>
      <c r="E112" s="509" t="s">
        <v>531</v>
      </c>
      <c r="F112" s="778" t="s">
        <v>532</v>
      </c>
      <c r="G112" s="779" t="s">
        <v>102</v>
      </c>
      <c r="H112" s="509" t="s">
        <v>65</v>
      </c>
      <c r="I112" s="509">
        <v>16</v>
      </c>
      <c r="J112" s="509">
        <v>0</v>
      </c>
      <c r="K112" s="509">
        <v>16</v>
      </c>
      <c r="L112" s="780">
        <f t="shared" si="17"/>
        <v>1</v>
      </c>
      <c r="M112" s="781">
        <v>45817</v>
      </c>
      <c r="N112" s="781">
        <v>45820</v>
      </c>
      <c r="O112" s="782"/>
      <c r="P112" s="782" t="s">
        <v>103</v>
      </c>
      <c r="Q112" s="509"/>
      <c r="R112" s="784">
        <v>45784</v>
      </c>
      <c r="S112" s="784" t="s">
        <v>66</v>
      </c>
      <c r="T112" s="784" t="s">
        <v>66</v>
      </c>
      <c r="U112" s="784"/>
      <c r="V112" s="784"/>
      <c r="W112" s="776" t="s">
        <v>530</v>
      </c>
      <c r="X112" s="781" t="s">
        <v>342</v>
      </c>
      <c r="Y112" s="785">
        <v>2.6338</v>
      </c>
      <c r="Z112" s="786">
        <f t="shared" si="31"/>
        <v>42.1408</v>
      </c>
      <c r="AA112" s="509"/>
      <c r="AB112" s="57" t="s">
        <v>102</v>
      </c>
      <c r="AC112" s="509" t="s">
        <v>76</v>
      </c>
      <c r="AD112" s="509"/>
      <c r="AE112" s="635" t="s">
        <v>69</v>
      </c>
      <c r="AF112" s="635"/>
      <c r="AG112" s="788">
        <v>16</v>
      </c>
      <c r="AH112" s="782">
        <f t="shared" si="25"/>
        <v>0</v>
      </c>
      <c r="AI112" s="509"/>
      <c r="AJ112" s="509"/>
      <c r="AK112" s="509"/>
      <c r="AL112" s="777">
        <f t="shared" si="26"/>
        <v>16</v>
      </c>
      <c r="AM112" s="656"/>
      <c r="AN112" s="656"/>
      <c r="AO112" s="656"/>
      <c r="AP112" s="777">
        <f>I112</f>
        <v>16</v>
      </c>
      <c r="AQ112" s="656"/>
      <c r="AR112" s="777">
        <f t="shared" si="29"/>
        <v>16</v>
      </c>
      <c r="AS112" s="777"/>
      <c r="AT112" s="777">
        <f t="shared" si="30"/>
        <v>16</v>
      </c>
      <c r="AU112" s="777"/>
      <c r="AV112" s="778"/>
      <c r="AW112" s="778"/>
      <c r="AX112" s="778"/>
      <c r="AY112" s="778"/>
      <c r="AZ112" s="778"/>
      <c r="BA112" s="778"/>
      <c r="BB112" s="778"/>
      <c r="BC112" s="778"/>
      <c r="BD112" s="777">
        <f>I112/4</f>
        <v>4</v>
      </c>
      <c r="BE112" s="778"/>
      <c r="BF112" s="778"/>
      <c r="BG112" s="778"/>
      <c r="BH112" s="778"/>
      <c r="BI112" s="778"/>
      <c r="BJ112" s="778"/>
      <c r="BK112" s="778"/>
      <c r="BL112" s="778"/>
      <c r="BM112" s="778"/>
    </row>
    <row r="113" s="771" customFormat="1" ht="31" hidden="1" customHeight="1" spans="1:65">
      <c r="A113" s="775">
        <v>45774</v>
      </c>
      <c r="B113" s="776" t="s">
        <v>527</v>
      </c>
      <c r="C113" s="509" t="s">
        <v>90</v>
      </c>
      <c r="D113" s="777">
        <v>4500165209</v>
      </c>
      <c r="E113" s="509" t="s">
        <v>533</v>
      </c>
      <c r="F113" s="778" t="s">
        <v>534</v>
      </c>
      <c r="G113" s="779" t="s">
        <v>102</v>
      </c>
      <c r="H113" s="509" t="s">
        <v>65</v>
      </c>
      <c r="I113" s="509">
        <v>128</v>
      </c>
      <c r="J113" s="509">
        <v>0</v>
      </c>
      <c r="K113" s="509">
        <v>16</v>
      </c>
      <c r="L113" s="780">
        <f t="shared" si="17"/>
        <v>8</v>
      </c>
      <c r="M113" s="781">
        <v>45817</v>
      </c>
      <c r="N113" s="781">
        <v>45820</v>
      </c>
      <c r="O113" s="782"/>
      <c r="P113" s="782" t="s">
        <v>103</v>
      </c>
      <c r="Q113" s="509"/>
      <c r="R113" s="784">
        <v>45784</v>
      </c>
      <c r="S113" s="784" t="s">
        <v>66</v>
      </c>
      <c r="T113" s="784" t="s">
        <v>66</v>
      </c>
      <c r="U113" s="784"/>
      <c r="V113" s="784"/>
      <c r="W113" s="776" t="s">
        <v>530</v>
      </c>
      <c r="X113" s="781" t="s">
        <v>342</v>
      </c>
      <c r="Y113" s="785">
        <v>2.634</v>
      </c>
      <c r="Z113" s="786">
        <f t="shared" si="31"/>
        <v>337.152</v>
      </c>
      <c r="AA113" s="509"/>
      <c r="AB113" s="57" t="s">
        <v>102</v>
      </c>
      <c r="AC113" s="509" t="s">
        <v>76</v>
      </c>
      <c r="AD113" s="509"/>
      <c r="AE113" s="635" t="s">
        <v>69</v>
      </c>
      <c r="AF113" s="635"/>
      <c r="AG113" s="788">
        <v>128</v>
      </c>
      <c r="AH113" s="782">
        <f t="shared" si="25"/>
        <v>0</v>
      </c>
      <c r="AI113" s="509"/>
      <c r="AJ113" s="509"/>
      <c r="AK113" s="509"/>
      <c r="AL113" s="777">
        <f t="shared" si="26"/>
        <v>128</v>
      </c>
      <c r="AM113" s="656"/>
      <c r="AN113" s="656"/>
      <c r="AO113" s="656"/>
      <c r="AP113" s="777">
        <f>I113</f>
        <v>128</v>
      </c>
      <c r="AQ113" s="656"/>
      <c r="AR113" s="777">
        <f t="shared" si="29"/>
        <v>128</v>
      </c>
      <c r="AS113" s="777"/>
      <c r="AT113" s="777">
        <f t="shared" si="30"/>
        <v>128</v>
      </c>
      <c r="AU113" s="777"/>
      <c r="AV113" s="778"/>
      <c r="AW113" s="778"/>
      <c r="AX113" s="778"/>
      <c r="AY113" s="778"/>
      <c r="AZ113" s="778"/>
      <c r="BA113" s="778"/>
      <c r="BB113" s="778"/>
      <c r="BC113" s="778"/>
      <c r="BD113" s="777">
        <f>I113/4</f>
        <v>32</v>
      </c>
      <c r="BE113" s="778"/>
      <c r="BF113" s="778"/>
      <c r="BG113" s="778"/>
      <c r="BH113" s="778"/>
      <c r="BI113" s="778"/>
      <c r="BJ113" s="778"/>
      <c r="BK113" s="778"/>
      <c r="BL113" s="778"/>
      <c r="BM113" s="778"/>
    </row>
    <row r="114" s="771" customFormat="1" ht="31" hidden="1" customHeight="1" spans="1:65">
      <c r="A114" s="775">
        <v>45735</v>
      </c>
      <c r="B114" s="776" t="s">
        <v>535</v>
      </c>
      <c r="C114" s="509" t="s">
        <v>90</v>
      </c>
      <c r="D114" s="777">
        <v>4500160726</v>
      </c>
      <c r="E114" s="509" t="s">
        <v>536</v>
      </c>
      <c r="F114" s="778" t="s">
        <v>537</v>
      </c>
      <c r="G114" s="779" t="s">
        <v>102</v>
      </c>
      <c r="H114" s="509" t="s">
        <v>65</v>
      </c>
      <c r="I114" s="509">
        <v>1184</v>
      </c>
      <c r="J114" s="509">
        <v>0</v>
      </c>
      <c r="K114" s="509">
        <v>16</v>
      </c>
      <c r="L114" s="780">
        <f t="shared" si="17"/>
        <v>74</v>
      </c>
      <c r="M114" s="781">
        <v>45818</v>
      </c>
      <c r="N114" s="781">
        <v>45820</v>
      </c>
      <c r="O114" s="782"/>
      <c r="P114" s="782" t="s">
        <v>103</v>
      </c>
      <c r="Q114" s="509"/>
      <c r="R114" s="784">
        <v>45749</v>
      </c>
      <c r="S114" s="784" t="s">
        <v>66</v>
      </c>
      <c r="T114" s="784" t="s">
        <v>66</v>
      </c>
      <c r="U114" s="784"/>
      <c r="V114" s="784"/>
      <c r="W114" s="776" t="s">
        <v>538</v>
      </c>
      <c r="X114" s="781" t="s">
        <v>279</v>
      </c>
      <c r="Y114" s="785">
        <v>4.39</v>
      </c>
      <c r="Z114" s="786">
        <f t="shared" si="31"/>
        <v>5197.76</v>
      </c>
      <c r="AA114" s="509"/>
      <c r="AB114" s="57" t="s">
        <v>102</v>
      </c>
      <c r="AC114" s="509" t="s">
        <v>76</v>
      </c>
      <c r="AD114" s="509"/>
      <c r="AE114" s="635" t="s">
        <v>69</v>
      </c>
      <c r="AF114" s="635"/>
      <c r="AG114" s="788">
        <v>1184</v>
      </c>
      <c r="AH114" s="782">
        <f t="shared" si="25"/>
        <v>0</v>
      </c>
      <c r="AI114" s="509"/>
      <c r="AJ114" s="509"/>
      <c r="AK114" s="509"/>
      <c r="AL114" s="777">
        <f t="shared" si="26"/>
        <v>1184</v>
      </c>
      <c r="AM114" s="656"/>
      <c r="AN114" s="656"/>
      <c r="AO114" s="656"/>
      <c r="AP114" s="777">
        <f>I114</f>
        <v>1184</v>
      </c>
      <c r="AQ114" s="656"/>
      <c r="AR114" s="777">
        <f t="shared" si="29"/>
        <v>1184</v>
      </c>
      <c r="AS114" s="777"/>
      <c r="AT114" s="777">
        <f t="shared" si="30"/>
        <v>1184</v>
      </c>
      <c r="AU114" s="777"/>
      <c r="AV114" s="778"/>
      <c r="AW114" s="778"/>
      <c r="AX114" s="778"/>
      <c r="AY114" s="778"/>
      <c r="AZ114" s="778"/>
      <c r="BA114" s="778"/>
      <c r="BB114" s="778"/>
      <c r="BC114" s="778"/>
      <c r="BD114" s="777">
        <f>I114/4</f>
        <v>296</v>
      </c>
      <c r="BE114" s="778"/>
      <c r="BF114" s="778"/>
      <c r="BG114" s="778"/>
      <c r="BH114" s="778"/>
      <c r="BI114" s="778"/>
      <c r="BJ114" s="778"/>
      <c r="BK114" s="778"/>
      <c r="BL114" s="778"/>
      <c r="BM114" s="778"/>
    </row>
    <row r="115" s="771" customFormat="1" ht="31" hidden="1" customHeight="1" spans="1:65">
      <c r="A115" s="775">
        <v>45772</v>
      </c>
      <c r="B115" s="776" t="s">
        <v>539</v>
      </c>
      <c r="C115" s="509" t="s">
        <v>356</v>
      </c>
      <c r="D115" s="777">
        <v>4500164735</v>
      </c>
      <c r="E115" s="509"/>
      <c r="F115" s="778" t="s">
        <v>540</v>
      </c>
      <c r="G115" s="779" t="s">
        <v>463</v>
      </c>
      <c r="H115" s="509" t="s">
        <v>424</v>
      </c>
      <c r="I115" s="509">
        <v>1002</v>
      </c>
      <c r="J115" s="509">
        <v>0</v>
      </c>
      <c r="K115" s="509">
        <v>6</v>
      </c>
      <c r="L115" s="780">
        <f t="shared" si="17"/>
        <v>167</v>
      </c>
      <c r="M115" s="781">
        <v>45813</v>
      </c>
      <c r="N115" s="781">
        <v>45814</v>
      </c>
      <c r="O115" s="782"/>
      <c r="P115" s="782" t="s">
        <v>103</v>
      </c>
      <c r="Q115" s="509"/>
      <c r="R115" s="784">
        <v>45772</v>
      </c>
      <c r="S115" s="784" t="s">
        <v>66</v>
      </c>
      <c r="T115" s="784">
        <v>45785</v>
      </c>
      <c r="U115" s="784" t="s">
        <v>541</v>
      </c>
      <c r="V115" s="784"/>
      <c r="W115" s="776" t="s">
        <v>542</v>
      </c>
      <c r="X115" s="781" t="s">
        <v>395</v>
      </c>
      <c r="Y115" s="785">
        <v>8.1</v>
      </c>
      <c r="Z115" s="786">
        <f t="shared" si="31"/>
        <v>8116.2</v>
      </c>
      <c r="AA115" s="509"/>
      <c r="AB115" s="670" t="s">
        <v>427</v>
      </c>
      <c r="AC115" s="509" t="s">
        <v>76</v>
      </c>
      <c r="AD115" s="509"/>
      <c r="AE115" s="635" t="s">
        <v>69</v>
      </c>
      <c r="AF115" s="635"/>
      <c r="AG115" s="788">
        <f>I115</f>
        <v>1002</v>
      </c>
      <c r="AH115" s="782">
        <f t="shared" si="25"/>
        <v>0</v>
      </c>
      <c r="AI115" s="509"/>
      <c r="AJ115" s="509"/>
      <c r="AK115" s="509"/>
      <c r="AL115" s="777">
        <f t="shared" si="26"/>
        <v>1002</v>
      </c>
      <c r="AM115" s="656"/>
      <c r="AN115" s="656"/>
      <c r="AO115" s="656"/>
      <c r="AP115" s="777"/>
      <c r="AQ115" s="656">
        <f>I115</f>
        <v>1002</v>
      </c>
      <c r="AR115" s="777">
        <f t="shared" si="29"/>
        <v>1002</v>
      </c>
      <c r="AS115" s="777"/>
      <c r="AT115" s="777">
        <f t="shared" si="30"/>
        <v>1002</v>
      </c>
      <c r="AU115" s="777"/>
      <c r="AV115" s="778"/>
      <c r="AW115" s="778"/>
      <c r="AX115" s="778"/>
      <c r="AY115" s="778"/>
      <c r="AZ115" s="778"/>
      <c r="BA115" s="778"/>
      <c r="BB115" s="778"/>
      <c r="BC115" s="778"/>
      <c r="BD115" s="778"/>
      <c r="BE115" s="778"/>
      <c r="BF115" s="778"/>
      <c r="BG115" s="778"/>
      <c r="BH115" s="778"/>
      <c r="BI115" s="777"/>
      <c r="BJ115" s="777">
        <f>I115</f>
        <v>1002</v>
      </c>
      <c r="BK115" s="778"/>
      <c r="BL115" s="778"/>
      <c r="BM115" s="778"/>
    </row>
    <row r="116" s="771" customFormat="1" ht="31" hidden="1" customHeight="1" spans="1:65">
      <c r="A116" s="775">
        <v>45768</v>
      </c>
      <c r="B116" s="776" t="s">
        <v>543</v>
      </c>
      <c r="C116" s="509" t="s">
        <v>544</v>
      </c>
      <c r="D116" s="777">
        <v>4500164331</v>
      </c>
      <c r="E116" s="509"/>
      <c r="F116" s="778" t="s">
        <v>545</v>
      </c>
      <c r="G116" s="779" t="s">
        <v>64</v>
      </c>
      <c r="H116" s="509" t="s">
        <v>65</v>
      </c>
      <c r="I116" s="509">
        <v>1644</v>
      </c>
      <c r="J116" s="509">
        <v>0</v>
      </c>
      <c r="K116" s="509">
        <v>12</v>
      </c>
      <c r="L116" s="780">
        <f t="shared" si="17"/>
        <v>137</v>
      </c>
      <c r="M116" s="781">
        <v>45826</v>
      </c>
      <c r="N116" s="781">
        <v>45824</v>
      </c>
      <c r="O116" s="782"/>
      <c r="P116" s="782" t="s">
        <v>103</v>
      </c>
      <c r="Q116" s="509"/>
      <c r="R116" s="784">
        <v>45768</v>
      </c>
      <c r="S116" s="784" t="s">
        <v>66</v>
      </c>
      <c r="T116" s="784">
        <v>45786</v>
      </c>
      <c r="U116" s="784"/>
      <c r="V116" s="784"/>
      <c r="W116" s="776" t="s">
        <v>546</v>
      </c>
      <c r="X116" s="781" t="s">
        <v>547</v>
      </c>
      <c r="Y116" s="785">
        <v>4.1</v>
      </c>
      <c r="Z116" s="786">
        <f t="shared" si="31"/>
        <v>6740.4</v>
      </c>
      <c r="AA116" s="509" t="s">
        <v>548</v>
      </c>
      <c r="AB116" s="57" t="s">
        <v>64</v>
      </c>
      <c r="AC116" s="509" t="s">
        <v>76</v>
      </c>
      <c r="AD116" s="509"/>
      <c r="AE116" s="635" t="s">
        <v>69</v>
      </c>
      <c r="AF116" s="635"/>
      <c r="AG116" s="788">
        <v>1644</v>
      </c>
      <c r="AH116" s="782">
        <f t="shared" si="25"/>
        <v>0</v>
      </c>
      <c r="AI116" s="509"/>
      <c r="AJ116" s="509"/>
      <c r="AK116" s="509"/>
      <c r="AL116" s="777">
        <f t="shared" si="26"/>
        <v>1644</v>
      </c>
      <c r="AM116" s="656"/>
      <c r="AN116" s="656"/>
      <c r="AO116" s="656"/>
      <c r="AP116" s="777">
        <f>I116</f>
        <v>1644</v>
      </c>
      <c r="AQ116" s="656"/>
      <c r="AR116" s="777">
        <f t="shared" si="29"/>
        <v>1644</v>
      </c>
      <c r="AS116" s="777"/>
      <c r="AT116" s="777">
        <f t="shared" si="30"/>
        <v>1644</v>
      </c>
      <c r="AU116" s="777"/>
      <c r="AV116" s="778"/>
      <c r="AW116" s="778"/>
      <c r="AX116" s="778"/>
      <c r="AY116" s="778"/>
      <c r="AZ116" s="778"/>
      <c r="BA116" s="778"/>
      <c r="BB116" s="778"/>
      <c r="BC116" s="778"/>
      <c r="BD116" s="778"/>
      <c r="BE116" s="778"/>
      <c r="BF116" s="778"/>
      <c r="BG116" s="778"/>
      <c r="BH116" s="778"/>
      <c r="BI116" s="778"/>
      <c r="BJ116" s="778"/>
      <c r="BK116" s="778"/>
      <c r="BL116" s="778"/>
      <c r="BM116" s="778"/>
    </row>
    <row r="117" s="771" customFormat="1" ht="31" hidden="1" customHeight="1" spans="1:65">
      <c r="A117" s="775">
        <v>45775</v>
      </c>
      <c r="B117" s="776" t="s">
        <v>128</v>
      </c>
      <c r="C117" s="509" t="s">
        <v>90</v>
      </c>
      <c r="D117" s="777">
        <v>4500162973</v>
      </c>
      <c r="E117" s="509" t="s">
        <v>549</v>
      </c>
      <c r="F117" s="778" t="s">
        <v>550</v>
      </c>
      <c r="G117" s="779" t="s">
        <v>93</v>
      </c>
      <c r="H117" s="509" t="s">
        <v>94</v>
      </c>
      <c r="I117" s="509">
        <v>1184</v>
      </c>
      <c r="J117" s="509">
        <v>0</v>
      </c>
      <c r="K117" s="509">
        <v>4</v>
      </c>
      <c r="L117" s="780">
        <f t="shared" si="17"/>
        <v>296</v>
      </c>
      <c r="M117" s="781">
        <v>45819</v>
      </c>
      <c r="N117" s="781">
        <f>M117-4</f>
        <v>45815</v>
      </c>
      <c r="O117" s="782"/>
      <c r="P117" s="782" t="s">
        <v>103</v>
      </c>
      <c r="Q117" s="509"/>
      <c r="R117" s="784" t="s">
        <v>430</v>
      </c>
      <c r="S117" s="784" t="s">
        <v>66</v>
      </c>
      <c r="T117" s="784" t="s">
        <v>133</v>
      </c>
      <c r="U117" s="683" t="s">
        <v>133</v>
      </c>
      <c r="V117" s="784"/>
      <c r="W117" s="776" t="s">
        <v>330</v>
      </c>
      <c r="X117" s="781" t="s">
        <v>98</v>
      </c>
      <c r="Y117" s="785">
        <v>3.06</v>
      </c>
      <c r="Z117" s="786">
        <f t="shared" si="31"/>
        <v>3623.04</v>
      </c>
      <c r="AA117" s="509"/>
      <c r="AB117" s="57" t="s">
        <v>93</v>
      </c>
      <c r="AC117" s="509" t="s">
        <v>76</v>
      </c>
      <c r="AD117" s="509"/>
      <c r="AE117" s="635" t="s">
        <v>69</v>
      </c>
      <c r="AF117" s="635"/>
      <c r="AG117" s="788">
        <v>1184</v>
      </c>
      <c r="AH117" s="782">
        <f t="shared" si="25"/>
        <v>0</v>
      </c>
      <c r="AI117" s="509"/>
      <c r="AJ117" s="509"/>
      <c r="AK117" s="509"/>
      <c r="AL117" s="777">
        <f t="shared" si="26"/>
        <v>1184</v>
      </c>
      <c r="AM117" s="656"/>
      <c r="AN117" s="656"/>
      <c r="AO117" s="656"/>
      <c r="AP117" s="777">
        <f>I117</f>
        <v>1184</v>
      </c>
      <c r="AQ117" s="656"/>
      <c r="AR117" s="777">
        <f t="shared" si="29"/>
        <v>1184</v>
      </c>
      <c r="AS117" s="777"/>
      <c r="AT117" s="777">
        <f t="shared" si="30"/>
        <v>1184</v>
      </c>
      <c r="AU117" s="777"/>
      <c r="AV117" s="778"/>
      <c r="AW117" s="778"/>
      <c r="AX117" s="778"/>
      <c r="AY117" s="778"/>
      <c r="AZ117" s="778"/>
      <c r="BA117" s="778"/>
      <c r="BB117" s="778"/>
      <c r="BC117" s="778"/>
      <c r="BD117" s="777">
        <f>I117/4</f>
        <v>296</v>
      </c>
      <c r="BE117" s="778"/>
      <c r="BF117" s="778"/>
      <c r="BG117" s="778"/>
      <c r="BH117" s="778"/>
      <c r="BI117" s="778"/>
      <c r="BJ117" s="778"/>
      <c r="BK117" s="778"/>
      <c r="BL117" s="778"/>
      <c r="BM117" s="778"/>
    </row>
    <row r="118" s="771" customFormat="1" ht="31" hidden="1" customHeight="1" spans="1:65">
      <c r="A118" s="775">
        <v>45775</v>
      </c>
      <c r="B118" s="776" t="s">
        <v>128</v>
      </c>
      <c r="C118" s="509" t="s">
        <v>90</v>
      </c>
      <c r="D118" s="777">
        <v>4500162973</v>
      </c>
      <c r="E118" s="509" t="s">
        <v>551</v>
      </c>
      <c r="F118" s="778" t="s">
        <v>552</v>
      </c>
      <c r="G118" s="779" t="s">
        <v>93</v>
      </c>
      <c r="H118" s="509" t="s">
        <v>94</v>
      </c>
      <c r="I118" s="509">
        <v>980</v>
      </c>
      <c r="J118" s="509">
        <v>0</v>
      </c>
      <c r="K118" s="509">
        <v>4</v>
      </c>
      <c r="L118" s="780">
        <f t="shared" si="17"/>
        <v>245</v>
      </c>
      <c r="M118" s="781">
        <v>45819</v>
      </c>
      <c r="N118" s="781">
        <f>M118-4</f>
        <v>45815</v>
      </c>
      <c r="O118" s="782"/>
      <c r="P118" s="782" t="s">
        <v>103</v>
      </c>
      <c r="Q118" s="509"/>
      <c r="R118" s="784" t="s">
        <v>430</v>
      </c>
      <c r="S118" s="784" t="s">
        <v>66</v>
      </c>
      <c r="T118" s="784" t="s">
        <v>133</v>
      </c>
      <c r="U118" s="683" t="s">
        <v>133</v>
      </c>
      <c r="V118" s="784"/>
      <c r="W118" s="776" t="s">
        <v>330</v>
      </c>
      <c r="X118" s="781" t="s">
        <v>98</v>
      </c>
      <c r="Y118" s="785">
        <v>3.06</v>
      </c>
      <c r="Z118" s="786">
        <f t="shared" si="31"/>
        <v>2998.8</v>
      </c>
      <c r="AA118" s="509"/>
      <c r="AB118" s="57" t="s">
        <v>93</v>
      </c>
      <c r="AC118" s="509" t="s">
        <v>76</v>
      </c>
      <c r="AD118" s="509"/>
      <c r="AE118" s="635" t="s">
        <v>69</v>
      </c>
      <c r="AF118" s="635"/>
      <c r="AG118" s="788">
        <v>980</v>
      </c>
      <c r="AH118" s="782">
        <f t="shared" si="25"/>
        <v>0</v>
      </c>
      <c r="AI118" s="509"/>
      <c r="AJ118" s="509"/>
      <c r="AK118" s="509"/>
      <c r="AL118" s="777">
        <f t="shared" si="26"/>
        <v>980</v>
      </c>
      <c r="AM118" s="656"/>
      <c r="AN118" s="656"/>
      <c r="AO118" s="656"/>
      <c r="AP118" s="777">
        <f>I118</f>
        <v>980</v>
      </c>
      <c r="AQ118" s="656"/>
      <c r="AR118" s="777">
        <f t="shared" si="29"/>
        <v>980</v>
      </c>
      <c r="AS118" s="777"/>
      <c r="AT118" s="777">
        <f t="shared" si="30"/>
        <v>980</v>
      </c>
      <c r="AU118" s="777"/>
      <c r="AV118" s="778"/>
      <c r="AW118" s="778"/>
      <c r="AX118" s="778"/>
      <c r="AY118" s="778"/>
      <c r="AZ118" s="778"/>
      <c r="BA118" s="778"/>
      <c r="BB118" s="778"/>
      <c r="BC118" s="778"/>
      <c r="BD118" s="777">
        <f>I118/4</f>
        <v>245</v>
      </c>
      <c r="BE118" s="778"/>
      <c r="BF118" s="778"/>
      <c r="BG118" s="778"/>
      <c r="BH118" s="778"/>
      <c r="BI118" s="778"/>
      <c r="BJ118" s="778"/>
      <c r="BK118" s="778"/>
      <c r="BL118" s="778"/>
      <c r="BM118" s="778"/>
    </row>
    <row r="119" s="771" customFormat="1" ht="31" hidden="1" customHeight="1" spans="1:65">
      <c r="A119" s="775">
        <v>45791</v>
      </c>
      <c r="B119" s="776" t="s">
        <v>553</v>
      </c>
      <c r="C119" s="509" t="s">
        <v>271</v>
      </c>
      <c r="D119" s="777">
        <v>4500169682</v>
      </c>
      <c r="E119" s="509">
        <v>5200006790</v>
      </c>
      <c r="F119" s="777" t="s">
        <v>554</v>
      </c>
      <c r="G119" s="779" t="s">
        <v>344</v>
      </c>
      <c r="H119" s="509" t="s">
        <v>65</v>
      </c>
      <c r="I119" s="509">
        <v>1880</v>
      </c>
      <c r="J119" s="509">
        <v>0</v>
      </c>
      <c r="K119" s="509">
        <v>4</v>
      </c>
      <c r="L119" s="780">
        <f t="shared" si="17"/>
        <v>470</v>
      </c>
      <c r="M119" s="781">
        <v>45819</v>
      </c>
      <c r="N119" s="781">
        <v>45815</v>
      </c>
      <c r="O119" s="782" t="s">
        <v>555</v>
      </c>
      <c r="P119" s="782" t="s">
        <v>103</v>
      </c>
      <c r="Q119" s="509"/>
      <c r="R119" s="784">
        <v>45789</v>
      </c>
      <c r="S119" s="784" t="s">
        <v>66</v>
      </c>
      <c r="T119" s="784" t="s">
        <v>556</v>
      </c>
      <c r="U119" s="784"/>
      <c r="V119" s="784"/>
      <c r="W119" s="776" t="s">
        <v>557</v>
      </c>
      <c r="X119" s="781" t="s">
        <v>558</v>
      </c>
      <c r="Y119" s="785">
        <v>4.1792</v>
      </c>
      <c r="Z119" s="786">
        <f t="shared" si="31"/>
        <v>7856.896</v>
      </c>
      <c r="AA119" s="509"/>
      <c r="AB119" s="638" t="s">
        <v>559</v>
      </c>
      <c r="AC119" s="509" t="s">
        <v>76</v>
      </c>
      <c r="AD119" s="509"/>
      <c r="AE119" s="635" t="s">
        <v>69</v>
      </c>
      <c r="AF119" s="635"/>
      <c r="AG119" s="788">
        <v>1880</v>
      </c>
      <c r="AH119" s="782">
        <f t="shared" si="25"/>
        <v>0</v>
      </c>
      <c r="AI119" s="509"/>
      <c r="AJ119" s="509"/>
      <c r="AK119" s="509"/>
      <c r="AL119" s="777">
        <f t="shared" si="26"/>
        <v>1880</v>
      </c>
      <c r="AM119" s="656"/>
      <c r="AN119" s="656"/>
      <c r="AO119" s="656"/>
      <c r="AP119" s="777"/>
      <c r="AQ119" s="656">
        <f>I119</f>
        <v>1880</v>
      </c>
      <c r="AR119" s="777">
        <f t="shared" si="29"/>
        <v>1880</v>
      </c>
      <c r="AS119" s="777"/>
      <c r="AT119" s="777">
        <f t="shared" si="30"/>
        <v>1880</v>
      </c>
      <c r="AU119" s="777"/>
      <c r="AV119" s="778"/>
      <c r="AW119" s="778"/>
      <c r="AX119" s="778"/>
      <c r="AY119" s="778"/>
      <c r="AZ119" s="778"/>
      <c r="BA119" s="778"/>
      <c r="BB119" s="778"/>
      <c r="BC119" s="778"/>
      <c r="BD119" s="778"/>
      <c r="BE119" s="778"/>
      <c r="BF119" s="778"/>
      <c r="BG119" s="778"/>
      <c r="BH119" s="778"/>
      <c r="BI119" s="778"/>
      <c r="BJ119" s="778"/>
      <c r="BK119" s="778"/>
      <c r="BL119" s="778"/>
      <c r="BM119" s="778"/>
    </row>
    <row r="120" s="771" customFormat="1" ht="31" hidden="1" customHeight="1" spans="1:65">
      <c r="A120" s="775">
        <v>45769</v>
      </c>
      <c r="B120" s="776" t="s">
        <v>152</v>
      </c>
      <c r="C120" s="509" t="s">
        <v>153</v>
      </c>
      <c r="D120" s="777">
        <v>4500160810</v>
      </c>
      <c r="E120" s="509">
        <v>9900924261</v>
      </c>
      <c r="F120" s="778" t="s">
        <v>560</v>
      </c>
      <c r="G120" s="779" t="s">
        <v>155</v>
      </c>
      <c r="H120" s="509" t="s">
        <v>65</v>
      </c>
      <c r="I120" s="509">
        <v>1996</v>
      </c>
      <c r="J120" s="509">
        <v>0</v>
      </c>
      <c r="K120" s="509">
        <v>2</v>
      </c>
      <c r="L120" s="780">
        <f t="shared" si="17"/>
        <v>998</v>
      </c>
      <c r="M120" s="781">
        <v>45821</v>
      </c>
      <c r="N120" s="781">
        <v>45817</v>
      </c>
      <c r="O120" s="782"/>
      <c r="P120" s="782" t="s">
        <v>103</v>
      </c>
      <c r="Q120" s="509"/>
      <c r="R120" s="784">
        <v>45784</v>
      </c>
      <c r="S120" s="784" t="s">
        <v>66</v>
      </c>
      <c r="T120" s="784" t="s">
        <v>561</v>
      </c>
      <c r="U120" s="784"/>
      <c r="V120" s="784"/>
      <c r="W120" s="776" t="s">
        <v>562</v>
      </c>
      <c r="X120" s="781" t="s">
        <v>158</v>
      </c>
      <c r="Y120" s="785">
        <v>4.1</v>
      </c>
      <c r="Z120" s="786">
        <f t="shared" si="31"/>
        <v>8183.6</v>
      </c>
      <c r="AA120" s="509"/>
      <c r="AB120" s="509" t="s">
        <v>155</v>
      </c>
      <c r="AC120" s="509" t="s">
        <v>76</v>
      </c>
      <c r="AD120" s="509"/>
      <c r="AE120" s="635" t="s">
        <v>69</v>
      </c>
      <c r="AF120" s="635"/>
      <c r="AG120" s="788">
        <v>1996</v>
      </c>
      <c r="AH120" s="782">
        <f t="shared" si="25"/>
        <v>0</v>
      </c>
      <c r="AI120" s="509"/>
      <c r="AJ120" s="509"/>
      <c r="AK120" s="509"/>
      <c r="AL120" s="777">
        <f t="shared" si="26"/>
        <v>1996</v>
      </c>
      <c r="AM120" s="656"/>
      <c r="AN120" s="656"/>
      <c r="AO120" s="656"/>
      <c r="AP120" s="777"/>
      <c r="AQ120" s="656">
        <f>I120</f>
        <v>1996</v>
      </c>
      <c r="AR120" s="777">
        <f t="shared" si="29"/>
        <v>1996</v>
      </c>
      <c r="AS120" s="777"/>
      <c r="AT120" s="777">
        <f t="shared" si="30"/>
        <v>1996</v>
      </c>
      <c r="AU120" s="777"/>
      <c r="AV120" s="778"/>
      <c r="AW120" s="778"/>
      <c r="AX120" s="778"/>
      <c r="AY120" s="778"/>
      <c r="AZ120" s="778"/>
      <c r="BA120" s="778"/>
      <c r="BB120" s="778"/>
      <c r="BC120" s="778"/>
      <c r="BD120" s="778"/>
      <c r="BE120" s="778"/>
      <c r="BF120" s="778"/>
      <c r="BG120" s="778"/>
      <c r="BH120" s="778"/>
      <c r="BI120" s="778"/>
      <c r="BJ120" s="778"/>
      <c r="BK120" s="778"/>
      <c r="BL120" s="778"/>
      <c r="BM120" s="778"/>
    </row>
    <row r="121" s="771" customFormat="1" ht="31" hidden="1" customHeight="1" spans="1:65">
      <c r="A121" s="775">
        <v>45768</v>
      </c>
      <c r="B121" s="776" t="s">
        <v>230</v>
      </c>
      <c r="C121" s="509" t="s">
        <v>249</v>
      </c>
      <c r="D121" s="777">
        <v>4500164473</v>
      </c>
      <c r="E121" s="509">
        <v>4400474095</v>
      </c>
      <c r="F121" s="778" t="s">
        <v>563</v>
      </c>
      <c r="G121" s="779" t="s">
        <v>148</v>
      </c>
      <c r="H121" s="509" t="s">
        <v>65</v>
      </c>
      <c r="I121" s="509">
        <v>3000</v>
      </c>
      <c r="J121" s="509">
        <v>0</v>
      </c>
      <c r="K121" s="509">
        <v>8</v>
      </c>
      <c r="L121" s="780">
        <f t="shared" si="17"/>
        <v>375</v>
      </c>
      <c r="M121" s="781">
        <v>45821</v>
      </c>
      <c r="N121" s="781">
        <v>45822</v>
      </c>
      <c r="O121" s="782"/>
      <c r="P121" s="782" t="s">
        <v>103</v>
      </c>
      <c r="Q121" s="509"/>
      <c r="R121" s="784">
        <v>45769</v>
      </c>
      <c r="S121" s="784" t="s">
        <v>66</v>
      </c>
      <c r="T121" s="784" t="s">
        <v>478</v>
      </c>
      <c r="U121" s="784"/>
      <c r="V121" s="784"/>
      <c r="W121" s="776" t="s">
        <v>564</v>
      </c>
      <c r="X121" s="781" t="s">
        <v>235</v>
      </c>
      <c r="Y121" s="785">
        <v>5</v>
      </c>
      <c r="Z121" s="786">
        <f t="shared" si="31"/>
        <v>15000</v>
      </c>
      <c r="AA121" s="509"/>
      <c r="AB121" s="509" t="s">
        <v>148</v>
      </c>
      <c r="AC121" s="509" t="s">
        <v>76</v>
      </c>
      <c r="AD121" s="509"/>
      <c r="AE121" s="635" t="s">
        <v>69</v>
      </c>
      <c r="AF121" s="635"/>
      <c r="AG121" s="788">
        <v>3000</v>
      </c>
      <c r="AH121" s="782">
        <f t="shared" si="25"/>
        <v>0</v>
      </c>
      <c r="AI121" s="509"/>
      <c r="AJ121" s="509"/>
      <c r="AK121" s="509"/>
      <c r="AL121" s="777">
        <f t="shared" si="26"/>
        <v>3000</v>
      </c>
      <c r="AM121" s="656"/>
      <c r="AN121" s="656"/>
      <c r="AO121" s="656"/>
      <c r="AP121" s="777"/>
      <c r="AQ121" s="656"/>
      <c r="AR121" s="777"/>
      <c r="AS121" s="777"/>
      <c r="AT121" s="777">
        <f t="shared" si="30"/>
        <v>3000</v>
      </c>
      <c r="AU121" s="777"/>
      <c r="AV121" s="778"/>
      <c r="AW121" s="778"/>
      <c r="AX121" s="778"/>
      <c r="AY121" s="778"/>
      <c r="AZ121" s="777">
        <f>I121</f>
        <v>3000</v>
      </c>
      <c r="BA121" s="777">
        <f>I121</f>
        <v>3000</v>
      </c>
      <c r="BB121" s="778"/>
      <c r="BC121" s="778"/>
      <c r="BD121" s="778"/>
      <c r="BE121" s="777">
        <f>I121/4</f>
        <v>750</v>
      </c>
      <c r="BF121" s="778"/>
      <c r="BG121" s="778"/>
      <c r="BH121" s="778"/>
      <c r="BI121" s="778"/>
      <c r="BJ121" s="778"/>
      <c r="BK121" s="778"/>
      <c r="BL121" s="778"/>
      <c r="BM121" s="778"/>
    </row>
    <row r="122" s="771" customFormat="1" ht="31" hidden="1" customHeight="1" spans="1:65">
      <c r="A122" s="775">
        <v>45790</v>
      </c>
      <c r="B122" s="776" t="s">
        <v>565</v>
      </c>
      <c r="C122" s="509" t="s">
        <v>416</v>
      </c>
      <c r="D122" s="777">
        <v>4500164022</v>
      </c>
      <c r="E122" s="509">
        <v>4500152584</v>
      </c>
      <c r="F122" s="778" t="s">
        <v>566</v>
      </c>
      <c r="G122" s="779" t="s">
        <v>64</v>
      </c>
      <c r="H122" s="509" t="s">
        <v>65</v>
      </c>
      <c r="I122" s="509">
        <v>504</v>
      </c>
      <c r="J122" s="509">
        <v>0</v>
      </c>
      <c r="K122" s="509">
        <v>12</v>
      </c>
      <c r="L122" s="780">
        <f t="shared" si="17"/>
        <v>42</v>
      </c>
      <c r="M122" s="781">
        <v>45822</v>
      </c>
      <c r="N122" s="781">
        <v>45822</v>
      </c>
      <c r="O122" s="782"/>
      <c r="P122" s="782" t="s">
        <v>103</v>
      </c>
      <c r="Q122" s="509" t="s">
        <v>567</v>
      </c>
      <c r="R122" s="784">
        <v>45768</v>
      </c>
      <c r="S122" s="784" t="s">
        <v>66</v>
      </c>
      <c r="T122" s="784">
        <v>45776</v>
      </c>
      <c r="U122" s="784"/>
      <c r="V122" s="784"/>
      <c r="W122" s="776" t="s">
        <v>568</v>
      </c>
      <c r="X122" s="781" t="s">
        <v>569</v>
      </c>
      <c r="Y122" s="785">
        <v>4.1</v>
      </c>
      <c r="Z122" s="786">
        <f t="shared" si="31"/>
        <v>2066.4</v>
      </c>
      <c r="AA122" s="509"/>
      <c r="AB122" s="509" t="s">
        <v>421</v>
      </c>
      <c r="AC122" s="509" t="s">
        <v>76</v>
      </c>
      <c r="AD122" s="509"/>
      <c r="AE122" s="635" t="s">
        <v>69</v>
      </c>
      <c r="AF122" s="635"/>
      <c r="AG122" s="788">
        <v>504</v>
      </c>
      <c r="AH122" s="782">
        <f t="shared" si="25"/>
        <v>0</v>
      </c>
      <c r="AI122" s="509"/>
      <c r="AJ122" s="509"/>
      <c r="AK122" s="509"/>
      <c r="AL122" s="777">
        <f t="shared" si="26"/>
        <v>504</v>
      </c>
      <c r="AM122" s="656"/>
      <c r="AN122" s="656"/>
      <c r="AO122" s="656"/>
      <c r="AP122" s="777"/>
      <c r="AQ122" s="656"/>
      <c r="AR122" s="777"/>
      <c r="AS122" s="777"/>
      <c r="AT122" s="777">
        <f t="shared" si="30"/>
        <v>504</v>
      </c>
      <c r="AU122" s="777"/>
      <c r="AV122" s="778"/>
      <c r="AW122" s="778"/>
      <c r="AX122" s="778"/>
      <c r="AY122" s="778"/>
      <c r="AZ122" s="778">
        <f>I122</f>
        <v>504</v>
      </c>
      <c r="BA122" s="778">
        <f>I122</f>
        <v>504</v>
      </c>
      <c r="BB122" s="778"/>
      <c r="BC122" s="778"/>
      <c r="BD122" s="778"/>
      <c r="BE122" s="778"/>
      <c r="BF122" s="778"/>
      <c r="BG122" s="778"/>
      <c r="BH122" s="778"/>
      <c r="BI122" s="778"/>
      <c r="BJ122" s="778"/>
      <c r="BK122" s="778"/>
      <c r="BL122" s="778"/>
      <c r="BM122" s="778"/>
    </row>
    <row r="123" s="771" customFormat="1" ht="31" hidden="1" customHeight="1" spans="1:65">
      <c r="A123" s="775">
        <v>45777</v>
      </c>
      <c r="B123" s="776" t="s">
        <v>570</v>
      </c>
      <c r="C123" s="509" t="s">
        <v>571</v>
      </c>
      <c r="D123" s="777">
        <v>4500165525</v>
      </c>
      <c r="E123" s="509"/>
      <c r="F123" s="778" t="s">
        <v>572</v>
      </c>
      <c r="G123" s="779" t="s">
        <v>102</v>
      </c>
      <c r="H123" s="509" t="s">
        <v>65</v>
      </c>
      <c r="I123" s="509">
        <v>640</v>
      </c>
      <c r="J123" s="509">
        <v>0</v>
      </c>
      <c r="K123" s="509">
        <v>16</v>
      </c>
      <c r="L123" s="780">
        <f t="shared" si="17"/>
        <v>40</v>
      </c>
      <c r="M123" s="781">
        <v>45823</v>
      </c>
      <c r="N123" s="781">
        <v>45823</v>
      </c>
      <c r="O123" s="782"/>
      <c r="P123" s="782" t="s">
        <v>103</v>
      </c>
      <c r="Q123" s="509" t="s">
        <v>573</v>
      </c>
      <c r="R123" s="784">
        <v>45792</v>
      </c>
      <c r="S123" s="784" t="s">
        <v>66</v>
      </c>
      <c r="T123" s="784">
        <v>45792</v>
      </c>
      <c r="U123" s="784"/>
      <c r="V123" s="784"/>
      <c r="W123" s="776" t="s">
        <v>574</v>
      </c>
      <c r="X123" s="781" t="s">
        <v>575</v>
      </c>
      <c r="Y123" s="785">
        <v>4.2542</v>
      </c>
      <c r="Z123" s="786">
        <f t="shared" si="31"/>
        <v>2722.688</v>
      </c>
      <c r="AA123" s="509"/>
      <c r="AB123" s="509" t="s">
        <v>397</v>
      </c>
      <c r="AC123" s="509" t="s">
        <v>76</v>
      </c>
      <c r="AD123" s="509"/>
      <c r="AE123" s="635" t="s">
        <v>69</v>
      </c>
      <c r="AF123" s="635"/>
      <c r="AG123" s="788">
        <v>640</v>
      </c>
      <c r="AH123" s="782">
        <f t="shared" si="25"/>
        <v>0</v>
      </c>
      <c r="AI123" s="509"/>
      <c r="AJ123" s="509"/>
      <c r="AK123" s="509"/>
      <c r="AL123" s="777">
        <f t="shared" si="26"/>
        <v>640</v>
      </c>
      <c r="AM123" s="656"/>
      <c r="AN123" s="656"/>
      <c r="AO123" s="656"/>
      <c r="AP123" s="777"/>
      <c r="AQ123" s="656">
        <f>I123</f>
        <v>640</v>
      </c>
      <c r="AR123" s="777">
        <f t="shared" ref="AR123:AR128" si="32">I123</f>
        <v>640</v>
      </c>
      <c r="AS123" s="777"/>
      <c r="AT123" s="777">
        <f t="shared" si="30"/>
        <v>640</v>
      </c>
      <c r="AU123" s="777"/>
      <c r="AV123" s="778"/>
      <c r="AW123" s="778"/>
      <c r="AX123" s="778"/>
      <c r="AY123" s="778"/>
      <c r="AZ123" s="778"/>
      <c r="BA123" s="778"/>
      <c r="BB123" s="778"/>
      <c r="BC123" s="778"/>
      <c r="BD123" s="778"/>
      <c r="BE123" s="777">
        <f>I123/4</f>
        <v>160</v>
      </c>
      <c r="BF123" s="778"/>
      <c r="BG123" s="778"/>
      <c r="BH123" s="778"/>
      <c r="BI123" s="778"/>
      <c r="BJ123" s="778"/>
      <c r="BK123" s="778"/>
      <c r="BL123" s="778"/>
      <c r="BM123" s="778"/>
    </row>
    <row r="124" s="771" customFormat="1" ht="31" hidden="1" customHeight="1" spans="1:65">
      <c r="A124" s="775">
        <v>45818</v>
      </c>
      <c r="B124" s="776"/>
      <c r="C124" s="509"/>
      <c r="D124" s="777" t="s">
        <v>576</v>
      </c>
      <c r="E124" s="509"/>
      <c r="F124" s="778"/>
      <c r="G124" s="779" t="s">
        <v>64</v>
      </c>
      <c r="H124" s="509" t="s">
        <v>65</v>
      </c>
      <c r="I124" s="509">
        <v>8</v>
      </c>
      <c r="J124" s="509">
        <v>0</v>
      </c>
      <c r="K124" s="509">
        <v>12</v>
      </c>
      <c r="L124" s="780">
        <f t="shared" si="17"/>
        <v>0.666666666666667</v>
      </c>
      <c r="M124" s="781">
        <v>45821</v>
      </c>
      <c r="N124" s="781">
        <v>45817</v>
      </c>
      <c r="O124" s="782"/>
      <c r="P124" s="782"/>
      <c r="Q124" s="509"/>
      <c r="R124" s="784" t="s">
        <v>66</v>
      </c>
      <c r="S124" s="784" t="s">
        <v>66</v>
      </c>
      <c r="T124" s="784" t="s">
        <v>66</v>
      </c>
      <c r="U124" s="784"/>
      <c r="V124" s="784"/>
      <c r="W124" s="776" t="s">
        <v>577</v>
      </c>
      <c r="X124" s="781" t="s">
        <v>79</v>
      </c>
      <c r="Y124" s="785"/>
      <c r="Z124" s="786"/>
      <c r="AA124" s="458" t="s">
        <v>578</v>
      </c>
      <c r="AB124" s="509" t="s">
        <v>165</v>
      </c>
      <c r="AC124" s="509" t="s">
        <v>68</v>
      </c>
      <c r="AD124" s="509"/>
      <c r="AE124" s="635" t="s">
        <v>69</v>
      </c>
      <c r="AF124" s="635"/>
      <c r="AG124" s="788">
        <v>8</v>
      </c>
      <c r="AH124" s="782">
        <f t="shared" si="25"/>
        <v>0</v>
      </c>
      <c r="AI124" s="509"/>
      <c r="AJ124" s="509"/>
      <c r="AK124" s="509"/>
      <c r="AL124" s="777">
        <f t="shared" si="26"/>
        <v>8</v>
      </c>
      <c r="AM124" s="656"/>
      <c r="AN124" s="656"/>
      <c r="AO124" s="656"/>
      <c r="AP124" s="777"/>
      <c r="AQ124" s="656">
        <f>I124</f>
        <v>8</v>
      </c>
      <c r="AR124" s="777">
        <f t="shared" si="32"/>
        <v>8</v>
      </c>
      <c r="AS124" s="777"/>
      <c r="AT124" s="777"/>
      <c r="AU124" s="777"/>
      <c r="AV124" s="778"/>
      <c r="AW124" s="778"/>
      <c r="AX124" s="778"/>
      <c r="AY124" s="778"/>
      <c r="AZ124" s="778"/>
      <c r="BA124" s="778"/>
      <c r="BB124" s="778"/>
      <c r="BC124" s="778"/>
      <c r="BD124" s="778"/>
      <c r="BE124" s="778"/>
      <c r="BF124" s="778"/>
      <c r="BG124" s="778"/>
      <c r="BH124" s="778"/>
      <c r="BI124" s="778"/>
      <c r="BJ124" s="778"/>
      <c r="BK124" s="778"/>
      <c r="BL124" s="778"/>
      <c r="BM124" s="778"/>
    </row>
    <row r="125" s="771" customFormat="1" ht="31" hidden="1" customHeight="1" spans="1:65">
      <c r="A125" s="775">
        <v>45775</v>
      </c>
      <c r="B125" s="776" t="s">
        <v>579</v>
      </c>
      <c r="C125" s="509" t="s">
        <v>377</v>
      </c>
      <c r="D125" s="777">
        <v>4500160445</v>
      </c>
      <c r="E125" s="509">
        <v>300565966</v>
      </c>
      <c r="F125" s="778" t="s">
        <v>580</v>
      </c>
      <c r="G125" s="779" t="s">
        <v>64</v>
      </c>
      <c r="H125" s="509" t="s">
        <v>65</v>
      </c>
      <c r="I125" s="509">
        <v>240</v>
      </c>
      <c r="J125" s="509">
        <v>0</v>
      </c>
      <c r="K125" s="509">
        <v>12</v>
      </c>
      <c r="L125" s="780">
        <f t="shared" si="17"/>
        <v>20</v>
      </c>
      <c r="M125" s="781">
        <v>45817</v>
      </c>
      <c r="N125" s="781">
        <v>45820</v>
      </c>
      <c r="O125" s="782"/>
      <c r="P125" s="782" t="s">
        <v>103</v>
      </c>
      <c r="Q125" s="509"/>
      <c r="R125" s="784">
        <v>45775</v>
      </c>
      <c r="S125" s="784" t="s">
        <v>66</v>
      </c>
      <c r="T125" s="784">
        <v>45790</v>
      </c>
      <c r="U125" s="784"/>
      <c r="V125" s="784"/>
      <c r="W125" s="776" t="s">
        <v>581</v>
      </c>
      <c r="X125" s="781" t="s">
        <v>381</v>
      </c>
      <c r="Y125" s="785">
        <v>4.1</v>
      </c>
      <c r="Z125" s="786">
        <f t="shared" ref="Z125:Z156" si="33">Y125*I125</f>
        <v>984</v>
      </c>
      <c r="AA125" s="509"/>
      <c r="AB125" s="509" t="s">
        <v>165</v>
      </c>
      <c r="AC125" s="509" t="s">
        <v>76</v>
      </c>
      <c r="AD125" s="509"/>
      <c r="AE125" s="635" t="s">
        <v>69</v>
      </c>
      <c r="AF125" s="635"/>
      <c r="AG125" s="788">
        <v>240</v>
      </c>
      <c r="AH125" s="782">
        <f t="shared" si="25"/>
        <v>0</v>
      </c>
      <c r="AI125" s="509"/>
      <c r="AJ125" s="509"/>
      <c r="AK125" s="509"/>
      <c r="AL125" s="777">
        <f t="shared" si="26"/>
        <v>240</v>
      </c>
      <c r="AM125" s="656"/>
      <c r="AN125" s="656"/>
      <c r="AO125" s="656"/>
      <c r="AP125" s="777"/>
      <c r="AQ125" s="656">
        <f>I125</f>
        <v>240</v>
      </c>
      <c r="AR125" s="777">
        <f t="shared" si="32"/>
        <v>240</v>
      </c>
      <c r="AS125" s="777"/>
      <c r="AT125" s="777">
        <f>I125</f>
        <v>240</v>
      </c>
      <c r="AU125" s="777"/>
      <c r="AV125" s="778"/>
      <c r="AW125" s="778"/>
      <c r="AX125" s="778"/>
      <c r="AY125" s="778"/>
      <c r="AZ125" s="778"/>
      <c r="BA125" s="778"/>
      <c r="BB125" s="778"/>
      <c r="BC125" s="778"/>
      <c r="BD125" s="778"/>
      <c r="BE125" s="778"/>
      <c r="BF125" s="778"/>
      <c r="BG125" s="778"/>
      <c r="BH125" s="778"/>
      <c r="BI125" s="778"/>
      <c r="BJ125" s="778"/>
      <c r="BK125" s="778"/>
      <c r="BL125" s="778"/>
      <c r="BM125" s="778"/>
    </row>
    <row r="126" s="771" customFormat="1" ht="31" hidden="1" customHeight="1" spans="1:65">
      <c r="A126" s="775">
        <v>45779</v>
      </c>
      <c r="B126" s="776" t="s">
        <v>582</v>
      </c>
      <c r="C126" s="509" t="s">
        <v>90</v>
      </c>
      <c r="D126" s="777">
        <v>4500165547</v>
      </c>
      <c r="E126" s="509" t="s">
        <v>583</v>
      </c>
      <c r="F126" s="778" t="s">
        <v>584</v>
      </c>
      <c r="G126" s="779" t="s">
        <v>102</v>
      </c>
      <c r="H126" s="509" t="s">
        <v>65</v>
      </c>
      <c r="I126" s="509">
        <v>432</v>
      </c>
      <c r="J126" s="509">
        <v>0</v>
      </c>
      <c r="K126" s="509">
        <v>16</v>
      </c>
      <c r="L126" s="780">
        <f t="shared" si="17"/>
        <v>27</v>
      </c>
      <c r="M126" s="781">
        <v>45821</v>
      </c>
      <c r="N126" s="781">
        <v>45821</v>
      </c>
      <c r="O126" s="782"/>
      <c r="P126" s="782" t="s">
        <v>103</v>
      </c>
      <c r="Q126" s="509"/>
      <c r="R126" s="784">
        <v>45796</v>
      </c>
      <c r="S126" s="784" t="s">
        <v>66</v>
      </c>
      <c r="T126" s="784" t="s">
        <v>66</v>
      </c>
      <c r="U126" s="784"/>
      <c r="V126" s="784"/>
      <c r="W126" s="776" t="s">
        <v>585</v>
      </c>
      <c r="X126" s="781" t="s">
        <v>586</v>
      </c>
      <c r="Y126" s="785">
        <v>2.5525</v>
      </c>
      <c r="Z126" s="786">
        <f t="shared" si="33"/>
        <v>1102.68</v>
      </c>
      <c r="AA126" s="509"/>
      <c r="AB126" s="509" t="s">
        <v>102</v>
      </c>
      <c r="AC126" s="509" t="s">
        <v>76</v>
      </c>
      <c r="AD126" s="509"/>
      <c r="AE126" s="635" t="s">
        <v>69</v>
      </c>
      <c r="AF126" s="635"/>
      <c r="AG126" s="788">
        <v>432</v>
      </c>
      <c r="AH126" s="782">
        <f t="shared" si="25"/>
        <v>0</v>
      </c>
      <c r="AI126" s="509"/>
      <c r="AJ126" s="509"/>
      <c r="AK126" s="509"/>
      <c r="AL126" s="777">
        <f t="shared" si="26"/>
        <v>432</v>
      </c>
      <c r="AM126" s="656"/>
      <c r="AN126" s="656"/>
      <c r="AO126" s="656"/>
      <c r="AP126" s="777">
        <f>I126</f>
        <v>432</v>
      </c>
      <c r="AQ126" s="656"/>
      <c r="AR126" s="777">
        <f t="shared" si="32"/>
        <v>432</v>
      </c>
      <c r="AS126" s="777"/>
      <c r="AT126" s="777">
        <f>I126</f>
        <v>432</v>
      </c>
      <c r="AU126" s="777"/>
      <c r="AV126" s="778"/>
      <c r="AW126" s="778"/>
      <c r="AX126" s="778"/>
      <c r="AY126" s="778"/>
      <c r="AZ126" s="778"/>
      <c r="BA126" s="778"/>
      <c r="BB126" s="778"/>
      <c r="BC126" s="778"/>
      <c r="BD126" s="777">
        <f>I126/4</f>
        <v>108</v>
      </c>
      <c r="BE126" s="778"/>
      <c r="BF126" s="778"/>
      <c r="BG126" s="778"/>
      <c r="BH126" s="778"/>
      <c r="BI126" s="778"/>
      <c r="BJ126" s="778"/>
      <c r="BK126" s="778"/>
      <c r="BL126" s="778"/>
      <c r="BM126" s="778"/>
    </row>
    <row r="127" s="771" customFormat="1" ht="31" hidden="1" customHeight="1" spans="1:65">
      <c r="A127" s="775">
        <v>45772</v>
      </c>
      <c r="B127" s="776" t="s">
        <v>587</v>
      </c>
      <c r="C127" s="509" t="s">
        <v>588</v>
      </c>
      <c r="D127" s="777">
        <v>4500164995</v>
      </c>
      <c r="E127" s="509" t="s">
        <v>589</v>
      </c>
      <c r="F127" s="778" t="s">
        <v>590</v>
      </c>
      <c r="G127" s="779" t="s">
        <v>102</v>
      </c>
      <c r="H127" s="509" t="s">
        <v>65</v>
      </c>
      <c r="I127" s="509">
        <v>512</v>
      </c>
      <c r="J127" s="509">
        <v>0</v>
      </c>
      <c r="K127" s="509">
        <v>16</v>
      </c>
      <c r="L127" s="780">
        <f t="shared" si="17"/>
        <v>32</v>
      </c>
      <c r="M127" s="781">
        <v>45817</v>
      </c>
      <c r="N127" s="781">
        <v>45822</v>
      </c>
      <c r="O127" s="782"/>
      <c r="P127" s="782" t="s">
        <v>103</v>
      </c>
      <c r="Q127" s="509" t="s">
        <v>591</v>
      </c>
      <c r="R127" s="784">
        <v>45783</v>
      </c>
      <c r="S127" s="784" t="s">
        <v>66</v>
      </c>
      <c r="T127" s="784">
        <v>45790</v>
      </c>
      <c r="U127" s="784"/>
      <c r="V127" s="784"/>
      <c r="W127" s="776" t="s">
        <v>592</v>
      </c>
      <c r="X127" s="781" t="s">
        <v>593</v>
      </c>
      <c r="Y127" s="785">
        <v>4.39</v>
      </c>
      <c r="Z127" s="786">
        <f t="shared" si="33"/>
        <v>2247.68</v>
      </c>
      <c r="AA127" s="509"/>
      <c r="AB127" s="509" t="s">
        <v>102</v>
      </c>
      <c r="AC127" s="509" t="s">
        <v>76</v>
      </c>
      <c r="AD127" s="509"/>
      <c r="AE127" s="635" t="s">
        <v>69</v>
      </c>
      <c r="AF127" s="635"/>
      <c r="AG127" s="788">
        <v>512</v>
      </c>
      <c r="AH127" s="782">
        <f t="shared" si="25"/>
        <v>0</v>
      </c>
      <c r="AI127" s="509"/>
      <c r="AJ127" s="509"/>
      <c r="AK127" s="509"/>
      <c r="AL127" s="777">
        <f t="shared" si="26"/>
        <v>512</v>
      </c>
      <c r="AM127" s="656"/>
      <c r="AN127" s="656"/>
      <c r="AO127" s="656"/>
      <c r="AP127" s="777">
        <f>I127</f>
        <v>512</v>
      </c>
      <c r="AQ127" s="656"/>
      <c r="AR127" s="777">
        <f t="shared" si="32"/>
        <v>512</v>
      </c>
      <c r="AS127" s="777"/>
      <c r="AT127" s="791">
        <f>I127/24</f>
        <v>21.3333333333333</v>
      </c>
      <c r="AU127" s="777"/>
      <c r="AV127" s="778"/>
      <c r="AW127" s="778"/>
      <c r="AX127" s="778"/>
      <c r="AY127" s="778"/>
      <c r="AZ127" s="778"/>
      <c r="BA127" s="778"/>
      <c r="BB127" s="778"/>
      <c r="BC127" s="778"/>
      <c r="BD127" s="777">
        <f>I127/4</f>
        <v>128</v>
      </c>
      <c r="BE127" s="778"/>
      <c r="BF127" s="778"/>
      <c r="BG127" s="778"/>
      <c r="BH127" s="778"/>
      <c r="BI127" s="778"/>
      <c r="BJ127" s="778"/>
      <c r="BK127" s="778"/>
      <c r="BL127" s="778"/>
      <c r="BM127" s="778"/>
    </row>
    <row r="128" s="771" customFormat="1" ht="31" hidden="1" customHeight="1" spans="1:65">
      <c r="A128" s="775">
        <v>45769</v>
      </c>
      <c r="B128" s="776" t="s">
        <v>594</v>
      </c>
      <c r="C128" s="509" t="s">
        <v>356</v>
      </c>
      <c r="D128" s="777">
        <v>4500164587</v>
      </c>
      <c r="E128" s="509">
        <v>2000007585</v>
      </c>
      <c r="F128" s="778" t="s">
        <v>595</v>
      </c>
      <c r="G128" s="779" t="s">
        <v>463</v>
      </c>
      <c r="H128" s="509" t="s">
        <v>424</v>
      </c>
      <c r="I128" s="509">
        <v>900</v>
      </c>
      <c r="J128" s="509">
        <v>0</v>
      </c>
      <c r="K128" s="509">
        <v>6</v>
      </c>
      <c r="L128" s="780">
        <f t="shared" si="17"/>
        <v>150</v>
      </c>
      <c r="M128" s="781">
        <v>45818</v>
      </c>
      <c r="N128" s="781">
        <v>45824</v>
      </c>
      <c r="O128" s="782"/>
      <c r="P128" s="782" t="s">
        <v>103</v>
      </c>
      <c r="Q128" s="509"/>
      <c r="R128" s="784">
        <v>45804</v>
      </c>
      <c r="S128" s="784" t="s">
        <v>66</v>
      </c>
      <c r="T128" s="784">
        <v>45805</v>
      </c>
      <c r="U128" s="784" t="s">
        <v>596</v>
      </c>
      <c r="V128" s="784"/>
      <c r="W128" s="776" t="s">
        <v>597</v>
      </c>
      <c r="X128" s="781" t="s">
        <v>370</v>
      </c>
      <c r="Y128" s="785">
        <v>8.1</v>
      </c>
      <c r="Z128" s="786">
        <f t="shared" si="33"/>
        <v>7290</v>
      </c>
      <c r="AA128" s="509"/>
      <c r="AB128" s="509" t="s">
        <v>427</v>
      </c>
      <c r="AC128" s="509" t="s">
        <v>76</v>
      </c>
      <c r="AD128" s="509"/>
      <c r="AE128" s="635" t="s">
        <v>69</v>
      </c>
      <c r="AF128" s="635"/>
      <c r="AG128" s="788">
        <f>840</f>
        <v>840</v>
      </c>
      <c r="AH128" s="782">
        <f t="shared" si="25"/>
        <v>-60</v>
      </c>
      <c r="AI128" s="509"/>
      <c r="AJ128" s="509"/>
      <c r="AK128" s="509"/>
      <c r="AL128" s="777">
        <f t="shared" si="26"/>
        <v>900</v>
      </c>
      <c r="AM128" s="656"/>
      <c r="AN128" s="656"/>
      <c r="AO128" s="656"/>
      <c r="AP128" s="777"/>
      <c r="AQ128" s="656">
        <f>I128</f>
        <v>900</v>
      </c>
      <c r="AR128" s="777">
        <f t="shared" si="32"/>
        <v>900</v>
      </c>
      <c r="AS128" s="777"/>
      <c r="AT128" s="777">
        <f t="shared" ref="AT128:AT145" si="34">I128</f>
        <v>900</v>
      </c>
      <c r="AU128" s="777"/>
      <c r="AV128" s="778"/>
      <c r="AW128" s="778"/>
      <c r="AX128" s="778"/>
      <c r="AY128" s="778"/>
      <c r="AZ128" s="778"/>
      <c r="BA128" s="778"/>
      <c r="BB128" s="778"/>
      <c r="BC128" s="778"/>
      <c r="BD128" s="778"/>
      <c r="BE128" s="778"/>
      <c r="BF128" s="778"/>
      <c r="BG128" s="778"/>
      <c r="BH128" s="778"/>
      <c r="BI128" s="777"/>
      <c r="BJ128" s="777">
        <f>I128</f>
        <v>900</v>
      </c>
      <c r="BK128" s="778"/>
      <c r="BL128" s="778"/>
      <c r="BM128" s="778"/>
    </row>
    <row r="129" s="771" customFormat="1" ht="31" hidden="1" customHeight="1" spans="1:65">
      <c r="A129" s="775">
        <v>45790</v>
      </c>
      <c r="B129" s="776" t="s">
        <v>598</v>
      </c>
      <c r="C129" s="509" t="s">
        <v>90</v>
      </c>
      <c r="D129" s="777">
        <v>4500166259</v>
      </c>
      <c r="E129" s="509" t="s">
        <v>599</v>
      </c>
      <c r="F129" s="778" t="s">
        <v>600</v>
      </c>
      <c r="G129" s="779" t="s">
        <v>223</v>
      </c>
      <c r="H129" s="509" t="s">
        <v>224</v>
      </c>
      <c r="I129" s="509">
        <v>2972</v>
      </c>
      <c r="J129" s="509">
        <v>0</v>
      </c>
      <c r="K129" s="509">
        <v>4</v>
      </c>
      <c r="L129" s="780">
        <f t="shared" si="17"/>
        <v>743</v>
      </c>
      <c r="M129" s="781">
        <v>45824</v>
      </c>
      <c r="N129" s="781">
        <v>45824</v>
      </c>
      <c r="O129" s="782"/>
      <c r="P129" s="782" t="s">
        <v>103</v>
      </c>
      <c r="Q129" s="509"/>
      <c r="R129" s="784">
        <v>45796</v>
      </c>
      <c r="S129" s="784" t="s">
        <v>96</v>
      </c>
      <c r="T129" s="784">
        <v>45796</v>
      </c>
      <c r="U129" s="784"/>
      <c r="V129" s="784"/>
      <c r="W129" s="776" t="s">
        <v>601</v>
      </c>
      <c r="X129" s="781" t="s">
        <v>602</v>
      </c>
      <c r="Y129" s="785">
        <v>3.318</v>
      </c>
      <c r="Z129" s="786">
        <f t="shared" si="33"/>
        <v>9861.096</v>
      </c>
      <c r="AA129" s="509"/>
      <c r="AB129" s="509" t="s">
        <v>223</v>
      </c>
      <c r="AC129" s="509" t="s">
        <v>76</v>
      </c>
      <c r="AD129" s="509"/>
      <c r="AE129" s="635" t="s">
        <v>69</v>
      </c>
      <c r="AF129" s="635"/>
      <c r="AG129" s="788">
        <f>8+2964</f>
        <v>2972</v>
      </c>
      <c r="AH129" s="782">
        <f t="shared" si="25"/>
        <v>0</v>
      </c>
      <c r="AI129" s="509"/>
      <c r="AJ129" s="509"/>
      <c r="AK129" s="509"/>
      <c r="AL129" s="777"/>
      <c r="AM129" s="656"/>
      <c r="AN129" s="656">
        <f>I129</f>
        <v>2972</v>
      </c>
      <c r="AO129" s="656"/>
      <c r="AP129" s="777"/>
      <c r="AQ129" s="656"/>
      <c r="AR129" s="777"/>
      <c r="AS129" s="777"/>
      <c r="AT129" s="777">
        <f t="shared" si="34"/>
        <v>2972</v>
      </c>
      <c r="AU129" s="777"/>
      <c r="AV129" s="778"/>
      <c r="AW129" s="778"/>
      <c r="AX129" s="778"/>
      <c r="AY129" s="778"/>
      <c r="AZ129" s="778"/>
      <c r="BA129" s="778"/>
      <c r="BB129" s="778">
        <f>I129</f>
        <v>2972</v>
      </c>
      <c r="BC129" s="778">
        <f>I129</f>
        <v>2972</v>
      </c>
      <c r="BD129" s="777">
        <f>I129/4</f>
        <v>743</v>
      </c>
      <c r="BE129" s="778"/>
      <c r="BF129" s="778"/>
      <c r="BG129" s="778"/>
      <c r="BH129" s="778"/>
      <c r="BI129" s="778"/>
      <c r="BJ129" s="778"/>
      <c r="BK129" s="778"/>
      <c r="BL129" s="778"/>
      <c r="BM129" s="778"/>
    </row>
    <row r="130" s="771" customFormat="1" ht="31" hidden="1" customHeight="1" spans="1:65">
      <c r="A130" s="775">
        <v>45723</v>
      </c>
      <c r="B130" s="776" t="s">
        <v>598</v>
      </c>
      <c r="C130" s="509" t="s">
        <v>90</v>
      </c>
      <c r="D130" s="777">
        <v>4500166249</v>
      </c>
      <c r="E130" s="509" t="s">
        <v>603</v>
      </c>
      <c r="F130" s="778" t="s">
        <v>604</v>
      </c>
      <c r="G130" s="779" t="s">
        <v>223</v>
      </c>
      <c r="H130" s="509" t="s">
        <v>224</v>
      </c>
      <c r="I130" s="509">
        <v>2160</v>
      </c>
      <c r="J130" s="509">
        <v>0</v>
      </c>
      <c r="K130" s="509">
        <v>4</v>
      </c>
      <c r="L130" s="780">
        <f t="shared" si="17"/>
        <v>540</v>
      </c>
      <c r="M130" s="781">
        <v>45824</v>
      </c>
      <c r="N130" s="781">
        <v>45824</v>
      </c>
      <c r="O130" s="782"/>
      <c r="P130" s="782" t="s">
        <v>103</v>
      </c>
      <c r="Q130" s="509"/>
      <c r="R130" s="784">
        <v>45796</v>
      </c>
      <c r="S130" s="784" t="s">
        <v>96</v>
      </c>
      <c r="T130" s="784">
        <v>45796</v>
      </c>
      <c r="U130" s="784"/>
      <c r="V130" s="784"/>
      <c r="W130" s="776" t="s">
        <v>601</v>
      </c>
      <c r="X130" s="781" t="s">
        <v>226</v>
      </c>
      <c r="Y130" s="785">
        <v>3.318</v>
      </c>
      <c r="Z130" s="786">
        <f t="shared" si="33"/>
        <v>7166.88</v>
      </c>
      <c r="AA130" s="509"/>
      <c r="AB130" s="509" t="s">
        <v>223</v>
      </c>
      <c r="AC130" s="509" t="s">
        <v>76</v>
      </c>
      <c r="AD130" s="509"/>
      <c r="AE130" s="635" t="s">
        <v>69</v>
      </c>
      <c r="AF130" s="635"/>
      <c r="AG130" s="788">
        <v>2160</v>
      </c>
      <c r="AH130" s="782">
        <f t="shared" si="25"/>
        <v>0</v>
      </c>
      <c r="AI130" s="509"/>
      <c r="AJ130" s="509"/>
      <c r="AK130" s="509"/>
      <c r="AL130" s="777"/>
      <c r="AM130" s="656"/>
      <c r="AN130" s="656">
        <f>I130</f>
        <v>2160</v>
      </c>
      <c r="AO130" s="656"/>
      <c r="AP130" s="777"/>
      <c r="AQ130" s="656"/>
      <c r="AR130" s="777"/>
      <c r="AS130" s="777"/>
      <c r="AT130" s="777">
        <f t="shared" si="34"/>
        <v>2160</v>
      </c>
      <c r="AU130" s="777"/>
      <c r="AV130" s="778"/>
      <c r="AW130" s="778"/>
      <c r="AX130" s="778"/>
      <c r="AY130" s="778"/>
      <c r="AZ130" s="778"/>
      <c r="BA130" s="778"/>
      <c r="BB130" s="778">
        <f>I130</f>
        <v>2160</v>
      </c>
      <c r="BC130" s="778">
        <f>I130</f>
        <v>2160</v>
      </c>
      <c r="BD130" s="777">
        <f>I130/4</f>
        <v>540</v>
      </c>
      <c r="BE130" s="778"/>
      <c r="BF130" s="778"/>
      <c r="BG130" s="778"/>
      <c r="BH130" s="778"/>
      <c r="BI130" s="778"/>
      <c r="BJ130" s="778"/>
      <c r="BK130" s="778"/>
      <c r="BL130" s="778"/>
      <c r="BM130" s="778"/>
    </row>
    <row r="131" s="771" customFormat="1" ht="31" hidden="1" customHeight="1" spans="1:65">
      <c r="A131" s="775">
        <v>45764</v>
      </c>
      <c r="B131" s="776" t="s">
        <v>605</v>
      </c>
      <c r="C131" s="509" t="s">
        <v>366</v>
      </c>
      <c r="D131" s="777">
        <v>4500164017</v>
      </c>
      <c r="E131" s="509">
        <v>5200006591</v>
      </c>
      <c r="F131" s="778" t="s">
        <v>606</v>
      </c>
      <c r="G131" s="779" t="s">
        <v>141</v>
      </c>
      <c r="H131" s="509" t="s">
        <v>94</v>
      </c>
      <c r="I131" s="509">
        <v>1000</v>
      </c>
      <c r="J131" s="509">
        <v>0</v>
      </c>
      <c r="K131" s="509">
        <v>4</v>
      </c>
      <c r="L131" s="780">
        <f t="shared" si="17"/>
        <v>250</v>
      </c>
      <c r="M131" s="781">
        <v>45819</v>
      </c>
      <c r="N131" s="781">
        <v>45825</v>
      </c>
      <c r="O131" s="782"/>
      <c r="P131" s="782" t="s">
        <v>103</v>
      </c>
      <c r="Q131" s="509" t="s">
        <v>607</v>
      </c>
      <c r="R131" s="784">
        <v>45768</v>
      </c>
      <c r="S131" s="784" t="s">
        <v>66</v>
      </c>
      <c r="T131" s="784" t="s">
        <v>608</v>
      </c>
      <c r="U131" s="784"/>
      <c r="V131" s="784"/>
      <c r="W131" s="776" t="s">
        <v>609</v>
      </c>
      <c r="X131" s="781" t="s">
        <v>370</v>
      </c>
      <c r="Y131" s="785">
        <v>5.03</v>
      </c>
      <c r="Z131" s="786">
        <f t="shared" si="33"/>
        <v>5030</v>
      </c>
      <c r="AA131" s="509"/>
      <c r="AB131" s="509" t="s">
        <v>141</v>
      </c>
      <c r="AC131" s="509" t="s">
        <v>76</v>
      </c>
      <c r="AD131" s="509"/>
      <c r="AE131" s="635" t="s">
        <v>69</v>
      </c>
      <c r="AF131" s="635"/>
      <c r="AG131" s="788">
        <v>1000</v>
      </c>
      <c r="AH131" s="782">
        <f t="shared" si="25"/>
        <v>0</v>
      </c>
      <c r="AI131" s="509"/>
      <c r="AJ131" s="509"/>
      <c r="AK131" s="509"/>
      <c r="AL131" s="777">
        <f>I131</f>
        <v>1000</v>
      </c>
      <c r="AM131" s="656"/>
      <c r="AN131" s="656"/>
      <c r="AO131" s="656"/>
      <c r="AP131" s="777"/>
      <c r="AQ131" s="656">
        <f>I131</f>
        <v>1000</v>
      </c>
      <c r="AR131" s="777">
        <f>I131</f>
        <v>1000</v>
      </c>
      <c r="AS131" s="777"/>
      <c r="AT131" s="777">
        <f t="shared" si="34"/>
        <v>1000</v>
      </c>
      <c r="AU131" s="777"/>
      <c r="AV131" s="778"/>
      <c r="AW131" s="778"/>
      <c r="AX131" s="778"/>
      <c r="AY131" s="778"/>
      <c r="AZ131" s="778"/>
      <c r="BA131" s="778"/>
      <c r="BB131" s="778"/>
      <c r="BC131" s="778"/>
      <c r="BD131" s="778"/>
      <c r="BE131" s="777">
        <f>I131/4</f>
        <v>250</v>
      </c>
      <c r="BF131" s="778"/>
      <c r="BG131" s="778"/>
      <c r="BH131" s="778"/>
      <c r="BI131" s="778"/>
      <c r="BJ131" s="778"/>
      <c r="BK131" s="778"/>
      <c r="BL131" s="778"/>
      <c r="BM131" s="778"/>
    </row>
    <row r="132" s="771" customFormat="1" ht="31" hidden="1" customHeight="1" spans="1:65">
      <c r="A132" s="775">
        <v>45790</v>
      </c>
      <c r="B132" s="776" t="s">
        <v>598</v>
      </c>
      <c r="C132" s="509" t="s">
        <v>90</v>
      </c>
      <c r="D132" s="777">
        <v>4500166232</v>
      </c>
      <c r="E132" s="509" t="s">
        <v>610</v>
      </c>
      <c r="F132" s="778" t="s">
        <v>611</v>
      </c>
      <c r="G132" s="779" t="s">
        <v>223</v>
      </c>
      <c r="H132" s="509" t="s">
        <v>224</v>
      </c>
      <c r="I132" s="509">
        <v>3012</v>
      </c>
      <c r="J132" s="509">
        <v>0</v>
      </c>
      <c r="K132" s="509">
        <v>4</v>
      </c>
      <c r="L132" s="780">
        <f t="shared" si="17"/>
        <v>753</v>
      </c>
      <c r="M132" s="781">
        <v>45824</v>
      </c>
      <c r="N132" s="781">
        <v>45826</v>
      </c>
      <c r="O132" s="782"/>
      <c r="P132" s="782" t="s">
        <v>103</v>
      </c>
      <c r="Q132" s="509"/>
      <c r="R132" s="784">
        <v>45796</v>
      </c>
      <c r="S132" s="784" t="s">
        <v>96</v>
      </c>
      <c r="T132" s="784">
        <v>45796</v>
      </c>
      <c r="U132" s="784"/>
      <c r="V132" s="784"/>
      <c r="W132" s="776" t="s">
        <v>612</v>
      </c>
      <c r="X132" s="781" t="s">
        <v>602</v>
      </c>
      <c r="Y132" s="785">
        <v>3.318</v>
      </c>
      <c r="Z132" s="786">
        <f t="shared" si="33"/>
        <v>9993.816</v>
      </c>
      <c r="AA132" s="509"/>
      <c r="AB132" s="509" t="s">
        <v>223</v>
      </c>
      <c r="AC132" s="509" t="s">
        <v>76</v>
      </c>
      <c r="AD132" s="509"/>
      <c r="AE132" s="635" t="s">
        <v>69</v>
      </c>
      <c r="AF132" s="635"/>
      <c r="AG132" s="788">
        <f>16+2996</f>
        <v>3012</v>
      </c>
      <c r="AH132" s="782">
        <f t="shared" si="25"/>
        <v>0</v>
      </c>
      <c r="AI132" s="509"/>
      <c r="AJ132" s="509"/>
      <c r="AK132" s="509"/>
      <c r="AL132" s="777"/>
      <c r="AM132" s="656"/>
      <c r="AN132" s="656">
        <f>I132</f>
        <v>3012</v>
      </c>
      <c r="AO132" s="656"/>
      <c r="AP132" s="777"/>
      <c r="AQ132" s="656"/>
      <c r="AR132" s="777"/>
      <c r="AS132" s="777"/>
      <c r="AT132" s="777">
        <f t="shared" si="34"/>
        <v>3012</v>
      </c>
      <c r="AU132" s="777"/>
      <c r="AV132" s="778"/>
      <c r="AW132" s="778"/>
      <c r="AX132" s="778"/>
      <c r="AY132" s="778"/>
      <c r="AZ132" s="778"/>
      <c r="BA132" s="778"/>
      <c r="BB132" s="778">
        <f>I132</f>
        <v>3012</v>
      </c>
      <c r="BC132" s="778">
        <f>I132</f>
        <v>3012</v>
      </c>
      <c r="BD132" s="777">
        <f>I132/4</f>
        <v>753</v>
      </c>
      <c r="BE132" s="778"/>
      <c r="BF132" s="778"/>
      <c r="BG132" s="778"/>
      <c r="BH132" s="778"/>
      <c r="BI132" s="778"/>
      <c r="BJ132" s="778"/>
      <c r="BK132" s="778"/>
      <c r="BL132" s="778"/>
      <c r="BM132" s="778"/>
    </row>
    <row r="133" s="771" customFormat="1" ht="31" hidden="1" customHeight="1" spans="1:65">
      <c r="A133" s="775">
        <v>45791</v>
      </c>
      <c r="B133" s="776" t="s">
        <v>553</v>
      </c>
      <c r="C133" s="509" t="s">
        <v>271</v>
      </c>
      <c r="D133" s="777">
        <v>4500169682</v>
      </c>
      <c r="E133" s="509">
        <v>5200006790</v>
      </c>
      <c r="F133" s="778" t="s">
        <v>613</v>
      </c>
      <c r="G133" s="779" t="s">
        <v>423</v>
      </c>
      <c r="H133" s="509" t="s">
        <v>424</v>
      </c>
      <c r="I133" s="509">
        <v>3180</v>
      </c>
      <c r="J133" s="509">
        <v>0</v>
      </c>
      <c r="K133" s="509">
        <v>6</v>
      </c>
      <c r="L133" s="780">
        <f t="shared" si="17"/>
        <v>530</v>
      </c>
      <c r="M133" s="781">
        <v>45819</v>
      </c>
      <c r="N133" s="781">
        <v>45815</v>
      </c>
      <c r="O133" s="782" t="s">
        <v>555</v>
      </c>
      <c r="P133" s="782" t="s">
        <v>103</v>
      </c>
      <c r="Q133" s="509" t="s">
        <v>614</v>
      </c>
      <c r="R133" s="784">
        <v>45789</v>
      </c>
      <c r="S133" s="784" t="s">
        <v>66</v>
      </c>
      <c r="T133" s="784" t="s">
        <v>615</v>
      </c>
      <c r="U133" s="784"/>
      <c r="V133" s="784"/>
      <c r="W133" s="776" t="s">
        <v>616</v>
      </c>
      <c r="X133" s="781" t="s">
        <v>558</v>
      </c>
      <c r="Y133" s="785">
        <v>8.1</v>
      </c>
      <c r="Z133" s="786">
        <f t="shared" si="33"/>
        <v>25758</v>
      </c>
      <c r="AA133" s="509"/>
      <c r="AB133" s="509" t="s">
        <v>427</v>
      </c>
      <c r="AC133" s="509" t="s">
        <v>76</v>
      </c>
      <c r="AD133" s="509"/>
      <c r="AE133" s="635" t="s">
        <v>69</v>
      </c>
      <c r="AF133" s="635"/>
      <c r="AG133" s="788">
        <v>3180</v>
      </c>
      <c r="AH133" s="782">
        <f t="shared" si="25"/>
        <v>0</v>
      </c>
      <c r="AI133" s="509"/>
      <c r="AJ133" s="509" t="s">
        <v>403</v>
      </c>
      <c r="AK133" s="509"/>
      <c r="AL133" s="777">
        <f t="shared" ref="AL133:AL161" si="35">I133</f>
        <v>3180</v>
      </c>
      <c r="AM133" s="656"/>
      <c r="AN133" s="656"/>
      <c r="AO133" s="656"/>
      <c r="AP133" s="777"/>
      <c r="AQ133" s="656">
        <f>I133</f>
        <v>3180</v>
      </c>
      <c r="AR133" s="777">
        <f t="shared" ref="AR133:AR147" si="36">I133</f>
        <v>3180</v>
      </c>
      <c r="AS133" s="777"/>
      <c r="AT133" s="777">
        <f t="shared" si="34"/>
        <v>3180</v>
      </c>
      <c r="AU133" s="777"/>
      <c r="AV133" s="778"/>
      <c r="AW133" s="778"/>
      <c r="AX133" s="778"/>
      <c r="AY133" s="778"/>
      <c r="AZ133" s="778"/>
      <c r="BA133" s="778"/>
      <c r="BB133" s="778"/>
      <c r="BC133" s="778"/>
      <c r="BD133" s="778"/>
      <c r="BE133" s="778"/>
      <c r="BF133" s="778"/>
      <c r="BG133" s="778"/>
      <c r="BH133" s="778"/>
      <c r="BI133" s="777"/>
      <c r="BJ133" s="777">
        <f>I133</f>
        <v>3180</v>
      </c>
      <c r="BK133" s="778"/>
      <c r="BL133" s="778"/>
      <c r="BM133" s="778"/>
    </row>
    <row r="134" s="771" customFormat="1" ht="31" hidden="1" customHeight="1" spans="1:65">
      <c r="A134" s="775">
        <v>45774</v>
      </c>
      <c r="B134" s="776" t="s">
        <v>617</v>
      </c>
      <c r="C134" s="509" t="s">
        <v>335</v>
      </c>
      <c r="D134" s="777">
        <v>4500160378</v>
      </c>
      <c r="E134" s="509">
        <v>164147</v>
      </c>
      <c r="F134" s="778" t="s">
        <v>618</v>
      </c>
      <c r="G134" s="779" t="s">
        <v>64</v>
      </c>
      <c r="H134" s="509" t="s">
        <v>65</v>
      </c>
      <c r="I134" s="509">
        <v>600</v>
      </c>
      <c r="J134" s="509">
        <v>0</v>
      </c>
      <c r="K134" s="509">
        <v>12</v>
      </c>
      <c r="L134" s="780">
        <f t="shared" ref="L134:L197" si="37">I134/K134</f>
        <v>50</v>
      </c>
      <c r="M134" s="781">
        <v>45818</v>
      </c>
      <c r="N134" s="781">
        <v>45818</v>
      </c>
      <c r="O134" s="782"/>
      <c r="P134" s="782" t="s">
        <v>103</v>
      </c>
      <c r="Q134" s="509"/>
      <c r="R134" s="784">
        <v>45785</v>
      </c>
      <c r="S134" s="784" t="s">
        <v>66</v>
      </c>
      <c r="T134" s="784">
        <v>45791</v>
      </c>
      <c r="U134" s="784"/>
      <c r="V134" s="784"/>
      <c r="W134" s="776" t="s">
        <v>619</v>
      </c>
      <c r="X134" s="781" t="s">
        <v>620</v>
      </c>
      <c r="Y134" s="785">
        <v>4.1456</v>
      </c>
      <c r="Z134" s="786">
        <f t="shared" si="33"/>
        <v>2487.36</v>
      </c>
      <c r="AA134" s="458" t="s">
        <v>621</v>
      </c>
      <c r="AB134" s="509" t="s">
        <v>165</v>
      </c>
      <c r="AC134" s="509" t="s">
        <v>76</v>
      </c>
      <c r="AD134" s="509"/>
      <c r="AE134" s="635" t="s">
        <v>69</v>
      </c>
      <c r="AF134" s="635"/>
      <c r="AG134" s="788">
        <v>600</v>
      </c>
      <c r="AH134" s="782">
        <f t="shared" si="25"/>
        <v>0</v>
      </c>
      <c r="AI134" s="509"/>
      <c r="AJ134" s="509"/>
      <c r="AK134" s="509"/>
      <c r="AL134" s="777">
        <f t="shared" si="35"/>
        <v>600</v>
      </c>
      <c r="AM134" s="656"/>
      <c r="AN134" s="656"/>
      <c r="AO134" s="656"/>
      <c r="AP134" s="777"/>
      <c r="AQ134" s="656">
        <f>I134</f>
        <v>600</v>
      </c>
      <c r="AR134" s="777">
        <f t="shared" si="36"/>
        <v>600</v>
      </c>
      <c r="AS134" s="777"/>
      <c r="AT134" s="777">
        <f t="shared" si="34"/>
        <v>600</v>
      </c>
      <c r="AU134" s="777"/>
      <c r="AV134" s="778"/>
      <c r="AW134" s="778"/>
      <c r="AX134" s="778"/>
      <c r="AY134" s="778"/>
      <c r="AZ134" s="778"/>
      <c r="BA134" s="778"/>
      <c r="BB134" s="778"/>
      <c r="BC134" s="778"/>
      <c r="BD134" s="778"/>
      <c r="BE134" s="778"/>
      <c r="BF134" s="778"/>
      <c r="BG134" s="778"/>
      <c r="BH134" s="778"/>
      <c r="BI134" s="778"/>
      <c r="BJ134" s="778"/>
      <c r="BK134" s="778"/>
      <c r="BL134" s="778"/>
      <c r="BM134" s="778"/>
    </row>
    <row r="135" s="771" customFormat="1" ht="31" hidden="1" customHeight="1" spans="1:65">
      <c r="A135" s="775">
        <v>45775</v>
      </c>
      <c r="B135" s="776" t="s">
        <v>128</v>
      </c>
      <c r="C135" s="509" t="s">
        <v>90</v>
      </c>
      <c r="D135" s="777">
        <v>4500162819</v>
      </c>
      <c r="E135" s="509">
        <v>5510041521</v>
      </c>
      <c r="F135" s="778" t="s">
        <v>622</v>
      </c>
      <c r="G135" s="779" t="s">
        <v>93</v>
      </c>
      <c r="H135" s="509" t="s">
        <v>94</v>
      </c>
      <c r="I135" s="509">
        <v>788</v>
      </c>
      <c r="J135" s="509">
        <v>0</v>
      </c>
      <c r="K135" s="509">
        <v>4</v>
      </c>
      <c r="L135" s="780">
        <f t="shared" si="37"/>
        <v>197</v>
      </c>
      <c r="M135" s="781">
        <v>45825</v>
      </c>
      <c r="N135" s="781">
        <v>45827</v>
      </c>
      <c r="O135" s="782"/>
      <c r="P135" s="782" t="s">
        <v>103</v>
      </c>
      <c r="Q135" s="509"/>
      <c r="R135" s="784" t="s">
        <v>430</v>
      </c>
      <c r="S135" s="784" t="s">
        <v>66</v>
      </c>
      <c r="T135" s="784" t="s">
        <v>623</v>
      </c>
      <c r="U135" s="683" t="s">
        <v>133</v>
      </c>
      <c r="V135" s="784"/>
      <c r="W135" s="776" t="s">
        <v>431</v>
      </c>
      <c r="X135" s="781" t="s">
        <v>98</v>
      </c>
      <c r="Y135" s="785">
        <v>3.06</v>
      </c>
      <c r="Z135" s="786">
        <f t="shared" si="33"/>
        <v>2411.28</v>
      </c>
      <c r="AA135" s="509" t="s">
        <v>624</v>
      </c>
      <c r="AB135" s="509" t="s">
        <v>93</v>
      </c>
      <c r="AC135" s="509" t="s">
        <v>76</v>
      </c>
      <c r="AD135" s="509"/>
      <c r="AE135" s="635" t="s">
        <v>69</v>
      </c>
      <c r="AF135" s="635"/>
      <c r="AG135" s="788">
        <v>788</v>
      </c>
      <c r="AH135" s="782">
        <f t="shared" si="25"/>
        <v>0</v>
      </c>
      <c r="AI135" s="509"/>
      <c r="AJ135" s="509"/>
      <c r="AK135" s="509"/>
      <c r="AL135" s="777">
        <f t="shared" si="35"/>
        <v>788</v>
      </c>
      <c r="AM135" s="656"/>
      <c r="AN135" s="656"/>
      <c r="AO135" s="656"/>
      <c r="AP135" s="777">
        <f>I135</f>
        <v>788</v>
      </c>
      <c r="AQ135" s="656"/>
      <c r="AR135" s="777">
        <f t="shared" si="36"/>
        <v>788</v>
      </c>
      <c r="AS135" s="777"/>
      <c r="AT135" s="777">
        <f t="shared" si="34"/>
        <v>788</v>
      </c>
      <c r="AU135" s="777"/>
      <c r="AV135" s="778"/>
      <c r="AW135" s="778"/>
      <c r="AX135" s="778"/>
      <c r="AY135" s="778"/>
      <c r="AZ135" s="778"/>
      <c r="BA135" s="778"/>
      <c r="BB135" s="778"/>
      <c r="BC135" s="778"/>
      <c r="BD135" s="777">
        <f>I135/4</f>
        <v>197</v>
      </c>
      <c r="BE135" s="778"/>
      <c r="BF135" s="778"/>
      <c r="BG135" s="778"/>
      <c r="BH135" s="778"/>
      <c r="BI135" s="778"/>
      <c r="BJ135" s="778"/>
      <c r="BK135" s="778"/>
      <c r="BL135" s="778"/>
      <c r="BM135" s="778"/>
    </row>
    <row r="136" s="771" customFormat="1" ht="31" hidden="1" customHeight="1" spans="1:65">
      <c r="A136" s="775">
        <v>45775</v>
      </c>
      <c r="B136" s="776" t="s">
        <v>128</v>
      </c>
      <c r="C136" s="509" t="s">
        <v>90</v>
      </c>
      <c r="D136" s="777">
        <v>4500162819</v>
      </c>
      <c r="E136" s="509" t="s">
        <v>625</v>
      </c>
      <c r="F136" s="778" t="s">
        <v>626</v>
      </c>
      <c r="G136" s="779" t="s">
        <v>93</v>
      </c>
      <c r="H136" s="509" t="s">
        <v>94</v>
      </c>
      <c r="I136" s="509">
        <v>788</v>
      </c>
      <c r="J136" s="509">
        <v>0</v>
      </c>
      <c r="K136" s="509">
        <v>4</v>
      </c>
      <c r="L136" s="780">
        <f t="shared" si="37"/>
        <v>197</v>
      </c>
      <c r="M136" s="781">
        <v>45825</v>
      </c>
      <c r="N136" s="781">
        <v>45827</v>
      </c>
      <c r="O136" s="782"/>
      <c r="P136" s="782" t="s">
        <v>103</v>
      </c>
      <c r="Q136" s="509"/>
      <c r="R136" s="784" t="s">
        <v>430</v>
      </c>
      <c r="S136" s="784" t="s">
        <v>66</v>
      </c>
      <c r="T136" s="784" t="s">
        <v>623</v>
      </c>
      <c r="U136" s="683" t="s">
        <v>133</v>
      </c>
      <c r="V136" s="784"/>
      <c r="W136" s="776" t="s">
        <v>431</v>
      </c>
      <c r="X136" s="781" t="s">
        <v>98</v>
      </c>
      <c r="Y136" s="785">
        <v>3.06</v>
      </c>
      <c r="Z136" s="786">
        <f t="shared" si="33"/>
        <v>2411.28</v>
      </c>
      <c r="AA136" s="509"/>
      <c r="AB136" s="509" t="s">
        <v>93</v>
      </c>
      <c r="AC136" s="509" t="s">
        <v>76</v>
      </c>
      <c r="AD136" s="509"/>
      <c r="AE136" s="635" t="s">
        <v>69</v>
      </c>
      <c r="AF136" s="635"/>
      <c r="AG136" s="788">
        <v>788</v>
      </c>
      <c r="AH136" s="782">
        <f t="shared" si="25"/>
        <v>0</v>
      </c>
      <c r="AI136" s="509"/>
      <c r="AJ136" s="509"/>
      <c r="AK136" s="509"/>
      <c r="AL136" s="777">
        <f t="shared" si="35"/>
        <v>788</v>
      </c>
      <c r="AM136" s="656"/>
      <c r="AN136" s="656"/>
      <c r="AO136" s="656"/>
      <c r="AP136" s="777">
        <f>I136</f>
        <v>788</v>
      </c>
      <c r="AQ136" s="656"/>
      <c r="AR136" s="777">
        <f t="shared" si="36"/>
        <v>788</v>
      </c>
      <c r="AS136" s="777"/>
      <c r="AT136" s="777">
        <f t="shared" si="34"/>
        <v>788</v>
      </c>
      <c r="AU136" s="777"/>
      <c r="AV136" s="778"/>
      <c r="AW136" s="778"/>
      <c r="AX136" s="778"/>
      <c r="AY136" s="778"/>
      <c r="AZ136" s="778"/>
      <c r="BA136" s="778"/>
      <c r="BB136" s="778"/>
      <c r="BC136" s="778"/>
      <c r="BD136" s="777">
        <f>I136/4</f>
        <v>197</v>
      </c>
      <c r="BE136" s="778"/>
      <c r="BF136" s="778"/>
      <c r="BG136" s="778"/>
      <c r="BH136" s="778"/>
      <c r="BI136" s="778"/>
      <c r="BJ136" s="778"/>
      <c r="BK136" s="778"/>
      <c r="BL136" s="778"/>
      <c r="BM136" s="778"/>
    </row>
    <row r="137" s="771" customFormat="1" ht="31" hidden="1" customHeight="1" spans="1:65">
      <c r="A137" s="775">
        <v>45775</v>
      </c>
      <c r="B137" s="776" t="s">
        <v>128</v>
      </c>
      <c r="C137" s="509" t="s">
        <v>90</v>
      </c>
      <c r="D137" s="777">
        <v>4500162819</v>
      </c>
      <c r="E137" s="509" t="s">
        <v>627</v>
      </c>
      <c r="F137" s="778" t="s">
        <v>628</v>
      </c>
      <c r="G137" s="779" t="s">
        <v>93</v>
      </c>
      <c r="H137" s="509" t="s">
        <v>94</v>
      </c>
      <c r="I137" s="509">
        <v>948</v>
      </c>
      <c r="J137" s="509">
        <v>0</v>
      </c>
      <c r="K137" s="509">
        <v>4</v>
      </c>
      <c r="L137" s="780">
        <f t="shared" si="37"/>
        <v>237</v>
      </c>
      <c r="M137" s="781">
        <v>45825</v>
      </c>
      <c r="N137" s="781">
        <v>45827</v>
      </c>
      <c r="O137" s="782"/>
      <c r="P137" s="782" t="s">
        <v>103</v>
      </c>
      <c r="Q137" s="509"/>
      <c r="R137" s="784" t="s">
        <v>430</v>
      </c>
      <c r="S137" s="784" t="s">
        <v>66</v>
      </c>
      <c r="T137" s="784" t="s">
        <v>623</v>
      </c>
      <c r="U137" s="683" t="s">
        <v>133</v>
      </c>
      <c r="V137" s="784"/>
      <c r="W137" s="776" t="s">
        <v>431</v>
      </c>
      <c r="X137" s="781" t="s">
        <v>98</v>
      </c>
      <c r="Y137" s="785">
        <v>3.06</v>
      </c>
      <c r="Z137" s="786">
        <f t="shared" si="33"/>
        <v>2900.88</v>
      </c>
      <c r="AA137" s="509" t="s">
        <v>629</v>
      </c>
      <c r="AB137" s="509" t="s">
        <v>93</v>
      </c>
      <c r="AC137" s="509" t="s">
        <v>76</v>
      </c>
      <c r="AD137" s="509"/>
      <c r="AE137" s="635" t="s">
        <v>69</v>
      </c>
      <c r="AF137" s="635"/>
      <c r="AG137" s="788">
        <v>948</v>
      </c>
      <c r="AH137" s="782">
        <f t="shared" si="25"/>
        <v>0</v>
      </c>
      <c r="AI137" s="509"/>
      <c r="AJ137" s="509"/>
      <c r="AK137" s="509"/>
      <c r="AL137" s="777">
        <f t="shared" si="35"/>
        <v>948</v>
      </c>
      <c r="AM137" s="656"/>
      <c r="AN137" s="656"/>
      <c r="AO137" s="656"/>
      <c r="AP137" s="777">
        <f>I137</f>
        <v>948</v>
      </c>
      <c r="AQ137" s="656"/>
      <c r="AR137" s="777">
        <f t="shared" si="36"/>
        <v>948</v>
      </c>
      <c r="AS137" s="777"/>
      <c r="AT137" s="777">
        <f t="shared" si="34"/>
        <v>948</v>
      </c>
      <c r="AU137" s="777"/>
      <c r="AV137" s="778"/>
      <c r="AW137" s="778"/>
      <c r="AX137" s="778"/>
      <c r="AY137" s="778"/>
      <c r="AZ137" s="778"/>
      <c r="BA137" s="778"/>
      <c r="BB137" s="778"/>
      <c r="BC137" s="778"/>
      <c r="BD137" s="777">
        <f>I137/4</f>
        <v>237</v>
      </c>
      <c r="BE137" s="778"/>
      <c r="BF137" s="778"/>
      <c r="BG137" s="778"/>
      <c r="BH137" s="778"/>
      <c r="BI137" s="778"/>
      <c r="BJ137" s="778"/>
      <c r="BK137" s="778"/>
      <c r="BL137" s="778"/>
      <c r="BM137" s="778"/>
    </row>
    <row r="138" s="771" customFormat="1" ht="31" hidden="1" customHeight="1" spans="1:65">
      <c r="A138" s="775">
        <v>45775</v>
      </c>
      <c r="B138" s="776" t="s">
        <v>128</v>
      </c>
      <c r="C138" s="509" t="s">
        <v>90</v>
      </c>
      <c r="D138" s="777">
        <v>4500162819</v>
      </c>
      <c r="E138" s="509" t="s">
        <v>630</v>
      </c>
      <c r="F138" s="778" t="s">
        <v>631</v>
      </c>
      <c r="G138" s="779" t="s">
        <v>93</v>
      </c>
      <c r="H138" s="509" t="s">
        <v>94</v>
      </c>
      <c r="I138" s="509">
        <v>1144</v>
      </c>
      <c r="J138" s="509">
        <v>0</v>
      </c>
      <c r="K138" s="509">
        <v>4</v>
      </c>
      <c r="L138" s="780">
        <f t="shared" si="37"/>
        <v>286</v>
      </c>
      <c r="M138" s="781">
        <v>45825</v>
      </c>
      <c r="N138" s="781">
        <v>45827</v>
      </c>
      <c r="O138" s="782"/>
      <c r="P138" s="782" t="s">
        <v>103</v>
      </c>
      <c r="Q138" s="509"/>
      <c r="R138" s="784" t="s">
        <v>430</v>
      </c>
      <c r="S138" s="784" t="s">
        <v>66</v>
      </c>
      <c r="T138" s="784" t="s">
        <v>623</v>
      </c>
      <c r="U138" s="683" t="s">
        <v>133</v>
      </c>
      <c r="V138" s="784"/>
      <c r="W138" s="776" t="s">
        <v>431</v>
      </c>
      <c r="X138" s="781" t="s">
        <v>98</v>
      </c>
      <c r="Y138" s="785">
        <v>3.06</v>
      </c>
      <c r="Z138" s="786">
        <f t="shared" si="33"/>
        <v>3500.64</v>
      </c>
      <c r="AA138" s="509" t="s">
        <v>632</v>
      </c>
      <c r="AB138" s="509" t="s">
        <v>93</v>
      </c>
      <c r="AC138" s="509" t="s">
        <v>76</v>
      </c>
      <c r="AD138" s="509"/>
      <c r="AE138" s="635" t="s">
        <v>69</v>
      </c>
      <c r="AF138" s="635"/>
      <c r="AG138" s="788">
        <v>1144</v>
      </c>
      <c r="AH138" s="782">
        <f t="shared" si="25"/>
        <v>0</v>
      </c>
      <c r="AI138" s="509"/>
      <c r="AJ138" s="509"/>
      <c r="AK138" s="509"/>
      <c r="AL138" s="777">
        <f t="shared" si="35"/>
        <v>1144</v>
      </c>
      <c r="AM138" s="656"/>
      <c r="AN138" s="656"/>
      <c r="AO138" s="656"/>
      <c r="AP138" s="777">
        <f>I138</f>
        <v>1144</v>
      </c>
      <c r="AQ138" s="656"/>
      <c r="AR138" s="777">
        <f t="shared" si="36"/>
        <v>1144</v>
      </c>
      <c r="AS138" s="777"/>
      <c r="AT138" s="777">
        <f t="shared" si="34"/>
        <v>1144</v>
      </c>
      <c r="AU138" s="777"/>
      <c r="AV138" s="778"/>
      <c r="AW138" s="778"/>
      <c r="AX138" s="778"/>
      <c r="AY138" s="778"/>
      <c r="AZ138" s="778"/>
      <c r="BA138" s="778"/>
      <c r="BB138" s="778"/>
      <c r="BC138" s="778"/>
      <c r="BD138" s="777">
        <f>I138/4</f>
        <v>286</v>
      </c>
      <c r="BE138" s="778"/>
      <c r="BF138" s="778"/>
      <c r="BG138" s="778"/>
      <c r="BH138" s="778"/>
      <c r="BI138" s="778"/>
      <c r="BJ138" s="778"/>
      <c r="BK138" s="778"/>
      <c r="BL138" s="778"/>
      <c r="BM138" s="778"/>
    </row>
    <row r="139" s="771" customFormat="1" ht="31" hidden="1" customHeight="1" spans="1:65">
      <c r="A139" s="775">
        <v>45762</v>
      </c>
      <c r="B139" s="776" t="s">
        <v>128</v>
      </c>
      <c r="C139" s="509" t="s">
        <v>90</v>
      </c>
      <c r="D139" s="777">
        <v>4500162819</v>
      </c>
      <c r="E139" s="509" t="s">
        <v>633</v>
      </c>
      <c r="F139" s="778" t="s">
        <v>634</v>
      </c>
      <c r="G139" s="779" t="s">
        <v>93</v>
      </c>
      <c r="H139" s="509" t="s">
        <v>94</v>
      </c>
      <c r="I139" s="509">
        <v>1220</v>
      </c>
      <c r="J139" s="509">
        <v>0</v>
      </c>
      <c r="K139" s="509">
        <v>4</v>
      </c>
      <c r="L139" s="780">
        <f t="shared" si="37"/>
        <v>305</v>
      </c>
      <c r="M139" s="781">
        <v>45825</v>
      </c>
      <c r="N139" s="781">
        <v>45827</v>
      </c>
      <c r="O139" s="782"/>
      <c r="P139" s="782" t="s">
        <v>103</v>
      </c>
      <c r="Q139" s="509"/>
      <c r="R139" s="784" t="s">
        <v>430</v>
      </c>
      <c r="S139" s="784" t="s">
        <v>66</v>
      </c>
      <c r="T139" s="784" t="s">
        <v>623</v>
      </c>
      <c r="U139" s="683" t="s">
        <v>133</v>
      </c>
      <c r="V139" s="784"/>
      <c r="W139" s="776" t="s">
        <v>431</v>
      </c>
      <c r="X139" s="781" t="s">
        <v>98</v>
      </c>
      <c r="Y139" s="785">
        <v>3.06</v>
      </c>
      <c r="Z139" s="786">
        <f t="shared" si="33"/>
        <v>3733.2</v>
      </c>
      <c r="AA139" s="509"/>
      <c r="AB139" s="509" t="s">
        <v>93</v>
      </c>
      <c r="AC139" s="509" t="s">
        <v>76</v>
      </c>
      <c r="AD139" s="509"/>
      <c r="AE139" s="635" t="s">
        <v>69</v>
      </c>
      <c r="AF139" s="635"/>
      <c r="AG139" s="788">
        <v>1220</v>
      </c>
      <c r="AH139" s="782">
        <f t="shared" si="25"/>
        <v>0</v>
      </c>
      <c r="AI139" s="509"/>
      <c r="AJ139" s="509"/>
      <c r="AK139" s="509"/>
      <c r="AL139" s="777">
        <f t="shared" si="35"/>
        <v>1220</v>
      </c>
      <c r="AM139" s="656"/>
      <c r="AN139" s="656"/>
      <c r="AO139" s="656"/>
      <c r="AP139" s="777">
        <f>I139</f>
        <v>1220</v>
      </c>
      <c r="AQ139" s="656"/>
      <c r="AR139" s="777">
        <f t="shared" si="36"/>
        <v>1220</v>
      </c>
      <c r="AS139" s="777"/>
      <c r="AT139" s="777">
        <f t="shared" si="34"/>
        <v>1220</v>
      </c>
      <c r="AU139" s="777"/>
      <c r="AV139" s="778"/>
      <c r="AW139" s="778"/>
      <c r="AX139" s="778"/>
      <c r="AY139" s="778"/>
      <c r="AZ139" s="778"/>
      <c r="BA139" s="778"/>
      <c r="BB139" s="778"/>
      <c r="BC139" s="778"/>
      <c r="BD139" s="777">
        <f>I139/4</f>
        <v>305</v>
      </c>
      <c r="BE139" s="778"/>
      <c r="BF139" s="778"/>
      <c r="BG139" s="778"/>
      <c r="BH139" s="778"/>
      <c r="BI139" s="778"/>
      <c r="BJ139" s="778"/>
      <c r="BK139" s="778"/>
      <c r="BL139" s="778"/>
      <c r="BM139" s="778"/>
    </row>
    <row r="140" s="771" customFormat="1" ht="31" hidden="1" customHeight="1" spans="1:65">
      <c r="A140" s="775">
        <v>45740</v>
      </c>
      <c r="B140" s="776" t="s">
        <v>635</v>
      </c>
      <c r="C140" s="509" t="s">
        <v>139</v>
      </c>
      <c r="D140" s="777">
        <v>4500165600</v>
      </c>
      <c r="E140" s="509">
        <v>246989</v>
      </c>
      <c r="F140" s="778" t="s">
        <v>636</v>
      </c>
      <c r="G140" s="779" t="s">
        <v>64</v>
      </c>
      <c r="H140" s="509" t="s">
        <v>65</v>
      </c>
      <c r="I140" s="509">
        <v>540</v>
      </c>
      <c r="J140" s="509">
        <v>0</v>
      </c>
      <c r="K140" s="509">
        <v>12</v>
      </c>
      <c r="L140" s="780">
        <f t="shared" si="37"/>
        <v>45</v>
      </c>
      <c r="M140" s="781">
        <v>45828</v>
      </c>
      <c r="N140" s="781">
        <v>45828</v>
      </c>
      <c r="O140" s="782"/>
      <c r="P140" s="782" t="s">
        <v>103</v>
      </c>
      <c r="Q140" s="509"/>
      <c r="R140" s="784">
        <v>45800</v>
      </c>
      <c r="S140" s="784" t="s">
        <v>66</v>
      </c>
      <c r="T140" s="784" t="s">
        <v>637</v>
      </c>
      <c r="U140" s="784" t="s">
        <v>638</v>
      </c>
      <c r="V140" s="784"/>
      <c r="W140" s="776" t="s">
        <v>639</v>
      </c>
      <c r="X140" s="781" t="s">
        <v>640</v>
      </c>
      <c r="Y140" s="785">
        <v>4.1456</v>
      </c>
      <c r="Z140" s="786">
        <f t="shared" si="33"/>
        <v>2238.624</v>
      </c>
      <c r="AA140" s="509"/>
      <c r="AB140" s="509" t="s">
        <v>165</v>
      </c>
      <c r="AC140" s="509" t="s">
        <v>76</v>
      </c>
      <c r="AD140" s="509"/>
      <c r="AE140" s="635" t="s">
        <v>69</v>
      </c>
      <c r="AF140" s="635"/>
      <c r="AG140" s="788">
        <v>540</v>
      </c>
      <c r="AH140" s="782">
        <f t="shared" si="25"/>
        <v>0</v>
      </c>
      <c r="AI140" s="509"/>
      <c r="AJ140" s="509"/>
      <c r="AK140" s="509"/>
      <c r="AL140" s="777">
        <f t="shared" si="35"/>
        <v>540</v>
      </c>
      <c r="AM140" s="656"/>
      <c r="AN140" s="656"/>
      <c r="AO140" s="656"/>
      <c r="AP140" s="777"/>
      <c r="AQ140" s="656">
        <f>I140</f>
        <v>540</v>
      </c>
      <c r="AR140" s="777">
        <f t="shared" si="36"/>
        <v>540</v>
      </c>
      <c r="AS140" s="777"/>
      <c r="AT140" s="777">
        <f t="shared" si="34"/>
        <v>540</v>
      </c>
      <c r="AU140" s="777"/>
      <c r="AV140" s="778"/>
      <c r="AW140" s="778"/>
      <c r="AX140" s="778"/>
      <c r="AY140" s="778"/>
      <c r="AZ140" s="778"/>
      <c r="BA140" s="778"/>
      <c r="BB140" s="778"/>
      <c r="BC140" s="778"/>
      <c r="BD140" s="778"/>
      <c r="BE140" s="778"/>
      <c r="BF140" s="778"/>
      <c r="BG140" s="778"/>
      <c r="BH140" s="778"/>
      <c r="BI140" s="778"/>
      <c r="BJ140" s="778"/>
      <c r="BK140" s="778"/>
      <c r="BL140" s="778"/>
      <c r="BM140" s="778"/>
    </row>
    <row r="141" s="771" customFormat="1" ht="31" hidden="1" customHeight="1" spans="1:65">
      <c r="A141" s="775">
        <v>45771</v>
      </c>
      <c r="B141" s="776" t="s">
        <v>641</v>
      </c>
      <c r="C141" s="509" t="s">
        <v>366</v>
      </c>
      <c r="D141" s="777">
        <v>4500163632</v>
      </c>
      <c r="E141" s="509"/>
      <c r="F141" s="778" t="s">
        <v>642</v>
      </c>
      <c r="G141" s="779" t="s">
        <v>102</v>
      </c>
      <c r="H141" s="509" t="s">
        <v>65</v>
      </c>
      <c r="I141" s="509">
        <v>640</v>
      </c>
      <c r="J141" s="509">
        <v>0</v>
      </c>
      <c r="K141" s="509">
        <v>16</v>
      </c>
      <c r="L141" s="780">
        <f t="shared" si="37"/>
        <v>40</v>
      </c>
      <c r="M141" s="781">
        <v>45826</v>
      </c>
      <c r="N141" s="781">
        <v>45829</v>
      </c>
      <c r="O141" s="782"/>
      <c r="P141" s="782" t="s">
        <v>103</v>
      </c>
      <c r="Q141" s="509"/>
      <c r="R141" s="784">
        <v>45797</v>
      </c>
      <c r="S141" s="784" t="s">
        <v>66</v>
      </c>
      <c r="T141" s="784">
        <v>45799</v>
      </c>
      <c r="U141" s="784"/>
      <c r="V141" s="784"/>
      <c r="W141" s="776" t="s">
        <v>643</v>
      </c>
      <c r="X141" s="781" t="s">
        <v>458</v>
      </c>
      <c r="Y141" s="785">
        <v>4.2542</v>
      </c>
      <c r="Z141" s="786">
        <f t="shared" si="33"/>
        <v>2722.688</v>
      </c>
      <c r="AA141" s="509"/>
      <c r="AB141" s="509" t="s">
        <v>397</v>
      </c>
      <c r="AC141" s="509" t="s">
        <v>76</v>
      </c>
      <c r="AD141" s="509"/>
      <c r="AE141" s="635" t="s">
        <v>69</v>
      </c>
      <c r="AF141" s="635"/>
      <c r="AG141" s="788">
        <v>640</v>
      </c>
      <c r="AH141" s="782">
        <f t="shared" si="25"/>
        <v>0</v>
      </c>
      <c r="AI141" s="509"/>
      <c r="AJ141" s="509"/>
      <c r="AK141" s="509"/>
      <c r="AL141" s="777">
        <f t="shared" si="35"/>
        <v>640</v>
      </c>
      <c r="AM141" s="656"/>
      <c r="AN141" s="656"/>
      <c r="AO141" s="656"/>
      <c r="AP141" s="777"/>
      <c r="AQ141" s="656">
        <f>I141</f>
        <v>640</v>
      </c>
      <c r="AR141" s="777">
        <f t="shared" si="36"/>
        <v>640</v>
      </c>
      <c r="AS141" s="777"/>
      <c r="AT141" s="777">
        <f t="shared" si="34"/>
        <v>640</v>
      </c>
      <c r="AU141" s="777"/>
      <c r="AV141" s="778"/>
      <c r="AW141" s="778"/>
      <c r="AX141" s="778"/>
      <c r="AY141" s="778"/>
      <c r="AZ141" s="778"/>
      <c r="BA141" s="778"/>
      <c r="BB141" s="778"/>
      <c r="BC141" s="778"/>
      <c r="BD141" s="778"/>
      <c r="BE141" s="777">
        <f>I141/4</f>
        <v>160</v>
      </c>
      <c r="BF141" s="778"/>
      <c r="BG141" s="778"/>
      <c r="BH141" s="778"/>
      <c r="BI141" s="778"/>
      <c r="BJ141" s="778"/>
      <c r="BK141" s="778"/>
      <c r="BL141" s="778"/>
      <c r="BM141" s="778"/>
    </row>
    <row r="142" s="771" customFormat="1" ht="31" hidden="1" customHeight="1" spans="1:65">
      <c r="A142" s="775">
        <v>45798</v>
      </c>
      <c r="B142" s="776" t="s">
        <v>644</v>
      </c>
      <c r="C142" s="509" t="s">
        <v>645</v>
      </c>
      <c r="D142" s="777">
        <v>4500165851</v>
      </c>
      <c r="E142" s="509" t="s">
        <v>646</v>
      </c>
      <c r="F142" s="778" t="s">
        <v>647</v>
      </c>
      <c r="G142" s="779" t="s">
        <v>102</v>
      </c>
      <c r="H142" s="509" t="s">
        <v>65</v>
      </c>
      <c r="I142" s="509">
        <v>656</v>
      </c>
      <c r="J142" s="509">
        <v>0</v>
      </c>
      <c r="K142" s="509">
        <v>16</v>
      </c>
      <c r="L142" s="780">
        <f t="shared" si="37"/>
        <v>41</v>
      </c>
      <c r="M142" s="781">
        <v>45828</v>
      </c>
      <c r="N142" s="781">
        <v>45830</v>
      </c>
      <c r="O142" s="782"/>
      <c r="P142" s="782" t="s">
        <v>103</v>
      </c>
      <c r="Q142" s="509"/>
      <c r="R142" s="784">
        <v>45792</v>
      </c>
      <c r="S142" s="784" t="s">
        <v>66</v>
      </c>
      <c r="T142" s="784">
        <v>45789</v>
      </c>
      <c r="U142" s="784"/>
      <c r="V142" s="784"/>
      <c r="W142" s="776" t="s">
        <v>648</v>
      </c>
      <c r="X142" s="781" t="s">
        <v>649</v>
      </c>
      <c r="Y142" s="785">
        <v>4.39</v>
      </c>
      <c r="Z142" s="786">
        <f t="shared" si="33"/>
        <v>2879.84</v>
      </c>
      <c r="AA142" s="509"/>
      <c r="AB142" s="509" t="s">
        <v>102</v>
      </c>
      <c r="AC142" s="509" t="s">
        <v>76</v>
      </c>
      <c r="AD142" s="509"/>
      <c r="AE142" s="635" t="s">
        <v>69</v>
      </c>
      <c r="AF142" s="635"/>
      <c r="AG142" s="788">
        <v>656</v>
      </c>
      <c r="AH142" s="782">
        <f t="shared" si="25"/>
        <v>0</v>
      </c>
      <c r="AI142" s="509"/>
      <c r="AJ142" s="509"/>
      <c r="AK142" s="509"/>
      <c r="AL142" s="777">
        <f t="shared" si="35"/>
        <v>656</v>
      </c>
      <c r="AM142" s="656"/>
      <c r="AN142" s="656"/>
      <c r="AO142" s="656"/>
      <c r="AP142" s="777">
        <f>I142</f>
        <v>656</v>
      </c>
      <c r="AQ142" s="656"/>
      <c r="AR142" s="777">
        <f t="shared" si="36"/>
        <v>656</v>
      </c>
      <c r="AS142" s="777"/>
      <c r="AT142" s="777">
        <f t="shared" si="34"/>
        <v>656</v>
      </c>
      <c r="AU142" s="777"/>
      <c r="AV142" s="778"/>
      <c r="AW142" s="778"/>
      <c r="AX142" s="778"/>
      <c r="AY142" s="778"/>
      <c r="AZ142" s="778"/>
      <c r="BA142" s="778"/>
      <c r="BB142" s="778"/>
      <c r="BC142" s="778"/>
      <c r="BD142" s="777">
        <f>I142/4</f>
        <v>164</v>
      </c>
      <c r="BE142" s="778"/>
      <c r="BF142" s="778"/>
      <c r="BG142" s="778"/>
      <c r="BH142" s="778"/>
      <c r="BI142" s="778"/>
      <c r="BJ142" s="778"/>
      <c r="BK142" s="778"/>
      <c r="BL142" s="778"/>
      <c r="BM142" s="778"/>
    </row>
    <row r="143" s="771" customFormat="1" ht="31" hidden="1" customHeight="1" spans="1:65">
      <c r="A143" s="775">
        <v>45723</v>
      </c>
      <c r="B143" s="776" t="s">
        <v>650</v>
      </c>
      <c r="C143" s="509" t="s">
        <v>249</v>
      </c>
      <c r="D143" s="777">
        <v>4500159524</v>
      </c>
      <c r="E143" s="509" t="s">
        <v>651</v>
      </c>
      <c r="F143" s="778" t="s">
        <v>652</v>
      </c>
      <c r="G143" s="779" t="s">
        <v>102</v>
      </c>
      <c r="H143" s="509" t="s">
        <v>65</v>
      </c>
      <c r="I143" s="509">
        <v>4736</v>
      </c>
      <c r="J143" s="509">
        <v>0</v>
      </c>
      <c r="K143" s="509">
        <v>16</v>
      </c>
      <c r="L143" s="780">
        <f t="shared" si="37"/>
        <v>296</v>
      </c>
      <c r="M143" s="781">
        <v>45824</v>
      </c>
      <c r="N143" s="781">
        <v>45830</v>
      </c>
      <c r="O143" s="782" t="s">
        <v>653</v>
      </c>
      <c r="P143" s="782" t="s">
        <v>103</v>
      </c>
      <c r="Q143" s="509"/>
      <c r="R143" s="784">
        <v>45727</v>
      </c>
      <c r="S143" s="784" t="s">
        <v>66</v>
      </c>
      <c r="T143" s="784" t="s">
        <v>66</v>
      </c>
      <c r="U143" s="784"/>
      <c r="V143" s="784"/>
      <c r="W143" s="776" t="s">
        <v>654</v>
      </c>
      <c r="X143" s="781" t="s">
        <v>655</v>
      </c>
      <c r="Y143" s="785">
        <v>4.39</v>
      </c>
      <c r="Z143" s="786">
        <f t="shared" si="33"/>
        <v>20791.04</v>
      </c>
      <c r="AA143" s="509"/>
      <c r="AB143" s="509" t="s">
        <v>102</v>
      </c>
      <c r="AC143" s="509" t="s">
        <v>76</v>
      </c>
      <c r="AD143" s="509"/>
      <c r="AE143" s="635" t="s">
        <v>69</v>
      </c>
      <c r="AF143" s="635"/>
      <c r="AG143" s="788">
        <f>4704+32</f>
        <v>4736</v>
      </c>
      <c r="AH143" s="782">
        <f t="shared" si="25"/>
        <v>0</v>
      </c>
      <c r="AI143" s="509"/>
      <c r="AJ143" s="509"/>
      <c r="AK143" s="509"/>
      <c r="AL143" s="777">
        <f t="shared" si="35"/>
        <v>4736</v>
      </c>
      <c r="AM143" s="656"/>
      <c r="AN143" s="656"/>
      <c r="AO143" s="656"/>
      <c r="AP143" s="777">
        <f>I143</f>
        <v>4736</v>
      </c>
      <c r="AQ143" s="656"/>
      <c r="AR143" s="777">
        <f t="shared" si="36"/>
        <v>4736</v>
      </c>
      <c r="AS143" s="777"/>
      <c r="AT143" s="777">
        <f t="shared" si="34"/>
        <v>4736</v>
      </c>
      <c r="AU143" s="777"/>
      <c r="AV143" s="778"/>
      <c r="AW143" s="778"/>
      <c r="AX143" s="778"/>
      <c r="AY143" s="778"/>
      <c r="AZ143" s="778"/>
      <c r="BA143" s="778"/>
      <c r="BB143" s="778"/>
      <c r="BC143" s="778"/>
      <c r="BD143" s="777">
        <f>I143/4</f>
        <v>1184</v>
      </c>
      <c r="BE143" s="778"/>
      <c r="BF143" s="778"/>
      <c r="BG143" s="778"/>
      <c r="BH143" s="778"/>
      <c r="BI143" s="778"/>
      <c r="BJ143" s="778"/>
      <c r="BK143" s="778"/>
      <c r="BL143" s="778"/>
      <c r="BM143" s="778"/>
    </row>
    <row r="144" s="771" customFormat="1" ht="31" hidden="1" customHeight="1" spans="1:65">
      <c r="A144" s="775">
        <v>45775</v>
      </c>
      <c r="B144" s="776" t="s">
        <v>650</v>
      </c>
      <c r="C144" s="509" t="s">
        <v>249</v>
      </c>
      <c r="D144" s="777">
        <v>4500159524</v>
      </c>
      <c r="E144" s="509" t="s">
        <v>656</v>
      </c>
      <c r="F144" s="778" t="s">
        <v>657</v>
      </c>
      <c r="G144" s="779" t="s">
        <v>102</v>
      </c>
      <c r="H144" s="509" t="s">
        <v>65</v>
      </c>
      <c r="I144" s="509">
        <v>4736</v>
      </c>
      <c r="J144" s="509">
        <v>0</v>
      </c>
      <c r="K144" s="509">
        <v>16</v>
      </c>
      <c r="L144" s="780">
        <f t="shared" si="37"/>
        <v>296</v>
      </c>
      <c r="M144" s="781">
        <v>45824</v>
      </c>
      <c r="N144" s="781">
        <v>45830</v>
      </c>
      <c r="O144" s="782" t="s">
        <v>653</v>
      </c>
      <c r="P144" s="782" t="s">
        <v>103</v>
      </c>
      <c r="Q144" s="509"/>
      <c r="R144" s="784">
        <v>45727</v>
      </c>
      <c r="S144" s="784" t="s">
        <v>66</v>
      </c>
      <c r="T144" s="784" t="s">
        <v>66</v>
      </c>
      <c r="U144" s="784"/>
      <c r="V144" s="784"/>
      <c r="W144" s="776" t="s">
        <v>654</v>
      </c>
      <c r="X144" s="781" t="s">
        <v>655</v>
      </c>
      <c r="Y144" s="785">
        <v>4.39</v>
      </c>
      <c r="Z144" s="786">
        <f t="shared" si="33"/>
        <v>20791.04</v>
      </c>
      <c r="AA144" s="509"/>
      <c r="AB144" s="509" t="s">
        <v>102</v>
      </c>
      <c r="AC144" s="509" t="s">
        <v>76</v>
      </c>
      <c r="AD144" s="509"/>
      <c r="AE144" s="635" t="s">
        <v>69</v>
      </c>
      <c r="AF144" s="635"/>
      <c r="AG144" s="788">
        <f>4544+192</f>
        <v>4736</v>
      </c>
      <c r="AH144" s="782">
        <f t="shared" si="25"/>
        <v>0</v>
      </c>
      <c r="AI144" s="509"/>
      <c r="AJ144" s="509"/>
      <c r="AK144" s="509"/>
      <c r="AL144" s="777">
        <f t="shared" si="35"/>
        <v>4736</v>
      </c>
      <c r="AM144" s="656"/>
      <c r="AN144" s="656"/>
      <c r="AO144" s="656"/>
      <c r="AP144" s="777">
        <f>I144</f>
        <v>4736</v>
      </c>
      <c r="AQ144" s="656"/>
      <c r="AR144" s="777">
        <f t="shared" si="36"/>
        <v>4736</v>
      </c>
      <c r="AS144" s="777"/>
      <c r="AT144" s="777">
        <f t="shared" si="34"/>
        <v>4736</v>
      </c>
      <c r="AU144" s="777"/>
      <c r="AV144" s="778"/>
      <c r="AW144" s="778"/>
      <c r="AX144" s="778"/>
      <c r="AY144" s="778"/>
      <c r="AZ144" s="778"/>
      <c r="BA144" s="778"/>
      <c r="BB144" s="778"/>
      <c r="BC144" s="778"/>
      <c r="BD144" s="777">
        <f>I144/4</f>
        <v>1184</v>
      </c>
      <c r="BE144" s="778"/>
      <c r="BF144" s="778"/>
      <c r="BG144" s="778"/>
      <c r="BH144" s="778"/>
      <c r="BI144" s="778"/>
      <c r="BJ144" s="778"/>
      <c r="BK144" s="778"/>
      <c r="BL144" s="778"/>
      <c r="BM144" s="778"/>
    </row>
    <row r="145" s="771" customFormat="1" ht="31" hidden="1" customHeight="1" spans="1:65">
      <c r="A145" s="775">
        <v>45799</v>
      </c>
      <c r="B145" s="776" t="s">
        <v>658</v>
      </c>
      <c r="C145" s="509" t="s">
        <v>310</v>
      </c>
      <c r="D145" s="777">
        <v>4500167152</v>
      </c>
      <c r="E145" s="509" t="s">
        <v>659</v>
      </c>
      <c r="F145" s="778" t="s">
        <v>660</v>
      </c>
      <c r="G145" s="779" t="s">
        <v>64</v>
      </c>
      <c r="H145" s="509" t="s">
        <v>65</v>
      </c>
      <c r="I145" s="509">
        <v>420</v>
      </c>
      <c r="J145" s="509">
        <v>0</v>
      </c>
      <c r="K145" s="509">
        <v>12</v>
      </c>
      <c r="L145" s="780">
        <f t="shared" si="37"/>
        <v>35</v>
      </c>
      <c r="M145" s="781">
        <v>45831</v>
      </c>
      <c r="N145" s="781">
        <v>45831</v>
      </c>
      <c r="O145" s="782"/>
      <c r="P145" s="782" t="s">
        <v>103</v>
      </c>
      <c r="Q145" s="509"/>
      <c r="R145" s="784">
        <v>45797</v>
      </c>
      <c r="S145" s="784" t="s">
        <v>66</v>
      </c>
      <c r="T145" s="784">
        <v>45807</v>
      </c>
      <c r="U145" s="784"/>
      <c r="V145" s="784"/>
      <c r="W145" s="776" t="s">
        <v>661</v>
      </c>
      <c r="X145" s="781" t="s">
        <v>473</v>
      </c>
      <c r="Y145" s="785">
        <v>4.1456</v>
      </c>
      <c r="Z145" s="786">
        <f t="shared" si="33"/>
        <v>1741.152</v>
      </c>
      <c r="AA145" s="509"/>
      <c r="AB145" s="509" t="s">
        <v>165</v>
      </c>
      <c r="AC145" s="509" t="s">
        <v>76</v>
      </c>
      <c r="AD145" s="509"/>
      <c r="AE145" s="635" t="s">
        <v>69</v>
      </c>
      <c r="AF145" s="635"/>
      <c r="AG145" s="788">
        <v>420</v>
      </c>
      <c r="AH145" s="782">
        <f t="shared" si="25"/>
        <v>0</v>
      </c>
      <c r="AI145" s="509"/>
      <c r="AJ145" s="509"/>
      <c r="AK145" s="509"/>
      <c r="AL145" s="777">
        <f t="shared" si="35"/>
        <v>420</v>
      </c>
      <c r="AM145" s="656"/>
      <c r="AN145" s="656"/>
      <c r="AO145" s="656"/>
      <c r="AP145" s="777"/>
      <c r="AQ145" s="656">
        <f>I145</f>
        <v>420</v>
      </c>
      <c r="AR145" s="777">
        <f t="shared" si="36"/>
        <v>420</v>
      </c>
      <c r="AS145" s="777"/>
      <c r="AT145" s="543">
        <f t="shared" si="34"/>
        <v>420</v>
      </c>
      <c r="AU145" s="777"/>
      <c r="AV145" s="778"/>
      <c r="AW145" s="778"/>
      <c r="AX145" s="778"/>
      <c r="AY145" s="778"/>
      <c r="AZ145" s="778"/>
      <c r="BA145" s="778"/>
      <c r="BB145" s="778"/>
      <c r="BC145" s="778"/>
      <c r="BD145" s="778"/>
      <c r="BE145" s="778"/>
      <c r="BF145" s="778"/>
      <c r="BG145" s="778"/>
      <c r="BH145" s="778"/>
      <c r="BI145" s="778"/>
      <c r="BJ145" s="778"/>
      <c r="BK145" s="778"/>
      <c r="BL145" s="778"/>
      <c r="BM145" s="778"/>
    </row>
    <row r="146" s="771" customFormat="1" ht="31" hidden="1" customHeight="1" spans="1:65">
      <c r="A146" s="775">
        <v>45785</v>
      </c>
      <c r="B146" s="776" t="s">
        <v>662</v>
      </c>
      <c r="C146" s="509" t="s">
        <v>663</v>
      </c>
      <c r="D146" s="777">
        <v>4500165636</v>
      </c>
      <c r="E146" s="509">
        <v>5000001870</v>
      </c>
      <c r="F146" s="778" t="s">
        <v>664</v>
      </c>
      <c r="G146" s="779" t="s">
        <v>118</v>
      </c>
      <c r="H146" s="509" t="s">
        <v>119</v>
      </c>
      <c r="I146" s="509">
        <v>1602</v>
      </c>
      <c r="J146" s="509">
        <v>0</v>
      </c>
      <c r="K146" s="509">
        <v>6</v>
      </c>
      <c r="L146" s="780">
        <f t="shared" si="37"/>
        <v>267</v>
      </c>
      <c r="M146" s="781">
        <v>45828</v>
      </c>
      <c r="N146" s="781">
        <v>45832</v>
      </c>
      <c r="O146" s="782" t="s">
        <v>665</v>
      </c>
      <c r="P146" s="782" t="s">
        <v>103</v>
      </c>
      <c r="Q146" s="509"/>
      <c r="R146" s="784">
        <v>45785</v>
      </c>
      <c r="S146" s="784" t="s">
        <v>96</v>
      </c>
      <c r="T146" s="784">
        <v>45791</v>
      </c>
      <c r="U146" s="784"/>
      <c r="V146" s="784"/>
      <c r="W146" s="776" t="s">
        <v>666</v>
      </c>
      <c r="X146" s="781" t="s">
        <v>667</v>
      </c>
      <c r="Y146" s="785">
        <v>4.1</v>
      </c>
      <c r="Z146" s="786">
        <f t="shared" si="33"/>
        <v>6568.2</v>
      </c>
      <c r="AA146" s="509"/>
      <c r="AB146" s="509" t="s">
        <v>118</v>
      </c>
      <c r="AC146" s="509" t="s">
        <v>76</v>
      </c>
      <c r="AD146" s="509"/>
      <c r="AE146" s="635" t="s">
        <v>69</v>
      </c>
      <c r="AF146" s="635"/>
      <c r="AG146" s="788">
        <v>1602</v>
      </c>
      <c r="AH146" s="782">
        <f t="shared" si="25"/>
        <v>0</v>
      </c>
      <c r="AI146" s="509"/>
      <c r="AJ146" s="509"/>
      <c r="AK146" s="509"/>
      <c r="AL146" s="777">
        <f t="shared" si="35"/>
        <v>1602</v>
      </c>
      <c r="AM146" s="656"/>
      <c r="AN146" s="656"/>
      <c r="AO146" s="656"/>
      <c r="AP146" s="777">
        <f>I146</f>
        <v>1602</v>
      </c>
      <c r="AQ146" s="656"/>
      <c r="AR146" s="777"/>
      <c r="AS146" s="656">
        <f>I146</f>
        <v>1602</v>
      </c>
      <c r="AT146" s="777"/>
      <c r="AU146" s="791">
        <f>I146</f>
        <v>1602</v>
      </c>
      <c r="AV146" s="778"/>
      <c r="AW146" s="778"/>
      <c r="AX146" s="778"/>
      <c r="AY146" s="778"/>
      <c r="AZ146" s="778"/>
      <c r="BA146" s="778"/>
      <c r="BB146" s="778"/>
      <c r="BC146" s="778"/>
      <c r="BD146" s="778"/>
      <c r="BE146" s="778"/>
      <c r="BF146" s="778"/>
      <c r="BG146" s="778"/>
      <c r="BH146" s="778"/>
      <c r="BI146" s="778"/>
      <c r="BJ146" s="778"/>
      <c r="BK146" s="778"/>
      <c r="BL146" s="778"/>
      <c r="BM146" s="778"/>
    </row>
    <row r="147" s="771" customFormat="1" ht="31" hidden="1" customHeight="1" spans="1:65">
      <c r="A147" s="775">
        <v>45789</v>
      </c>
      <c r="B147" s="776" t="s">
        <v>662</v>
      </c>
      <c r="C147" s="509" t="s">
        <v>663</v>
      </c>
      <c r="D147" s="777">
        <v>4500165636</v>
      </c>
      <c r="E147" s="509">
        <v>5000001870</v>
      </c>
      <c r="F147" s="778" t="s">
        <v>668</v>
      </c>
      <c r="G147" s="779" t="s">
        <v>118</v>
      </c>
      <c r="H147" s="509" t="s">
        <v>119</v>
      </c>
      <c r="I147" s="509">
        <v>96</v>
      </c>
      <c r="J147" s="509">
        <v>0</v>
      </c>
      <c r="K147" s="509">
        <v>6</v>
      </c>
      <c r="L147" s="780">
        <f t="shared" si="37"/>
        <v>16</v>
      </c>
      <c r="M147" s="781">
        <v>45828</v>
      </c>
      <c r="N147" s="781">
        <v>45832</v>
      </c>
      <c r="O147" s="782" t="s">
        <v>665</v>
      </c>
      <c r="P147" s="782" t="s">
        <v>103</v>
      </c>
      <c r="Q147" s="509"/>
      <c r="R147" s="784">
        <v>45785</v>
      </c>
      <c r="S147" s="784" t="s">
        <v>96</v>
      </c>
      <c r="T147" s="784">
        <v>45791</v>
      </c>
      <c r="U147" s="784"/>
      <c r="V147" s="784"/>
      <c r="W147" s="776" t="s">
        <v>666</v>
      </c>
      <c r="X147" s="781" t="s">
        <v>667</v>
      </c>
      <c r="Y147" s="785">
        <v>4.1</v>
      </c>
      <c r="Z147" s="786">
        <f t="shared" si="33"/>
        <v>393.6</v>
      </c>
      <c r="AA147" s="509"/>
      <c r="AB147" s="509" t="s">
        <v>118</v>
      </c>
      <c r="AC147" s="509" t="s">
        <v>76</v>
      </c>
      <c r="AD147" s="509"/>
      <c r="AE147" s="635" t="s">
        <v>69</v>
      </c>
      <c r="AF147" s="635"/>
      <c r="AG147" s="788">
        <v>96</v>
      </c>
      <c r="AH147" s="782">
        <f t="shared" si="25"/>
        <v>0</v>
      </c>
      <c r="AI147" s="509"/>
      <c r="AJ147" s="509"/>
      <c r="AK147" s="509"/>
      <c r="AL147" s="777">
        <f t="shared" si="35"/>
        <v>96</v>
      </c>
      <c r="AM147" s="656"/>
      <c r="AN147" s="656"/>
      <c r="AO147" s="656"/>
      <c r="AP147" s="777">
        <f>I147</f>
        <v>96</v>
      </c>
      <c r="AQ147" s="656"/>
      <c r="AR147" s="777"/>
      <c r="AS147" s="656">
        <f>I147</f>
        <v>96</v>
      </c>
      <c r="AT147" s="777"/>
      <c r="AU147" s="791">
        <f>I147</f>
        <v>96</v>
      </c>
      <c r="AV147" s="778"/>
      <c r="AW147" s="778"/>
      <c r="AX147" s="778"/>
      <c r="AY147" s="778"/>
      <c r="AZ147" s="778"/>
      <c r="BA147" s="778"/>
      <c r="BB147" s="778"/>
      <c r="BC147" s="778"/>
      <c r="BD147" s="778"/>
      <c r="BE147" s="778"/>
      <c r="BF147" s="778"/>
      <c r="BG147" s="778"/>
      <c r="BH147" s="778"/>
      <c r="BI147" s="778"/>
      <c r="BJ147" s="778"/>
      <c r="BK147" s="778"/>
      <c r="BL147" s="778"/>
      <c r="BM147" s="778"/>
    </row>
    <row r="148" s="771" customFormat="1" ht="31" hidden="1" customHeight="1" spans="1:65">
      <c r="A148" s="775">
        <v>45762</v>
      </c>
      <c r="B148" s="776" t="s">
        <v>270</v>
      </c>
      <c r="C148" s="509" t="s">
        <v>271</v>
      </c>
      <c r="D148" s="777">
        <v>4500163394</v>
      </c>
      <c r="E148" s="509">
        <v>5200006588</v>
      </c>
      <c r="F148" s="778" t="s">
        <v>669</v>
      </c>
      <c r="G148" s="779" t="s">
        <v>141</v>
      </c>
      <c r="H148" s="509" t="s">
        <v>94</v>
      </c>
      <c r="I148" s="509">
        <v>1852</v>
      </c>
      <c r="J148" s="509">
        <v>0</v>
      </c>
      <c r="K148" s="509">
        <v>4</v>
      </c>
      <c r="L148" s="780">
        <f t="shared" si="37"/>
        <v>463</v>
      </c>
      <c r="M148" s="781">
        <v>45824</v>
      </c>
      <c r="N148" s="781">
        <v>45827</v>
      </c>
      <c r="O148" s="782"/>
      <c r="P148" s="782" t="s">
        <v>103</v>
      </c>
      <c r="Q148" s="509"/>
      <c r="R148" s="784" t="s">
        <v>670</v>
      </c>
      <c r="S148" s="784" t="s">
        <v>66</v>
      </c>
      <c r="T148" s="784" t="s">
        <v>671</v>
      </c>
      <c r="U148" s="784" t="s">
        <v>672</v>
      </c>
      <c r="V148" s="784"/>
      <c r="W148" s="776" t="s">
        <v>673</v>
      </c>
      <c r="X148" s="781" t="s">
        <v>391</v>
      </c>
      <c r="Y148" s="785">
        <v>5.03</v>
      </c>
      <c r="Z148" s="786">
        <f t="shared" si="33"/>
        <v>9315.56</v>
      </c>
      <c r="AA148" s="509" t="s">
        <v>674</v>
      </c>
      <c r="AB148" s="509" t="s">
        <v>141</v>
      </c>
      <c r="AC148" s="509" t="s">
        <v>76</v>
      </c>
      <c r="AD148" s="509"/>
      <c r="AE148" s="635" t="s">
        <v>69</v>
      </c>
      <c r="AF148" s="635"/>
      <c r="AG148" s="788">
        <f>1828+24</f>
        <v>1852</v>
      </c>
      <c r="AH148" s="782">
        <f t="shared" si="25"/>
        <v>0</v>
      </c>
      <c r="AI148" s="509"/>
      <c r="AJ148" s="509"/>
      <c r="AK148" s="509"/>
      <c r="AL148" s="777">
        <f t="shared" si="35"/>
        <v>1852</v>
      </c>
      <c r="AM148" s="656"/>
      <c r="AN148" s="656"/>
      <c r="AO148" s="656"/>
      <c r="AP148" s="777"/>
      <c r="AQ148" s="656">
        <f>I148</f>
        <v>1852</v>
      </c>
      <c r="AR148" s="777">
        <f t="shared" ref="AR148:AR163" si="38">I148</f>
        <v>1852</v>
      </c>
      <c r="AS148" s="777"/>
      <c r="AT148" s="777">
        <f t="shared" ref="AT146:AT163" si="39">I148</f>
        <v>1852</v>
      </c>
      <c r="AU148" s="777"/>
      <c r="AV148" s="778"/>
      <c r="AW148" s="778"/>
      <c r="AX148" s="778"/>
      <c r="AY148" s="778"/>
      <c r="AZ148" s="778"/>
      <c r="BA148" s="778"/>
      <c r="BB148" s="778"/>
      <c r="BC148" s="778"/>
      <c r="BD148" s="778"/>
      <c r="BE148" s="777">
        <f>I148/4</f>
        <v>463</v>
      </c>
      <c r="BF148" s="778"/>
      <c r="BG148" s="778"/>
      <c r="BH148" s="778"/>
      <c r="BI148" s="778"/>
      <c r="BJ148" s="778"/>
      <c r="BK148" s="778"/>
      <c r="BL148" s="778"/>
      <c r="BM148" s="778"/>
    </row>
    <row r="149" s="771" customFormat="1" ht="31" hidden="1" customHeight="1" spans="1:65">
      <c r="A149" s="775">
        <v>45762</v>
      </c>
      <c r="B149" s="776" t="s">
        <v>675</v>
      </c>
      <c r="C149" s="509" t="s">
        <v>676</v>
      </c>
      <c r="D149" s="777">
        <v>4500163691</v>
      </c>
      <c r="E149" s="509" t="s">
        <v>677</v>
      </c>
      <c r="F149" s="778" t="s">
        <v>678</v>
      </c>
      <c r="G149" s="779" t="s">
        <v>64</v>
      </c>
      <c r="H149" s="509" t="s">
        <v>65</v>
      </c>
      <c r="I149" s="509">
        <v>504</v>
      </c>
      <c r="J149" s="509">
        <v>0</v>
      </c>
      <c r="K149" s="509">
        <v>12</v>
      </c>
      <c r="L149" s="780">
        <f t="shared" si="37"/>
        <v>42</v>
      </c>
      <c r="M149" s="781">
        <v>45818</v>
      </c>
      <c r="N149" s="781">
        <v>45828</v>
      </c>
      <c r="O149" s="782" t="s">
        <v>679</v>
      </c>
      <c r="P149" s="782" t="s">
        <v>103</v>
      </c>
      <c r="Q149" s="509"/>
      <c r="R149" s="784">
        <v>45784</v>
      </c>
      <c r="S149" s="784" t="s">
        <v>66</v>
      </c>
      <c r="T149" s="784">
        <v>45813</v>
      </c>
      <c r="U149" s="784"/>
      <c r="V149" s="784"/>
      <c r="W149" s="776" t="s">
        <v>680</v>
      </c>
      <c r="X149" s="781" t="s">
        <v>473</v>
      </c>
      <c r="Y149" s="785">
        <v>4.1</v>
      </c>
      <c r="Z149" s="786">
        <f t="shared" si="33"/>
        <v>2066.4</v>
      </c>
      <c r="AA149" s="509" t="s">
        <v>681</v>
      </c>
      <c r="AB149" s="509" t="s">
        <v>165</v>
      </c>
      <c r="AC149" s="509" t="s">
        <v>76</v>
      </c>
      <c r="AD149" s="509"/>
      <c r="AE149" s="635" t="s">
        <v>69</v>
      </c>
      <c r="AF149" s="635"/>
      <c r="AG149" s="788">
        <v>504</v>
      </c>
      <c r="AH149" s="782">
        <f t="shared" si="25"/>
        <v>0</v>
      </c>
      <c r="AI149" s="509"/>
      <c r="AJ149" s="509"/>
      <c r="AK149" s="509"/>
      <c r="AL149" s="777">
        <f t="shared" si="35"/>
        <v>504</v>
      </c>
      <c r="AM149" s="656"/>
      <c r="AN149" s="656"/>
      <c r="AO149" s="656"/>
      <c r="AP149" s="777"/>
      <c r="AQ149" s="656">
        <f>I149</f>
        <v>504</v>
      </c>
      <c r="AR149" s="777">
        <f t="shared" si="38"/>
        <v>504</v>
      </c>
      <c r="AS149" s="777"/>
      <c r="AT149" s="777">
        <f t="shared" si="39"/>
        <v>504</v>
      </c>
      <c r="AU149" s="777"/>
      <c r="AV149" s="778"/>
      <c r="AW149" s="778"/>
      <c r="AX149" s="778"/>
      <c r="AY149" s="778"/>
      <c r="AZ149" s="778"/>
      <c r="BA149" s="778"/>
      <c r="BB149" s="778"/>
      <c r="BC149" s="778"/>
      <c r="BD149" s="778"/>
      <c r="BE149" s="778"/>
      <c r="BF149" s="778"/>
      <c r="BG149" s="778"/>
      <c r="BH149" s="778"/>
      <c r="BI149" s="778"/>
      <c r="BJ149" s="778"/>
      <c r="BK149" s="778"/>
      <c r="BL149" s="778"/>
      <c r="BM149" s="778"/>
    </row>
    <row r="150" s="771" customFormat="1" ht="31" hidden="1" customHeight="1" spans="1:65">
      <c r="A150" s="775">
        <v>45792</v>
      </c>
      <c r="B150" s="776" t="s">
        <v>682</v>
      </c>
      <c r="C150" s="509" t="s">
        <v>683</v>
      </c>
      <c r="D150" s="777">
        <v>4500166306</v>
      </c>
      <c r="E150" s="509" t="s">
        <v>684</v>
      </c>
      <c r="F150" s="778" t="s">
        <v>685</v>
      </c>
      <c r="G150" s="779" t="s">
        <v>93</v>
      </c>
      <c r="H150" s="509" t="s">
        <v>94</v>
      </c>
      <c r="I150" s="509">
        <v>1000</v>
      </c>
      <c r="J150" s="509">
        <v>0</v>
      </c>
      <c r="K150" s="509">
        <v>4</v>
      </c>
      <c r="L150" s="780">
        <f t="shared" si="37"/>
        <v>250</v>
      </c>
      <c r="M150" s="781">
        <v>45831</v>
      </c>
      <c r="N150" s="781">
        <v>45831</v>
      </c>
      <c r="O150" s="782"/>
      <c r="P150" s="782" t="s">
        <v>103</v>
      </c>
      <c r="Q150" s="509"/>
      <c r="R150" s="784">
        <v>45806</v>
      </c>
      <c r="S150" s="784" t="s">
        <v>66</v>
      </c>
      <c r="T150" s="784">
        <v>45806</v>
      </c>
      <c r="U150" s="784"/>
      <c r="V150" s="784"/>
      <c r="W150" s="776" t="s">
        <v>686</v>
      </c>
      <c r="X150" s="781" t="s">
        <v>575</v>
      </c>
      <c r="Y150" s="785">
        <v>4.2501</v>
      </c>
      <c r="Z150" s="786">
        <f t="shared" si="33"/>
        <v>4250.1</v>
      </c>
      <c r="AA150" s="458" t="s">
        <v>687</v>
      </c>
      <c r="AB150" s="509" t="s">
        <v>93</v>
      </c>
      <c r="AC150" s="509" t="s">
        <v>76</v>
      </c>
      <c r="AD150" s="509"/>
      <c r="AE150" s="635" t="s">
        <v>69</v>
      </c>
      <c r="AF150" s="635"/>
      <c r="AG150" s="788">
        <v>1000</v>
      </c>
      <c r="AH150" s="782">
        <f t="shared" si="25"/>
        <v>0</v>
      </c>
      <c r="AI150" s="509"/>
      <c r="AJ150" s="509"/>
      <c r="AK150" s="509"/>
      <c r="AL150" s="777">
        <f t="shared" si="35"/>
        <v>1000</v>
      </c>
      <c r="AM150" s="656"/>
      <c r="AN150" s="656"/>
      <c r="AO150" s="656"/>
      <c r="AP150" s="777">
        <f>I150</f>
        <v>1000</v>
      </c>
      <c r="AQ150" s="656"/>
      <c r="AR150" s="777">
        <f t="shared" si="38"/>
        <v>1000</v>
      </c>
      <c r="AS150" s="777"/>
      <c r="AT150" s="777">
        <f t="shared" si="39"/>
        <v>1000</v>
      </c>
      <c r="AU150" s="777"/>
      <c r="AV150" s="778"/>
      <c r="AW150" s="778"/>
      <c r="AX150" s="778"/>
      <c r="AY150" s="778"/>
      <c r="AZ150" s="778"/>
      <c r="BA150" s="778"/>
      <c r="BB150" s="778"/>
      <c r="BC150" s="778"/>
      <c r="BD150" s="777">
        <f>I150/4</f>
        <v>250</v>
      </c>
      <c r="BE150" s="778"/>
      <c r="BF150" s="778"/>
      <c r="BG150" s="778"/>
      <c r="BH150" s="778"/>
      <c r="BI150" s="778"/>
      <c r="BJ150" s="778"/>
      <c r="BK150" s="778"/>
      <c r="BL150" s="778"/>
      <c r="BM150" s="778"/>
    </row>
    <row r="151" s="771" customFormat="1" ht="31" hidden="1" customHeight="1" spans="1:65">
      <c r="A151" s="775">
        <v>45793</v>
      </c>
      <c r="B151" s="776" t="s">
        <v>688</v>
      </c>
      <c r="C151" s="509" t="s">
        <v>153</v>
      </c>
      <c r="D151" s="777">
        <v>4500166007</v>
      </c>
      <c r="E151" s="509">
        <v>3501527806</v>
      </c>
      <c r="F151" s="778" t="s">
        <v>689</v>
      </c>
      <c r="G151" s="779" t="s">
        <v>64</v>
      </c>
      <c r="H151" s="509" t="s">
        <v>65</v>
      </c>
      <c r="I151" s="509">
        <v>828</v>
      </c>
      <c r="J151" s="509">
        <v>0</v>
      </c>
      <c r="K151" s="509">
        <v>12</v>
      </c>
      <c r="L151" s="780">
        <f t="shared" si="37"/>
        <v>69</v>
      </c>
      <c r="M151" s="781">
        <v>45831</v>
      </c>
      <c r="N151" s="781">
        <v>45831</v>
      </c>
      <c r="O151" s="782" t="s">
        <v>690</v>
      </c>
      <c r="P151" s="782" t="s">
        <v>103</v>
      </c>
      <c r="Q151" s="509"/>
      <c r="R151" s="784">
        <v>45799</v>
      </c>
      <c r="S151" s="784" t="s">
        <v>66</v>
      </c>
      <c r="T151" s="784">
        <v>45793</v>
      </c>
      <c r="U151" s="784"/>
      <c r="V151" s="784"/>
      <c r="W151" s="776" t="s">
        <v>691</v>
      </c>
      <c r="X151" s="781" t="s">
        <v>692</v>
      </c>
      <c r="Y151" s="785">
        <v>4.1018</v>
      </c>
      <c r="Z151" s="786">
        <f t="shared" si="33"/>
        <v>3396.2904</v>
      </c>
      <c r="AA151" s="509" t="s">
        <v>693</v>
      </c>
      <c r="AB151" s="509" t="s">
        <v>165</v>
      </c>
      <c r="AC151" s="509" t="s">
        <v>76</v>
      </c>
      <c r="AD151" s="509"/>
      <c r="AE151" s="635" t="s">
        <v>69</v>
      </c>
      <c r="AF151" s="635"/>
      <c r="AG151" s="788">
        <v>828</v>
      </c>
      <c r="AH151" s="782">
        <f t="shared" si="25"/>
        <v>0</v>
      </c>
      <c r="AI151" s="509"/>
      <c r="AJ151" s="509"/>
      <c r="AK151" s="509"/>
      <c r="AL151" s="777">
        <f t="shared" si="35"/>
        <v>828</v>
      </c>
      <c r="AM151" s="656"/>
      <c r="AN151" s="656"/>
      <c r="AO151" s="656"/>
      <c r="AP151" s="777"/>
      <c r="AQ151" s="656">
        <f>I151</f>
        <v>828</v>
      </c>
      <c r="AR151" s="777">
        <f t="shared" si="38"/>
        <v>828</v>
      </c>
      <c r="AS151" s="777"/>
      <c r="AT151" s="777">
        <f t="shared" si="39"/>
        <v>828</v>
      </c>
      <c r="AU151" s="777"/>
      <c r="AV151" s="778"/>
      <c r="AW151" s="778"/>
      <c r="AX151" s="778"/>
      <c r="AY151" s="778"/>
      <c r="AZ151" s="778"/>
      <c r="BA151" s="778"/>
      <c r="BB151" s="778"/>
      <c r="BC151" s="778"/>
      <c r="BD151" s="778"/>
      <c r="BE151" s="778"/>
      <c r="BF151" s="778"/>
      <c r="BG151" s="778"/>
      <c r="BH151" s="778"/>
      <c r="BI151" s="778"/>
      <c r="BJ151" s="778"/>
      <c r="BK151" s="778"/>
      <c r="BL151" s="778"/>
      <c r="BM151" s="778"/>
    </row>
    <row r="152" s="771" customFormat="1" ht="31" hidden="1" customHeight="1" spans="1:65">
      <c r="A152" s="775">
        <v>45797</v>
      </c>
      <c r="B152" s="776" t="s">
        <v>694</v>
      </c>
      <c r="C152" s="509" t="s">
        <v>153</v>
      </c>
      <c r="D152" s="777">
        <v>4500166281</v>
      </c>
      <c r="E152" s="886" t="s">
        <v>695</v>
      </c>
      <c r="F152" s="778" t="s">
        <v>696</v>
      </c>
      <c r="G152" s="779" t="s">
        <v>93</v>
      </c>
      <c r="H152" s="509" t="s">
        <v>94</v>
      </c>
      <c r="I152" s="509">
        <v>3384</v>
      </c>
      <c r="J152" s="509">
        <v>0</v>
      </c>
      <c r="K152" s="509">
        <v>4</v>
      </c>
      <c r="L152" s="780">
        <f t="shared" si="37"/>
        <v>846</v>
      </c>
      <c r="M152" s="781">
        <v>45832</v>
      </c>
      <c r="N152" s="781">
        <v>45831</v>
      </c>
      <c r="O152" s="782"/>
      <c r="P152" s="782" t="s">
        <v>103</v>
      </c>
      <c r="Q152" s="509"/>
      <c r="R152" s="784">
        <v>45803</v>
      </c>
      <c r="S152" s="784" t="s">
        <v>66</v>
      </c>
      <c r="T152" s="784">
        <v>45790</v>
      </c>
      <c r="U152" s="784"/>
      <c r="V152" s="784"/>
      <c r="W152" s="776" t="s">
        <v>697</v>
      </c>
      <c r="X152" s="781" t="s">
        <v>164</v>
      </c>
      <c r="Y152" s="785">
        <v>4.2946</v>
      </c>
      <c r="Z152" s="786">
        <f t="shared" si="33"/>
        <v>14532.9264</v>
      </c>
      <c r="AA152" s="509"/>
      <c r="AB152" s="509" t="s">
        <v>141</v>
      </c>
      <c r="AC152" s="509" t="s">
        <v>76</v>
      </c>
      <c r="AD152" s="509"/>
      <c r="AE152" s="635" t="s">
        <v>69</v>
      </c>
      <c r="AF152" s="635"/>
      <c r="AG152" s="788">
        <v>3384</v>
      </c>
      <c r="AH152" s="782">
        <f t="shared" si="25"/>
        <v>0</v>
      </c>
      <c r="AI152" s="509"/>
      <c r="AJ152" s="509"/>
      <c r="AK152" s="509"/>
      <c r="AL152" s="777">
        <f t="shared" si="35"/>
        <v>3384</v>
      </c>
      <c r="AM152" s="656"/>
      <c r="AN152" s="656"/>
      <c r="AO152" s="656"/>
      <c r="AP152" s="777"/>
      <c r="AQ152" s="656">
        <f>I152</f>
        <v>3384</v>
      </c>
      <c r="AR152" s="777">
        <f t="shared" si="38"/>
        <v>3384</v>
      </c>
      <c r="AS152" s="777"/>
      <c r="AT152" s="777">
        <f t="shared" si="39"/>
        <v>3384</v>
      </c>
      <c r="AU152" s="777"/>
      <c r="AV152" s="778"/>
      <c r="AW152" s="778"/>
      <c r="AX152" s="778"/>
      <c r="AY152" s="778"/>
      <c r="AZ152" s="778"/>
      <c r="BA152" s="778"/>
      <c r="BB152" s="778"/>
      <c r="BC152" s="778"/>
      <c r="BD152" s="778"/>
      <c r="BE152" s="777">
        <f>I152/4</f>
        <v>846</v>
      </c>
      <c r="BF152" s="778"/>
      <c r="BG152" s="778"/>
      <c r="BH152" s="778"/>
      <c r="BI152" s="778"/>
      <c r="BJ152" s="778"/>
      <c r="BK152" s="778"/>
      <c r="BL152" s="778"/>
      <c r="BM152" s="778"/>
    </row>
    <row r="153" s="771" customFormat="1" ht="31" hidden="1" customHeight="1" spans="1:65">
      <c r="A153" s="775">
        <v>45775</v>
      </c>
      <c r="B153" s="776" t="s">
        <v>698</v>
      </c>
      <c r="C153" s="509" t="s">
        <v>699</v>
      </c>
      <c r="D153" s="777">
        <v>4500167533</v>
      </c>
      <c r="E153" s="509"/>
      <c r="F153" s="778" t="s">
        <v>700</v>
      </c>
      <c r="G153" s="779" t="s">
        <v>64</v>
      </c>
      <c r="H153" s="509" t="s">
        <v>65</v>
      </c>
      <c r="I153" s="509">
        <v>120</v>
      </c>
      <c r="J153" s="509">
        <v>0</v>
      </c>
      <c r="K153" s="509">
        <v>12</v>
      </c>
      <c r="L153" s="780">
        <f t="shared" si="37"/>
        <v>10</v>
      </c>
      <c r="M153" s="781">
        <v>45831</v>
      </c>
      <c r="N153" s="781">
        <v>45831</v>
      </c>
      <c r="O153" s="782"/>
      <c r="P153" s="782" t="s">
        <v>103</v>
      </c>
      <c r="Q153" s="509"/>
      <c r="R153" s="784">
        <v>45799</v>
      </c>
      <c r="S153" s="784" t="s">
        <v>66</v>
      </c>
      <c r="T153" s="784">
        <v>45805</v>
      </c>
      <c r="U153" s="784"/>
      <c r="V153" s="784"/>
      <c r="W153" s="776" t="s">
        <v>701</v>
      </c>
      <c r="X153" s="781" t="s">
        <v>473</v>
      </c>
      <c r="Y153" s="785">
        <v>4.1456</v>
      </c>
      <c r="Z153" s="786">
        <f t="shared" si="33"/>
        <v>497.472</v>
      </c>
      <c r="AA153" s="509"/>
      <c r="AB153" s="509" t="s">
        <v>64</v>
      </c>
      <c r="AC153" s="509" t="s">
        <v>76</v>
      </c>
      <c r="AD153" s="509"/>
      <c r="AE153" s="635" t="s">
        <v>69</v>
      </c>
      <c r="AF153" s="635"/>
      <c r="AG153" s="788">
        <v>120</v>
      </c>
      <c r="AH153" s="782">
        <f t="shared" si="25"/>
        <v>0</v>
      </c>
      <c r="AI153" s="509"/>
      <c r="AJ153" s="509"/>
      <c r="AK153" s="509"/>
      <c r="AL153" s="777">
        <f t="shared" si="35"/>
        <v>120</v>
      </c>
      <c r="AM153" s="656"/>
      <c r="AN153" s="656"/>
      <c r="AO153" s="656"/>
      <c r="AP153" s="777">
        <f>I153</f>
        <v>120</v>
      </c>
      <c r="AQ153" s="656"/>
      <c r="AR153" s="777">
        <f t="shared" si="38"/>
        <v>120</v>
      </c>
      <c r="AS153" s="777"/>
      <c r="AT153" s="543">
        <f t="shared" si="39"/>
        <v>120</v>
      </c>
      <c r="AU153" s="777"/>
      <c r="AV153" s="778"/>
      <c r="AW153" s="778"/>
      <c r="AX153" s="778"/>
      <c r="AY153" s="778"/>
      <c r="AZ153" s="778"/>
      <c r="BA153" s="778"/>
      <c r="BB153" s="778"/>
      <c r="BC153" s="778"/>
      <c r="BD153" s="778"/>
      <c r="BE153" s="778"/>
      <c r="BF153" s="778"/>
      <c r="BG153" s="778"/>
      <c r="BH153" s="778"/>
      <c r="BI153" s="778"/>
      <c r="BJ153" s="778"/>
      <c r="BK153" s="778"/>
      <c r="BL153" s="778"/>
      <c r="BM153" s="778"/>
    </row>
    <row r="154" s="771" customFormat="1" ht="31" hidden="1" customHeight="1" spans="1:65">
      <c r="A154" s="775">
        <v>45796</v>
      </c>
      <c r="B154" s="776" t="s">
        <v>702</v>
      </c>
      <c r="C154" s="509" t="s">
        <v>366</v>
      </c>
      <c r="D154" s="777">
        <v>4500164834</v>
      </c>
      <c r="E154" s="509"/>
      <c r="F154" s="778" t="s">
        <v>703</v>
      </c>
      <c r="G154" s="779" t="s">
        <v>102</v>
      </c>
      <c r="H154" s="509" t="s">
        <v>65</v>
      </c>
      <c r="I154" s="509">
        <v>608</v>
      </c>
      <c r="J154" s="509">
        <v>0</v>
      </c>
      <c r="K154" s="509">
        <v>16</v>
      </c>
      <c r="L154" s="780">
        <f t="shared" si="37"/>
        <v>38</v>
      </c>
      <c r="M154" s="781">
        <v>45833</v>
      </c>
      <c r="N154" s="781">
        <v>45833</v>
      </c>
      <c r="O154" s="782"/>
      <c r="P154" s="782" t="s">
        <v>103</v>
      </c>
      <c r="Q154" s="509"/>
      <c r="R154" s="784">
        <v>45777</v>
      </c>
      <c r="S154" s="784" t="s">
        <v>66</v>
      </c>
      <c r="T154" s="784">
        <v>45789</v>
      </c>
      <c r="U154" s="784"/>
      <c r="V154" s="784"/>
      <c r="W154" s="776" t="s">
        <v>704</v>
      </c>
      <c r="X154" s="781" t="s">
        <v>395</v>
      </c>
      <c r="Y154" s="785">
        <v>4.39</v>
      </c>
      <c r="Z154" s="786">
        <f t="shared" si="33"/>
        <v>2669.12</v>
      </c>
      <c r="AA154" s="509" t="s">
        <v>705</v>
      </c>
      <c r="AB154" s="509" t="s">
        <v>397</v>
      </c>
      <c r="AC154" s="509" t="s">
        <v>76</v>
      </c>
      <c r="AD154" s="509"/>
      <c r="AE154" s="635" t="s">
        <v>69</v>
      </c>
      <c r="AF154" s="635"/>
      <c r="AG154" s="788">
        <f>560+48</f>
        <v>608</v>
      </c>
      <c r="AH154" s="782">
        <f t="shared" si="25"/>
        <v>0</v>
      </c>
      <c r="AI154" s="509"/>
      <c r="AJ154" s="509"/>
      <c r="AK154" s="509"/>
      <c r="AL154" s="777">
        <f t="shared" si="35"/>
        <v>608</v>
      </c>
      <c r="AM154" s="656"/>
      <c r="AN154" s="656"/>
      <c r="AO154" s="656"/>
      <c r="AP154" s="777"/>
      <c r="AQ154" s="656">
        <f>I154</f>
        <v>608</v>
      </c>
      <c r="AR154" s="777">
        <f t="shared" si="38"/>
        <v>608</v>
      </c>
      <c r="AS154" s="777"/>
      <c r="AT154" s="777">
        <f t="shared" si="39"/>
        <v>608</v>
      </c>
      <c r="AU154" s="777"/>
      <c r="AV154" s="778"/>
      <c r="AW154" s="778"/>
      <c r="AX154" s="778"/>
      <c r="AY154" s="778"/>
      <c r="AZ154" s="778"/>
      <c r="BA154" s="778"/>
      <c r="BB154" s="778"/>
      <c r="BC154" s="778"/>
      <c r="BD154" s="778"/>
      <c r="BE154" s="777">
        <f>I154/4</f>
        <v>152</v>
      </c>
      <c r="BF154" s="778"/>
      <c r="BG154" s="778"/>
      <c r="BH154" s="778"/>
      <c r="BI154" s="778"/>
      <c r="BJ154" s="778"/>
      <c r="BK154" s="778"/>
      <c r="BL154" s="778"/>
      <c r="BM154" s="778"/>
    </row>
    <row r="155" s="771" customFormat="1" ht="31" hidden="1" customHeight="1" spans="1:65">
      <c r="A155" s="775">
        <v>45790</v>
      </c>
      <c r="B155" s="776" t="s">
        <v>128</v>
      </c>
      <c r="C155" s="509" t="s">
        <v>90</v>
      </c>
      <c r="D155" s="777">
        <v>4500162827</v>
      </c>
      <c r="E155" s="509" t="s">
        <v>706</v>
      </c>
      <c r="F155" s="778" t="s">
        <v>707</v>
      </c>
      <c r="G155" s="779" t="s">
        <v>93</v>
      </c>
      <c r="H155" s="509" t="s">
        <v>94</v>
      </c>
      <c r="I155" s="509">
        <v>1408</v>
      </c>
      <c r="J155" s="509">
        <v>0</v>
      </c>
      <c r="K155" s="509">
        <v>4</v>
      </c>
      <c r="L155" s="780">
        <f t="shared" si="37"/>
        <v>352</v>
      </c>
      <c r="M155" s="781">
        <v>45832</v>
      </c>
      <c r="N155" s="781">
        <v>45834</v>
      </c>
      <c r="O155" s="782"/>
      <c r="P155" s="782" t="s">
        <v>103</v>
      </c>
      <c r="Q155" s="509"/>
      <c r="R155" s="784" t="s">
        <v>430</v>
      </c>
      <c r="S155" s="784" t="s">
        <v>66</v>
      </c>
      <c r="T155" s="784">
        <v>45789</v>
      </c>
      <c r="U155" s="683" t="s">
        <v>133</v>
      </c>
      <c r="V155" s="784"/>
      <c r="W155" s="776" t="s">
        <v>431</v>
      </c>
      <c r="X155" s="781" t="s">
        <v>98</v>
      </c>
      <c r="Y155" s="785">
        <v>3.06</v>
      </c>
      <c r="Z155" s="786">
        <f t="shared" si="33"/>
        <v>4308.48</v>
      </c>
      <c r="AA155" s="509" t="s">
        <v>708</v>
      </c>
      <c r="AB155" s="509" t="s">
        <v>93</v>
      </c>
      <c r="AC155" s="509" t="s">
        <v>76</v>
      </c>
      <c r="AD155" s="509"/>
      <c r="AE155" s="635" t="s">
        <v>69</v>
      </c>
      <c r="AF155" s="635"/>
      <c r="AG155" s="788">
        <f>1404+4</f>
        <v>1408</v>
      </c>
      <c r="AH155" s="782">
        <f t="shared" si="25"/>
        <v>0</v>
      </c>
      <c r="AI155" s="509"/>
      <c r="AJ155" s="509"/>
      <c r="AK155" s="509"/>
      <c r="AL155" s="777">
        <f t="shared" si="35"/>
        <v>1408</v>
      </c>
      <c r="AM155" s="656"/>
      <c r="AN155" s="656"/>
      <c r="AO155" s="656"/>
      <c r="AP155" s="777">
        <f>I155</f>
        <v>1408</v>
      </c>
      <c r="AQ155" s="656"/>
      <c r="AR155" s="777">
        <f t="shared" si="38"/>
        <v>1408</v>
      </c>
      <c r="AS155" s="777"/>
      <c r="AT155" s="543">
        <f t="shared" si="39"/>
        <v>1408</v>
      </c>
      <c r="AU155" s="777"/>
      <c r="AV155" s="778"/>
      <c r="AW155" s="778"/>
      <c r="AX155" s="778"/>
      <c r="AY155" s="778"/>
      <c r="AZ155" s="778"/>
      <c r="BA155" s="778"/>
      <c r="BB155" s="778"/>
      <c r="BC155" s="778"/>
      <c r="BD155" s="777">
        <f>I155/4</f>
        <v>352</v>
      </c>
      <c r="BE155" s="778"/>
      <c r="BF155" s="778"/>
      <c r="BG155" s="778"/>
      <c r="BH155" s="778"/>
      <c r="BI155" s="778"/>
      <c r="BJ155" s="778"/>
      <c r="BK155" s="778"/>
      <c r="BL155" s="778"/>
      <c r="BM155" s="778"/>
    </row>
    <row r="156" s="771" customFormat="1" ht="31" hidden="1" customHeight="1" spans="1:65">
      <c r="A156" s="775">
        <v>45790</v>
      </c>
      <c r="B156" s="776" t="s">
        <v>709</v>
      </c>
      <c r="C156" s="509" t="s">
        <v>271</v>
      </c>
      <c r="D156" s="777">
        <v>4500166177</v>
      </c>
      <c r="E156" s="509" t="s">
        <v>710</v>
      </c>
      <c r="F156" s="778" t="s">
        <v>711</v>
      </c>
      <c r="G156" s="779" t="s">
        <v>102</v>
      </c>
      <c r="H156" s="509" t="s">
        <v>65</v>
      </c>
      <c r="I156" s="509">
        <v>348</v>
      </c>
      <c r="J156" s="509">
        <v>0</v>
      </c>
      <c r="K156" s="509">
        <v>4</v>
      </c>
      <c r="L156" s="780">
        <f t="shared" si="37"/>
        <v>87</v>
      </c>
      <c r="M156" s="781">
        <v>45831</v>
      </c>
      <c r="N156" s="781">
        <v>45834</v>
      </c>
      <c r="O156" s="782" t="s">
        <v>712</v>
      </c>
      <c r="P156" s="782" t="s">
        <v>103</v>
      </c>
      <c r="Q156" s="509"/>
      <c r="R156" s="784">
        <v>45805</v>
      </c>
      <c r="S156" s="784" t="s">
        <v>66</v>
      </c>
      <c r="T156" s="784" t="s">
        <v>713</v>
      </c>
      <c r="U156" s="784"/>
      <c r="V156" s="784"/>
      <c r="W156" s="776" t="s">
        <v>714</v>
      </c>
      <c r="X156" s="781" t="s">
        <v>715</v>
      </c>
      <c r="Y156" s="785">
        <v>4.49</v>
      </c>
      <c r="Z156" s="786">
        <f t="shared" si="33"/>
        <v>1562.52</v>
      </c>
      <c r="AA156" s="458" t="s">
        <v>716</v>
      </c>
      <c r="AB156" s="509" t="s">
        <v>397</v>
      </c>
      <c r="AC156" s="509" t="s">
        <v>76</v>
      </c>
      <c r="AD156" s="509"/>
      <c r="AE156" s="635" t="s">
        <v>69</v>
      </c>
      <c r="AF156" s="635"/>
      <c r="AG156" s="788">
        <f>344+4</f>
        <v>348</v>
      </c>
      <c r="AH156" s="782">
        <f t="shared" si="25"/>
        <v>0</v>
      </c>
      <c r="AI156" s="509"/>
      <c r="AJ156" s="509"/>
      <c r="AK156" s="509"/>
      <c r="AL156" s="777">
        <f t="shared" si="35"/>
        <v>348</v>
      </c>
      <c r="AM156" s="656"/>
      <c r="AN156" s="656"/>
      <c r="AO156" s="656"/>
      <c r="AP156" s="777"/>
      <c r="AQ156" s="656">
        <f>I156</f>
        <v>348</v>
      </c>
      <c r="AR156" s="777">
        <f t="shared" si="38"/>
        <v>348</v>
      </c>
      <c r="AS156" s="777"/>
      <c r="AT156" s="777">
        <f t="shared" si="39"/>
        <v>348</v>
      </c>
      <c r="AU156" s="777"/>
      <c r="AV156" s="778"/>
      <c r="AW156" s="778"/>
      <c r="AX156" s="778"/>
      <c r="AY156" s="778"/>
      <c r="AZ156" s="778"/>
      <c r="BA156" s="778"/>
      <c r="BB156" s="778"/>
      <c r="BC156" s="778"/>
      <c r="BD156" s="778"/>
      <c r="BE156" s="777">
        <f>I156/4</f>
        <v>87</v>
      </c>
      <c r="BF156" s="778"/>
      <c r="BG156" s="778"/>
      <c r="BH156" s="778"/>
      <c r="BI156" s="778"/>
      <c r="BJ156" s="778"/>
      <c r="BK156" s="778"/>
      <c r="BL156" s="778"/>
      <c r="BM156" s="778"/>
    </row>
    <row r="157" s="771" customFormat="1" ht="31" hidden="1" customHeight="1" spans="1:65">
      <c r="A157" s="775">
        <v>45805</v>
      </c>
      <c r="B157" s="776"/>
      <c r="C157" s="509"/>
      <c r="D157" s="777" t="s">
        <v>717</v>
      </c>
      <c r="E157" s="509"/>
      <c r="F157" s="778"/>
      <c r="G157" s="779" t="s">
        <v>64</v>
      </c>
      <c r="H157" s="509" t="s">
        <v>65</v>
      </c>
      <c r="I157" s="509">
        <v>168</v>
      </c>
      <c r="J157" s="509">
        <v>0</v>
      </c>
      <c r="K157" s="509">
        <v>12</v>
      </c>
      <c r="L157" s="780">
        <f t="shared" si="37"/>
        <v>14</v>
      </c>
      <c r="M157" s="781">
        <v>45838</v>
      </c>
      <c r="N157" s="781">
        <v>45834</v>
      </c>
      <c r="O157" s="782"/>
      <c r="P157" s="782" t="s">
        <v>103</v>
      </c>
      <c r="Q157" s="509"/>
      <c r="R157" s="784">
        <v>45805</v>
      </c>
      <c r="S157" s="784" t="s">
        <v>66</v>
      </c>
      <c r="T157" s="784" t="s">
        <v>66</v>
      </c>
      <c r="U157" s="784"/>
      <c r="V157" s="784"/>
      <c r="W157" s="776" t="s">
        <v>78</v>
      </c>
      <c r="X157" s="781" t="s">
        <v>79</v>
      </c>
      <c r="Y157" s="785"/>
      <c r="Z157" s="786"/>
      <c r="AA157" s="509" t="s">
        <v>718</v>
      </c>
      <c r="AB157" s="509" t="s">
        <v>64</v>
      </c>
      <c r="AC157" s="509" t="s">
        <v>76</v>
      </c>
      <c r="AD157" s="509"/>
      <c r="AE157" s="635" t="s">
        <v>69</v>
      </c>
      <c r="AF157" s="635"/>
      <c r="AG157" s="788">
        <v>168</v>
      </c>
      <c r="AH157" s="782">
        <f t="shared" si="25"/>
        <v>0</v>
      </c>
      <c r="AI157" s="509"/>
      <c r="AJ157" s="509"/>
      <c r="AK157" s="509"/>
      <c r="AL157" s="777">
        <f t="shared" si="35"/>
        <v>168</v>
      </c>
      <c r="AM157" s="656"/>
      <c r="AN157" s="656"/>
      <c r="AO157" s="656"/>
      <c r="AP157" s="777">
        <f>I157</f>
        <v>168</v>
      </c>
      <c r="AQ157" s="656"/>
      <c r="AR157" s="777">
        <f t="shared" si="38"/>
        <v>168</v>
      </c>
      <c r="AS157" s="777"/>
      <c r="AT157" s="777">
        <f t="shared" si="39"/>
        <v>168</v>
      </c>
      <c r="AU157" s="777"/>
      <c r="AV157" s="778"/>
      <c r="AW157" s="778"/>
      <c r="AX157" s="778"/>
      <c r="AY157" s="778"/>
      <c r="AZ157" s="778"/>
      <c r="BA157" s="778"/>
      <c r="BB157" s="778"/>
      <c r="BC157" s="778"/>
      <c r="BD157" s="778"/>
      <c r="BE157" s="778"/>
      <c r="BF157" s="778"/>
      <c r="BG157" s="778"/>
      <c r="BH157" s="778"/>
      <c r="BI157" s="778"/>
      <c r="BJ157" s="778"/>
      <c r="BK157" s="778"/>
      <c r="BL157" s="778"/>
      <c r="BM157" s="778"/>
    </row>
    <row r="158" s="771" customFormat="1" ht="31" hidden="1" customHeight="1" spans="1:65">
      <c r="A158" s="775">
        <v>45771</v>
      </c>
      <c r="B158" s="776" t="s">
        <v>719</v>
      </c>
      <c r="C158" s="509" t="s">
        <v>720</v>
      </c>
      <c r="D158" s="777">
        <v>4500167451</v>
      </c>
      <c r="E158" s="509" t="s">
        <v>721</v>
      </c>
      <c r="F158" s="778" t="s">
        <v>722</v>
      </c>
      <c r="G158" s="779" t="s">
        <v>102</v>
      </c>
      <c r="H158" s="509" t="s">
        <v>65</v>
      </c>
      <c r="I158" s="509">
        <v>560</v>
      </c>
      <c r="J158" s="509">
        <v>0</v>
      </c>
      <c r="K158" s="509">
        <v>16</v>
      </c>
      <c r="L158" s="780">
        <f t="shared" si="37"/>
        <v>35</v>
      </c>
      <c r="M158" s="781">
        <v>45829</v>
      </c>
      <c r="N158" s="781">
        <v>45835</v>
      </c>
      <c r="O158" s="782"/>
      <c r="P158" s="782" t="s">
        <v>103</v>
      </c>
      <c r="Q158" s="509"/>
      <c r="R158" s="784">
        <v>45803</v>
      </c>
      <c r="S158" s="784" t="s">
        <v>66</v>
      </c>
      <c r="T158" s="784" t="s">
        <v>66</v>
      </c>
      <c r="U158" s="784"/>
      <c r="V158" s="784"/>
      <c r="W158" s="776" t="s">
        <v>723</v>
      </c>
      <c r="X158" s="781" t="s">
        <v>207</v>
      </c>
      <c r="Y158" s="785">
        <v>4.2542</v>
      </c>
      <c r="Z158" s="786">
        <f>Y158*I158</f>
        <v>2382.352</v>
      </c>
      <c r="AA158" s="458" t="s">
        <v>724</v>
      </c>
      <c r="AB158" s="509" t="s">
        <v>102</v>
      </c>
      <c r="AC158" s="509" t="s">
        <v>76</v>
      </c>
      <c r="AD158" s="509"/>
      <c r="AE158" s="635" t="s">
        <v>69</v>
      </c>
      <c r="AF158" s="635"/>
      <c r="AG158" s="788">
        <f>512+48</f>
        <v>560</v>
      </c>
      <c r="AH158" s="782">
        <f t="shared" si="25"/>
        <v>0</v>
      </c>
      <c r="AI158" s="509"/>
      <c r="AJ158" s="509"/>
      <c r="AK158" s="509"/>
      <c r="AL158" s="777">
        <f t="shared" si="35"/>
        <v>560</v>
      </c>
      <c r="AM158" s="656"/>
      <c r="AN158" s="656"/>
      <c r="AO158" s="656"/>
      <c r="AP158" s="777">
        <f>I158</f>
        <v>560</v>
      </c>
      <c r="AQ158" s="656"/>
      <c r="AR158" s="777">
        <f t="shared" si="38"/>
        <v>560</v>
      </c>
      <c r="AS158" s="777"/>
      <c r="AT158" s="543">
        <f t="shared" si="39"/>
        <v>560</v>
      </c>
      <c r="AU158" s="777"/>
      <c r="AV158" s="778"/>
      <c r="AW158" s="778"/>
      <c r="AX158" s="778"/>
      <c r="AY158" s="778"/>
      <c r="AZ158" s="778"/>
      <c r="BA158" s="778"/>
      <c r="BB158" s="778"/>
      <c r="BC158" s="778"/>
      <c r="BD158" s="777">
        <f>I158/4</f>
        <v>140</v>
      </c>
      <c r="BE158" s="778"/>
      <c r="BF158" s="778"/>
      <c r="BG158" s="778"/>
      <c r="BH158" s="778"/>
      <c r="BI158" s="778"/>
      <c r="BJ158" s="778"/>
      <c r="BK158" s="778"/>
      <c r="BL158" s="778"/>
      <c r="BM158" s="778"/>
    </row>
    <row r="159" s="771" customFormat="1" ht="31" hidden="1" customHeight="1" spans="1:65">
      <c r="A159" s="775">
        <v>45784</v>
      </c>
      <c r="B159" s="776" t="s">
        <v>725</v>
      </c>
      <c r="C159" s="509" t="s">
        <v>726</v>
      </c>
      <c r="D159" s="777">
        <v>4500167360</v>
      </c>
      <c r="E159" s="509" t="s">
        <v>727</v>
      </c>
      <c r="F159" s="778" t="s">
        <v>728</v>
      </c>
      <c r="G159" s="779" t="s">
        <v>102</v>
      </c>
      <c r="H159" s="509" t="s">
        <v>65</v>
      </c>
      <c r="I159" s="509">
        <v>800</v>
      </c>
      <c r="J159" s="509">
        <v>0</v>
      </c>
      <c r="K159" s="509">
        <v>16</v>
      </c>
      <c r="L159" s="780">
        <f t="shared" si="37"/>
        <v>50</v>
      </c>
      <c r="M159" s="781">
        <v>45835</v>
      </c>
      <c r="N159" s="781">
        <v>45835</v>
      </c>
      <c r="O159" s="782"/>
      <c r="P159" s="782" t="s">
        <v>103</v>
      </c>
      <c r="Q159" s="509"/>
      <c r="R159" s="784">
        <v>45804</v>
      </c>
      <c r="S159" s="784" t="s">
        <v>66</v>
      </c>
      <c r="T159" s="784">
        <v>45805</v>
      </c>
      <c r="U159" s="784"/>
      <c r="V159" s="784"/>
      <c r="W159" s="776" t="s">
        <v>729</v>
      </c>
      <c r="X159" s="781" t="s">
        <v>207</v>
      </c>
      <c r="Y159" s="785">
        <v>4.3451</v>
      </c>
      <c r="Z159" s="786">
        <f>Y159*I159</f>
        <v>3476.08</v>
      </c>
      <c r="AA159" s="509"/>
      <c r="AB159" s="509" t="s">
        <v>102</v>
      </c>
      <c r="AC159" s="509" t="s">
        <v>76</v>
      </c>
      <c r="AD159" s="509"/>
      <c r="AE159" s="635" t="s">
        <v>69</v>
      </c>
      <c r="AF159" s="635"/>
      <c r="AG159" s="788">
        <v>800</v>
      </c>
      <c r="AH159" s="782">
        <f t="shared" ref="AH159:AH223" si="40">AG159-I159</f>
        <v>0</v>
      </c>
      <c r="AI159" s="509"/>
      <c r="AJ159" s="509"/>
      <c r="AK159" s="509"/>
      <c r="AL159" s="777">
        <f t="shared" si="35"/>
        <v>800</v>
      </c>
      <c r="AM159" s="656"/>
      <c r="AN159" s="656"/>
      <c r="AO159" s="656"/>
      <c r="AP159" s="777">
        <f>I159</f>
        <v>800</v>
      </c>
      <c r="AQ159" s="656"/>
      <c r="AR159" s="777">
        <f t="shared" si="38"/>
        <v>800</v>
      </c>
      <c r="AS159" s="777"/>
      <c r="AT159" s="543">
        <f t="shared" si="39"/>
        <v>800</v>
      </c>
      <c r="AU159" s="777"/>
      <c r="AV159" s="778"/>
      <c r="AW159" s="778"/>
      <c r="AX159" s="778"/>
      <c r="AY159" s="778"/>
      <c r="AZ159" s="778"/>
      <c r="BA159" s="778"/>
      <c r="BB159" s="778"/>
      <c r="BC159" s="778"/>
      <c r="BD159" s="777">
        <f>I159/4</f>
        <v>200</v>
      </c>
      <c r="BE159" s="778"/>
      <c r="BF159" s="778"/>
      <c r="BG159" s="778"/>
      <c r="BH159" s="778"/>
      <c r="BI159" s="778"/>
      <c r="BJ159" s="778"/>
      <c r="BK159" s="778"/>
      <c r="BL159" s="778"/>
      <c r="BM159" s="778"/>
    </row>
    <row r="160" s="771" customFormat="1" ht="31" hidden="1" customHeight="1" spans="1:65">
      <c r="A160" s="775">
        <v>45747</v>
      </c>
      <c r="B160" s="776" t="s">
        <v>730</v>
      </c>
      <c r="C160" s="509" t="s">
        <v>90</v>
      </c>
      <c r="D160" s="777">
        <v>4500161570</v>
      </c>
      <c r="E160" s="509" t="s">
        <v>731</v>
      </c>
      <c r="F160" s="778" t="s">
        <v>732</v>
      </c>
      <c r="G160" s="779" t="s">
        <v>93</v>
      </c>
      <c r="H160" s="509" t="s">
        <v>94</v>
      </c>
      <c r="I160" s="509">
        <v>100</v>
      </c>
      <c r="J160" s="509">
        <v>0</v>
      </c>
      <c r="K160" s="509">
        <v>4</v>
      </c>
      <c r="L160" s="780">
        <f t="shared" si="37"/>
        <v>25</v>
      </c>
      <c r="M160" s="781">
        <v>45833</v>
      </c>
      <c r="N160" s="781">
        <v>45837</v>
      </c>
      <c r="O160" s="782"/>
      <c r="P160" s="782" t="s">
        <v>103</v>
      </c>
      <c r="Q160" s="509"/>
      <c r="R160" s="784">
        <v>45800</v>
      </c>
      <c r="S160" s="784" t="s">
        <v>66</v>
      </c>
      <c r="T160" s="784" t="s">
        <v>66</v>
      </c>
      <c r="U160" s="784"/>
      <c r="V160" s="784"/>
      <c r="W160" s="776" t="s">
        <v>733</v>
      </c>
      <c r="X160" s="781" t="s">
        <v>734</v>
      </c>
      <c r="Y160" s="785">
        <v>5.1</v>
      </c>
      <c r="Z160" s="786">
        <f>Y160*I160</f>
        <v>510</v>
      </c>
      <c r="AA160" s="509"/>
      <c r="AB160" s="509" t="s">
        <v>93</v>
      </c>
      <c r="AC160" s="509" t="s">
        <v>76</v>
      </c>
      <c r="AD160" s="509"/>
      <c r="AE160" s="635" t="s">
        <v>69</v>
      </c>
      <c r="AF160" s="635"/>
      <c r="AG160" s="788">
        <v>100</v>
      </c>
      <c r="AH160" s="782">
        <f t="shared" si="40"/>
        <v>0</v>
      </c>
      <c r="AI160" s="509"/>
      <c r="AJ160" s="509"/>
      <c r="AK160" s="509"/>
      <c r="AL160" s="777">
        <f t="shared" si="35"/>
        <v>100</v>
      </c>
      <c r="AM160" s="656"/>
      <c r="AN160" s="656"/>
      <c r="AO160" s="656"/>
      <c r="AP160" s="777">
        <f>I160</f>
        <v>100</v>
      </c>
      <c r="AQ160" s="656"/>
      <c r="AR160" s="777">
        <f t="shared" si="38"/>
        <v>100</v>
      </c>
      <c r="AS160" s="777"/>
      <c r="AT160" s="777">
        <f t="shared" si="39"/>
        <v>100</v>
      </c>
      <c r="AU160" s="777"/>
      <c r="AV160" s="778"/>
      <c r="AW160" s="778"/>
      <c r="AX160" s="778"/>
      <c r="AY160" s="778"/>
      <c r="AZ160" s="778"/>
      <c r="BA160" s="778"/>
      <c r="BB160" s="778"/>
      <c r="BC160" s="778"/>
      <c r="BD160" s="777">
        <f>I160/4</f>
        <v>25</v>
      </c>
      <c r="BE160" s="778"/>
      <c r="BF160" s="778"/>
      <c r="BG160" s="778"/>
      <c r="BH160" s="778"/>
      <c r="BI160" s="778"/>
      <c r="BJ160" s="778"/>
      <c r="BK160" s="778"/>
      <c r="BL160" s="778"/>
      <c r="BM160" s="778"/>
    </row>
    <row r="161" s="771" customFormat="1" ht="31" hidden="1" customHeight="1" spans="1:65">
      <c r="A161" s="775">
        <v>45792</v>
      </c>
      <c r="B161" s="776" t="s">
        <v>730</v>
      </c>
      <c r="C161" s="509" t="s">
        <v>90</v>
      </c>
      <c r="D161" s="777">
        <v>4500161570</v>
      </c>
      <c r="E161" s="509" t="s">
        <v>735</v>
      </c>
      <c r="F161" s="778" t="s">
        <v>736</v>
      </c>
      <c r="G161" s="779" t="s">
        <v>93</v>
      </c>
      <c r="H161" s="509" t="s">
        <v>94</v>
      </c>
      <c r="I161" s="509">
        <v>80</v>
      </c>
      <c r="J161" s="509">
        <v>0</v>
      </c>
      <c r="K161" s="509">
        <v>4</v>
      </c>
      <c r="L161" s="780">
        <f t="shared" si="37"/>
        <v>20</v>
      </c>
      <c r="M161" s="781">
        <v>45833</v>
      </c>
      <c r="N161" s="781">
        <v>45837</v>
      </c>
      <c r="O161" s="782"/>
      <c r="P161" s="782" t="s">
        <v>103</v>
      </c>
      <c r="Q161" s="509"/>
      <c r="R161" s="784">
        <v>45800</v>
      </c>
      <c r="S161" s="784" t="s">
        <v>66</v>
      </c>
      <c r="T161" s="784" t="s">
        <v>66</v>
      </c>
      <c r="U161" s="784"/>
      <c r="V161" s="784"/>
      <c r="W161" s="776" t="s">
        <v>733</v>
      </c>
      <c r="X161" s="781" t="s">
        <v>734</v>
      </c>
      <c r="Y161" s="785">
        <v>5.12</v>
      </c>
      <c r="Z161" s="786">
        <f>Y161*I161</f>
        <v>409.6</v>
      </c>
      <c r="AA161" s="509"/>
      <c r="AB161" s="509" t="s">
        <v>93</v>
      </c>
      <c r="AC161" s="509" t="s">
        <v>76</v>
      </c>
      <c r="AD161" s="509"/>
      <c r="AE161" s="635" t="s">
        <v>69</v>
      </c>
      <c r="AF161" s="635"/>
      <c r="AG161" s="788">
        <v>80</v>
      </c>
      <c r="AH161" s="782">
        <f t="shared" si="40"/>
        <v>0</v>
      </c>
      <c r="AI161" s="509"/>
      <c r="AJ161" s="509"/>
      <c r="AK161" s="509"/>
      <c r="AL161" s="777">
        <f t="shared" si="35"/>
        <v>80</v>
      </c>
      <c r="AM161" s="656"/>
      <c r="AN161" s="656"/>
      <c r="AO161" s="656"/>
      <c r="AP161" s="777">
        <f>I161</f>
        <v>80</v>
      </c>
      <c r="AQ161" s="656"/>
      <c r="AR161" s="777">
        <f t="shared" si="38"/>
        <v>80</v>
      </c>
      <c r="AS161" s="777"/>
      <c r="AT161" s="777">
        <f t="shared" si="39"/>
        <v>80</v>
      </c>
      <c r="AU161" s="777"/>
      <c r="AV161" s="778"/>
      <c r="AW161" s="778"/>
      <c r="AX161" s="778"/>
      <c r="AY161" s="778"/>
      <c r="AZ161" s="778"/>
      <c r="BA161" s="778"/>
      <c r="BB161" s="778"/>
      <c r="BC161" s="778"/>
      <c r="BD161" s="777">
        <f>I161/4</f>
        <v>20</v>
      </c>
      <c r="BE161" s="778"/>
      <c r="BF161" s="778"/>
      <c r="BG161" s="778"/>
      <c r="BH161" s="778"/>
      <c r="BI161" s="778"/>
      <c r="BJ161" s="778"/>
      <c r="BK161" s="778"/>
      <c r="BL161" s="778"/>
      <c r="BM161" s="778"/>
    </row>
    <row r="162" s="771" customFormat="1" ht="31" hidden="1" customHeight="1" spans="1:65">
      <c r="A162" s="775">
        <v>45764</v>
      </c>
      <c r="B162" s="776" t="s">
        <v>605</v>
      </c>
      <c r="C162" s="509" t="s">
        <v>366</v>
      </c>
      <c r="D162" s="777">
        <v>4500164017</v>
      </c>
      <c r="E162" s="509">
        <v>5200006591</v>
      </c>
      <c r="F162" s="778" t="s">
        <v>737</v>
      </c>
      <c r="G162" s="779" t="s">
        <v>738</v>
      </c>
      <c r="H162" s="509" t="s">
        <v>455</v>
      </c>
      <c r="I162" s="509">
        <v>200</v>
      </c>
      <c r="J162" s="509">
        <v>0</v>
      </c>
      <c r="K162" s="509">
        <v>1</v>
      </c>
      <c r="L162" s="780">
        <f t="shared" si="37"/>
        <v>200</v>
      </c>
      <c r="M162" s="781">
        <v>45819</v>
      </c>
      <c r="N162" s="781">
        <v>45825</v>
      </c>
      <c r="O162" s="782"/>
      <c r="P162" s="782" t="s">
        <v>103</v>
      </c>
      <c r="Q162" s="509" t="s">
        <v>607</v>
      </c>
      <c r="R162" s="784">
        <v>45768</v>
      </c>
      <c r="S162" s="784" t="s">
        <v>66</v>
      </c>
      <c r="T162" s="784">
        <v>45777</v>
      </c>
      <c r="U162" s="784"/>
      <c r="V162" s="784"/>
      <c r="W162" s="776" t="s">
        <v>739</v>
      </c>
      <c r="X162" s="781" t="s">
        <v>370</v>
      </c>
      <c r="Y162" s="785">
        <v>0</v>
      </c>
      <c r="Z162" s="786">
        <f>Y162*L162</f>
        <v>0</v>
      </c>
      <c r="AA162" s="509"/>
      <c r="AB162" s="509" t="s">
        <v>740</v>
      </c>
      <c r="AC162" s="509" t="s">
        <v>76</v>
      </c>
      <c r="AD162" s="509"/>
      <c r="AE162" s="635" t="s">
        <v>69</v>
      </c>
      <c r="AF162" s="635"/>
      <c r="AG162" s="788">
        <f>I162</f>
        <v>200</v>
      </c>
      <c r="AH162" s="782">
        <f t="shared" si="40"/>
        <v>0</v>
      </c>
      <c r="AI162" s="509"/>
      <c r="AJ162" s="509"/>
      <c r="AK162" s="509"/>
      <c r="AL162" s="777"/>
      <c r="AM162" s="656"/>
      <c r="AN162" s="656"/>
      <c r="AO162" s="656"/>
      <c r="AP162" s="777"/>
      <c r="AQ162" s="656"/>
      <c r="AR162" s="777">
        <f t="shared" si="38"/>
        <v>200</v>
      </c>
      <c r="AS162" s="777"/>
      <c r="AT162" s="543">
        <f t="shared" si="39"/>
        <v>200</v>
      </c>
      <c r="AU162" s="777"/>
      <c r="AV162" s="778"/>
      <c r="AW162" s="778"/>
      <c r="AX162" s="778"/>
      <c r="AY162" s="778"/>
      <c r="AZ162" s="778"/>
      <c r="BA162" s="778"/>
      <c r="BB162" s="778"/>
      <c r="BC162" s="778"/>
      <c r="BD162" s="778"/>
      <c r="BE162" s="778"/>
      <c r="BF162" s="778"/>
      <c r="BG162" s="778"/>
      <c r="BH162" s="778"/>
      <c r="BI162" s="778"/>
      <c r="BJ162" s="778"/>
      <c r="BK162" s="778"/>
      <c r="BL162" s="778"/>
      <c r="BM162" s="778"/>
    </row>
    <row r="163" s="771" customFormat="1" ht="31" hidden="1" customHeight="1" spans="1:65">
      <c r="A163" s="775">
        <v>45764</v>
      </c>
      <c r="B163" s="776" t="s">
        <v>605</v>
      </c>
      <c r="C163" s="509" t="s">
        <v>366</v>
      </c>
      <c r="D163" s="777">
        <v>4500164017</v>
      </c>
      <c r="E163" s="509">
        <v>5200006591</v>
      </c>
      <c r="F163" s="778" t="s">
        <v>737</v>
      </c>
      <c r="G163" s="779" t="s">
        <v>460</v>
      </c>
      <c r="H163" s="509" t="s">
        <v>65</v>
      </c>
      <c r="I163" s="509">
        <v>3600</v>
      </c>
      <c r="J163" s="509">
        <v>0</v>
      </c>
      <c r="K163" s="509">
        <v>18</v>
      </c>
      <c r="L163" s="780">
        <f t="shared" si="37"/>
        <v>200</v>
      </c>
      <c r="M163" s="781">
        <v>45819</v>
      </c>
      <c r="N163" s="781">
        <v>45825</v>
      </c>
      <c r="O163" s="782"/>
      <c r="P163" s="782" t="s">
        <v>103</v>
      </c>
      <c r="Q163" s="509" t="s">
        <v>607</v>
      </c>
      <c r="R163" s="784">
        <v>45768</v>
      </c>
      <c r="S163" s="784" t="s">
        <v>66</v>
      </c>
      <c r="T163" s="784">
        <v>45777</v>
      </c>
      <c r="U163" s="784"/>
      <c r="V163" s="784"/>
      <c r="W163" s="776" t="s">
        <v>739</v>
      </c>
      <c r="X163" s="781" t="s">
        <v>370</v>
      </c>
      <c r="Y163" s="785">
        <v>172.2144</v>
      </c>
      <c r="Z163" s="786">
        <f>Y163*L163</f>
        <v>34442.88</v>
      </c>
      <c r="AA163" s="509"/>
      <c r="AB163" s="509" t="s">
        <v>740</v>
      </c>
      <c r="AC163" s="509" t="s">
        <v>76</v>
      </c>
      <c r="AD163" s="509"/>
      <c r="AE163" s="635" t="s">
        <v>69</v>
      </c>
      <c r="AF163" s="635"/>
      <c r="AG163" s="788">
        <v>3600</v>
      </c>
      <c r="AH163" s="782">
        <f t="shared" si="40"/>
        <v>0</v>
      </c>
      <c r="AI163" s="509"/>
      <c r="AJ163" s="509"/>
      <c r="AK163" s="509"/>
      <c r="AL163" s="777">
        <f>I163</f>
        <v>3600</v>
      </c>
      <c r="AM163" s="656"/>
      <c r="AN163" s="656"/>
      <c r="AO163" s="656"/>
      <c r="AP163" s="777"/>
      <c r="AQ163" s="656">
        <f>I163</f>
        <v>3600</v>
      </c>
      <c r="AR163" s="777">
        <f t="shared" si="38"/>
        <v>3600</v>
      </c>
      <c r="AS163" s="777"/>
      <c r="AT163" s="777">
        <f t="shared" si="39"/>
        <v>3600</v>
      </c>
      <c r="AU163" s="777"/>
      <c r="AV163" s="778"/>
      <c r="AW163" s="778"/>
      <c r="AX163" s="778"/>
      <c r="AY163" s="778"/>
      <c r="AZ163" s="778"/>
      <c r="BA163" s="778"/>
      <c r="BB163" s="778"/>
      <c r="BC163" s="778"/>
      <c r="BD163" s="778"/>
      <c r="BE163" s="778"/>
      <c r="BF163" s="778"/>
      <c r="BG163" s="778"/>
      <c r="BH163" s="778"/>
      <c r="BI163" s="778"/>
      <c r="BJ163" s="778"/>
      <c r="BK163" s="778"/>
      <c r="BL163" s="778"/>
      <c r="BM163" s="778"/>
    </row>
    <row r="164" s="771" customFormat="1" ht="31" hidden="1" customHeight="1" spans="1:65">
      <c r="A164" s="775">
        <v>45768</v>
      </c>
      <c r="B164" s="776" t="s">
        <v>741</v>
      </c>
      <c r="C164" s="509" t="s">
        <v>468</v>
      </c>
      <c r="D164" s="777">
        <v>4500164462</v>
      </c>
      <c r="E164" s="509">
        <v>7950403009</v>
      </c>
      <c r="F164" s="778" t="s">
        <v>742</v>
      </c>
      <c r="G164" s="779" t="s">
        <v>743</v>
      </c>
      <c r="H164" s="509" t="s">
        <v>744</v>
      </c>
      <c r="I164" s="509">
        <v>64</v>
      </c>
      <c r="J164" s="509">
        <v>0</v>
      </c>
      <c r="K164" s="509">
        <v>1</v>
      </c>
      <c r="L164" s="780">
        <f t="shared" si="37"/>
        <v>64</v>
      </c>
      <c r="M164" s="781">
        <v>45827</v>
      </c>
      <c r="N164" s="781">
        <v>45825</v>
      </c>
      <c r="O164" s="782" t="s">
        <v>745</v>
      </c>
      <c r="P164" s="782" t="s">
        <v>103</v>
      </c>
      <c r="Q164" s="509" t="s">
        <v>746</v>
      </c>
      <c r="R164" s="784">
        <v>45792</v>
      </c>
      <c r="S164" s="784" t="s">
        <v>66</v>
      </c>
      <c r="T164" s="784">
        <v>45807</v>
      </c>
      <c r="U164" s="784"/>
      <c r="V164" s="784"/>
      <c r="W164" s="776" t="s">
        <v>747</v>
      </c>
      <c r="X164" s="781" t="s">
        <v>473</v>
      </c>
      <c r="Y164" s="785">
        <v>0</v>
      </c>
      <c r="Z164" s="786">
        <v>0</v>
      </c>
      <c r="AA164" s="509"/>
      <c r="AB164" s="509" t="s">
        <v>743</v>
      </c>
      <c r="AC164" s="509" t="s">
        <v>76</v>
      </c>
      <c r="AD164" s="509"/>
      <c r="AE164" s="635" t="s">
        <v>69</v>
      </c>
      <c r="AF164" s="635"/>
      <c r="AG164" s="788">
        <f>I164</f>
        <v>64</v>
      </c>
      <c r="AH164" s="782">
        <f t="shared" si="40"/>
        <v>0</v>
      </c>
      <c r="AI164" s="509"/>
      <c r="AJ164" s="509"/>
      <c r="AK164" s="509"/>
      <c r="AL164" s="777"/>
      <c r="AM164" s="656"/>
      <c r="AN164" s="656"/>
      <c r="AO164" s="656"/>
      <c r="AP164" s="777"/>
      <c r="AQ164" s="656"/>
      <c r="AR164" s="777"/>
      <c r="AS164" s="777"/>
      <c r="AT164" s="777"/>
      <c r="AU164" s="777"/>
      <c r="AV164" s="778"/>
      <c r="AW164" s="778"/>
      <c r="AX164" s="778"/>
      <c r="AY164" s="778"/>
      <c r="AZ164" s="778"/>
      <c r="BA164" s="778"/>
      <c r="BB164" s="778"/>
      <c r="BC164" s="778"/>
      <c r="BD164" s="778"/>
      <c r="BE164" s="778"/>
      <c r="BF164" s="778"/>
      <c r="BG164" s="778"/>
      <c r="BH164" s="778"/>
      <c r="BI164" s="778"/>
      <c r="BJ164" s="778"/>
      <c r="BK164" s="778"/>
      <c r="BL164" s="778"/>
      <c r="BM164" s="778"/>
    </row>
    <row r="165" s="771" customFormat="1" ht="31" hidden="1" customHeight="1" spans="1:65">
      <c r="A165" s="775">
        <v>45768</v>
      </c>
      <c r="B165" s="776" t="s">
        <v>741</v>
      </c>
      <c r="C165" s="509" t="s">
        <v>468</v>
      </c>
      <c r="D165" s="777">
        <v>4500164462</v>
      </c>
      <c r="E165" s="509">
        <v>7950403009</v>
      </c>
      <c r="F165" s="778" t="s">
        <v>742</v>
      </c>
      <c r="G165" s="779" t="s">
        <v>460</v>
      </c>
      <c r="H165" s="509" t="s">
        <v>65</v>
      </c>
      <c r="I165" s="509">
        <v>4800</v>
      </c>
      <c r="J165" s="509">
        <v>0</v>
      </c>
      <c r="K165" s="509">
        <v>75</v>
      </c>
      <c r="L165" s="780">
        <f t="shared" si="37"/>
        <v>64</v>
      </c>
      <c r="M165" s="781">
        <v>45827</v>
      </c>
      <c r="N165" s="781">
        <v>45825</v>
      </c>
      <c r="O165" s="782" t="s">
        <v>745</v>
      </c>
      <c r="P165" s="782" t="s">
        <v>103</v>
      </c>
      <c r="Q165" s="509" t="s">
        <v>746</v>
      </c>
      <c r="R165" s="784">
        <v>45792</v>
      </c>
      <c r="S165" s="784" t="s">
        <v>66</v>
      </c>
      <c r="T165" s="784">
        <v>45807</v>
      </c>
      <c r="U165" s="784"/>
      <c r="V165" s="784"/>
      <c r="W165" s="776"/>
      <c r="X165" s="781" t="s">
        <v>473</v>
      </c>
      <c r="Y165" s="785">
        <v>755</v>
      </c>
      <c r="Z165" s="786">
        <f>Y165*L165</f>
        <v>48320</v>
      </c>
      <c r="AA165" s="509"/>
      <c r="AB165" s="509" t="s">
        <v>743</v>
      </c>
      <c r="AC165" s="509" t="s">
        <v>76</v>
      </c>
      <c r="AD165" s="509"/>
      <c r="AE165" s="635" t="s">
        <v>69</v>
      </c>
      <c r="AF165" s="635"/>
      <c r="AG165" s="788">
        <f>I165</f>
        <v>4800</v>
      </c>
      <c r="AH165" s="782">
        <f t="shared" si="40"/>
        <v>0</v>
      </c>
      <c r="AI165" s="509"/>
      <c r="AJ165" s="509"/>
      <c r="AK165" s="509"/>
      <c r="AL165" s="777"/>
      <c r="AM165" s="656"/>
      <c r="AN165" s="656"/>
      <c r="AO165" s="656">
        <f>I165</f>
        <v>4800</v>
      </c>
      <c r="AP165" s="777"/>
      <c r="AQ165" s="656"/>
      <c r="AR165" s="777"/>
      <c r="AS165" s="777"/>
      <c r="AT165" s="777"/>
      <c r="AU165" s="777"/>
      <c r="AV165" s="778"/>
      <c r="AW165" s="778">
        <f>I165</f>
        <v>4800</v>
      </c>
      <c r="AX165" s="778">
        <f>I165</f>
        <v>4800</v>
      </c>
      <c r="AY165" s="778">
        <f>I165</f>
        <v>4800</v>
      </c>
      <c r="AZ165" s="778"/>
      <c r="BA165" s="778"/>
      <c r="BB165" s="778"/>
      <c r="BC165" s="778"/>
      <c r="BD165" s="778"/>
      <c r="BE165" s="778"/>
      <c r="BF165" s="778"/>
      <c r="BG165" s="778">
        <f>I165</f>
        <v>4800</v>
      </c>
      <c r="BH165" s="778">
        <f>I165/5</f>
        <v>960</v>
      </c>
      <c r="BI165" s="778"/>
      <c r="BJ165" s="778"/>
      <c r="BK165" s="778"/>
      <c r="BL165" s="778"/>
      <c r="BM165" s="778"/>
    </row>
    <row r="166" s="771" customFormat="1" ht="31" hidden="1" customHeight="1" spans="1:65">
      <c r="A166" s="775">
        <v>45797</v>
      </c>
      <c r="B166" s="776" t="s">
        <v>748</v>
      </c>
      <c r="C166" s="509" t="s">
        <v>749</v>
      </c>
      <c r="D166" s="777">
        <v>4500166647</v>
      </c>
      <c r="E166" s="509">
        <v>21209747</v>
      </c>
      <c r="F166" s="778" t="s">
        <v>750</v>
      </c>
      <c r="G166" s="779" t="s">
        <v>463</v>
      </c>
      <c r="H166" s="509" t="s">
        <v>424</v>
      </c>
      <c r="I166" s="509">
        <v>1002</v>
      </c>
      <c r="J166" s="509">
        <v>0</v>
      </c>
      <c r="K166" s="509">
        <v>6</v>
      </c>
      <c r="L166" s="780">
        <f t="shared" si="37"/>
        <v>167</v>
      </c>
      <c r="M166" s="781">
        <v>45831</v>
      </c>
      <c r="N166" s="781">
        <v>45831</v>
      </c>
      <c r="O166" s="782"/>
      <c r="P166" s="782" t="s">
        <v>103</v>
      </c>
      <c r="Q166" s="509"/>
      <c r="R166" s="784">
        <v>45804</v>
      </c>
      <c r="S166" s="784" t="s">
        <v>66</v>
      </c>
      <c r="T166" s="784">
        <v>45804</v>
      </c>
      <c r="U166" s="784"/>
      <c r="V166" s="784"/>
      <c r="W166" s="776" t="s">
        <v>751</v>
      </c>
      <c r="X166" s="781" t="s">
        <v>752</v>
      </c>
      <c r="Y166" s="785">
        <v>8.1</v>
      </c>
      <c r="Z166" s="786">
        <f t="shared" ref="Z166:Z177" si="41">Y166*I166</f>
        <v>8116.2</v>
      </c>
      <c r="AA166" s="458" t="s">
        <v>753</v>
      </c>
      <c r="AB166" s="509" t="s">
        <v>427</v>
      </c>
      <c r="AC166" s="509" t="s">
        <v>76</v>
      </c>
      <c r="AD166" s="509"/>
      <c r="AE166" s="635" t="s">
        <v>69</v>
      </c>
      <c r="AF166" s="635"/>
      <c r="AG166" s="788">
        <f>I166</f>
        <v>1002</v>
      </c>
      <c r="AH166" s="782">
        <f t="shared" si="40"/>
        <v>0</v>
      </c>
      <c r="AI166" s="509"/>
      <c r="AJ166" s="509"/>
      <c r="AK166" s="509"/>
      <c r="AL166" s="777">
        <f t="shared" ref="AL166:AL177" si="42">I166</f>
        <v>1002</v>
      </c>
      <c r="AM166" s="656"/>
      <c r="AN166" s="656"/>
      <c r="AO166" s="656"/>
      <c r="AP166" s="777"/>
      <c r="AQ166" s="656">
        <f>I166</f>
        <v>1002</v>
      </c>
      <c r="AR166" s="777">
        <f>I166</f>
        <v>1002</v>
      </c>
      <c r="AS166" s="777"/>
      <c r="AT166" s="777">
        <f>I166</f>
        <v>1002</v>
      </c>
      <c r="AU166" s="777"/>
      <c r="AV166" s="778"/>
      <c r="AW166" s="778"/>
      <c r="AX166" s="778"/>
      <c r="AY166" s="778"/>
      <c r="AZ166" s="778"/>
      <c r="BA166" s="778"/>
      <c r="BB166" s="778"/>
      <c r="BC166" s="778"/>
      <c r="BD166" s="778"/>
      <c r="BE166" s="778"/>
      <c r="BF166" s="778"/>
      <c r="BG166" s="778"/>
      <c r="BH166" s="778"/>
      <c r="BI166" s="777"/>
      <c r="BJ166" s="777">
        <f>I166</f>
        <v>1002</v>
      </c>
      <c r="BK166" s="778"/>
      <c r="BL166" s="778"/>
      <c r="BM166" s="778"/>
    </row>
    <row r="167" s="771" customFormat="1" ht="31" hidden="1" customHeight="1" spans="1:65">
      <c r="A167" s="775">
        <v>45772</v>
      </c>
      <c r="B167" s="776" t="s">
        <v>754</v>
      </c>
      <c r="C167" s="509" t="s">
        <v>356</v>
      </c>
      <c r="D167" s="777">
        <v>4500166380</v>
      </c>
      <c r="E167" s="509" t="s">
        <v>755</v>
      </c>
      <c r="F167" s="778" t="s">
        <v>756</v>
      </c>
      <c r="G167" s="779" t="s">
        <v>463</v>
      </c>
      <c r="H167" s="509" t="s">
        <v>424</v>
      </c>
      <c r="I167" s="509">
        <v>1620</v>
      </c>
      <c r="J167" s="509">
        <v>0</v>
      </c>
      <c r="K167" s="509">
        <v>6</v>
      </c>
      <c r="L167" s="780">
        <f t="shared" si="37"/>
        <v>270</v>
      </c>
      <c r="M167" s="781">
        <v>45832</v>
      </c>
      <c r="N167" s="781">
        <v>45832</v>
      </c>
      <c r="O167" s="782"/>
      <c r="P167" s="782" t="s">
        <v>103</v>
      </c>
      <c r="Q167" s="509"/>
      <c r="R167" s="784">
        <v>45799</v>
      </c>
      <c r="S167" s="784" t="s">
        <v>66</v>
      </c>
      <c r="T167" s="784">
        <v>45811</v>
      </c>
      <c r="U167" s="784"/>
      <c r="V167" s="784"/>
      <c r="W167" s="776" t="s">
        <v>757</v>
      </c>
      <c r="X167" s="781" t="s">
        <v>395</v>
      </c>
      <c r="Y167" s="785">
        <v>8.1</v>
      </c>
      <c r="Z167" s="786">
        <f t="shared" si="41"/>
        <v>13122</v>
      </c>
      <c r="AA167" s="509"/>
      <c r="AB167" s="509" t="s">
        <v>427</v>
      </c>
      <c r="AC167" s="509" t="s">
        <v>76</v>
      </c>
      <c r="AD167" s="509"/>
      <c r="AE167" s="635" t="s">
        <v>69</v>
      </c>
      <c r="AF167" s="635"/>
      <c r="AG167" s="788">
        <f>I167</f>
        <v>1620</v>
      </c>
      <c r="AH167" s="782">
        <f t="shared" si="40"/>
        <v>0</v>
      </c>
      <c r="AI167" s="509"/>
      <c r="AJ167" s="509"/>
      <c r="AK167" s="509"/>
      <c r="AL167" s="777">
        <f t="shared" si="42"/>
        <v>1620</v>
      </c>
      <c r="AM167" s="656"/>
      <c r="AN167" s="656"/>
      <c r="AO167" s="656"/>
      <c r="AP167" s="777"/>
      <c r="AQ167" s="656">
        <f>I167</f>
        <v>1620</v>
      </c>
      <c r="AR167" s="777">
        <f>I167</f>
        <v>1620</v>
      </c>
      <c r="AS167" s="777"/>
      <c r="AT167" s="543">
        <f>I167</f>
        <v>1620</v>
      </c>
      <c r="AU167" s="777"/>
      <c r="AV167" s="778"/>
      <c r="AW167" s="778"/>
      <c r="AX167" s="778"/>
      <c r="AY167" s="778"/>
      <c r="AZ167" s="778"/>
      <c r="BA167" s="778"/>
      <c r="BB167" s="778"/>
      <c r="BC167" s="778"/>
      <c r="BD167" s="778"/>
      <c r="BE167" s="778"/>
      <c r="BF167" s="778"/>
      <c r="BG167" s="778"/>
      <c r="BH167" s="778"/>
      <c r="BI167" s="777"/>
      <c r="BJ167" s="777">
        <f>I167</f>
        <v>1620</v>
      </c>
      <c r="BK167" s="778"/>
      <c r="BL167" s="778"/>
      <c r="BM167" s="778"/>
    </row>
    <row r="168" s="771" customFormat="1" ht="31" hidden="1" customHeight="1" spans="1:65">
      <c r="A168" s="775">
        <v>45747</v>
      </c>
      <c r="B168" s="776" t="s">
        <v>758</v>
      </c>
      <c r="C168" s="509" t="s">
        <v>759</v>
      </c>
      <c r="D168" s="777">
        <v>4500166548</v>
      </c>
      <c r="E168" s="509" t="s">
        <v>760</v>
      </c>
      <c r="F168" s="778" t="s">
        <v>761</v>
      </c>
      <c r="G168" s="779" t="s">
        <v>93</v>
      </c>
      <c r="H168" s="509" t="s">
        <v>94</v>
      </c>
      <c r="I168" s="509">
        <v>600</v>
      </c>
      <c r="J168" s="509">
        <v>0</v>
      </c>
      <c r="K168" s="509">
        <v>4</v>
      </c>
      <c r="L168" s="780">
        <f t="shared" si="37"/>
        <v>150</v>
      </c>
      <c r="M168" s="781">
        <v>45833</v>
      </c>
      <c r="N168" s="781">
        <v>45833</v>
      </c>
      <c r="O168" s="782"/>
      <c r="P168" s="782" t="s">
        <v>103</v>
      </c>
      <c r="Q168" s="509"/>
      <c r="R168" s="784">
        <v>45806</v>
      </c>
      <c r="S168" s="784" t="s">
        <v>66</v>
      </c>
      <c r="T168" s="784">
        <v>45824</v>
      </c>
      <c r="U168" s="784"/>
      <c r="V168" s="784"/>
      <c r="W168" s="776" t="s">
        <v>762</v>
      </c>
      <c r="X168" s="781" t="s">
        <v>763</v>
      </c>
      <c r="Y168" s="785">
        <v>4.3</v>
      </c>
      <c r="Z168" s="786">
        <f t="shared" si="41"/>
        <v>2580</v>
      </c>
      <c r="AA168" s="458" t="s">
        <v>764</v>
      </c>
      <c r="AB168" s="509" t="s">
        <v>93</v>
      </c>
      <c r="AC168" s="509" t="s">
        <v>76</v>
      </c>
      <c r="AD168" s="509"/>
      <c r="AE168" s="635" t="s">
        <v>69</v>
      </c>
      <c r="AF168" s="635"/>
      <c r="AG168" s="788">
        <v>600</v>
      </c>
      <c r="AH168" s="782">
        <f t="shared" si="40"/>
        <v>0</v>
      </c>
      <c r="AI168" s="509"/>
      <c r="AJ168" s="509"/>
      <c r="AK168" s="509"/>
      <c r="AL168" s="777">
        <f t="shared" si="42"/>
        <v>600</v>
      </c>
      <c r="AM168" s="656"/>
      <c r="AN168" s="656"/>
      <c r="AO168" s="656"/>
      <c r="AP168" s="777">
        <f>I168</f>
        <v>600</v>
      </c>
      <c r="AQ168" s="656"/>
      <c r="AR168" s="777">
        <f>I168</f>
        <v>600</v>
      </c>
      <c r="AS168" s="777"/>
      <c r="AT168" s="777">
        <f>I168</f>
        <v>600</v>
      </c>
      <c r="AU168" s="777"/>
      <c r="AV168" s="778"/>
      <c r="AW168" s="778"/>
      <c r="AX168" s="778"/>
      <c r="AY168" s="778"/>
      <c r="AZ168" s="778"/>
      <c r="BA168" s="778"/>
      <c r="BB168" s="778"/>
      <c r="BC168" s="778"/>
      <c r="BD168" s="777">
        <f>I168/4</f>
        <v>150</v>
      </c>
      <c r="BE168" s="778"/>
      <c r="BF168" s="778"/>
      <c r="BG168" s="778"/>
      <c r="BH168" s="778"/>
      <c r="BI168" s="778"/>
      <c r="BJ168" s="778"/>
      <c r="BK168" s="778"/>
      <c r="BL168" s="778"/>
      <c r="BM168" s="778"/>
    </row>
    <row r="169" s="771" customFormat="1" ht="31" hidden="1" customHeight="1" spans="1:65">
      <c r="A169" s="775">
        <v>45791</v>
      </c>
      <c r="B169" s="776" t="s">
        <v>128</v>
      </c>
      <c r="C169" s="509" t="s">
        <v>90</v>
      </c>
      <c r="D169" s="777">
        <v>4500162962</v>
      </c>
      <c r="E169" s="509" t="s">
        <v>765</v>
      </c>
      <c r="F169" s="778" t="s">
        <v>766</v>
      </c>
      <c r="G169" s="779" t="s">
        <v>93</v>
      </c>
      <c r="H169" s="509" t="s">
        <v>94</v>
      </c>
      <c r="I169" s="509">
        <v>1700</v>
      </c>
      <c r="J169" s="509">
        <v>0</v>
      </c>
      <c r="K169" s="509">
        <v>4</v>
      </c>
      <c r="L169" s="780">
        <f t="shared" si="37"/>
        <v>425</v>
      </c>
      <c r="M169" s="781">
        <v>45835</v>
      </c>
      <c r="N169" s="781">
        <v>45838</v>
      </c>
      <c r="O169" s="782" t="s">
        <v>767</v>
      </c>
      <c r="P169" s="782" t="s">
        <v>103</v>
      </c>
      <c r="Q169" s="509"/>
      <c r="R169" s="784" t="s">
        <v>430</v>
      </c>
      <c r="S169" s="784" t="s">
        <v>66</v>
      </c>
      <c r="T169" s="784" t="s">
        <v>623</v>
      </c>
      <c r="U169" s="683" t="s">
        <v>133</v>
      </c>
      <c r="V169" s="784"/>
      <c r="W169" s="776" t="s">
        <v>431</v>
      </c>
      <c r="X169" s="781" t="s">
        <v>98</v>
      </c>
      <c r="Y169" s="785">
        <v>3.06</v>
      </c>
      <c r="Z169" s="786">
        <f t="shared" si="41"/>
        <v>5202</v>
      </c>
      <c r="AA169" s="509" t="s">
        <v>768</v>
      </c>
      <c r="AB169" s="509" t="s">
        <v>93</v>
      </c>
      <c r="AC169" s="509" t="s">
        <v>76</v>
      </c>
      <c r="AD169" s="509"/>
      <c r="AE169" s="635" t="s">
        <v>69</v>
      </c>
      <c r="AF169" s="635"/>
      <c r="AG169" s="788">
        <f>1676+24</f>
        <v>1700</v>
      </c>
      <c r="AH169" s="782">
        <f t="shared" si="40"/>
        <v>0</v>
      </c>
      <c r="AI169" s="509"/>
      <c r="AJ169" s="509"/>
      <c r="AK169" s="509"/>
      <c r="AL169" s="777">
        <f t="shared" si="42"/>
        <v>1700</v>
      </c>
      <c r="AM169" s="656"/>
      <c r="AN169" s="656"/>
      <c r="AO169" s="656"/>
      <c r="AP169" s="777">
        <f>I169</f>
        <v>1700</v>
      </c>
      <c r="AQ169" s="656"/>
      <c r="AR169" s="777">
        <f>I169</f>
        <v>1700</v>
      </c>
      <c r="AS169" s="777"/>
      <c r="AT169" s="543">
        <f>I169</f>
        <v>1700</v>
      </c>
      <c r="AU169" s="777"/>
      <c r="AV169" s="778"/>
      <c r="AW169" s="778"/>
      <c r="AX169" s="778"/>
      <c r="AY169" s="778"/>
      <c r="AZ169" s="778"/>
      <c r="BA169" s="778"/>
      <c r="BB169" s="778"/>
      <c r="BC169" s="778"/>
      <c r="BD169" s="777">
        <f>I169/4</f>
        <v>425</v>
      </c>
      <c r="BE169" s="778"/>
      <c r="BF169" s="778"/>
      <c r="BG169" s="778"/>
      <c r="BH169" s="778"/>
      <c r="BI169" s="778"/>
      <c r="BJ169" s="778"/>
      <c r="BK169" s="778"/>
      <c r="BL169" s="778"/>
      <c r="BM169" s="778"/>
    </row>
    <row r="170" s="771" customFormat="1" ht="31" hidden="1" customHeight="1" spans="1:65">
      <c r="A170" s="775">
        <v>45798</v>
      </c>
      <c r="B170" s="776" t="s">
        <v>769</v>
      </c>
      <c r="C170" s="509" t="s">
        <v>249</v>
      </c>
      <c r="D170" s="777">
        <v>4500166375</v>
      </c>
      <c r="E170" s="509" t="s">
        <v>770</v>
      </c>
      <c r="F170" s="778" t="s">
        <v>771</v>
      </c>
      <c r="G170" s="779" t="s">
        <v>102</v>
      </c>
      <c r="H170" s="509" t="s">
        <v>65</v>
      </c>
      <c r="I170" s="509">
        <v>4000</v>
      </c>
      <c r="J170" s="509">
        <v>0</v>
      </c>
      <c r="K170" s="509">
        <v>16</v>
      </c>
      <c r="L170" s="780">
        <f t="shared" si="37"/>
        <v>250</v>
      </c>
      <c r="M170" s="781">
        <v>45835</v>
      </c>
      <c r="N170" s="781">
        <v>45835</v>
      </c>
      <c r="O170" s="782" t="s">
        <v>772</v>
      </c>
      <c r="P170" s="782" t="s">
        <v>103</v>
      </c>
      <c r="Q170" s="509" t="s">
        <v>773</v>
      </c>
      <c r="R170" s="784">
        <v>45794</v>
      </c>
      <c r="S170" s="784" t="s">
        <v>66</v>
      </c>
      <c r="T170" s="784" t="s">
        <v>774</v>
      </c>
      <c r="U170" s="784"/>
      <c r="V170" s="784"/>
      <c r="W170" s="776" t="s">
        <v>775</v>
      </c>
      <c r="X170" s="781" t="s">
        <v>776</v>
      </c>
      <c r="Y170" s="785">
        <v>4.39</v>
      </c>
      <c r="Z170" s="786">
        <f t="shared" si="41"/>
        <v>17560</v>
      </c>
      <c r="AA170" s="509" t="s">
        <v>777</v>
      </c>
      <c r="AB170" s="509" t="s">
        <v>102</v>
      </c>
      <c r="AC170" s="509" t="s">
        <v>76</v>
      </c>
      <c r="AD170" s="509"/>
      <c r="AE170" s="635" t="s">
        <v>69</v>
      </c>
      <c r="AF170" s="635"/>
      <c r="AG170" s="788">
        <v>4000</v>
      </c>
      <c r="AH170" s="782">
        <f t="shared" si="40"/>
        <v>0</v>
      </c>
      <c r="AI170" s="509"/>
      <c r="AJ170" s="509"/>
      <c r="AK170" s="509"/>
      <c r="AL170" s="777">
        <f t="shared" si="42"/>
        <v>4000</v>
      </c>
      <c r="AM170" s="656"/>
      <c r="AN170" s="656"/>
      <c r="AO170" s="656"/>
      <c r="AP170" s="777">
        <f>I170</f>
        <v>4000</v>
      </c>
      <c r="AQ170" s="656"/>
      <c r="AR170" s="777">
        <f>I170</f>
        <v>4000</v>
      </c>
      <c r="AS170" s="777"/>
      <c r="AT170" s="777">
        <f t="shared" ref="AT170:AT177" si="43">I170</f>
        <v>4000</v>
      </c>
      <c r="AU170" s="777"/>
      <c r="AV170" s="778"/>
      <c r="AW170" s="778"/>
      <c r="AX170" s="778"/>
      <c r="AY170" s="778"/>
      <c r="AZ170" s="778"/>
      <c r="BA170" s="778"/>
      <c r="BB170" s="778"/>
      <c r="BC170" s="778"/>
      <c r="BD170" s="777">
        <f>I170/4</f>
        <v>1000</v>
      </c>
      <c r="BE170" s="778"/>
      <c r="BF170" s="778"/>
      <c r="BG170" s="778"/>
      <c r="BH170" s="778"/>
      <c r="BI170" s="778"/>
      <c r="BJ170" s="778"/>
      <c r="BK170" s="778"/>
      <c r="BL170" s="778"/>
      <c r="BM170" s="778"/>
    </row>
    <row r="171" s="771" customFormat="1" ht="31" hidden="1" customHeight="1" spans="1:65">
      <c r="A171" s="775">
        <v>45798</v>
      </c>
      <c r="B171" s="776" t="s">
        <v>778</v>
      </c>
      <c r="C171" s="509" t="s">
        <v>139</v>
      </c>
      <c r="D171" s="777">
        <v>4500166480</v>
      </c>
      <c r="E171" s="509">
        <v>4400483986</v>
      </c>
      <c r="F171" s="778" t="s">
        <v>779</v>
      </c>
      <c r="G171" s="779" t="s">
        <v>148</v>
      </c>
      <c r="H171" s="509" t="s">
        <v>65</v>
      </c>
      <c r="I171" s="509">
        <v>3504</v>
      </c>
      <c r="J171" s="509">
        <v>0</v>
      </c>
      <c r="K171" s="509">
        <v>8</v>
      </c>
      <c r="L171" s="780">
        <f t="shared" si="37"/>
        <v>438</v>
      </c>
      <c r="M171" s="781">
        <v>45834</v>
      </c>
      <c r="N171" s="781">
        <v>45838</v>
      </c>
      <c r="O171" s="782"/>
      <c r="P171" s="782" t="s">
        <v>103</v>
      </c>
      <c r="Q171" s="509"/>
      <c r="R171" s="784">
        <v>45792</v>
      </c>
      <c r="S171" s="784" t="s">
        <v>66</v>
      </c>
      <c r="T171" s="784" t="s">
        <v>149</v>
      </c>
      <c r="U171" s="784"/>
      <c r="V171" s="784"/>
      <c r="W171" s="776" t="s">
        <v>780</v>
      </c>
      <c r="X171" s="781" t="s">
        <v>781</v>
      </c>
      <c r="Y171" s="785">
        <v>4.2661</v>
      </c>
      <c r="Z171" s="786">
        <f t="shared" si="41"/>
        <v>14948.4144</v>
      </c>
      <c r="AA171" s="509" t="s">
        <v>782</v>
      </c>
      <c r="AB171" s="509" t="s">
        <v>148</v>
      </c>
      <c r="AC171" s="509" t="s">
        <v>76</v>
      </c>
      <c r="AD171" s="509"/>
      <c r="AE171" s="635" t="s">
        <v>69</v>
      </c>
      <c r="AF171" s="635"/>
      <c r="AG171" s="788">
        <f>3480+24</f>
        <v>3504</v>
      </c>
      <c r="AH171" s="782">
        <f t="shared" si="40"/>
        <v>0</v>
      </c>
      <c r="AI171" s="509"/>
      <c r="AJ171" s="509"/>
      <c r="AK171" s="509"/>
      <c r="AL171" s="777">
        <f t="shared" si="42"/>
        <v>3504</v>
      </c>
      <c r="AM171" s="656"/>
      <c r="AN171" s="656"/>
      <c r="AO171" s="656"/>
      <c r="AP171" s="777"/>
      <c r="AQ171" s="656"/>
      <c r="AR171" s="777"/>
      <c r="AS171" s="777"/>
      <c r="AT171" s="777">
        <f t="shared" si="43"/>
        <v>3504</v>
      </c>
      <c r="AU171" s="777"/>
      <c r="AV171" s="778"/>
      <c r="AW171" s="778"/>
      <c r="AX171" s="778"/>
      <c r="AY171" s="778"/>
      <c r="AZ171" s="777">
        <f>I171</f>
        <v>3504</v>
      </c>
      <c r="BA171" s="777">
        <f>I171</f>
        <v>3504</v>
      </c>
      <c r="BB171" s="778"/>
      <c r="BC171" s="778"/>
      <c r="BD171" s="778"/>
      <c r="BE171" s="777">
        <f>I171/4</f>
        <v>876</v>
      </c>
      <c r="BF171" s="778"/>
      <c r="BG171" s="778"/>
      <c r="BH171" s="778"/>
      <c r="BI171" s="778"/>
      <c r="BJ171" s="778"/>
      <c r="BK171" s="778"/>
      <c r="BL171" s="778"/>
      <c r="BM171" s="778"/>
    </row>
    <row r="172" s="771" customFormat="1" ht="31" hidden="1" customHeight="1" spans="1:65">
      <c r="A172" s="775">
        <v>45768</v>
      </c>
      <c r="B172" s="776" t="s">
        <v>783</v>
      </c>
      <c r="C172" s="509" t="s">
        <v>90</v>
      </c>
      <c r="D172" s="777">
        <v>4500164421</v>
      </c>
      <c r="E172" s="886" t="s">
        <v>784</v>
      </c>
      <c r="F172" s="778" t="s">
        <v>785</v>
      </c>
      <c r="G172" s="779" t="s">
        <v>93</v>
      </c>
      <c r="H172" s="509" t="s">
        <v>94</v>
      </c>
      <c r="I172" s="509">
        <v>1716</v>
      </c>
      <c r="J172" s="509">
        <v>0</v>
      </c>
      <c r="K172" s="509">
        <v>4</v>
      </c>
      <c r="L172" s="780">
        <f t="shared" si="37"/>
        <v>429</v>
      </c>
      <c r="M172" s="781">
        <v>45824</v>
      </c>
      <c r="N172" s="781">
        <v>45838</v>
      </c>
      <c r="O172" s="782"/>
      <c r="P172" s="782" t="s">
        <v>103</v>
      </c>
      <c r="Q172" s="509"/>
      <c r="R172" s="784">
        <v>45771</v>
      </c>
      <c r="S172" s="784" t="s">
        <v>66</v>
      </c>
      <c r="T172" s="784" t="s">
        <v>66</v>
      </c>
      <c r="U172" s="784"/>
      <c r="V172" s="784"/>
      <c r="W172" s="776" t="s">
        <v>786</v>
      </c>
      <c r="X172" s="781" t="s">
        <v>316</v>
      </c>
      <c r="Y172" s="785">
        <v>3.06</v>
      </c>
      <c r="Z172" s="786">
        <f t="shared" si="41"/>
        <v>5250.96</v>
      </c>
      <c r="AA172" s="509" t="s">
        <v>787</v>
      </c>
      <c r="AB172" s="509" t="s">
        <v>93</v>
      </c>
      <c r="AC172" s="509" t="s">
        <v>76</v>
      </c>
      <c r="AD172" s="509"/>
      <c r="AE172" s="635" t="s">
        <v>69</v>
      </c>
      <c r="AF172" s="635"/>
      <c r="AG172" s="788">
        <v>1716</v>
      </c>
      <c r="AH172" s="782">
        <f t="shared" si="40"/>
        <v>0</v>
      </c>
      <c r="AI172" s="509"/>
      <c r="AJ172" s="509"/>
      <c r="AK172" s="509"/>
      <c r="AL172" s="777">
        <f t="shared" si="42"/>
        <v>1716</v>
      </c>
      <c r="AM172" s="656"/>
      <c r="AN172" s="656"/>
      <c r="AO172" s="656"/>
      <c r="AP172" s="777">
        <f>I172</f>
        <v>1716</v>
      </c>
      <c r="AQ172" s="656"/>
      <c r="AR172" s="777">
        <f t="shared" ref="AR172:AR177" si="44">I172</f>
        <v>1716</v>
      </c>
      <c r="AS172" s="777"/>
      <c r="AT172" s="777">
        <f t="shared" si="43"/>
        <v>1716</v>
      </c>
      <c r="AU172" s="777"/>
      <c r="AV172" s="778"/>
      <c r="AW172" s="778"/>
      <c r="AX172" s="778"/>
      <c r="AY172" s="778"/>
      <c r="AZ172" s="778"/>
      <c r="BA172" s="778"/>
      <c r="BB172" s="778"/>
      <c r="BC172" s="778"/>
      <c r="BD172" s="777">
        <f>I172/4</f>
        <v>429</v>
      </c>
      <c r="BE172" s="778"/>
      <c r="BF172" s="778"/>
      <c r="BG172" s="778"/>
      <c r="BH172" s="778"/>
      <c r="BI172" s="778"/>
      <c r="BJ172" s="778"/>
      <c r="BK172" s="778"/>
      <c r="BL172" s="778"/>
      <c r="BM172" s="778"/>
    </row>
    <row r="173" s="771" customFormat="1" ht="31" hidden="1" customHeight="1" spans="1:65">
      <c r="A173" s="775">
        <v>45798</v>
      </c>
      <c r="B173" s="776" t="s">
        <v>788</v>
      </c>
      <c r="C173" s="509" t="s">
        <v>90</v>
      </c>
      <c r="D173" s="777">
        <v>4500167106</v>
      </c>
      <c r="E173" s="509" t="s">
        <v>789</v>
      </c>
      <c r="F173" s="778" t="s">
        <v>790</v>
      </c>
      <c r="G173" s="779" t="s">
        <v>186</v>
      </c>
      <c r="H173" s="509" t="s">
        <v>94</v>
      </c>
      <c r="I173" s="509">
        <v>692</v>
      </c>
      <c r="J173" s="509">
        <v>0</v>
      </c>
      <c r="K173" s="509">
        <v>4</v>
      </c>
      <c r="L173" s="780">
        <f t="shared" si="37"/>
        <v>173</v>
      </c>
      <c r="M173" s="781">
        <v>45839</v>
      </c>
      <c r="N173" s="781">
        <v>45839</v>
      </c>
      <c r="O173" s="782" t="s">
        <v>791</v>
      </c>
      <c r="P173" s="782" t="s">
        <v>103</v>
      </c>
      <c r="Q173" s="509"/>
      <c r="R173" s="784">
        <v>45814</v>
      </c>
      <c r="S173" s="784" t="s">
        <v>66</v>
      </c>
      <c r="T173" s="784" t="s">
        <v>66</v>
      </c>
      <c r="U173" s="784"/>
      <c r="V173" s="784" t="s">
        <v>792</v>
      </c>
      <c r="W173" s="776" t="s">
        <v>793</v>
      </c>
      <c r="X173" s="781" t="s">
        <v>794</v>
      </c>
      <c r="Y173" s="785">
        <v>2.5402</v>
      </c>
      <c r="Z173" s="786">
        <f t="shared" si="41"/>
        <v>1757.8184</v>
      </c>
      <c r="AA173" s="458" t="s">
        <v>795</v>
      </c>
      <c r="AB173" s="509" t="s">
        <v>186</v>
      </c>
      <c r="AC173" s="509" t="s">
        <v>76</v>
      </c>
      <c r="AD173" s="509"/>
      <c r="AE173" s="635" t="s">
        <v>69</v>
      </c>
      <c r="AF173" s="635"/>
      <c r="AG173" s="788">
        <v>692</v>
      </c>
      <c r="AH173" s="782">
        <f t="shared" si="40"/>
        <v>0</v>
      </c>
      <c r="AI173" s="509"/>
      <c r="AJ173" s="509"/>
      <c r="AK173" s="509"/>
      <c r="AL173" s="777">
        <f t="shared" si="42"/>
        <v>692</v>
      </c>
      <c r="AM173" s="656"/>
      <c r="AN173" s="656"/>
      <c r="AO173" s="656"/>
      <c r="AP173" s="777">
        <f>I173</f>
        <v>692</v>
      </c>
      <c r="AQ173" s="656"/>
      <c r="AR173" s="777">
        <f t="shared" si="44"/>
        <v>692</v>
      </c>
      <c r="AS173" s="777"/>
      <c r="AT173" s="777">
        <f t="shared" si="43"/>
        <v>692</v>
      </c>
      <c r="AU173" s="777"/>
      <c r="AV173" s="778"/>
      <c r="AW173" s="778"/>
      <c r="AX173" s="778"/>
      <c r="AY173" s="778"/>
      <c r="AZ173" s="778"/>
      <c r="BA173" s="778"/>
      <c r="BB173" s="778"/>
      <c r="BC173" s="778"/>
      <c r="BD173" s="778"/>
      <c r="BE173" s="778"/>
      <c r="BF173" s="778"/>
      <c r="BG173" s="778"/>
      <c r="BH173" s="778"/>
      <c r="BI173" s="778"/>
      <c r="BJ173" s="778"/>
      <c r="BK173" s="778"/>
      <c r="BL173" s="778"/>
      <c r="BM173" s="778"/>
    </row>
    <row r="174" s="771" customFormat="1" ht="31" hidden="1" customHeight="1" spans="1:65">
      <c r="A174" s="775">
        <v>45750</v>
      </c>
      <c r="B174" s="776" t="s">
        <v>796</v>
      </c>
      <c r="C174" s="509" t="s">
        <v>797</v>
      </c>
      <c r="D174" s="777">
        <v>4500162410</v>
      </c>
      <c r="E174" s="509" t="s">
        <v>798</v>
      </c>
      <c r="F174" s="778" t="s">
        <v>799</v>
      </c>
      <c r="G174" s="779" t="s">
        <v>102</v>
      </c>
      <c r="H174" s="509" t="s">
        <v>65</v>
      </c>
      <c r="I174" s="509">
        <v>1200</v>
      </c>
      <c r="J174" s="509">
        <v>0</v>
      </c>
      <c r="K174" s="509">
        <v>16</v>
      </c>
      <c r="L174" s="780">
        <f t="shared" si="37"/>
        <v>75</v>
      </c>
      <c r="M174" s="781">
        <v>45830</v>
      </c>
      <c r="N174" s="781">
        <v>45826</v>
      </c>
      <c r="O174" s="782"/>
      <c r="P174" s="782" t="s">
        <v>103</v>
      </c>
      <c r="Q174" s="509"/>
      <c r="R174" s="784">
        <v>45762</v>
      </c>
      <c r="S174" s="784" t="s">
        <v>66</v>
      </c>
      <c r="T174" s="784">
        <v>45776</v>
      </c>
      <c r="U174" s="784"/>
      <c r="V174" s="784"/>
      <c r="W174" s="776" t="s">
        <v>800</v>
      </c>
      <c r="X174" s="781" t="s">
        <v>451</v>
      </c>
      <c r="Y174" s="785">
        <v>4.39</v>
      </c>
      <c r="Z174" s="786">
        <f t="shared" si="41"/>
        <v>5268</v>
      </c>
      <c r="AA174" s="509"/>
      <c r="AB174" s="509" t="s">
        <v>102</v>
      </c>
      <c r="AC174" s="509" t="s">
        <v>76</v>
      </c>
      <c r="AD174" s="509"/>
      <c r="AE174" s="635" t="s">
        <v>69</v>
      </c>
      <c r="AF174" s="635"/>
      <c r="AG174" s="788">
        <v>1200</v>
      </c>
      <c r="AH174" s="782">
        <f t="shared" si="40"/>
        <v>0</v>
      </c>
      <c r="AI174" s="509"/>
      <c r="AJ174" s="509"/>
      <c r="AK174" s="509"/>
      <c r="AL174" s="777">
        <f t="shared" si="42"/>
        <v>1200</v>
      </c>
      <c r="AM174" s="656"/>
      <c r="AN174" s="656"/>
      <c r="AO174" s="656"/>
      <c r="AP174" s="777">
        <f>I174</f>
        <v>1200</v>
      </c>
      <c r="AQ174" s="656"/>
      <c r="AR174" s="777">
        <f t="shared" si="44"/>
        <v>1200</v>
      </c>
      <c r="AS174" s="777"/>
      <c r="AT174" s="777">
        <f t="shared" si="43"/>
        <v>1200</v>
      </c>
      <c r="AU174" s="777"/>
      <c r="AV174" s="778"/>
      <c r="AW174" s="778"/>
      <c r="AX174" s="778"/>
      <c r="AY174" s="778"/>
      <c r="AZ174" s="778"/>
      <c r="BA174" s="778"/>
      <c r="BB174" s="778"/>
      <c r="BC174" s="778"/>
      <c r="BD174" s="777">
        <f>I174/4</f>
        <v>300</v>
      </c>
      <c r="BE174" s="778"/>
      <c r="BF174" s="778"/>
      <c r="BG174" s="778"/>
      <c r="BH174" s="778"/>
      <c r="BI174" s="778"/>
      <c r="BJ174" s="778"/>
      <c r="BK174" s="778"/>
      <c r="BL174" s="778"/>
      <c r="BM174" s="778"/>
    </row>
    <row r="175" s="771" customFormat="1" ht="31" hidden="1" customHeight="1" spans="1:65">
      <c r="A175" s="775">
        <v>45750</v>
      </c>
      <c r="B175" s="776" t="s">
        <v>445</v>
      </c>
      <c r="C175" s="509" t="s">
        <v>801</v>
      </c>
      <c r="D175" s="777">
        <v>4500162426</v>
      </c>
      <c r="E175" s="509" t="s">
        <v>802</v>
      </c>
      <c r="F175" s="778" t="s">
        <v>803</v>
      </c>
      <c r="G175" s="779" t="s">
        <v>102</v>
      </c>
      <c r="H175" s="509" t="s">
        <v>65</v>
      </c>
      <c r="I175" s="509">
        <v>480</v>
      </c>
      <c r="J175" s="509">
        <v>0</v>
      </c>
      <c r="K175" s="509">
        <v>16</v>
      </c>
      <c r="L175" s="780">
        <f t="shared" si="37"/>
        <v>30</v>
      </c>
      <c r="M175" s="781">
        <v>45830</v>
      </c>
      <c r="N175" s="781">
        <v>45826</v>
      </c>
      <c r="O175" s="782"/>
      <c r="P175" s="782" t="s">
        <v>103</v>
      </c>
      <c r="Q175" s="509"/>
      <c r="R175" s="784">
        <v>45762</v>
      </c>
      <c r="S175" s="784" t="s">
        <v>66</v>
      </c>
      <c r="T175" s="784">
        <v>45776</v>
      </c>
      <c r="U175" s="784"/>
      <c r="V175" s="784"/>
      <c r="W175" s="776" t="s">
        <v>804</v>
      </c>
      <c r="X175" s="781" t="s">
        <v>451</v>
      </c>
      <c r="Y175" s="785">
        <v>4.39</v>
      </c>
      <c r="Z175" s="786">
        <f t="shared" si="41"/>
        <v>2107.2</v>
      </c>
      <c r="AA175" s="509"/>
      <c r="AB175" s="509" t="s">
        <v>102</v>
      </c>
      <c r="AC175" s="509" t="s">
        <v>76</v>
      </c>
      <c r="AD175" s="509"/>
      <c r="AE175" s="635" t="s">
        <v>69</v>
      </c>
      <c r="AF175" s="635"/>
      <c r="AG175" s="788">
        <v>480</v>
      </c>
      <c r="AH175" s="782">
        <f t="shared" si="40"/>
        <v>0</v>
      </c>
      <c r="AI175" s="509"/>
      <c r="AJ175" s="509" t="s">
        <v>403</v>
      </c>
      <c r="AK175" s="509"/>
      <c r="AL175" s="777">
        <f t="shared" si="42"/>
        <v>480</v>
      </c>
      <c r="AM175" s="656"/>
      <c r="AN175" s="656"/>
      <c r="AO175" s="656"/>
      <c r="AP175" s="777">
        <f>I175</f>
        <v>480</v>
      </c>
      <c r="AQ175" s="656"/>
      <c r="AR175" s="777">
        <f t="shared" si="44"/>
        <v>480</v>
      </c>
      <c r="AS175" s="777"/>
      <c r="AT175" s="777">
        <f t="shared" si="43"/>
        <v>480</v>
      </c>
      <c r="AU175" s="777"/>
      <c r="AV175" s="778"/>
      <c r="AW175" s="778"/>
      <c r="AX175" s="778"/>
      <c r="AY175" s="778"/>
      <c r="AZ175" s="778"/>
      <c r="BA175" s="778"/>
      <c r="BB175" s="778"/>
      <c r="BC175" s="778"/>
      <c r="BD175" s="777">
        <f>I175/4</f>
        <v>120</v>
      </c>
      <c r="BE175" s="778"/>
      <c r="BF175" s="778"/>
      <c r="BG175" s="778"/>
      <c r="BH175" s="778"/>
      <c r="BI175" s="778"/>
      <c r="BJ175" s="778"/>
      <c r="BK175" s="778"/>
      <c r="BL175" s="778"/>
      <c r="BM175" s="778"/>
    </row>
    <row r="176" s="771" customFormat="1" ht="31" hidden="1" customHeight="1" spans="1:65">
      <c r="A176" s="775">
        <v>45793</v>
      </c>
      <c r="B176" s="776" t="s">
        <v>805</v>
      </c>
      <c r="C176" s="509" t="s">
        <v>356</v>
      </c>
      <c r="D176" s="777">
        <v>4500166563</v>
      </c>
      <c r="E176" s="509"/>
      <c r="F176" s="778" t="s">
        <v>806</v>
      </c>
      <c r="G176" s="779" t="s">
        <v>463</v>
      </c>
      <c r="H176" s="509" t="s">
        <v>424</v>
      </c>
      <c r="I176" s="509">
        <v>240</v>
      </c>
      <c r="J176" s="509">
        <v>0</v>
      </c>
      <c r="K176" s="509">
        <v>6</v>
      </c>
      <c r="L176" s="780">
        <f t="shared" si="37"/>
        <v>40</v>
      </c>
      <c r="M176" s="781">
        <v>45831</v>
      </c>
      <c r="N176" s="781">
        <v>45831</v>
      </c>
      <c r="O176" s="782"/>
      <c r="P176" s="782" t="s">
        <v>103</v>
      </c>
      <c r="Q176" s="509"/>
      <c r="R176" s="784">
        <v>45804</v>
      </c>
      <c r="S176" s="784" t="s">
        <v>66</v>
      </c>
      <c r="T176" s="784">
        <v>45805</v>
      </c>
      <c r="U176" s="784"/>
      <c r="V176" s="784"/>
      <c r="W176" s="776" t="s">
        <v>807</v>
      </c>
      <c r="X176" s="781" t="s">
        <v>808</v>
      </c>
      <c r="Y176" s="785">
        <v>8.1</v>
      </c>
      <c r="Z176" s="786">
        <f t="shared" si="41"/>
        <v>1944</v>
      </c>
      <c r="AA176" s="458" t="s">
        <v>809</v>
      </c>
      <c r="AB176" s="509" t="s">
        <v>427</v>
      </c>
      <c r="AC176" s="509" t="s">
        <v>76</v>
      </c>
      <c r="AD176" s="509"/>
      <c r="AE176" s="635" t="s">
        <v>69</v>
      </c>
      <c r="AF176" s="635"/>
      <c r="AG176" s="788">
        <v>0</v>
      </c>
      <c r="AH176" s="782"/>
      <c r="AI176" s="509"/>
      <c r="AJ176" s="509"/>
      <c r="AK176" s="509"/>
      <c r="AL176" s="777">
        <f t="shared" si="42"/>
        <v>240</v>
      </c>
      <c r="AM176" s="656"/>
      <c r="AN176" s="656"/>
      <c r="AO176" s="656"/>
      <c r="AP176" s="777"/>
      <c r="AQ176" s="656">
        <f>I176</f>
        <v>240</v>
      </c>
      <c r="AR176" s="777">
        <f t="shared" si="44"/>
        <v>240</v>
      </c>
      <c r="AS176" s="777"/>
      <c r="AT176" s="777">
        <f t="shared" si="43"/>
        <v>240</v>
      </c>
      <c r="AU176" s="777"/>
      <c r="AV176" s="778"/>
      <c r="AW176" s="778"/>
      <c r="AX176" s="778"/>
      <c r="AY176" s="778"/>
      <c r="AZ176" s="778"/>
      <c r="BA176" s="778"/>
      <c r="BB176" s="778"/>
      <c r="BC176" s="778"/>
      <c r="BD176" s="778"/>
      <c r="BE176" s="778"/>
      <c r="BF176" s="778"/>
      <c r="BG176" s="778"/>
      <c r="BH176" s="778"/>
      <c r="BI176" s="777"/>
      <c r="BJ176" s="777">
        <f>I176</f>
        <v>240</v>
      </c>
      <c r="BK176" s="778"/>
      <c r="BL176" s="778"/>
      <c r="BM176" s="778"/>
    </row>
    <row r="177" s="771" customFormat="1" ht="31" hidden="1" customHeight="1" spans="1:65">
      <c r="A177" s="775">
        <v>45777</v>
      </c>
      <c r="B177" s="776" t="s">
        <v>810</v>
      </c>
      <c r="C177" s="509" t="s">
        <v>416</v>
      </c>
      <c r="D177" s="777">
        <v>4500163986</v>
      </c>
      <c r="E177" s="509" t="s">
        <v>811</v>
      </c>
      <c r="F177" s="778" t="s">
        <v>812</v>
      </c>
      <c r="G177" s="779" t="s">
        <v>64</v>
      </c>
      <c r="H177" s="509" t="s">
        <v>65</v>
      </c>
      <c r="I177" s="509">
        <v>504</v>
      </c>
      <c r="J177" s="509">
        <v>0</v>
      </c>
      <c r="K177" s="509">
        <v>12</v>
      </c>
      <c r="L177" s="780">
        <f t="shared" si="37"/>
        <v>42</v>
      </c>
      <c r="M177" s="781">
        <v>45838</v>
      </c>
      <c r="N177" s="781">
        <v>45838</v>
      </c>
      <c r="O177" s="782"/>
      <c r="P177" s="782" t="s">
        <v>103</v>
      </c>
      <c r="Q177" s="509"/>
      <c r="R177" s="784">
        <v>45789</v>
      </c>
      <c r="S177" s="784" t="s">
        <v>66</v>
      </c>
      <c r="T177" s="784" t="s">
        <v>813</v>
      </c>
      <c r="U177" s="784"/>
      <c r="V177" s="784"/>
      <c r="W177" s="776" t="s">
        <v>814</v>
      </c>
      <c r="X177" s="781" t="s">
        <v>815</v>
      </c>
      <c r="Y177" s="785">
        <v>4.1456</v>
      </c>
      <c r="Z177" s="786">
        <f t="shared" si="41"/>
        <v>2089.3824</v>
      </c>
      <c r="AA177" s="509" t="s">
        <v>816</v>
      </c>
      <c r="AB177" s="509" t="s">
        <v>165</v>
      </c>
      <c r="AC177" s="509" t="s">
        <v>76</v>
      </c>
      <c r="AD177" s="509">
        <v>45840</v>
      </c>
      <c r="AE177" s="635" t="s">
        <v>69</v>
      </c>
      <c r="AF177" s="635"/>
      <c r="AG177" s="788">
        <v>504</v>
      </c>
      <c r="AH177" s="782">
        <f t="shared" si="40"/>
        <v>0</v>
      </c>
      <c r="AI177" s="509"/>
      <c r="AJ177" s="509"/>
      <c r="AK177" s="509"/>
      <c r="AL177" s="777">
        <f t="shared" si="42"/>
        <v>504</v>
      </c>
      <c r="AM177" s="656"/>
      <c r="AN177" s="656"/>
      <c r="AO177" s="656"/>
      <c r="AP177" s="777"/>
      <c r="AQ177" s="656">
        <f>I177</f>
        <v>504</v>
      </c>
      <c r="AR177" s="777">
        <f t="shared" si="44"/>
        <v>504</v>
      </c>
      <c r="AS177" s="777"/>
      <c r="AT177" s="777">
        <f t="shared" si="43"/>
        <v>504</v>
      </c>
      <c r="AU177" s="777"/>
      <c r="AV177" s="778"/>
      <c r="AW177" s="778"/>
      <c r="AX177" s="778"/>
      <c r="AY177" s="778"/>
      <c r="AZ177" s="778"/>
      <c r="BA177" s="778">
        <f>I177</f>
        <v>504</v>
      </c>
      <c r="BB177" s="778"/>
      <c r="BC177" s="778"/>
      <c r="BD177" s="778"/>
      <c r="BE177" s="778"/>
      <c r="BF177" s="778"/>
      <c r="BG177" s="778"/>
      <c r="BH177" s="778"/>
      <c r="BI177" s="778"/>
      <c r="BJ177" s="778"/>
      <c r="BK177" s="778"/>
      <c r="BL177" s="778"/>
      <c r="BM177" s="778"/>
    </row>
    <row r="178" s="771" customFormat="1" ht="31" hidden="1" customHeight="1" spans="1:65">
      <c r="A178" s="775">
        <v>45771</v>
      </c>
      <c r="B178" s="776" t="s">
        <v>817</v>
      </c>
      <c r="C178" s="509" t="s">
        <v>153</v>
      </c>
      <c r="D178" s="777">
        <v>4500161400</v>
      </c>
      <c r="E178" s="509"/>
      <c r="F178" s="778" t="s">
        <v>818</v>
      </c>
      <c r="G178" s="779" t="s">
        <v>819</v>
      </c>
      <c r="H178" s="509" t="s">
        <v>744</v>
      </c>
      <c r="I178" s="509">
        <v>72</v>
      </c>
      <c r="J178" s="509">
        <v>0</v>
      </c>
      <c r="K178" s="509">
        <v>1</v>
      </c>
      <c r="L178" s="780">
        <f t="shared" si="37"/>
        <v>72</v>
      </c>
      <c r="M178" s="781">
        <v>45835</v>
      </c>
      <c r="N178" s="781">
        <v>45838</v>
      </c>
      <c r="O178" s="782"/>
      <c r="P178" s="782" t="s">
        <v>103</v>
      </c>
      <c r="Q178" s="509"/>
      <c r="R178" s="784">
        <v>45790</v>
      </c>
      <c r="S178" s="784" t="s">
        <v>66</v>
      </c>
      <c r="T178" s="784" t="s">
        <v>66</v>
      </c>
      <c r="U178" s="784"/>
      <c r="V178" s="784"/>
      <c r="W178" s="776" t="s">
        <v>820</v>
      </c>
      <c r="X178" s="781" t="s">
        <v>821</v>
      </c>
      <c r="Y178" s="785">
        <v>0</v>
      </c>
      <c r="Z178" s="786">
        <v>0</v>
      </c>
      <c r="AA178" s="509" t="s">
        <v>822</v>
      </c>
      <c r="AB178" s="509" t="s">
        <v>819</v>
      </c>
      <c r="AC178" s="509" t="s">
        <v>76</v>
      </c>
      <c r="AD178" s="509"/>
      <c r="AE178" s="635" t="s">
        <v>69</v>
      </c>
      <c r="AF178" s="635"/>
      <c r="AG178" s="788">
        <v>0</v>
      </c>
      <c r="AH178" s="782"/>
      <c r="AI178" s="509"/>
      <c r="AJ178" s="509"/>
      <c r="AK178" s="509"/>
      <c r="AL178" s="777"/>
      <c r="AM178" s="656"/>
      <c r="AN178" s="656"/>
      <c r="AO178" s="656"/>
      <c r="AP178" s="777"/>
      <c r="AQ178" s="656"/>
      <c r="AR178" s="777"/>
      <c r="AS178" s="777"/>
      <c r="AT178" s="777"/>
      <c r="AU178" s="777"/>
      <c r="AV178" s="778"/>
      <c r="AW178" s="778"/>
      <c r="AX178" s="778"/>
      <c r="AY178" s="778"/>
      <c r="AZ178" s="778"/>
      <c r="BA178" s="778"/>
      <c r="BB178" s="778"/>
      <c r="BC178" s="778"/>
      <c r="BD178" s="778"/>
      <c r="BE178" s="778"/>
      <c r="BF178" s="778"/>
      <c r="BG178" s="778"/>
      <c r="BH178" s="778"/>
      <c r="BI178" s="778"/>
      <c r="BJ178" s="778"/>
      <c r="BK178" s="778"/>
      <c r="BL178" s="778"/>
      <c r="BM178" s="778"/>
    </row>
    <row r="179" s="771" customFormat="1" ht="31" hidden="1" customHeight="1" spans="1:65">
      <c r="A179" s="775">
        <v>45775</v>
      </c>
      <c r="B179" s="776" t="s">
        <v>817</v>
      </c>
      <c r="C179" s="509" t="s">
        <v>153</v>
      </c>
      <c r="D179" s="777">
        <v>4500161400</v>
      </c>
      <c r="E179" s="509"/>
      <c r="F179" s="778" t="s">
        <v>818</v>
      </c>
      <c r="G179" s="779" t="s">
        <v>460</v>
      </c>
      <c r="H179" s="509" t="s">
        <v>65</v>
      </c>
      <c r="I179" s="509">
        <v>5400</v>
      </c>
      <c r="J179" s="509">
        <v>0</v>
      </c>
      <c r="K179" s="509">
        <v>75</v>
      </c>
      <c r="L179" s="780">
        <f t="shared" si="37"/>
        <v>72</v>
      </c>
      <c r="M179" s="781">
        <v>45835</v>
      </c>
      <c r="N179" s="781">
        <v>45838</v>
      </c>
      <c r="O179" s="782"/>
      <c r="P179" s="782" t="s">
        <v>103</v>
      </c>
      <c r="Q179" s="509"/>
      <c r="R179" s="784">
        <v>45790</v>
      </c>
      <c r="S179" s="784" t="s">
        <v>66</v>
      </c>
      <c r="T179" s="784" t="s">
        <v>66</v>
      </c>
      <c r="U179" s="784"/>
      <c r="V179" s="784"/>
      <c r="W179" s="776"/>
      <c r="X179" s="781" t="s">
        <v>821</v>
      </c>
      <c r="Y179" s="785">
        <v>762.5</v>
      </c>
      <c r="Z179" s="786">
        <f>Y179*L179</f>
        <v>54900</v>
      </c>
      <c r="AA179" s="509" t="s">
        <v>822</v>
      </c>
      <c r="AB179" s="509" t="s">
        <v>819</v>
      </c>
      <c r="AC179" s="509" t="s">
        <v>76</v>
      </c>
      <c r="AD179" s="509"/>
      <c r="AE179" s="635" t="s">
        <v>69</v>
      </c>
      <c r="AF179" s="635"/>
      <c r="AG179" s="788">
        <v>0</v>
      </c>
      <c r="AH179" s="782"/>
      <c r="AI179" s="509"/>
      <c r="AJ179" s="509"/>
      <c r="AK179" s="509"/>
      <c r="AL179" s="777"/>
      <c r="AM179" s="656">
        <f>I179</f>
        <v>5400</v>
      </c>
      <c r="AN179" s="656"/>
      <c r="AO179" s="656"/>
      <c r="AP179" s="777"/>
      <c r="AQ179" s="656"/>
      <c r="AR179" s="777"/>
      <c r="AS179" s="777"/>
      <c r="AT179" s="777"/>
      <c r="AU179" s="777"/>
      <c r="AV179" s="778"/>
      <c r="AW179" s="778">
        <f>I179</f>
        <v>5400</v>
      </c>
      <c r="AX179" s="778">
        <f>I179</f>
        <v>5400</v>
      </c>
      <c r="AY179" s="778">
        <f>I179</f>
        <v>5400</v>
      </c>
      <c r="AZ179" s="778"/>
      <c r="BA179" s="778"/>
      <c r="BB179" s="778"/>
      <c r="BC179" s="778"/>
      <c r="BD179" s="778"/>
      <c r="BE179" s="778"/>
      <c r="BF179" s="778"/>
      <c r="BG179" s="778">
        <f>I179</f>
        <v>5400</v>
      </c>
      <c r="BH179" s="778">
        <f>I179/5</f>
        <v>1080</v>
      </c>
      <c r="BI179" s="778"/>
      <c r="BJ179" s="778"/>
      <c r="BK179" s="778"/>
      <c r="BL179" s="778"/>
      <c r="BM179" s="778"/>
    </row>
    <row r="180" s="771" customFormat="1" ht="31" hidden="1" customHeight="1" spans="1:65">
      <c r="A180" s="775">
        <v>45798</v>
      </c>
      <c r="B180" s="776" t="s">
        <v>823</v>
      </c>
      <c r="C180" s="509" t="s">
        <v>824</v>
      </c>
      <c r="D180" s="777">
        <v>4500166269</v>
      </c>
      <c r="E180" s="509"/>
      <c r="F180" s="778" t="s">
        <v>825</v>
      </c>
      <c r="G180" s="779" t="s">
        <v>93</v>
      </c>
      <c r="H180" s="509" t="s">
        <v>94</v>
      </c>
      <c r="I180" s="509">
        <v>200</v>
      </c>
      <c r="J180" s="509">
        <v>0</v>
      </c>
      <c r="K180" s="509">
        <v>4</v>
      </c>
      <c r="L180" s="780">
        <f t="shared" si="37"/>
        <v>50</v>
      </c>
      <c r="M180" s="781">
        <v>45834</v>
      </c>
      <c r="N180" s="781">
        <v>45839</v>
      </c>
      <c r="O180" s="782"/>
      <c r="P180" s="782" t="s">
        <v>103</v>
      </c>
      <c r="Q180" s="509"/>
      <c r="R180" s="784">
        <v>45798</v>
      </c>
      <c r="S180" s="784" t="s">
        <v>66</v>
      </c>
      <c r="T180" s="784" t="s">
        <v>66</v>
      </c>
      <c r="U180" s="784"/>
      <c r="V180" s="784"/>
      <c r="W180" s="776" t="s">
        <v>826</v>
      </c>
      <c r="X180" s="781" t="s">
        <v>269</v>
      </c>
      <c r="Y180" s="785">
        <v>4.3</v>
      </c>
      <c r="Z180" s="786">
        <f t="shared" ref="Z180:Z186" si="45">Y180*I180</f>
        <v>860</v>
      </c>
      <c r="AA180" s="509" t="s">
        <v>827</v>
      </c>
      <c r="AB180" s="509" t="s">
        <v>141</v>
      </c>
      <c r="AC180" s="509" t="s">
        <v>76</v>
      </c>
      <c r="AD180" s="509">
        <v>45840</v>
      </c>
      <c r="AE180" s="635" t="s">
        <v>69</v>
      </c>
      <c r="AF180" s="635"/>
      <c r="AG180" s="788">
        <v>200</v>
      </c>
      <c r="AH180" s="782">
        <f t="shared" si="40"/>
        <v>0</v>
      </c>
      <c r="AI180" s="509"/>
      <c r="AJ180" s="509"/>
      <c r="AK180" s="509"/>
      <c r="AL180" s="777">
        <f t="shared" ref="AL180:AL186" si="46">I180</f>
        <v>200</v>
      </c>
      <c r="AM180" s="656"/>
      <c r="AN180" s="656"/>
      <c r="AO180" s="656"/>
      <c r="AP180" s="777"/>
      <c r="AQ180" s="656">
        <f>I180</f>
        <v>200</v>
      </c>
      <c r="AR180" s="777">
        <f>I180</f>
        <v>200</v>
      </c>
      <c r="AS180" s="777"/>
      <c r="AT180" s="543">
        <f t="shared" ref="AT180:AT186" si="47">I180</f>
        <v>200</v>
      </c>
      <c r="AU180" s="777"/>
      <c r="AV180" s="778"/>
      <c r="AW180" s="778"/>
      <c r="AX180" s="778"/>
      <c r="AY180" s="778"/>
      <c r="AZ180" s="778"/>
      <c r="BA180" s="778"/>
      <c r="BB180" s="778"/>
      <c r="BC180" s="778"/>
      <c r="BD180" s="778"/>
      <c r="BE180" s="777">
        <f>I180/4</f>
        <v>50</v>
      </c>
      <c r="BF180" s="778"/>
      <c r="BG180" s="778"/>
      <c r="BH180" s="778"/>
      <c r="BI180" s="778"/>
      <c r="BJ180" s="778"/>
      <c r="BK180" s="778"/>
      <c r="BL180" s="778"/>
      <c r="BM180" s="778"/>
    </row>
    <row r="181" s="771" customFormat="1" ht="31" hidden="1" customHeight="1" spans="1:65">
      <c r="A181" s="775">
        <v>45798</v>
      </c>
      <c r="B181" s="776" t="s">
        <v>280</v>
      </c>
      <c r="C181" s="509" t="s">
        <v>249</v>
      </c>
      <c r="D181" s="777">
        <v>4500167191</v>
      </c>
      <c r="E181" s="509" t="s">
        <v>828</v>
      </c>
      <c r="F181" s="778" t="s">
        <v>829</v>
      </c>
      <c r="G181" s="779" t="s">
        <v>463</v>
      </c>
      <c r="H181" s="509" t="s">
        <v>424</v>
      </c>
      <c r="I181" s="509">
        <v>8700</v>
      </c>
      <c r="J181" s="509">
        <v>0</v>
      </c>
      <c r="K181" s="509">
        <v>6</v>
      </c>
      <c r="L181" s="780">
        <f t="shared" si="37"/>
        <v>1450</v>
      </c>
      <c r="M181" s="781">
        <v>45839</v>
      </c>
      <c r="N181" s="781">
        <v>45839</v>
      </c>
      <c r="O181" s="782"/>
      <c r="P181" s="782" t="s">
        <v>103</v>
      </c>
      <c r="Q181" s="509"/>
      <c r="R181" s="784">
        <v>45798</v>
      </c>
      <c r="S181" s="784" t="s">
        <v>66</v>
      </c>
      <c r="T181" s="784">
        <v>45800</v>
      </c>
      <c r="U181" s="784"/>
      <c r="V181" s="784" t="s">
        <v>830</v>
      </c>
      <c r="W181" s="776" t="s">
        <v>831</v>
      </c>
      <c r="X181" s="781" t="s">
        <v>285</v>
      </c>
      <c r="Y181" s="785">
        <v>8.1</v>
      </c>
      <c r="Z181" s="786">
        <f t="shared" si="45"/>
        <v>70470</v>
      </c>
      <c r="AA181" s="509" t="s">
        <v>832</v>
      </c>
      <c r="AB181" s="509" t="s">
        <v>427</v>
      </c>
      <c r="AC181" s="509" t="s">
        <v>76</v>
      </c>
      <c r="AD181" s="509">
        <v>45845</v>
      </c>
      <c r="AE181" s="635" t="s">
        <v>69</v>
      </c>
      <c r="AF181" s="635"/>
      <c r="AG181" s="793">
        <f>1512+7188</f>
        <v>8700</v>
      </c>
      <c r="AH181" s="782">
        <f t="shared" si="40"/>
        <v>0</v>
      </c>
      <c r="AI181" s="509"/>
      <c r="AJ181" s="509"/>
      <c r="AK181" s="509"/>
      <c r="AL181" s="777">
        <f t="shared" si="46"/>
        <v>8700</v>
      </c>
      <c r="AM181" s="656"/>
      <c r="AN181" s="656"/>
      <c r="AO181" s="656"/>
      <c r="AP181" s="777"/>
      <c r="AQ181" s="656">
        <f>I181</f>
        <v>8700</v>
      </c>
      <c r="AR181" s="777">
        <f>I181</f>
        <v>8700</v>
      </c>
      <c r="AS181" s="777"/>
      <c r="AT181" s="543">
        <f t="shared" si="47"/>
        <v>8700</v>
      </c>
      <c r="AU181" s="777"/>
      <c r="AV181" s="778"/>
      <c r="AW181" s="778"/>
      <c r="AX181" s="778"/>
      <c r="AY181" s="778"/>
      <c r="AZ181" s="778"/>
      <c r="BA181" s="778"/>
      <c r="BB181" s="778"/>
      <c r="BC181" s="778"/>
      <c r="BD181" s="778"/>
      <c r="BE181" s="778"/>
      <c r="BF181" s="778"/>
      <c r="BG181" s="778"/>
      <c r="BH181" s="778"/>
      <c r="BI181" s="777"/>
      <c r="BJ181" s="777">
        <f>I181</f>
        <v>8700</v>
      </c>
      <c r="BK181" s="778"/>
      <c r="BL181" s="778"/>
      <c r="BM181" s="778"/>
    </row>
    <row r="182" s="771" customFormat="1" ht="31" hidden="1" customHeight="1" spans="1:65">
      <c r="A182" s="775">
        <v>45790</v>
      </c>
      <c r="B182" s="776" t="s">
        <v>833</v>
      </c>
      <c r="C182" s="509" t="s">
        <v>249</v>
      </c>
      <c r="D182" s="777">
        <v>4500166275</v>
      </c>
      <c r="E182" s="509" t="s">
        <v>834</v>
      </c>
      <c r="F182" s="778" t="s">
        <v>835</v>
      </c>
      <c r="G182" s="779" t="s">
        <v>836</v>
      </c>
      <c r="H182" s="509" t="s">
        <v>837</v>
      </c>
      <c r="I182" s="509">
        <v>504</v>
      </c>
      <c r="J182" s="509">
        <v>0</v>
      </c>
      <c r="K182" s="509">
        <v>12</v>
      </c>
      <c r="L182" s="780">
        <f t="shared" si="37"/>
        <v>42</v>
      </c>
      <c r="M182" s="781">
        <v>45839</v>
      </c>
      <c r="N182" s="781">
        <v>45839</v>
      </c>
      <c r="O182" s="782"/>
      <c r="P182" s="782" t="s">
        <v>103</v>
      </c>
      <c r="Q182" s="509"/>
      <c r="R182" s="784">
        <v>45811</v>
      </c>
      <c r="S182" s="784" t="s">
        <v>66</v>
      </c>
      <c r="T182" s="784">
        <v>45813</v>
      </c>
      <c r="U182" s="784"/>
      <c r="V182" s="784"/>
      <c r="W182" s="776" t="s">
        <v>838</v>
      </c>
      <c r="X182" s="781" t="s">
        <v>776</v>
      </c>
      <c r="Y182" s="785">
        <v>4.5</v>
      </c>
      <c r="Z182" s="786">
        <f t="shared" si="45"/>
        <v>2268</v>
      </c>
      <c r="AA182" s="509" t="s">
        <v>839</v>
      </c>
      <c r="AB182" s="509" t="s">
        <v>836</v>
      </c>
      <c r="AC182" s="509" t="s">
        <v>76</v>
      </c>
      <c r="AD182" s="509"/>
      <c r="AE182" s="635" t="s">
        <v>69</v>
      </c>
      <c r="AF182" s="635"/>
      <c r="AG182" s="788">
        <v>504</v>
      </c>
      <c r="AH182" s="782">
        <f t="shared" si="40"/>
        <v>0</v>
      </c>
      <c r="AI182" s="509"/>
      <c r="AJ182" s="509"/>
      <c r="AK182" s="509"/>
      <c r="AL182" s="777">
        <f t="shared" si="46"/>
        <v>504</v>
      </c>
      <c r="AM182" s="656"/>
      <c r="AN182" s="656"/>
      <c r="AO182" s="656"/>
      <c r="AP182" s="777">
        <f>I182</f>
        <v>504</v>
      </c>
      <c r="AQ182" s="656"/>
      <c r="AR182" s="777">
        <f>I182</f>
        <v>504</v>
      </c>
      <c r="AS182" s="777"/>
      <c r="AT182" s="777">
        <f t="shared" si="47"/>
        <v>504</v>
      </c>
      <c r="AU182" s="777"/>
      <c r="AV182" s="778"/>
      <c r="AW182" s="778"/>
      <c r="AX182" s="778"/>
      <c r="AY182" s="778"/>
      <c r="AZ182" s="778"/>
      <c r="BA182" s="778"/>
      <c r="BB182" s="778"/>
      <c r="BC182" s="778"/>
      <c r="BD182" s="778"/>
      <c r="BE182" s="778"/>
      <c r="BF182" s="778"/>
      <c r="BG182" s="778"/>
      <c r="BH182" s="778"/>
      <c r="BI182" s="778"/>
      <c r="BJ182" s="778"/>
      <c r="BK182" s="778"/>
      <c r="BL182" s="778"/>
      <c r="BM182" s="778"/>
    </row>
    <row r="183" s="771" customFormat="1" ht="31" hidden="1" customHeight="1" spans="1:65">
      <c r="A183" s="775">
        <v>45804</v>
      </c>
      <c r="B183" s="776" t="s">
        <v>840</v>
      </c>
      <c r="C183" s="509" t="s">
        <v>841</v>
      </c>
      <c r="D183" s="777">
        <v>4500168055</v>
      </c>
      <c r="E183" s="509"/>
      <c r="F183" s="778" t="s">
        <v>842</v>
      </c>
      <c r="G183" s="779" t="s">
        <v>64</v>
      </c>
      <c r="H183" s="509" t="s">
        <v>65</v>
      </c>
      <c r="I183" s="509">
        <v>180</v>
      </c>
      <c r="J183" s="509">
        <v>0</v>
      </c>
      <c r="K183" s="509">
        <v>12</v>
      </c>
      <c r="L183" s="780">
        <f t="shared" si="37"/>
        <v>15</v>
      </c>
      <c r="M183" s="781">
        <v>45838</v>
      </c>
      <c r="N183" s="781">
        <v>45840</v>
      </c>
      <c r="O183" s="782"/>
      <c r="P183" s="782" t="s">
        <v>103</v>
      </c>
      <c r="Q183" s="509"/>
      <c r="R183" s="784">
        <v>45814</v>
      </c>
      <c r="S183" s="784" t="s">
        <v>66</v>
      </c>
      <c r="T183" s="784">
        <v>45813</v>
      </c>
      <c r="U183" s="784"/>
      <c r="V183" s="784"/>
      <c r="W183" s="776" t="s">
        <v>843</v>
      </c>
      <c r="X183" s="781" t="s">
        <v>473</v>
      </c>
      <c r="Y183" s="785">
        <v>4.1018</v>
      </c>
      <c r="Z183" s="786">
        <f t="shared" si="45"/>
        <v>738.324</v>
      </c>
      <c r="AA183" s="509" t="s">
        <v>844</v>
      </c>
      <c r="AB183" s="509" t="s">
        <v>165</v>
      </c>
      <c r="AC183" s="509" t="s">
        <v>76</v>
      </c>
      <c r="AD183" s="509"/>
      <c r="AE183" s="635" t="s">
        <v>69</v>
      </c>
      <c r="AF183" s="635"/>
      <c r="AG183" s="788">
        <v>180</v>
      </c>
      <c r="AH183" s="782">
        <f t="shared" si="40"/>
        <v>0</v>
      </c>
      <c r="AI183" s="509"/>
      <c r="AJ183" s="509"/>
      <c r="AK183" s="509"/>
      <c r="AL183" s="777">
        <f t="shared" si="46"/>
        <v>180</v>
      </c>
      <c r="AM183" s="656"/>
      <c r="AN183" s="656"/>
      <c r="AO183" s="656"/>
      <c r="AP183" s="777"/>
      <c r="AQ183" s="656">
        <f>I183</f>
        <v>180</v>
      </c>
      <c r="AR183" s="777">
        <f>I183</f>
        <v>180</v>
      </c>
      <c r="AS183" s="777"/>
      <c r="AT183" s="777">
        <f t="shared" si="47"/>
        <v>180</v>
      </c>
      <c r="AU183" s="777"/>
      <c r="AV183" s="778"/>
      <c r="AW183" s="778"/>
      <c r="AX183" s="778"/>
      <c r="AY183" s="778"/>
      <c r="AZ183" s="778"/>
      <c r="BA183" s="778"/>
      <c r="BB183" s="778"/>
      <c r="BC183" s="778"/>
      <c r="BD183" s="778"/>
      <c r="BE183" s="778"/>
      <c r="BF183" s="778"/>
      <c r="BG183" s="778"/>
      <c r="BH183" s="778"/>
      <c r="BI183" s="778"/>
      <c r="BJ183" s="778"/>
      <c r="BK183" s="778"/>
      <c r="BL183" s="778"/>
      <c r="BM183" s="778"/>
    </row>
    <row r="184" s="771" customFormat="1" ht="31" hidden="1" customHeight="1" spans="1:65">
      <c r="A184" s="775">
        <v>45803</v>
      </c>
      <c r="B184" s="776" t="s">
        <v>845</v>
      </c>
      <c r="C184" s="509" t="s">
        <v>271</v>
      </c>
      <c r="D184" s="777">
        <v>4500168001</v>
      </c>
      <c r="E184" s="509">
        <v>4400487406</v>
      </c>
      <c r="F184" s="778" t="s">
        <v>846</v>
      </c>
      <c r="G184" s="779" t="s">
        <v>148</v>
      </c>
      <c r="H184" s="509" t="s">
        <v>847</v>
      </c>
      <c r="I184" s="509">
        <v>600</v>
      </c>
      <c r="J184" s="509">
        <v>0</v>
      </c>
      <c r="K184" s="509">
        <v>8</v>
      </c>
      <c r="L184" s="780">
        <f t="shared" si="37"/>
        <v>75</v>
      </c>
      <c r="M184" s="781">
        <v>45840</v>
      </c>
      <c r="N184" s="781">
        <v>45840</v>
      </c>
      <c r="O184" s="782"/>
      <c r="P184" s="782" t="s">
        <v>103</v>
      </c>
      <c r="Q184" s="509"/>
      <c r="R184" s="784">
        <v>45803</v>
      </c>
      <c r="S184" s="784" t="s">
        <v>66</v>
      </c>
      <c r="T184" s="784" t="s">
        <v>149</v>
      </c>
      <c r="U184" s="784"/>
      <c r="V184" s="784"/>
      <c r="W184" s="776" t="s">
        <v>848</v>
      </c>
      <c r="X184" s="781" t="s">
        <v>849</v>
      </c>
      <c r="Y184" s="785">
        <v>4.2227</v>
      </c>
      <c r="Z184" s="786">
        <f t="shared" si="45"/>
        <v>2533.62</v>
      </c>
      <c r="AA184" s="509" t="s">
        <v>850</v>
      </c>
      <c r="AB184" s="779" t="s">
        <v>148</v>
      </c>
      <c r="AC184" s="509" t="s">
        <v>76</v>
      </c>
      <c r="AD184" s="509"/>
      <c r="AE184" s="635" t="s">
        <v>69</v>
      </c>
      <c r="AF184" s="635"/>
      <c r="AG184" s="788">
        <v>600</v>
      </c>
      <c r="AH184" s="782">
        <f t="shared" si="40"/>
        <v>0</v>
      </c>
      <c r="AI184" s="509"/>
      <c r="AJ184" s="509"/>
      <c r="AK184" s="509"/>
      <c r="AL184" s="777">
        <f t="shared" si="46"/>
        <v>600</v>
      </c>
      <c r="AM184" s="656"/>
      <c r="AN184" s="656"/>
      <c r="AO184" s="656"/>
      <c r="AP184" s="777"/>
      <c r="AQ184" s="656"/>
      <c r="AR184" s="777"/>
      <c r="AS184" s="777"/>
      <c r="AT184" s="777">
        <f t="shared" si="47"/>
        <v>600</v>
      </c>
      <c r="AU184" s="777"/>
      <c r="AV184" s="778"/>
      <c r="AW184" s="778"/>
      <c r="AX184" s="778"/>
      <c r="AY184" s="778"/>
      <c r="AZ184" s="777">
        <f>I184</f>
        <v>600</v>
      </c>
      <c r="BA184" s="777">
        <f>I184</f>
        <v>600</v>
      </c>
      <c r="BB184" s="778"/>
      <c r="BC184" s="778"/>
      <c r="BD184" s="778"/>
      <c r="BE184" s="777">
        <f>I184/4</f>
        <v>150</v>
      </c>
      <c r="BF184" s="778"/>
      <c r="BG184" s="778"/>
      <c r="BH184" s="778"/>
      <c r="BI184" s="778"/>
      <c r="BJ184" s="778"/>
      <c r="BK184" s="778"/>
      <c r="BL184" s="778"/>
      <c r="BM184" s="778"/>
    </row>
    <row r="185" s="771" customFormat="1" ht="31" hidden="1" customHeight="1" spans="1:65">
      <c r="A185" s="775">
        <v>45806</v>
      </c>
      <c r="B185" s="776" t="s">
        <v>840</v>
      </c>
      <c r="C185" s="509" t="s">
        <v>841</v>
      </c>
      <c r="D185" s="777">
        <v>4500168463</v>
      </c>
      <c r="E185" s="509"/>
      <c r="F185" s="778" t="s">
        <v>851</v>
      </c>
      <c r="G185" s="779" t="s">
        <v>64</v>
      </c>
      <c r="H185" s="509" t="s">
        <v>65</v>
      </c>
      <c r="I185" s="509">
        <v>240</v>
      </c>
      <c r="J185" s="509">
        <v>0</v>
      </c>
      <c r="K185" s="509">
        <v>12</v>
      </c>
      <c r="L185" s="780">
        <f t="shared" si="37"/>
        <v>20</v>
      </c>
      <c r="M185" s="781">
        <v>45840</v>
      </c>
      <c r="N185" s="781">
        <v>45840</v>
      </c>
      <c r="O185" s="782"/>
      <c r="P185" s="782" t="s">
        <v>103</v>
      </c>
      <c r="Q185" s="509"/>
      <c r="R185" s="784">
        <v>45814</v>
      </c>
      <c r="S185" s="784" t="s">
        <v>66</v>
      </c>
      <c r="T185" s="784">
        <v>45813</v>
      </c>
      <c r="U185" s="784"/>
      <c r="V185" s="784"/>
      <c r="W185" s="776" t="s">
        <v>852</v>
      </c>
      <c r="X185" s="781" t="s">
        <v>853</v>
      </c>
      <c r="Y185" s="785">
        <v>4.1456</v>
      </c>
      <c r="Z185" s="786">
        <f t="shared" si="45"/>
        <v>994.944</v>
      </c>
      <c r="AA185" s="509" t="s">
        <v>854</v>
      </c>
      <c r="AB185" s="792" t="s">
        <v>148</v>
      </c>
      <c r="AC185" s="509" t="s">
        <v>76</v>
      </c>
      <c r="AD185" s="509"/>
      <c r="AE185" s="635" t="s">
        <v>69</v>
      </c>
      <c r="AF185" s="635"/>
      <c r="AG185" s="788">
        <v>240</v>
      </c>
      <c r="AH185" s="782">
        <f t="shared" si="40"/>
        <v>0</v>
      </c>
      <c r="AI185" s="509"/>
      <c r="AJ185" s="509"/>
      <c r="AK185" s="509"/>
      <c r="AL185" s="777">
        <f t="shared" si="46"/>
        <v>240</v>
      </c>
      <c r="AM185" s="656"/>
      <c r="AN185" s="656"/>
      <c r="AO185" s="656"/>
      <c r="AP185" s="777"/>
      <c r="AQ185" s="656">
        <f>I185</f>
        <v>240</v>
      </c>
      <c r="AR185" s="777">
        <f>I185</f>
        <v>240</v>
      </c>
      <c r="AS185" s="777"/>
      <c r="AT185" s="777">
        <f t="shared" si="47"/>
        <v>240</v>
      </c>
      <c r="AU185" s="777"/>
      <c r="AV185" s="778"/>
      <c r="AW185" s="778"/>
      <c r="AX185" s="778"/>
      <c r="AY185" s="778"/>
      <c r="AZ185" s="778"/>
      <c r="BA185" s="778"/>
      <c r="BB185" s="778"/>
      <c r="BC185" s="778"/>
      <c r="BD185" s="778"/>
      <c r="BE185" s="778"/>
      <c r="BF185" s="778"/>
      <c r="BG185" s="778"/>
      <c r="BH185" s="778"/>
      <c r="BI185" s="778"/>
      <c r="BJ185" s="778"/>
      <c r="BK185" s="778"/>
      <c r="BL185" s="778"/>
      <c r="BM185" s="778"/>
    </row>
    <row r="186" s="771" customFormat="1" ht="31" hidden="1" customHeight="1" spans="1:65">
      <c r="A186" s="775">
        <v>45808</v>
      </c>
      <c r="B186" s="776" t="s">
        <v>840</v>
      </c>
      <c r="C186" s="509" t="s">
        <v>841</v>
      </c>
      <c r="D186" s="777">
        <v>4500168594</v>
      </c>
      <c r="E186" s="509"/>
      <c r="F186" s="778" t="s">
        <v>855</v>
      </c>
      <c r="G186" s="779" t="s">
        <v>64</v>
      </c>
      <c r="H186" s="509" t="s">
        <v>65</v>
      </c>
      <c r="I186" s="509">
        <v>120</v>
      </c>
      <c r="J186" s="509">
        <v>0</v>
      </c>
      <c r="K186" s="509">
        <v>12</v>
      </c>
      <c r="L186" s="780">
        <f t="shared" si="37"/>
        <v>10</v>
      </c>
      <c r="M186" s="781">
        <v>45840</v>
      </c>
      <c r="N186" s="781">
        <v>45840</v>
      </c>
      <c r="O186" s="782"/>
      <c r="P186" s="782" t="s">
        <v>103</v>
      </c>
      <c r="Q186" s="509"/>
      <c r="R186" s="784">
        <v>45814</v>
      </c>
      <c r="S186" s="784" t="s">
        <v>66</v>
      </c>
      <c r="T186" s="784">
        <v>45813</v>
      </c>
      <c r="U186" s="784"/>
      <c r="V186" s="784"/>
      <c r="W186" s="776" t="s">
        <v>852</v>
      </c>
      <c r="X186" s="781" t="s">
        <v>853</v>
      </c>
      <c r="Y186" s="785">
        <v>4.1456</v>
      </c>
      <c r="Z186" s="786">
        <f t="shared" si="45"/>
        <v>497.472</v>
      </c>
      <c r="AA186" s="458" t="s">
        <v>856</v>
      </c>
      <c r="AB186" s="509" t="s">
        <v>165</v>
      </c>
      <c r="AC186" s="509" t="s">
        <v>76</v>
      </c>
      <c r="AD186" s="509"/>
      <c r="AE186" s="635" t="s">
        <v>69</v>
      </c>
      <c r="AF186" s="635"/>
      <c r="AG186" s="788">
        <v>120</v>
      </c>
      <c r="AH186" s="782">
        <f t="shared" si="40"/>
        <v>0</v>
      </c>
      <c r="AI186" s="509"/>
      <c r="AJ186" s="509"/>
      <c r="AK186" s="509"/>
      <c r="AL186" s="777">
        <f t="shared" si="46"/>
        <v>120</v>
      </c>
      <c r="AM186" s="656"/>
      <c r="AN186" s="656"/>
      <c r="AO186" s="656"/>
      <c r="AP186" s="777"/>
      <c r="AQ186" s="656">
        <f>I186</f>
        <v>120</v>
      </c>
      <c r="AR186" s="777">
        <f>I186</f>
        <v>120</v>
      </c>
      <c r="AS186" s="777"/>
      <c r="AT186" s="777">
        <f t="shared" si="47"/>
        <v>120</v>
      </c>
      <c r="AU186" s="777"/>
      <c r="AV186" s="778"/>
      <c r="AW186" s="778"/>
      <c r="AX186" s="778"/>
      <c r="AY186" s="778"/>
      <c r="AZ186" s="778"/>
      <c r="BA186" s="778"/>
      <c r="BB186" s="778"/>
      <c r="BC186" s="778"/>
      <c r="BD186" s="778"/>
      <c r="BE186" s="778"/>
      <c r="BF186" s="778"/>
      <c r="BG186" s="778"/>
      <c r="BH186" s="778"/>
      <c r="BI186" s="778"/>
      <c r="BJ186" s="778"/>
      <c r="BK186" s="778"/>
      <c r="BL186" s="778"/>
      <c r="BM186" s="778"/>
    </row>
    <row r="187" s="771" customFormat="1" ht="31" hidden="1" customHeight="1" spans="1:65">
      <c r="A187" s="775">
        <v>45769</v>
      </c>
      <c r="B187" s="776" t="s">
        <v>857</v>
      </c>
      <c r="C187" s="509" t="s">
        <v>249</v>
      </c>
      <c r="D187" s="777">
        <v>4500164547</v>
      </c>
      <c r="E187" s="509" t="s">
        <v>858</v>
      </c>
      <c r="F187" s="778" t="s">
        <v>859</v>
      </c>
      <c r="G187" s="779" t="s">
        <v>743</v>
      </c>
      <c r="H187" s="509" t="s">
        <v>744</v>
      </c>
      <c r="I187" s="509">
        <v>72</v>
      </c>
      <c r="J187" s="509">
        <v>0</v>
      </c>
      <c r="K187" s="509">
        <v>1</v>
      </c>
      <c r="L187" s="780">
        <f t="shared" si="37"/>
        <v>72</v>
      </c>
      <c r="M187" s="781">
        <v>45840</v>
      </c>
      <c r="N187" s="781">
        <v>45840</v>
      </c>
      <c r="O187" s="782" t="s">
        <v>860</v>
      </c>
      <c r="P187" s="782" t="s">
        <v>103</v>
      </c>
      <c r="Q187" s="509"/>
      <c r="R187" s="784">
        <v>45785</v>
      </c>
      <c r="S187" s="784" t="s">
        <v>66</v>
      </c>
      <c r="T187" s="784" t="s">
        <v>66</v>
      </c>
      <c r="U187" s="784"/>
      <c r="V187" s="784"/>
      <c r="W187" s="776" t="s">
        <v>861</v>
      </c>
      <c r="X187" s="781" t="s">
        <v>219</v>
      </c>
      <c r="Y187" s="785">
        <v>755</v>
      </c>
      <c r="Z187" s="786">
        <f>Y187*L187</f>
        <v>54360</v>
      </c>
      <c r="AA187" s="458" t="s">
        <v>862</v>
      </c>
      <c r="AB187" s="509" t="s">
        <v>743</v>
      </c>
      <c r="AC187" s="509" t="s">
        <v>76</v>
      </c>
      <c r="AD187" s="509"/>
      <c r="AE187" s="635" t="s">
        <v>69</v>
      </c>
      <c r="AF187" s="635"/>
      <c r="AG187" s="788">
        <v>0</v>
      </c>
      <c r="AH187" s="782"/>
      <c r="AI187" s="509"/>
      <c r="AJ187" s="509"/>
      <c r="AK187" s="509"/>
      <c r="AL187" s="777"/>
      <c r="AM187" s="656"/>
      <c r="AN187" s="656"/>
      <c r="AO187" s="656"/>
      <c r="AP187" s="777"/>
      <c r="AQ187" s="656"/>
      <c r="AR187" s="777"/>
      <c r="AS187" s="777"/>
      <c r="AT187" s="777"/>
      <c r="AU187" s="777"/>
      <c r="AV187" s="778"/>
      <c r="AW187" s="778"/>
      <c r="AX187" s="778"/>
      <c r="AY187" s="778"/>
      <c r="AZ187" s="778"/>
      <c r="BA187" s="778"/>
      <c r="BB187" s="778"/>
      <c r="BC187" s="778"/>
      <c r="BD187" s="778"/>
      <c r="BE187" s="778"/>
      <c r="BF187" s="778"/>
      <c r="BG187" s="778"/>
      <c r="BH187" s="778"/>
      <c r="BI187" s="778"/>
      <c r="BJ187" s="778"/>
      <c r="BK187" s="778"/>
      <c r="BL187" s="778"/>
      <c r="BM187" s="778"/>
    </row>
    <row r="188" s="771" customFormat="1" ht="31" hidden="1" customHeight="1" spans="1:65">
      <c r="A188" s="775">
        <v>45769</v>
      </c>
      <c r="B188" s="776" t="s">
        <v>857</v>
      </c>
      <c r="C188" s="509" t="s">
        <v>249</v>
      </c>
      <c r="D188" s="777">
        <v>4500164547</v>
      </c>
      <c r="E188" s="509" t="s">
        <v>858</v>
      </c>
      <c r="F188" s="778" t="s">
        <v>859</v>
      </c>
      <c r="G188" s="779" t="s">
        <v>460</v>
      </c>
      <c r="H188" s="509" t="s">
        <v>65</v>
      </c>
      <c r="I188" s="509">
        <v>5400</v>
      </c>
      <c r="J188" s="509">
        <v>0</v>
      </c>
      <c r="K188" s="509">
        <v>75</v>
      </c>
      <c r="L188" s="780">
        <f t="shared" si="37"/>
        <v>72</v>
      </c>
      <c r="M188" s="781">
        <v>45840</v>
      </c>
      <c r="N188" s="781">
        <v>45840</v>
      </c>
      <c r="O188" s="782" t="s">
        <v>860</v>
      </c>
      <c r="P188" s="782" t="s">
        <v>103</v>
      </c>
      <c r="Q188" s="509"/>
      <c r="R188" s="784">
        <v>45785</v>
      </c>
      <c r="S188" s="784" t="s">
        <v>66</v>
      </c>
      <c r="T188" s="784" t="s">
        <v>66</v>
      </c>
      <c r="U188" s="784"/>
      <c r="V188" s="784"/>
      <c r="W188" s="776"/>
      <c r="X188" s="781" t="s">
        <v>219</v>
      </c>
      <c r="Y188" s="785">
        <v>755</v>
      </c>
      <c r="Z188" s="786">
        <f>Y188*L188</f>
        <v>54360</v>
      </c>
      <c r="AA188" s="509"/>
      <c r="AB188" s="509" t="s">
        <v>743</v>
      </c>
      <c r="AC188" s="509" t="s">
        <v>76</v>
      </c>
      <c r="AD188" s="509"/>
      <c r="AE188" s="635" t="s">
        <v>69</v>
      </c>
      <c r="AF188" s="635"/>
      <c r="AG188" s="788">
        <v>0</v>
      </c>
      <c r="AH188" s="782"/>
      <c r="AI188" s="509"/>
      <c r="AJ188" s="509"/>
      <c r="AK188" s="509"/>
      <c r="AL188" s="777"/>
      <c r="AM188" s="656"/>
      <c r="AN188" s="656"/>
      <c r="AO188" s="656">
        <f>I188</f>
        <v>5400</v>
      </c>
      <c r="AP188" s="777"/>
      <c r="AQ188" s="656"/>
      <c r="AR188" s="777"/>
      <c r="AS188" s="777"/>
      <c r="AT188" s="777"/>
      <c r="AU188" s="777"/>
      <c r="AV188" s="778"/>
      <c r="AW188" s="778">
        <f>I188</f>
        <v>5400</v>
      </c>
      <c r="AX188" s="778">
        <f>I188</f>
        <v>5400</v>
      </c>
      <c r="AY188" s="778">
        <f>I188</f>
        <v>5400</v>
      </c>
      <c r="AZ188" s="778"/>
      <c r="BA188" s="778"/>
      <c r="BB188" s="778"/>
      <c r="BC188" s="778"/>
      <c r="BD188" s="778"/>
      <c r="BE188" s="778"/>
      <c r="BF188" s="778"/>
      <c r="BG188" s="778">
        <f>I188</f>
        <v>5400</v>
      </c>
      <c r="BH188" s="778">
        <f>I188/5</f>
        <v>1080</v>
      </c>
      <c r="BI188" s="778"/>
      <c r="BJ188" s="778"/>
      <c r="BK188" s="778"/>
      <c r="BL188" s="778"/>
      <c r="BM188" s="778"/>
    </row>
    <row r="189" s="771" customFormat="1" ht="31" hidden="1" customHeight="1" spans="1:65">
      <c r="A189" s="775">
        <v>45775</v>
      </c>
      <c r="B189" s="776" t="s">
        <v>128</v>
      </c>
      <c r="C189" s="509" t="s">
        <v>90</v>
      </c>
      <c r="D189" s="777">
        <v>4500162964</v>
      </c>
      <c r="E189" s="509" t="s">
        <v>863</v>
      </c>
      <c r="F189" s="778" t="s">
        <v>864</v>
      </c>
      <c r="G189" s="779" t="s">
        <v>93</v>
      </c>
      <c r="H189" s="509" t="s">
        <v>94</v>
      </c>
      <c r="I189" s="509">
        <v>1504</v>
      </c>
      <c r="J189" s="509">
        <v>0</v>
      </c>
      <c r="K189" s="509">
        <v>4</v>
      </c>
      <c r="L189" s="780">
        <f t="shared" si="37"/>
        <v>376</v>
      </c>
      <c r="M189" s="781">
        <v>45838</v>
      </c>
      <c r="N189" s="781">
        <v>45841</v>
      </c>
      <c r="O189" s="782" t="s">
        <v>865</v>
      </c>
      <c r="P189" s="782" t="s">
        <v>103</v>
      </c>
      <c r="Q189" s="509"/>
      <c r="R189" s="784" t="s">
        <v>430</v>
      </c>
      <c r="S189" s="784" t="s">
        <v>66</v>
      </c>
      <c r="T189" s="784" t="s">
        <v>623</v>
      </c>
      <c r="U189" s="683" t="s">
        <v>133</v>
      </c>
      <c r="V189" s="784"/>
      <c r="W189" s="776" t="s">
        <v>330</v>
      </c>
      <c r="X189" s="781" t="s">
        <v>98</v>
      </c>
      <c r="Y189" s="785">
        <v>3.06</v>
      </c>
      <c r="Z189" s="786">
        <f t="shared" ref="Z189:Z201" si="48">Y189*I189</f>
        <v>4602.24</v>
      </c>
      <c r="AA189" s="509" t="s">
        <v>866</v>
      </c>
      <c r="AB189" s="509" t="s">
        <v>93</v>
      </c>
      <c r="AC189" s="509" t="s">
        <v>76</v>
      </c>
      <c r="AD189" s="509"/>
      <c r="AE189" s="635" t="s">
        <v>69</v>
      </c>
      <c r="AF189" s="635"/>
      <c r="AG189" s="788">
        <v>1504</v>
      </c>
      <c r="AH189" s="782">
        <f t="shared" si="40"/>
        <v>0</v>
      </c>
      <c r="AI189" s="509"/>
      <c r="AJ189" s="509"/>
      <c r="AK189" s="509"/>
      <c r="AL189" s="777">
        <f t="shared" ref="AL189:AL201" si="49">I189</f>
        <v>1504</v>
      </c>
      <c r="AM189" s="656"/>
      <c r="AN189" s="656"/>
      <c r="AO189" s="656"/>
      <c r="AP189" s="777">
        <f>I189</f>
        <v>1504</v>
      </c>
      <c r="AQ189" s="656"/>
      <c r="AR189" s="777">
        <f t="shared" ref="AR189:AR201" si="50">I189</f>
        <v>1504</v>
      </c>
      <c r="AS189" s="777"/>
      <c r="AT189" s="543">
        <f>I189</f>
        <v>1504</v>
      </c>
      <c r="AU189" s="777"/>
      <c r="AV189" s="778"/>
      <c r="AW189" s="778"/>
      <c r="AX189" s="778"/>
      <c r="AY189" s="778"/>
      <c r="AZ189" s="778"/>
      <c r="BA189" s="778"/>
      <c r="BB189" s="778"/>
      <c r="BC189" s="778"/>
      <c r="BD189" s="777">
        <f>I189/4</f>
        <v>376</v>
      </c>
      <c r="BE189" s="778"/>
      <c r="BF189" s="778"/>
      <c r="BG189" s="778"/>
      <c r="BH189" s="778"/>
      <c r="BI189" s="778"/>
      <c r="BJ189" s="778"/>
      <c r="BK189" s="778"/>
      <c r="BL189" s="778"/>
      <c r="BM189" s="778"/>
    </row>
    <row r="190" s="771" customFormat="1" ht="31" hidden="1" customHeight="1" spans="1:65">
      <c r="A190" s="775">
        <v>45799</v>
      </c>
      <c r="B190" s="776" t="s">
        <v>128</v>
      </c>
      <c r="C190" s="509" t="s">
        <v>90</v>
      </c>
      <c r="D190" s="777">
        <v>4500167594</v>
      </c>
      <c r="E190" s="886" t="s">
        <v>867</v>
      </c>
      <c r="F190" s="778" t="s">
        <v>868</v>
      </c>
      <c r="G190" s="779" t="s">
        <v>93</v>
      </c>
      <c r="H190" s="509" t="s">
        <v>94</v>
      </c>
      <c r="I190" s="509">
        <v>2328</v>
      </c>
      <c r="J190" s="509">
        <v>0</v>
      </c>
      <c r="K190" s="509">
        <v>4</v>
      </c>
      <c r="L190" s="780">
        <f t="shared" si="37"/>
        <v>582</v>
      </c>
      <c r="M190" s="781">
        <v>45838</v>
      </c>
      <c r="N190" s="781">
        <v>45841</v>
      </c>
      <c r="O190" s="782" t="s">
        <v>869</v>
      </c>
      <c r="P190" s="782" t="s">
        <v>103</v>
      </c>
      <c r="Q190" s="509"/>
      <c r="R190" s="784" t="s">
        <v>870</v>
      </c>
      <c r="S190" s="784" t="s">
        <v>66</v>
      </c>
      <c r="T190" s="784" t="s">
        <v>623</v>
      </c>
      <c r="U190" s="683" t="s">
        <v>133</v>
      </c>
      <c r="V190" s="784"/>
      <c r="W190" s="776" t="s">
        <v>134</v>
      </c>
      <c r="X190" s="781" t="s">
        <v>98</v>
      </c>
      <c r="Y190" s="785">
        <v>2.58</v>
      </c>
      <c r="Z190" s="786">
        <f t="shared" si="48"/>
        <v>6006.24</v>
      </c>
      <c r="AA190" s="509" t="s">
        <v>871</v>
      </c>
      <c r="AB190" s="509" t="s">
        <v>93</v>
      </c>
      <c r="AC190" s="509" t="s">
        <v>76</v>
      </c>
      <c r="AD190" s="509"/>
      <c r="AE190" s="635" t="s">
        <v>69</v>
      </c>
      <c r="AF190" s="635"/>
      <c r="AG190" s="788">
        <v>2328</v>
      </c>
      <c r="AH190" s="782">
        <f t="shared" si="40"/>
        <v>0</v>
      </c>
      <c r="AI190" s="509"/>
      <c r="AJ190" s="509"/>
      <c r="AK190" s="509"/>
      <c r="AL190" s="777">
        <f t="shared" si="49"/>
        <v>2328</v>
      </c>
      <c r="AM190" s="656"/>
      <c r="AN190" s="656"/>
      <c r="AO190" s="656"/>
      <c r="AP190" s="777">
        <f>I190</f>
        <v>2328</v>
      </c>
      <c r="AQ190" s="656"/>
      <c r="AR190" s="777">
        <f t="shared" si="50"/>
        <v>2328</v>
      </c>
      <c r="AS190" s="777"/>
      <c r="AT190" s="543">
        <f>I190</f>
        <v>2328</v>
      </c>
      <c r="AU190" s="777"/>
      <c r="AV190" s="778"/>
      <c r="AW190" s="778"/>
      <c r="AX190" s="778"/>
      <c r="AY190" s="778"/>
      <c r="AZ190" s="778"/>
      <c r="BA190" s="778"/>
      <c r="BB190" s="778"/>
      <c r="BC190" s="778"/>
      <c r="BD190" s="777">
        <f>I190/4</f>
        <v>582</v>
      </c>
      <c r="BE190" s="778"/>
      <c r="BF190" s="778"/>
      <c r="BG190" s="778"/>
      <c r="BH190" s="778"/>
      <c r="BI190" s="778"/>
      <c r="BJ190" s="778"/>
      <c r="BK190" s="778"/>
      <c r="BL190" s="778"/>
      <c r="BM190" s="778"/>
    </row>
    <row r="191" s="771" customFormat="1" ht="31" hidden="1" customHeight="1" spans="1:65">
      <c r="A191" s="775">
        <v>45799</v>
      </c>
      <c r="B191" s="776" t="s">
        <v>489</v>
      </c>
      <c r="C191" s="509" t="s">
        <v>249</v>
      </c>
      <c r="D191" s="777">
        <v>4500167501</v>
      </c>
      <c r="E191" s="509" t="s">
        <v>872</v>
      </c>
      <c r="F191" s="778" t="s">
        <v>873</v>
      </c>
      <c r="G191" s="779" t="s">
        <v>64</v>
      </c>
      <c r="H191" s="509" t="s">
        <v>65</v>
      </c>
      <c r="I191" s="509">
        <v>492</v>
      </c>
      <c r="J191" s="509">
        <v>0</v>
      </c>
      <c r="K191" s="509">
        <v>12</v>
      </c>
      <c r="L191" s="780">
        <f t="shared" si="37"/>
        <v>41</v>
      </c>
      <c r="M191" s="781">
        <v>45838</v>
      </c>
      <c r="N191" s="781">
        <v>45842</v>
      </c>
      <c r="O191" s="782"/>
      <c r="P191" s="782" t="s">
        <v>103</v>
      </c>
      <c r="Q191" s="509"/>
      <c r="R191" s="784" t="s">
        <v>411</v>
      </c>
      <c r="S191" s="784" t="s">
        <v>96</v>
      </c>
      <c r="T191" s="784" t="s">
        <v>874</v>
      </c>
      <c r="U191" s="784"/>
      <c r="V191" s="784"/>
      <c r="W191" s="776" t="s">
        <v>875</v>
      </c>
      <c r="X191" s="781" t="s">
        <v>414</v>
      </c>
      <c r="Y191" s="785">
        <v>4.1456</v>
      </c>
      <c r="Z191" s="786">
        <f t="shared" si="48"/>
        <v>2039.6352</v>
      </c>
      <c r="AA191" s="509" t="s">
        <v>876</v>
      </c>
      <c r="AB191" s="509" t="s">
        <v>165</v>
      </c>
      <c r="AC191" s="509" t="s">
        <v>76</v>
      </c>
      <c r="AD191" s="509"/>
      <c r="AE191" s="635" t="s">
        <v>69</v>
      </c>
      <c r="AF191" s="635"/>
      <c r="AG191" s="788">
        <v>492</v>
      </c>
      <c r="AH191" s="782">
        <f t="shared" si="40"/>
        <v>0</v>
      </c>
      <c r="AI191" s="509"/>
      <c r="AJ191" s="509"/>
      <c r="AK191" s="509"/>
      <c r="AL191" s="777">
        <f t="shared" si="49"/>
        <v>492</v>
      </c>
      <c r="AM191" s="656"/>
      <c r="AN191" s="656"/>
      <c r="AO191" s="656"/>
      <c r="AP191" s="777"/>
      <c r="AQ191" s="656">
        <f>I191</f>
        <v>492</v>
      </c>
      <c r="AR191" s="777">
        <f t="shared" si="50"/>
        <v>492</v>
      </c>
      <c r="AS191" s="777"/>
      <c r="AT191" s="543">
        <f>I191</f>
        <v>492</v>
      </c>
      <c r="AU191" s="777"/>
      <c r="AV191" s="778"/>
      <c r="AW191" s="778"/>
      <c r="AX191" s="778"/>
      <c r="AY191" s="778"/>
      <c r="AZ191" s="778"/>
      <c r="BA191" s="778"/>
      <c r="BB191" s="778"/>
      <c r="BC191" s="778"/>
      <c r="BD191" s="778"/>
      <c r="BE191" s="778"/>
      <c r="BF191" s="778"/>
      <c r="BG191" s="778"/>
      <c r="BH191" s="778"/>
      <c r="BI191" s="778"/>
      <c r="BJ191" s="778"/>
      <c r="BK191" s="778"/>
      <c r="BL191" s="778"/>
      <c r="BM191" s="778"/>
    </row>
    <row r="192" s="771" customFormat="1" ht="31" hidden="1" customHeight="1" spans="1:65">
      <c r="A192" s="775">
        <v>45769</v>
      </c>
      <c r="B192" s="776" t="s">
        <v>360</v>
      </c>
      <c r="C192" s="509" t="s">
        <v>249</v>
      </c>
      <c r="D192" s="777">
        <v>4500163807</v>
      </c>
      <c r="E192" s="509">
        <v>240021</v>
      </c>
      <c r="F192" s="778" t="s">
        <v>877</v>
      </c>
      <c r="G192" s="779" t="s">
        <v>64</v>
      </c>
      <c r="H192" s="509" t="s">
        <v>65</v>
      </c>
      <c r="I192" s="509">
        <v>252</v>
      </c>
      <c r="J192" s="509">
        <v>0</v>
      </c>
      <c r="K192" s="509">
        <v>12</v>
      </c>
      <c r="L192" s="780">
        <f t="shared" si="37"/>
        <v>21</v>
      </c>
      <c r="M192" s="781">
        <v>45842</v>
      </c>
      <c r="N192" s="781">
        <v>45842</v>
      </c>
      <c r="O192" s="782"/>
      <c r="P192" s="782" t="s">
        <v>103</v>
      </c>
      <c r="Q192" s="509"/>
      <c r="R192" s="784">
        <v>45769</v>
      </c>
      <c r="S192" s="784" t="s">
        <v>66</v>
      </c>
      <c r="T192" s="784">
        <v>45799</v>
      </c>
      <c r="U192" s="784"/>
      <c r="V192" s="784"/>
      <c r="W192" s="776" t="s">
        <v>878</v>
      </c>
      <c r="X192" s="781" t="s">
        <v>879</v>
      </c>
      <c r="Y192" s="785">
        <v>4.1</v>
      </c>
      <c r="Z192" s="786">
        <f t="shared" si="48"/>
        <v>1033.2</v>
      </c>
      <c r="AA192" s="509" t="s">
        <v>880</v>
      </c>
      <c r="AB192" s="509" t="s">
        <v>64</v>
      </c>
      <c r="AC192" s="509" t="s">
        <v>76</v>
      </c>
      <c r="AD192" s="509"/>
      <c r="AE192" s="635" t="s">
        <v>69</v>
      </c>
      <c r="AF192" s="635"/>
      <c r="AG192" s="788">
        <v>252</v>
      </c>
      <c r="AH192" s="782">
        <f t="shared" si="40"/>
        <v>0</v>
      </c>
      <c r="AI192" s="509"/>
      <c r="AJ192" s="509"/>
      <c r="AK192" s="509"/>
      <c r="AL192" s="777">
        <f t="shared" si="49"/>
        <v>252</v>
      </c>
      <c r="AM192" s="656"/>
      <c r="AN192" s="656"/>
      <c r="AO192" s="656"/>
      <c r="AP192" s="777">
        <f>I192</f>
        <v>252</v>
      </c>
      <c r="AQ192" s="656"/>
      <c r="AR192" s="777">
        <f t="shared" si="50"/>
        <v>252</v>
      </c>
      <c r="AS192" s="777"/>
      <c r="AT192" s="543">
        <f>I192</f>
        <v>252</v>
      </c>
      <c r="AU192" s="777"/>
      <c r="AV192" s="778"/>
      <c r="AW192" s="778"/>
      <c r="AX192" s="778"/>
      <c r="AY192" s="778"/>
      <c r="AZ192" s="778"/>
      <c r="BA192" s="778"/>
      <c r="BB192" s="778"/>
      <c r="BC192" s="778"/>
      <c r="BD192" s="778"/>
      <c r="BE192" s="778"/>
      <c r="BF192" s="778"/>
      <c r="BG192" s="778"/>
      <c r="BH192" s="778"/>
      <c r="BI192" s="778"/>
      <c r="BJ192" s="778"/>
      <c r="BK192" s="778"/>
      <c r="BL192" s="778"/>
      <c r="BM192" s="778"/>
    </row>
    <row r="193" s="771" customFormat="1" ht="31" hidden="1" customHeight="1" spans="1:65">
      <c r="A193" s="775">
        <v>45797</v>
      </c>
      <c r="B193" s="776" t="s">
        <v>881</v>
      </c>
      <c r="C193" s="509" t="s">
        <v>882</v>
      </c>
      <c r="D193" s="777">
        <v>4500166992</v>
      </c>
      <c r="E193" s="886" t="s">
        <v>883</v>
      </c>
      <c r="F193" s="778" t="s">
        <v>884</v>
      </c>
      <c r="G193" s="779" t="s">
        <v>64</v>
      </c>
      <c r="H193" s="509" t="s">
        <v>65</v>
      </c>
      <c r="I193" s="509">
        <v>636</v>
      </c>
      <c r="J193" s="509">
        <v>0</v>
      </c>
      <c r="K193" s="509">
        <v>12</v>
      </c>
      <c r="L193" s="780">
        <f t="shared" si="37"/>
        <v>53</v>
      </c>
      <c r="M193" s="781">
        <v>45842</v>
      </c>
      <c r="N193" s="781">
        <v>45842</v>
      </c>
      <c r="O193" s="782"/>
      <c r="P193" s="782" t="s">
        <v>103</v>
      </c>
      <c r="Q193" s="509"/>
      <c r="R193" s="784">
        <v>45797</v>
      </c>
      <c r="S193" s="784" t="s">
        <v>66</v>
      </c>
      <c r="T193" s="784">
        <v>45807</v>
      </c>
      <c r="U193" s="784"/>
      <c r="V193" s="784"/>
      <c r="W193" s="776" t="s">
        <v>885</v>
      </c>
      <c r="X193" s="781" t="s">
        <v>886</v>
      </c>
      <c r="Y193" s="785">
        <v>4.1456</v>
      </c>
      <c r="Z193" s="786">
        <f t="shared" si="48"/>
        <v>2636.6016</v>
      </c>
      <c r="AA193" s="458" t="s">
        <v>887</v>
      </c>
      <c r="AB193" s="509" t="s">
        <v>165</v>
      </c>
      <c r="AC193" s="509" t="s">
        <v>76</v>
      </c>
      <c r="AD193" s="509"/>
      <c r="AE193" s="635" t="s">
        <v>69</v>
      </c>
      <c r="AF193" s="635"/>
      <c r="AG193" s="788">
        <v>636</v>
      </c>
      <c r="AH193" s="782">
        <f t="shared" si="40"/>
        <v>0</v>
      </c>
      <c r="AI193" s="509"/>
      <c r="AJ193" s="509"/>
      <c r="AK193" s="509"/>
      <c r="AL193" s="777">
        <f t="shared" si="49"/>
        <v>636</v>
      </c>
      <c r="AM193" s="656"/>
      <c r="AN193" s="656"/>
      <c r="AO193" s="656"/>
      <c r="AP193" s="777"/>
      <c r="AQ193" s="656">
        <f>I193</f>
        <v>636</v>
      </c>
      <c r="AR193" s="777">
        <f t="shared" si="50"/>
        <v>636</v>
      </c>
      <c r="AS193" s="777"/>
      <c r="AT193" s="543">
        <f>I193</f>
        <v>636</v>
      </c>
      <c r="AU193" s="777"/>
      <c r="AV193" s="778"/>
      <c r="AW193" s="778"/>
      <c r="AX193" s="778"/>
      <c r="AY193" s="778"/>
      <c r="AZ193" s="778"/>
      <c r="BA193" s="778"/>
      <c r="BB193" s="778"/>
      <c r="BC193" s="778"/>
      <c r="BD193" s="778"/>
      <c r="BE193" s="778"/>
      <c r="BF193" s="778"/>
      <c r="BG193" s="778"/>
      <c r="BH193" s="778"/>
      <c r="BI193" s="778"/>
      <c r="BJ193" s="778"/>
      <c r="BK193" s="778"/>
      <c r="BL193" s="778"/>
      <c r="BM193" s="778"/>
    </row>
    <row r="194" s="771" customFormat="1" ht="31" hidden="1" customHeight="1" spans="1:65">
      <c r="A194" s="775">
        <v>45807</v>
      </c>
      <c r="B194" s="776" t="s">
        <v>888</v>
      </c>
      <c r="C194" s="509" t="s">
        <v>889</v>
      </c>
      <c r="D194" s="777">
        <v>4500168579</v>
      </c>
      <c r="E194" s="509"/>
      <c r="F194" s="778" t="s">
        <v>890</v>
      </c>
      <c r="G194" s="779" t="s">
        <v>64</v>
      </c>
      <c r="H194" s="509" t="s">
        <v>65</v>
      </c>
      <c r="I194" s="509">
        <v>516</v>
      </c>
      <c r="J194" s="509">
        <v>0</v>
      </c>
      <c r="K194" s="509">
        <v>12</v>
      </c>
      <c r="L194" s="780">
        <f t="shared" si="37"/>
        <v>43</v>
      </c>
      <c r="M194" s="781">
        <v>45842</v>
      </c>
      <c r="N194" s="781">
        <v>45842</v>
      </c>
      <c r="O194" s="782"/>
      <c r="P194" s="782" t="s">
        <v>103</v>
      </c>
      <c r="Q194" s="509"/>
      <c r="R194" s="784">
        <v>45817</v>
      </c>
      <c r="S194" s="784" t="s">
        <v>66</v>
      </c>
      <c r="T194" s="784">
        <v>45825</v>
      </c>
      <c r="U194" s="784"/>
      <c r="V194" s="784"/>
      <c r="W194" s="776" t="s">
        <v>891</v>
      </c>
      <c r="X194" s="781" t="s">
        <v>370</v>
      </c>
      <c r="Y194" s="785">
        <v>4.1456</v>
      </c>
      <c r="Z194" s="786">
        <f t="shared" si="48"/>
        <v>2139.1296</v>
      </c>
      <c r="AA194" s="509" t="s">
        <v>892</v>
      </c>
      <c r="AB194" s="509" t="s">
        <v>165</v>
      </c>
      <c r="AC194" s="509" t="s">
        <v>76</v>
      </c>
      <c r="AD194" s="509"/>
      <c r="AE194" s="635" t="s">
        <v>69</v>
      </c>
      <c r="AF194" s="635"/>
      <c r="AG194" s="788">
        <v>516</v>
      </c>
      <c r="AH194" s="782">
        <f t="shared" si="40"/>
        <v>0</v>
      </c>
      <c r="AI194" s="509"/>
      <c r="AJ194" s="509"/>
      <c r="AK194" s="509"/>
      <c r="AL194" s="777">
        <f t="shared" si="49"/>
        <v>516</v>
      </c>
      <c r="AM194" s="656"/>
      <c r="AN194" s="656"/>
      <c r="AO194" s="656"/>
      <c r="AP194" s="777"/>
      <c r="AQ194" s="656">
        <f>I194</f>
        <v>516</v>
      </c>
      <c r="AR194" s="777">
        <f t="shared" si="50"/>
        <v>516</v>
      </c>
      <c r="AS194" s="777"/>
      <c r="AT194" s="777">
        <f t="shared" ref="AT194:AT201" si="51">I194</f>
        <v>516</v>
      </c>
      <c r="AU194" s="777"/>
      <c r="AV194" s="778"/>
      <c r="AW194" s="778"/>
      <c r="AX194" s="778"/>
      <c r="AY194" s="778"/>
      <c r="AZ194" s="778"/>
      <c r="BA194" s="778"/>
      <c r="BB194" s="778"/>
      <c r="BC194" s="778"/>
      <c r="BD194" s="778"/>
      <c r="BE194" s="778"/>
      <c r="BF194" s="778"/>
      <c r="BG194" s="778"/>
      <c r="BH194" s="778"/>
      <c r="BI194" s="778"/>
      <c r="BJ194" s="778"/>
      <c r="BK194" s="778"/>
      <c r="BL194" s="778"/>
      <c r="BM194" s="778"/>
    </row>
    <row r="195" s="771" customFormat="1" ht="31" hidden="1" customHeight="1" spans="1:65">
      <c r="A195" s="775">
        <v>45807</v>
      </c>
      <c r="B195" s="776" t="s">
        <v>893</v>
      </c>
      <c r="C195" s="509" t="s">
        <v>356</v>
      </c>
      <c r="D195" s="777">
        <v>4500168656</v>
      </c>
      <c r="E195" s="509"/>
      <c r="F195" s="778" t="s">
        <v>894</v>
      </c>
      <c r="G195" s="779" t="s">
        <v>64</v>
      </c>
      <c r="H195" s="509" t="s">
        <v>65</v>
      </c>
      <c r="I195" s="509">
        <v>120</v>
      </c>
      <c r="J195" s="509">
        <v>0</v>
      </c>
      <c r="K195" s="509">
        <v>12</v>
      </c>
      <c r="L195" s="780">
        <f t="shared" si="37"/>
        <v>10</v>
      </c>
      <c r="M195" s="781">
        <v>45842</v>
      </c>
      <c r="N195" s="781">
        <v>45842</v>
      </c>
      <c r="O195" s="782"/>
      <c r="P195" s="782" t="s">
        <v>103</v>
      </c>
      <c r="Q195" s="509"/>
      <c r="R195" s="784">
        <v>45813</v>
      </c>
      <c r="S195" s="784" t="s">
        <v>66</v>
      </c>
      <c r="T195" s="784" t="s">
        <v>895</v>
      </c>
      <c r="U195" s="784"/>
      <c r="V195" s="784"/>
      <c r="W195" s="776" t="s">
        <v>896</v>
      </c>
      <c r="X195" s="781" t="s">
        <v>359</v>
      </c>
      <c r="Y195" s="785">
        <v>4.1456</v>
      </c>
      <c r="Z195" s="786">
        <f t="shared" si="48"/>
        <v>497.472</v>
      </c>
      <c r="AA195" s="509" t="s">
        <v>897</v>
      </c>
      <c r="AB195" s="509" t="s">
        <v>165</v>
      </c>
      <c r="AC195" s="509" t="s">
        <v>76</v>
      </c>
      <c r="AD195" s="509"/>
      <c r="AE195" s="635" t="s">
        <v>69</v>
      </c>
      <c r="AF195" s="635"/>
      <c r="AG195" s="788">
        <f>108+12</f>
        <v>120</v>
      </c>
      <c r="AH195" s="782">
        <f t="shared" si="40"/>
        <v>0</v>
      </c>
      <c r="AI195" s="509"/>
      <c r="AJ195" s="509"/>
      <c r="AK195" s="509"/>
      <c r="AL195" s="777">
        <f t="shared" si="49"/>
        <v>120</v>
      </c>
      <c r="AM195" s="656"/>
      <c r="AN195" s="656"/>
      <c r="AO195" s="656"/>
      <c r="AP195" s="777"/>
      <c r="AQ195" s="656">
        <f>I195</f>
        <v>120</v>
      </c>
      <c r="AR195" s="777">
        <f t="shared" si="50"/>
        <v>120</v>
      </c>
      <c r="AS195" s="777"/>
      <c r="AT195" s="777">
        <f t="shared" si="51"/>
        <v>120</v>
      </c>
      <c r="AU195" s="777"/>
      <c r="AV195" s="778"/>
      <c r="AW195" s="778"/>
      <c r="AX195" s="778"/>
      <c r="AY195" s="778"/>
      <c r="AZ195" s="778"/>
      <c r="BA195" s="778"/>
      <c r="BB195" s="778"/>
      <c r="BC195" s="778"/>
      <c r="BD195" s="778"/>
      <c r="BE195" s="778"/>
      <c r="BF195" s="778"/>
      <c r="BG195" s="778"/>
      <c r="BH195" s="778"/>
      <c r="BI195" s="778"/>
      <c r="BJ195" s="778"/>
      <c r="BK195" s="778"/>
      <c r="BL195" s="778"/>
      <c r="BM195" s="778"/>
    </row>
    <row r="196" s="771" customFormat="1" ht="31" hidden="1" customHeight="1" spans="1:65">
      <c r="A196" s="775">
        <v>45806</v>
      </c>
      <c r="B196" s="776" t="s">
        <v>128</v>
      </c>
      <c r="C196" s="509" t="s">
        <v>90</v>
      </c>
      <c r="D196" s="777">
        <v>4500168362</v>
      </c>
      <c r="E196" s="886" t="s">
        <v>898</v>
      </c>
      <c r="F196" s="778" t="s">
        <v>899</v>
      </c>
      <c r="G196" s="779" t="s">
        <v>93</v>
      </c>
      <c r="H196" s="509" t="s">
        <v>94</v>
      </c>
      <c r="I196" s="509">
        <v>1140</v>
      </c>
      <c r="J196" s="509">
        <v>0</v>
      </c>
      <c r="K196" s="509">
        <v>4</v>
      </c>
      <c r="L196" s="780">
        <f t="shared" si="37"/>
        <v>285</v>
      </c>
      <c r="M196" s="781">
        <v>45840</v>
      </c>
      <c r="N196" s="781">
        <v>45842</v>
      </c>
      <c r="O196" s="782" t="s">
        <v>900</v>
      </c>
      <c r="P196" s="782" t="s">
        <v>103</v>
      </c>
      <c r="Q196" s="509"/>
      <c r="R196" s="784" t="s">
        <v>132</v>
      </c>
      <c r="S196" s="784" t="s">
        <v>66</v>
      </c>
      <c r="T196" s="784" t="s">
        <v>133</v>
      </c>
      <c r="U196" s="683" t="s">
        <v>133</v>
      </c>
      <c r="V196" s="784"/>
      <c r="W196" s="776" t="s">
        <v>901</v>
      </c>
      <c r="X196" s="781" t="s">
        <v>98</v>
      </c>
      <c r="Y196" s="785">
        <v>2.58</v>
      </c>
      <c r="Z196" s="786">
        <f t="shared" si="48"/>
        <v>2941.2</v>
      </c>
      <c r="AA196" s="509" t="s">
        <v>902</v>
      </c>
      <c r="AB196" s="509" t="s">
        <v>93</v>
      </c>
      <c r="AC196" s="509" t="s">
        <v>76</v>
      </c>
      <c r="AD196" s="509"/>
      <c r="AE196" s="635" t="s">
        <v>69</v>
      </c>
      <c r="AF196" s="635"/>
      <c r="AG196" s="788">
        <v>1140</v>
      </c>
      <c r="AH196" s="782">
        <f t="shared" si="40"/>
        <v>0</v>
      </c>
      <c r="AI196" s="509"/>
      <c r="AJ196" s="509"/>
      <c r="AK196" s="509"/>
      <c r="AL196" s="777">
        <f t="shared" si="49"/>
        <v>1140</v>
      </c>
      <c r="AM196" s="656"/>
      <c r="AN196" s="656"/>
      <c r="AO196" s="656"/>
      <c r="AP196" s="777">
        <f t="shared" ref="AP196:AP201" si="52">I196</f>
        <v>1140</v>
      </c>
      <c r="AQ196" s="656"/>
      <c r="AR196" s="777">
        <f t="shared" si="50"/>
        <v>1140</v>
      </c>
      <c r="AS196" s="777"/>
      <c r="AT196" s="777">
        <f t="shared" si="51"/>
        <v>1140</v>
      </c>
      <c r="AU196" s="777"/>
      <c r="AV196" s="778"/>
      <c r="AW196" s="778"/>
      <c r="AX196" s="778"/>
      <c r="AY196" s="778"/>
      <c r="AZ196" s="778"/>
      <c r="BA196" s="778"/>
      <c r="BB196" s="778"/>
      <c r="BC196" s="778"/>
      <c r="BD196" s="777">
        <f>I196/4</f>
        <v>285</v>
      </c>
      <c r="BE196" s="778"/>
      <c r="BF196" s="778"/>
      <c r="BG196" s="778"/>
      <c r="BH196" s="778"/>
      <c r="BI196" s="778"/>
      <c r="BJ196" s="778"/>
      <c r="BK196" s="778"/>
      <c r="BL196" s="778"/>
      <c r="BM196" s="778"/>
    </row>
    <row r="197" s="771" customFormat="1" ht="31" hidden="1" customHeight="1" spans="1:65">
      <c r="A197" s="775">
        <v>45806</v>
      </c>
      <c r="B197" s="776" t="s">
        <v>128</v>
      </c>
      <c r="C197" s="509" t="s">
        <v>90</v>
      </c>
      <c r="D197" s="777">
        <v>4500168362</v>
      </c>
      <c r="E197" s="886" t="s">
        <v>903</v>
      </c>
      <c r="F197" s="778" t="s">
        <v>904</v>
      </c>
      <c r="G197" s="779" t="s">
        <v>93</v>
      </c>
      <c r="H197" s="509" t="s">
        <v>94</v>
      </c>
      <c r="I197" s="509">
        <v>1248</v>
      </c>
      <c r="J197" s="509">
        <v>0</v>
      </c>
      <c r="K197" s="509">
        <v>4</v>
      </c>
      <c r="L197" s="780">
        <f t="shared" si="37"/>
        <v>312</v>
      </c>
      <c r="M197" s="781">
        <v>45840</v>
      </c>
      <c r="N197" s="781">
        <v>45842</v>
      </c>
      <c r="O197" s="782" t="s">
        <v>905</v>
      </c>
      <c r="P197" s="782" t="s">
        <v>103</v>
      </c>
      <c r="Q197" s="509"/>
      <c r="R197" s="784" t="s">
        <v>132</v>
      </c>
      <c r="S197" s="784" t="s">
        <v>66</v>
      </c>
      <c r="T197" s="784" t="s">
        <v>133</v>
      </c>
      <c r="U197" s="683" t="s">
        <v>133</v>
      </c>
      <c r="V197" s="784"/>
      <c r="W197" s="776" t="s">
        <v>901</v>
      </c>
      <c r="X197" s="781" t="s">
        <v>98</v>
      </c>
      <c r="Y197" s="785">
        <v>2.58</v>
      </c>
      <c r="Z197" s="786">
        <f t="shared" si="48"/>
        <v>3219.84</v>
      </c>
      <c r="AA197" s="509" t="s">
        <v>906</v>
      </c>
      <c r="AB197" s="509" t="s">
        <v>93</v>
      </c>
      <c r="AC197" s="509" t="s">
        <v>76</v>
      </c>
      <c r="AD197" s="509"/>
      <c r="AE197" s="635" t="s">
        <v>69</v>
      </c>
      <c r="AF197" s="635"/>
      <c r="AG197" s="788">
        <v>1248</v>
      </c>
      <c r="AH197" s="782">
        <f t="shared" si="40"/>
        <v>0</v>
      </c>
      <c r="AI197" s="509"/>
      <c r="AJ197" s="509"/>
      <c r="AK197" s="509"/>
      <c r="AL197" s="777">
        <f t="shared" si="49"/>
        <v>1248</v>
      </c>
      <c r="AM197" s="656"/>
      <c r="AN197" s="656"/>
      <c r="AO197" s="656"/>
      <c r="AP197" s="777">
        <f t="shared" si="52"/>
        <v>1248</v>
      </c>
      <c r="AQ197" s="656"/>
      <c r="AR197" s="777">
        <f t="shared" si="50"/>
        <v>1248</v>
      </c>
      <c r="AS197" s="777"/>
      <c r="AT197" s="777">
        <f t="shared" si="51"/>
        <v>1248</v>
      </c>
      <c r="AU197" s="777"/>
      <c r="AV197" s="778"/>
      <c r="AW197" s="778"/>
      <c r="AX197" s="778"/>
      <c r="AY197" s="778"/>
      <c r="AZ197" s="778"/>
      <c r="BA197" s="778"/>
      <c r="BB197" s="778"/>
      <c r="BC197" s="778"/>
      <c r="BD197" s="777">
        <f>I197/4</f>
        <v>312</v>
      </c>
      <c r="BE197" s="778"/>
      <c r="BF197" s="778"/>
      <c r="BG197" s="778"/>
      <c r="BH197" s="778"/>
      <c r="BI197" s="778"/>
      <c r="BJ197" s="778"/>
      <c r="BK197" s="778"/>
      <c r="BL197" s="778"/>
      <c r="BM197" s="778"/>
    </row>
    <row r="198" s="771" customFormat="1" ht="31" hidden="1" customHeight="1" spans="1:65">
      <c r="A198" s="775">
        <v>45806</v>
      </c>
      <c r="B198" s="776" t="s">
        <v>128</v>
      </c>
      <c r="C198" s="509" t="s">
        <v>90</v>
      </c>
      <c r="D198" s="777">
        <v>4500168362</v>
      </c>
      <c r="E198" s="886" t="s">
        <v>907</v>
      </c>
      <c r="F198" s="778" t="s">
        <v>908</v>
      </c>
      <c r="G198" s="779" t="s">
        <v>93</v>
      </c>
      <c r="H198" s="509" t="s">
        <v>94</v>
      </c>
      <c r="I198" s="509">
        <v>1608</v>
      </c>
      <c r="J198" s="509">
        <v>0</v>
      </c>
      <c r="K198" s="509">
        <v>4</v>
      </c>
      <c r="L198" s="780">
        <f t="shared" ref="L198:L261" si="53">I198/K198</f>
        <v>402</v>
      </c>
      <c r="M198" s="781">
        <v>45840</v>
      </c>
      <c r="N198" s="781">
        <v>45842</v>
      </c>
      <c r="O198" s="782" t="s">
        <v>905</v>
      </c>
      <c r="P198" s="782" t="s">
        <v>103</v>
      </c>
      <c r="Q198" s="509"/>
      <c r="R198" s="784" t="s">
        <v>132</v>
      </c>
      <c r="S198" s="784" t="s">
        <v>66</v>
      </c>
      <c r="T198" s="784" t="s">
        <v>133</v>
      </c>
      <c r="U198" s="683" t="s">
        <v>133</v>
      </c>
      <c r="V198" s="784"/>
      <c r="W198" s="776" t="s">
        <v>901</v>
      </c>
      <c r="X198" s="781" t="s">
        <v>98</v>
      </c>
      <c r="Y198" s="785">
        <v>2.58</v>
      </c>
      <c r="Z198" s="786">
        <f t="shared" si="48"/>
        <v>4148.64</v>
      </c>
      <c r="AA198" s="509" t="s">
        <v>909</v>
      </c>
      <c r="AB198" s="509" t="s">
        <v>93</v>
      </c>
      <c r="AC198" s="509" t="s">
        <v>76</v>
      </c>
      <c r="AD198" s="509"/>
      <c r="AE198" s="635" t="s">
        <v>69</v>
      </c>
      <c r="AF198" s="635"/>
      <c r="AG198" s="788">
        <v>1608</v>
      </c>
      <c r="AH198" s="782">
        <f t="shared" si="40"/>
        <v>0</v>
      </c>
      <c r="AI198" s="509"/>
      <c r="AJ198" s="509"/>
      <c r="AK198" s="509"/>
      <c r="AL198" s="777">
        <f t="shared" si="49"/>
        <v>1608</v>
      </c>
      <c r="AM198" s="656"/>
      <c r="AN198" s="656"/>
      <c r="AO198" s="656"/>
      <c r="AP198" s="777">
        <f t="shared" si="52"/>
        <v>1608</v>
      </c>
      <c r="AQ198" s="656"/>
      <c r="AR198" s="777">
        <f t="shared" si="50"/>
        <v>1608</v>
      </c>
      <c r="AS198" s="777"/>
      <c r="AT198" s="777">
        <f t="shared" si="51"/>
        <v>1608</v>
      </c>
      <c r="AU198" s="777"/>
      <c r="AV198" s="778"/>
      <c r="AW198" s="778"/>
      <c r="AX198" s="778"/>
      <c r="AY198" s="778"/>
      <c r="AZ198" s="778"/>
      <c r="BA198" s="778"/>
      <c r="BB198" s="778"/>
      <c r="BC198" s="778"/>
      <c r="BD198" s="777">
        <f>I198/4</f>
        <v>402</v>
      </c>
      <c r="BE198" s="778"/>
      <c r="BF198" s="778"/>
      <c r="BG198" s="778"/>
      <c r="BH198" s="778"/>
      <c r="BI198" s="778"/>
      <c r="BJ198" s="778"/>
      <c r="BK198" s="778"/>
      <c r="BL198" s="778"/>
      <c r="BM198" s="778"/>
    </row>
    <row r="199" s="771" customFormat="1" ht="31" hidden="1" customHeight="1" spans="1:65">
      <c r="A199" s="775">
        <v>45806</v>
      </c>
      <c r="B199" s="776" t="s">
        <v>128</v>
      </c>
      <c r="C199" s="509" t="s">
        <v>90</v>
      </c>
      <c r="D199" s="777">
        <v>4500168362</v>
      </c>
      <c r="E199" s="886" t="s">
        <v>910</v>
      </c>
      <c r="F199" s="778" t="s">
        <v>911</v>
      </c>
      <c r="G199" s="779" t="s">
        <v>93</v>
      </c>
      <c r="H199" s="509" t="s">
        <v>94</v>
      </c>
      <c r="I199" s="509">
        <v>1132</v>
      </c>
      <c r="J199" s="509">
        <v>0</v>
      </c>
      <c r="K199" s="509">
        <v>4</v>
      </c>
      <c r="L199" s="780">
        <f t="shared" si="53"/>
        <v>283</v>
      </c>
      <c r="M199" s="781">
        <v>45840</v>
      </c>
      <c r="N199" s="781">
        <v>45842</v>
      </c>
      <c r="O199" s="782" t="s">
        <v>905</v>
      </c>
      <c r="P199" s="782" t="s">
        <v>103</v>
      </c>
      <c r="Q199" s="509"/>
      <c r="R199" s="784" t="s">
        <v>132</v>
      </c>
      <c r="S199" s="784" t="s">
        <v>66</v>
      </c>
      <c r="T199" s="784" t="s">
        <v>133</v>
      </c>
      <c r="U199" s="683" t="s">
        <v>133</v>
      </c>
      <c r="V199" s="784"/>
      <c r="W199" s="776" t="s">
        <v>901</v>
      </c>
      <c r="X199" s="781" t="s">
        <v>98</v>
      </c>
      <c r="Y199" s="785">
        <v>2.58</v>
      </c>
      <c r="Z199" s="786">
        <f t="shared" si="48"/>
        <v>2920.56</v>
      </c>
      <c r="AA199" s="509" t="s">
        <v>912</v>
      </c>
      <c r="AB199" s="509" t="s">
        <v>93</v>
      </c>
      <c r="AC199" s="509" t="s">
        <v>76</v>
      </c>
      <c r="AD199" s="509"/>
      <c r="AE199" s="635" t="s">
        <v>69</v>
      </c>
      <c r="AF199" s="635"/>
      <c r="AG199" s="788">
        <v>1132</v>
      </c>
      <c r="AH199" s="782">
        <f t="shared" si="40"/>
        <v>0</v>
      </c>
      <c r="AI199" s="509"/>
      <c r="AJ199" s="509"/>
      <c r="AK199" s="509"/>
      <c r="AL199" s="777">
        <f t="shared" si="49"/>
        <v>1132</v>
      </c>
      <c r="AM199" s="656"/>
      <c r="AN199" s="656"/>
      <c r="AO199" s="656"/>
      <c r="AP199" s="777">
        <f t="shared" si="52"/>
        <v>1132</v>
      </c>
      <c r="AQ199" s="656"/>
      <c r="AR199" s="777">
        <f t="shared" si="50"/>
        <v>1132</v>
      </c>
      <c r="AS199" s="777"/>
      <c r="AT199" s="777">
        <f t="shared" si="51"/>
        <v>1132</v>
      </c>
      <c r="AU199" s="777"/>
      <c r="AV199" s="778"/>
      <c r="AW199" s="778"/>
      <c r="AX199" s="778"/>
      <c r="AY199" s="778"/>
      <c r="AZ199" s="778"/>
      <c r="BA199" s="778"/>
      <c r="BB199" s="778"/>
      <c r="BC199" s="778"/>
      <c r="BD199" s="777">
        <f>I199/4</f>
        <v>283</v>
      </c>
      <c r="BE199" s="778"/>
      <c r="BF199" s="778"/>
      <c r="BG199" s="778"/>
      <c r="BH199" s="778"/>
      <c r="BI199" s="778"/>
      <c r="BJ199" s="778"/>
      <c r="BK199" s="778"/>
      <c r="BL199" s="778"/>
      <c r="BM199" s="778"/>
    </row>
    <row r="200" s="771" customFormat="1" ht="31" hidden="1" customHeight="1" spans="1:65">
      <c r="A200" s="775">
        <v>45800</v>
      </c>
      <c r="B200" s="776" t="s">
        <v>913</v>
      </c>
      <c r="C200" s="509" t="s">
        <v>90</v>
      </c>
      <c r="D200" s="777">
        <v>4500167614</v>
      </c>
      <c r="E200" s="509" t="s">
        <v>914</v>
      </c>
      <c r="F200" s="778" t="s">
        <v>915</v>
      </c>
      <c r="G200" s="779" t="s">
        <v>93</v>
      </c>
      <c r="H200" s="509" t="s">
        <v>94</v>
      </c>
      <c r="I200" s="509">
        <v>500</v>
      </c>
      <c r="J200" s="509">
        <v>0</v>
      </c>
      <c r="K200" s="509">
        <v>4</v>
      </c>
      <c r="L200" s="780">
        <f t="shared" si="53"/>
        <v>125</v>
      </c>
      <c r="M200" s="781">
        <v>45841</v>
      </c>
      <c r="N200" s="781">
        <v>45845</v>
      </c>
      <c r="O200" s="782"/>
      <c r="P200" s="782" t="s">
        <v>103</v>
      </c>
      <c r="Q200" s="509"/>
      <c r="R200" s="784">
        <v>45811</v>
      </c>
      <c r="S200" s="784" t="s">
        <v>66</v>
      </c>
      <c r="T200" s="784" t="s">
        <v>66</v>
      </c>
      <c r="U200" s="784"/>
      <c r="V200" s="784"/>
      <c r="W200" s="776" t="s">
        <v>916</v>
      </c>
      <c r="X200" s="781" t="s">
        <v>794</v>
      </c>
      <c r="Y200" s="785">
        <v>2.58</v>
      </c>
      <c r="Z200" s="786">
        <f t="shared" si="48"/>
        <v>1290</v>
      </c>
      <c r="AA200" s="787" t="s">
        <v>917</v>
      </c>
      <c r="AB200" s="509" t="s">
        <v>93</v>
      </c>
      <c r="AC200" s="509" t="s">
        <v>76</v>
      </c>
      <c r="AD200" s="509"/>
      <c r="AE200" s="635" t="s">
        <v>69</v>
      </c>
      <c r="AF200" s="635"/>
      <c r="AG200" s="788">
        <v>500</v>
      </c>
      <c r="AH200" s="782">
        <f t="shared" si="40"/>
        <v>0</v>
      </c>
      <c r="AI200" s="509"/>
      <c r="AJ200" s="509"/>
      <c r="AK200" s="509"/>
      <c r="AL200" s="777">
        <f t="shared" si="49"/>
        <v>500</v>
      </c>
      <c r="AM200" s="656"/>
      <c r="AN200" s="656"/>
      <c r="AO200" s="656"/>
      <c r="AP200" s="777">
        <f t="shared" si="52"/>
        <v>500</v>
      </c>
      <c r="AQ200" s="656"/>
      <c r="AR200" s="777">
        <f t="shared" si="50"/>
        <v>500</v>
      </c>
      <c r="AS200" s="777"/>
      <c r="AT200" s="777">
        <f t="shared" si="51"/>
        <v>500</v>
      </c>
      <c r="AU200" s="777"/>
      <c r="AV200" s="778"/>
      <c r="AW200" s="778"/>
      <c r="AX200" s="778"/>
      <c r="AY200" s="778"/>
      <c r="AZ200" s="778"/>
      <c r="BA200" s="778"/>
      <c r="BB200" s="778"/>
      <c r="BC200" s="778"/>
      <c r="BD200" s="777">
        <f>I200/4</f>
        <v>125</v>
      </c>
      <c r="BE200" s="778"/>
      <c r="BF200" s="778"/>
      <c r="BG200" s="778"/>
      <c r="BH200" s="778"/>
      <c r="BI200" s="778"/>
      <c r="BJ200" s="778"/>
      <c r="BK200" s="778"/>
      <c r="BL200" s="778"/>
      <c r="BM200" s="778"/>
    </row>
    <row r="201" s="771" customFormat="1" ht="31" hidden="1" customHeight="1" spans="1:65">
      <c r="A201" s="775">
        <v>45798</v>
      </c>
      <c r="B201" s="776" t="s">
        <v>108</v>
      </c>
      <c r="C201" s="509" t="s">
        <v>90</v>
      </c>
      <c r="D201" s="777">
        <v>4500167444</v>
      </c>
      <c r="E201" s="509">
        <v>5200006828</v>
      </c>
      <c r="F201" s="778" t="s">
        <v>918</v>
      </c>
      <c r="G201" s="779" t="s">
        <v>111</v>
      </c>
      <c r="H201" s="509" t="s">
        <v>65</v>
      </c>
      <c r="I201" s="509">
        <v>996</v>
      </c>
      <c r="J201" s="509">
        <v>0</v>
      </c>
      <c r="K201" s="509">
        <v>12</v>
      </c>
      <c r="L201" s="780">
        <f t="shared" si="53"/>
        <v>83</v>
      </c>
      <c r="M201" s="781">
        <v>45843</v>
      </c>
      <c r="N201" s="781">
        <v>45848</v>
      </c>
      <c r="O201" s="782"/>
      <c r="P201" s="782" t="s">
        <v>103</v>
      </c>
      <c r="Q201" s="509"/>
      <c r="R201" s="784">
        <v>45798</v>
      </c>
      <c r="S201" s="784" t="s">
        <v>66</v>
      </c>
      <c r="T201" s="784" t="s">
        <v>66</v>
      </c>
      <c r="U201" s="784"/>
      <c r="V201" s="784"/>
      <c r="W201" s="776" t="s">
        <v>919</v>
      </c>
      <c r="X201" s="781" t="s">
        <v>113</v>
      </c>
      <c r="Y201" s="785">
        <v>2.4874</v>
      </c>
      <c r="Z201" s="786">
        <f t="shared" si="48"/>
        <v>2477.4504</v>
      </c>
      <c r="AA201" s="509" t="s">
        <v>920</v>
      </c>
      <c r="AB201" s="509" t="s">
        <v>64</v>
      </c>
      <c r="AC201" s="509" t="s">
        <v>76</v>
      </c>
      <c r="AD201" s="509"/>
      <c r="AE201" s="635" t="s">
        <v>69</v>
      </c>
      <c r="AF201" s="635"/>
      <c r="AG201" s="788">
        <v>996</v>
      </c>
      <c r="AH201" s="782">
        <f t="shared" si="40"/>
        <v>0</v>
      </c>
      <c r="AI201" s="509"/>
      <c r="AJ201" s="509"/>
      <c r="AK201" s="509"/>
      <c r="AL201" s="777">
        <f t="shared" si="49"/>
        <v>996</v>
      </c>
      <c r="AM201" s="656"/>
      <c r="AN201" s="656"/>
      <c r="AO201" s="656"/>
      <c r="AP201" s="777">
        <f t="shared" si="52"/>
        <v>996</v>
      </c>
      <c r="AQ201" s="656"/>
      <c r="AR201" s="777">
        <f t="shared" si="50"/>
        <v>996</v>
      </c>
      <c r="AS201" s="777"/>
      <c r="AT201" s="777">
        <f t="shared" si="51"/>
        <v>996</v>
      </c>
      <c r="AU201" s="777"/>
      <c r="AV201" s="778"/>
      <c r="AW201" s="778"/>
      <c r="AX201" s="778"/>
      <c r="AY201" s="778"/>
      <c r="AZ201" s="778"/>
      <c r="BA201" s="778"/>
      <c r="BB201" s="778"/>
      <c r="BC201" s="778"/>
      <c r="BD201" s="778"/>
      <c r="BE201" s="778"/>
      <c r="BF201" s="778"/>
      <c r="BG201" s="778"/>
      <c r="BH201" s="778"/>
      <c r="BI201" s="778"/>
      <c r="BJ201" s="778"/>
      <c r="BK201" s="778"/>
      <c r="BL201" s="778"/>
      <c r="BM201" s="778"/>
    </row>
    <row r="202" s="771" customFormat="1" ht="31" hidden="1" customHeight="1" spans="1:65">
      <c r="A202" s="775">
        <v>45771</v>
      </c>
      <c r="B202" s="776" t="s">
        <v>817</v>
      </c>
      <c r="C202" s="509" t="s">
        <v>153</v>
      </c>
      <c r="D202" s="777">
        <v>4500161371</v>
      </c>
      <c r="E202" s="509"/>
      <c r="F202" s="778" t="s">
        <v>921</v>
      </c>
      <c r="G202" s="779" t="s">
        <v>819</v>
      </c>
      <c r="H202" s="509" t="s">
        <v>744</v>
      </c>
      <c r="I202" s="509">
        <v>72</v>
      </c>
      <c r="J202" s="509">
        <v>0</v>
      </c>
      <c r="K202" s="509">
        <v>1</v>
      </c>
      <c r="L202" s="780">
        <f t="shared" si="53"/>
        <v>72</v>
      </c>
      <c r="M202" s="781">
        <v>45827</v>
      </c>
      <c r="N202" s="781">
        <v>45829</v>
      </c>
      <c r="O202" s="782" t="s">
        <v>922</v>
      </c>
      <c r="P202" s="782" t="s">
        <v>103</v>
      </c>
      <c r="Q202" s="509" t="s">
        <v>923</v>
      </c>
      <c r="R202" s="784">
        <v>45790</v>
      </c>
      <c r="S202" s="784" t="s">
        <v>66</v>
      </c>
      <c r="T202" s="784" t="s">
        <v>66</v>
      </c>
      <c r="U202" s="784"/>
      <c r="V202" s="784"/>
      <c r="W202" s="776" t="s">
        <v>924</v>
      </c>
      <c r="X202" s="781" t="s">
        <v>821</v>
      </c>
      <c r="Y202" s="785">
        <v>0</v>
      </c>
      <c r="Z202" s="786">
        <v>0</v>
      </c>
      <c r="AA202" s="509"/>
      <c r="AB202" s="509" t="s">
        <v>819</v>
      </c>
      <c r="AC202" s="509" t="s">
        <v>76</v>
      </c>
      <c r="AD202" s="509"/>
      <c r="AE202" s="635" t="s">
        <v>69</v>
      </c>
      <c r="AF202" s="635"/>
      <c r="AG202" s="788">
        <v>0</v>
      </c>
      <c r="AH202" s="782"/>
      <c r="AI202" s="509"/>
      <c r="AJ202" s="509"/>
      <c r="AK202" s="509"/>
      <c r="AL202" s="777"/>
      <c r="AM202" s="656"/>
      <c r="AN202" s="656"/>
      <c r="AO202" s="656"/>
      <c r="AP202" s="777"/>
      <c r="AQ202" s="656"/>
      <c r="AR202" s="777"/>
      <c r="AS202" s="777"/>
      <c r="AT202" s="777"/>
      <c r="AU202" s="777"/>
      <c r="AV202" s="778"/>
      <c r="AW202" s="778"/>
      <c r="AX202" s="778"/>
      <c r="AY202" s="778"/>
      <c r="AZ202" s="778"/>
      <c r="BA202" s="778"/>
      <c r="BB202" s="778"/>
      <c r="BC202" s="778"/>
      <c r="BD202" s="778"/>
      <c r="BE202" s="778"/>
      <c r="BF202" s="778"/>
      <c r="BG202" s="778"/>
      <c r="BH202" s="778"/>
      <c r="BI202" s="778"/>
      <c r="BJ202" s="778"/>
      <c r="BK202" s="778"/>
      <c r="BL202" s="778"/>
      <c r="BM202" s="778"/>
    </row>
    <row r="203" s="771" customFormat="1" ht="31" hidden="1" customHeight="1" spans="1:65">
      <c r="A203" s="775">
        <v>45775</v>
      </c>
      <c r="B203" s="776" t="s">
        <v>817</v>
      </c>
      <c r="C203" s="509" t="s">
        <v>153</v>
      </c>
      <c r="D203" s="777">
        <v>4500161371</v>
      </c>
      <c r="E203" s="509"/>
      <c r="F203" s="778" t="s">
        <v>921</v>
      </c>
      <c r="G203" s="779" t="s">
        <v>460</v>
      </c>
      <c r="H203" s="509" t="s">
        <v>65</v>
      </c>
      <c r="I203" s="509">
        <v>5400</v>
      </c>
      <c r="J203" s="509">
        <v>0</v>
      </c>
      <c r="K203" s="509">
        <v>75</v>
      </c>
      <c r="L203" s="780">
        <f t="shared" si="53"/>
        <v>72</v>
      </c>
      <c r="M203" s="781">
        <v>45827</v>
      </c>
      <c r="N203" s="781">
        <v>45829</v>
      </c>
      <c r="O203" s="782" t="s">
        <v>922</v>
      </c>
      <c r="P203" s="782" t="s">
        <v>103</v>
      </c>
      <c r="Q203" s="509" t="s">
        <v>923</v>
      </c>
      <c r="R203" s="784">
        <v>45790</v>
      </c>
      <c r="S203" s="784" t="s">
        <v>66</v>
      </c>
      <c r="T203" s="784" t="s">
        <v>66</v>
      </c>
      <c r="U203" s="784"/>
      <c r="V203" s="784"/>
      <c r="W203" s="776"/>
      <c r="X203" s="781" t="s">
        <v>821</v>
      </c>
      <c r="Y203" s="785">
        <v>762.5</v>
      </c>
      <c r="Z203" s="786">
        <f>Y203*L203</f>
        <v>54900</v>
      </c>
      <c r="AA203" s="509"/>
      <c r="AB203" s="509" t="s">
        <v>819</v>
      </c>
      <c r="AC203" s="509" t="s">
        <v>76</v>
      </c>
      <c r="AD203" s="509"/>
      <c r="AE203" s="635" t="s">
        <v>69</v>
      </c>
      <c r="AF203" s="635"/>
      <c r="AG203" s="788">
        <f>I203</f>
        <v>5400</v>
      </c>
      <c r="AH203" s="782"/>
      <c r="AI203" s="509"/>
      <c r="AJ203" s="509"/>
      <c r="AK203" s="509"/>
      <c r="AL203" s="777"/>
      <c r="AM203" s="656">
        <f>I203</f>
        <v>5400</v>
      </c>
      <c r="AN203" s="656"/>
      <c r="AO203" s="656"/>
      <c r="AP203" s="777"/>
      <c r="AQ203" s="656"/>
      <c r="AR203" s="777"/>
      <c r="AS203" s="777"/>
      <c r="AT203" s="777"/>
      <c r="AU203" s="777"/>
      <c r="AV203" s="778"/>
      <c r="AW203" s="778">
        <f>I203</f>
        <v>5400</v>
      </c>
      <c r="AX203" s="778">
        <f>I203</f>
        <v>5400</v>
      </c>
      <c r="AY203" s="778">
        <f>I203</f>
        <v>5400</v>
      </c>
      <c r="AZ203" s="778"/>
      <c r="BA203" s="778"/>
      <c r="BB203" s="778"/>
      <c r="BC203" s="778"/>
      <c r="BD203" s="778"/>
      <c r="BE203" s="778"/>
      <c r="BF203" s="778"/>
      <c r="BG203" s="778">
        <f>I203</f>
        <v>5400</v>
      </c>
      <c r="BH203" s="778">
        <f>I203/5</f>
        <v>1080</v>
      </c>
      <c r="BI203" s="778"/>
      <c r="BJ203" s="778"/>
      <c r="BK203" s="778"/>
      <c r="BL203" s="778"/>
      <c r="BM203" s="778"/>
    </row>
    <row r="204" s="771" customFormat="1" ht="31" hidden="1" customHeight="1" spans="1:65">
      <c r="A204" s="775">
        <v>45771</v>
      </c>
      <c r="B204" s="776" t="s">
        <v>817</v>
      </c>
      <c r="C204" s="509" t="s">
        <v>153</v>
      </c>
      <c r="D204" s="777">
        <v>4500161390</v>
      </c>
      <c r="E204" s="509"/>
      <c r="F204" s="778" t="s">
        <v>925</v>
      </c>
      <c r="G204" s="779" t="s">
        <v>819</v>
      </c>
      <c r="H204" s="509" t="s">
        <v>744</v>
      </c>
      <c r="I204" s="509">
        <v>72</v>
      </c>
      <c r="J204" s="509">
        <v>0</v>
      </c>
      <c r="K204" s="509">
        <v>1</v>
      </c>
      <c r="L204" s="780">
        <f t="shared" si="53"/>
        <v>72</v>
      </c>
      <c r="M204" s="781">
        <v>45831</v>
      </c>
      <c r="N204" s="781">
        <v>45832</v>
      </c>
      <c r="O204" s="782"/>
      <c r="P204" s="782" t="s">
        <v>103</v>
      </c>
      <c r="Q204" s="509"/>
      <c r="R204" s="784">
        <v>45790</v>
      </c>
      <c r="S204" s="784" t="s">
        <v>66</v>
      </c>
      <c r="T204" s="784" t="s">
        <v>66</v>
      </c>
      <c r="U204" s="784"/>
      <c r="V204" s="784"/>
      <c r="W204" s="776" t="s">
        <v>820</v>
      </c>
      <c r="X204" s="781" t="s">
        <v>821</v>
      </c>
      <c r="Y204" s="785">
        <v>0</v>
      </c>
      <c r="Z204" s="786">
        <v>0</v>
      </c>
      <c r="AA204" s="509" t="s">
        <v>926</v>
      </c>
      <c r="AB204" s="509" t="s">
        <v>819</v>
      </c>
      <c r="AC204" s="509" t="s">
        <v>76</v>
      </c>
      <c r="AD204" s="509"/>
      <c r="AE204" s="635" t="s">
        <v>69</v>
      </c>
      <c r="AF204" s="635"/>
      <c r="AG204" s="788">
        <v>0</v>
      </c>
      <c r="AH204" s="782"/>
      <c r="AI204" s="509"/>
      <c r="AJ204" s="509"/>
      <c r="AK204" s="509"/>
      <c r="AL204" s="777"/>
      <c r="AM204" s="656"/>
      <c r="AN204" s="656"/>
      <c r="AO204" s="656"/>
      <c r="AP204" s="777"/>
      <c r="AQ204" s="656"/>
      <c r="AR204" s="777"/>
      <c r="AS204" s="777"/>
      <c r="AT204" s="777"/>
      <c r="AU204" s="777"/>
      <c r="AV204" s="778"/>
      <c r="AW204" s="778"/>
      <c r="AX204" s="778"/>
      <c r="AY204" s="778"/>
      <c r="AZ204" s="778"/>
      <c r="BA204" s="778"/>
      <c r="BB204" s="778"/>
      <c r="BC204" s="778"/>
      <c r="BD204" s="778"/>
      <c r="BE204" s="778"/>
      <c r="BF204" s="778"/>
      <c r="BG204" s="778"/>
      <c r="BH204" s="778"/>
      <c r="BI204" s="778"/>
      <c r="BJ204" s="778"/>
      <c r="BK204" s="778"/>
      <c r="BL204" s="778"/>
      <c r="BM204" s="778"/>
    </row>
    <row r="205" s="771" customFormat="1" ht="31" hidden="1" customHeight="1" spans="1:65">
      <c r="A205" s="775">
        <v>45785</v>
      </c>
      <c r="B205" s="776" t="s">
        <v>817</v>
      </c>
      <c r="C205" s="509" t="s">
        <v>153</v>
      </c>
      <c r="D205" s="777">
        <v>4500161390</v>
      </c>
      <c r="E205" s="509"/>
      <c r="F205" s="778" t="s">
        <v>925</v>
      </c>
      <c r="G205" s="779" t="s">
        <v>460</v>
      </c>
      <c r="H205" s="509" t="s">
        <v>65</v>
      </c>
      <c r="I205" s="509">
        <v>5400</v>
      </c>
      <c r="J205" s="509">
        <v>0</v>
      </c>
      <c r="K205" s="509">
        <v>75</v>
      </c>
      <c r="L205" s="780">
        <f t="shared" si="53"/>
        <v>72</v>
      </c>
      <c r="M205" s="781">
        <v>45831</v>
      </c>
      <c r="N205" s="781">
        <v>45832</v>
      </c>
      <c r="O205" s="782"/>
      <c r="P205" s="782" t="s">
        <v>103</v>
      </c>
      <c r="Q205" s="509"/>
      <c r="R205" s="784">
        <v>45790</v>
      </c>
      <c r="S205" s="784" t="s">
        <v>66</v>
      </c>
      <c r="T205" s="784" t="s">
        <v>66</v>
      </c>
      <c r="U205" s="784"/>
      <c r="V205" s="784"/>
      <c r="W205" s="776"/>
      <c r="X205" s="781" t="s">
        <v>821</v>
      </c>
      <c r="Y205" s="785">
        <v>762.5</v>
      </c>
      <c r="Z205" s="786">
        <f>Y205*L205</f>
        <v>54900</v>
      </c>
      <c r="AA205" s="509" t="s">
        <v>926</v>
      </c>
      <c r="AB205" s="509" t="s">
        <v>819</v>
      </c>
      <c r="AC205" s="509" t="s">
        <v>76</v>
      </c>
      <c r="AD205" s="509"/>
      <c r="AE205" s="635" t="s">
        <v>69</v>
      </c>
      <c r="AF205" s="635"/>
      <c r="AG205" s="788">
        <f>I205</f>
        <v>5400</v>
      </c>
      <c r="AH205" s="782"/>
      <c r="AI205" s="509"/>
      <c r="AJ205" s="509"/>
      <c r="AK205" s="509"/>
      <c r="AL205" s="777"/>
      <c r="AM205" s="656">
        <f>I205</f>
        <v>5400</v>
      </c>
      <c r="AN205" s="656"/>
      <c r="AO205" s="656"/>
      <c r="AP205" s="777"/>
      <c r="AQ205" s="656"/>
      <c r="AR205" s="777"/>
      <c r="AS205" s="777"/>
      <c r="AT205" s="777"/>
      <c r="AU205" s="777"/>
      <c r="AV205" s="778"/>
      <c r="AW205" s="778">
        <f>I205</f>
        <v>5400</v>
      </c>
      <c r="AX205" s="778">
        <f>I205</f>
        <v>5400</v>
      </c>
      <c r="AY205" s="778">
        <f>I205</f>
        <v>5400</v>
      </c>
      <c r="AZ205" s="778"/>
      <c r="BA205" s="778"/>
      <c r="BB205" s="778"/>
      <c r="BC205" s="778"/>
      <c r="BD205" s="778"/>
      <c r="BE205" s="778"/>
      <c r="BF205" s="778"/>
      <c r="BG205" s="778">
        <f>I205</f>
        <v>5400</v>
      </c>
      <c r="BH205" s="778">
        <f>I205/5</f>
        <v>1080</v>
      </c>
      <c r="BI205" s="778"/>
      <c r="BJ205" s="778"/>
      <c r="BK205" s="778"/>
      <c r="BL205" s="778"/>
      <c r="BM205" s="778"/>
    </row>
    <row r="206" s="771" customFormat="1" ht="31" hidden="1" customHeight="1" spans="1:65">
      <c r="A206" s="775">
        <v>45800</v>
      </c>
      <c r="B206" s="776" t="s">
        <v>927</v>
      </c>
      <c r="C206" s="509" t="s">
        <v>356</v>
      </c>
      <c r="D206" s="777">
        <v>4500167713</v>
      </c>
      <c r="E206" s="509"/>
      <c r="F206" s="778" t="s">
        <v>928</v>
      </c>
      <c r="G206" s="779" t="s">
        <v>463</v>
      </c>
      <c r="H206" s="509" t="s">
        <v>424</v>
      </c>
      <c r="I206" s="509">
        <v>360</v>
      </c>
      <c r="J206" s="509">
        <v>0</v>
      </c>
      <c r="K206" s="509">
        <v>6</v>
      </c>
      <c r="L206" s="780">
        <f t="shared" si="53"/>
        <v>60</v>
      </c>
      <c r="M206" s="781">
        <v>45838</v>
      </c>
      <c r="N206" s="781">
        <v>45842</v>
      </c>
      <c r="O206" s="782"/>
      <c r="P206" s="782" t="s">
        <v>103</v>
      </c>
      <c r="Q206" s="509"/>
      <c r="R206" s="784">
        <v>45800</v>
      </c>
      <c r="S206" s="784" t="s">
        <v>66</v>
      </c>
      <c r="T206" s="784">
        <v>45813</v>
      </c>
      <c r="U206" s="784"/>
      <c r="V206" s="784" t="s">
        <v>929</v>
      </c>
      <c r="W206" s="776" t="s">
        <v>930</v>
      </c>
      <c r="X206" s="781" t="s">
        <v>395</v>
      </c>
      <c r="Y206" s="785">
        <v>8.1</v>
      </c>
      <c r="Z206" s="786">
        <f t="shared" ref="Z206:Z215" si="54">Y206*I206</f>
        <v>2916</v>
      </c>
      <c r="AA206" s="509" t="s">
        <v>931</v>
      </c>
      <c r="AB206" s="509" t="s">
        <v>427</v>
      </c>
      <c r="AC206" s="509" t="s">
        <v>76</v>
      </c>
      <c r="AD206" s="509"/>
      <c r="AE206" s="635" t="s">
        <v>69</v>
      </c>
      <c r="AF206" s="635"/>
      <c r="AG206" s="788">
        <v>0</v>
      </c>
      <c r="AH206" s="782"/>
      <c r="AI206" s="509"/>
      <c r="AJ206" s="509"/>
      <c r="AK206" s="509"/>
      <c r="AL206" s="777">
        <f t="shared" ref="AL206:AL215" si="55">I206</f>
        <v>360</v>
      </c>
      <c r="AM206" s="656"/>
      <c r="AN206" s="656"/>
      <c r="AO206" s="656"/>
      <c r="AP206" s="777"/>
      <c r="AQ206" s="656">
        <f>I206</f>
        <v>360</v>
      </c>
      <c r="AR206" s="777">
        <f t="shared" ref="AR206:AR215" si="56">I206</f>
        <v>360</v>
      </c>
      <c r="AS206" s="777"/>
      <c r="AT206" s="543">
        <f t="shared" ref="AT206:AT215" si="57">I206</f>
        <v>360</v>
      </c>
      <c r="AU206" s="777"/>
      <c r="AV206" s="778"/>
      <c r="AW206" s="778"/>
      <c r="AX206" s="778"/>
      <c r="AY206" s="778"/>
      <c r="AZ206" s="778"/>
      <c r="BA206" s="778"/>
      <c r="BB206" s="778"/>
      <c r="BC206" s="778"/>
      <c r="BD206" s="778"/>
      <c r="BE206" s="778"/>
      <c r="BF206" s="778"/>
      <c r="BG206" s="778"/>
      <c r="BH206" s="778"/>
      <c r="BI206" s="777"/>
      <c r="BJ206" s="777">
        <f>I206</f>
        <v>360</v>
      </c>
      <c r="BK206" s="778"/>
      <c r="BL206" s="778"/>
      <c r="BM206" s="778"/>
    </row>
    <row r="207" s="771" customFormat="1" ht="31" hidden="1" customHeight="1" spans="1:65">
      <c r="A207" s="775">
        <v>45806</v>
      </c>
      <c r="B207" s="776" t="s">
        <v>932</v>
      </c>
      <c r="C207" s="509" t="s">
        <v>356</v>
      </c>
      <c r="D207" s="777">
        <v>4500168264</v>
      </c>
      <c r="E207" s="509"/>
      <c r="F207" s="778" t="s">
        <v>933</v>
      </c>
      <c r="G207" s="779" t="s">
        <v>64</v>
      </c>
      <c r="H207" s="509" t="s">
        <v>65</v>
      </c>
      <c r="I207" s="509">
        <v>360</v>
      </c>
      <c r="J207" s="509">
        <v>0</v>
      </c>
      <c r="K207" s="509">
        <v>12</v>
      </c>
      <c r="L207" s="780">
        <f t="shared" si="53"/>
        <v>30</v>
      </c>
      <c r="M207" s="781">
        <v>45842</v>
      </c>
      <c r="N207" s="781">
        <v>45848</v>
      </c>
      <c r="O207" s="782"/>
      <c r="P207" s="782" t="s">
        <v>103</v>
      </c>
      <c r="Q207" s="509"/>
      <c r="R207" s="784">
        <v>45812</v>
      </c>
      <c r="S207" s="784" t="s">
        <v>66</v>
      </c>
      <c r="T207" s="784" t="s">
        <v>934</v>
      </c>
      <c r="U207" s="784"/>
      <c r="V207" s="784"/>
      <c r="W207" s="776" t="s">
        <v>935</v>
      </c>
      <c r="X207" s="781" t="s">
        <v>395</v>
      </c>
      <c r="Y207" s="785">
        <v>4.1456</v>
      </c>
      <c r="Z207" s="786">
        <f t="shared" si="54"/>
        <v>1492.416</v>
      </c>
      <c r="AA207" s="509" t="s">
        <v>936</v>
      </c>
      <c r="AB207" s="509" t="s">
        <v>165</v>
      </c>
      <c r="AC207" s="509" t="s">
        <v>76</v>
      </c>
      <c r="AD207" s="509"/>
      <c r="AE207" s="635" t="s">
        <v>69</v>
      </c>
      <c r="AF207" s="635"/>
      <c r="AG207" s="788">
        <v>360</v>
      </c>
      <c r="AH207" s="782">
        <f t="shared" si="40"/>
        <v>0</v>
      </c>
      <c r="AI207" s="509"/>
      <c r="AJ207" s="509"/>
      <c r="AK207" s="509"/>
      <c r="AL207" s="777">
        <f t="shared" si="55"/>
        <v>360</v>
      </c>
      <c r="AM207" s="656"/>
      <c r="AN207" s="656"/>
      <c r="AO207" s="656"/>
      <c r="AP207" s="777"/>
      <c r="AQ207" s="656">
        <f>I207</f>
        <v>360</v>
      </c>
      <c r="AR207" s="777">
        <f t="shared" si="56"/>
        <v>360</v>
      </c>
      <c r="AS207" s="777"/>
      <c r="AT207" s="777">
        <f t="shared" si="57"/>
        <v>360</v>
      </c>
      <c r="AU207" s="777"/>
      <c r="AV207" s="778"/>
      <c r="AW207" s="778"/>
      <c r="AX207" s="778"/>
      <c r="AY207" s="778"/>
      <c r="AZ207" s="778"/>
      <c r="BA207" s="778"/>
      <c r="BB207" s="778"/>
      <c r="BC207" s="778"/>
      <c r="BD207" s="778"/>
      <c r="BE207" s="778"/>
      <c r="BF207" s="778"/>
      <c r="BG207" s="778"/>
      <c r="BH207" s="778"/>
      <c r="BI207" s="778"/>
      <c r="BJ207" s="778"/>
      <c r="BK207" s="778"/>
      <c r="BL207" s="778"/>
      <c r="BM207" s="778"/>
    </row>
    <row r="208" s="771" customFormat="1" ht="31" hidden="1" customHeight="1" spans="1:65">
      <c r="A208" s="775">
        <v>45806</v>
      </c>
      <c r="B208" s="776" t="s">
        <v>932</v>
      </c>
      <c r="C208" s="509" t="s">
        <v>356</v>
      </c>
      <c r="D208" s="777">
        <v>4500168264</v>
      </c>
      <c r="E208" s="509"/>
      <c r="F208" s="778" t="s">
        <v>937</v>
      </c>
      <c r="G208" s="779" t="s">
        <v>463</v>
      </c>
      <c r="H208" s="509" t="s">
        <v>424</v>
      </c>
      <c r="I208" s="509">
        <v>300</v>
      </c>
      <c r="J208" s="509">
        <v>0</v>
      </c>
      <c r="K208" s="509">
        <v>6</v>
      </c>
      <c r="L208" s="780">
        <f t="shared" si="53"/>
        <v>50</v>
      </c>
      <c r="M208" s="781">
        <v>45842</v>
      </c>
      <c r="N208" s="781">
        <v>45848</v>
      </c>
      <c r="O208" s="782"/>
      <c r="P208" s="782" t="s">
        <v>103</v>
      </c>
      <c r="Q208" s="509"/>
      <c r="R208" s="784">
        <v>45812</v>
      </c>
      <c r="S208" s="784" t="s">
        <v>66</v>
      </c>
      <c r="T208" s="784" t="s">
        <v>934</v>
      </c>
      <c r="U208" s="784"/>
      <c r="V208" s="784"/>
      <c r="W208" s="776" t="s">
        <v>938</v>
      </c>
      <c r="X208" s="781" t="s">
        <v>395</v>
      </c>
      <c r="Y208" s="785">
        <v>8.1</v>
      </c>
      <c r="Z208" s="786">
        <f t="shared" si="54"/>
        <v>2430</v>
      </c>
      <c r="AA208" s="509" t="s">
        <v>936</v>
      </c>
      <c r="AB208" s="509" t="s">
        <v>427</v>
      </c>
      <c r="AC208" s="509" t="s">
        <v>76</v>
      </c>
      <c r="AD208" s="509"/>
      <c r="AE208" s="635" t="s">
        <v>69</v>
      </c>
      <c r="AF208" s="635"/>
      <c r="AG208" s="788">
        <v>0</v>
      </c>
      <c r="AH208" s="782"/>
      <c r="AI208" s="509"/>
      <c r="AJ208" s="509"/>
      <c r="AK208" s="509"/>
      <c r="AL208" s="777">
        <f t="shared" si="55"/>
        <v>300</v>
      </c>
      <c r="AM208" s="656"/>
      <c r="AN208" s="656"/>
      <c r="AO208" s="656"/>
      <c r="AP208" s="777"/>
      <c r="AQ208" s="656">
        <f>I208</f>
        <v>300</v>
      </c>
      <c r="AR208" s="777">
        <f t="shared" si="56"/>
        <v>300</v>
      </c>
      <c r="AS208" s="777"/>
      <c r="AT208" s="777">
        <f t="shared" si="57"/>
        <v>300</v>
      </c>
      <c r="AU208" s="777"/>
      <c r="AV208" s="778"/>
      <c r="AW208" s="778"/>
      <c r="AX208" s="778"/>
      <c r="AY208" s="778"/>
      <c r="AZ208" s="778"/>
      <c r="BA208" s="778"/>
      <c r="BB208" s="778"/>
      <c r="BC208" s="778"/>
      <c r="BD208" s="778"/>
      <c r="BE208" s="778"/>
      <c r="BF208" s="778"/>
      <c r="BG208" s="778"/>
      <c r="BH208" s="778"/>
      <c r="BI208" s="777"/>
      <c r="BJ208" s="777">
        <f>I208</f>
        <v>300</v>
      </c>
      <c r="BK208" s="778"/>
      <c r="BL208" s="778"/>
      <c r="BM208" s="778"/>
    </row>
    <row r="209" s="771" customFormat="1" ht="31" hidden="1" customHeight="1" spans="1:65">
      <c r="A209" s="775">
        <v>45806</v>
      </c>
      <c r="B209" s="776" t="s">
        <v>939</v>
      </c>
      <c r="C209" s="509" t="s">
        <v>356</v>
      </c>
      <c r="D209" s="777">
        <v>4500168249</v>
      </c>
      <c r="E209" s="509"/>
      <c r="F209" s="778" t="s">
        <v>940</v>
      </c>
      <c r="G209" s="779" t="s">
        <v>463</v>
      </c>
      <c r="H209" s="509" t="s">
        <v>424</v>
      </c>
      <c r="I209" s="509">
        <v>120</v>
      </c>
      <c r="J209" s="509">
        <v>0</v>
      </c>
      <c r="K209" s="509">
        <v>6</v>
      </c>
      <c r="L209" s="780">
        <f t="shared" si="53"/>
        <v>20</v>
      </c>
      <c r="M209" s="781">
        <v>45842</v>
      </c>
      <c r="N209" s="781">
        <v>45848</v>
      </c>
      <c r="O209" s="782"/>
      <c r="P209" s="782" t="s">
        <v>103</v>
      </c>
      <c r="Q209" s="509"/>
      <c r="R209" s="784">
        <v>45812</v>
      </c>
      <c r="S209" s="784" t="s">
        <v>66</v>
      </c>
      <c r="T209" s="784">
        <v>45818</v>
      </c>
      <c r="U209" s="784"/>
      <c r="V209" s="784"/>
      <c r="W209" s="776" t="s">
        <v>941</v>
      </c>
      <c r="X209" s="781" t="s">
        <v>359</v>
      </c>
      <c r="Y209" s="785">
        <v>8.1</v>
      </c>
      <c r="Z209" s="786">
        <f t="shared" si="54"/>
        <v>972</v>
      </c>
      <c r="AA209" s="458" t="s">
        <v>942</v>
      </c>
      <c r="AB209" s="509" t="s">
        <v>427</v>
      </c>
      <c r="AC209" s="509" t="s">
        <v>76</v>
      </c>
      <c r="AD209" s="509"/>
      <c r="AE209" s="635" t="s">
        <v>69</v>
      </c>
      <c r="AF209" s="635"/>
      <c r="AG209" s="788">
        <v>0</v>
      </c>
      <c r="AH209" s="782"/>
      <c r="AI209" s="509"/>
      <c r="AJ209" s="509"/>
      <c r="AK209" s="509"/>
      <c r="AL209" s="777">
        <f t="shared" si="55"/>
        <v>120</v>
      </c>
      <c r="AM209" s="656"/>
      <c r="AN209" s="656"/>
      <c r="AO209" s="656"/>
      <c r="AP209" s="777"/>
      <c r="AQ209" s="656">
        <f>I209</f>
        <v>120</v>
      </c>
      <c r="AR209" s="777">
        <f t="shared" si="56"/>
        <v>120</v>
      </c>
      <c r="AS209" s="777"/>
      <c r="AT209" s="777">
        <f t="shared" si="57"/>
        <v>120</v>
      </c>
      <c r="AU209" s="777"/>
      <c r="AV209" s="778"/>
      <c r="AW209" s="778"/>
      <c r="AX209" s="778"/>
      <c r="AY209" s="778"/>
      <c r="AZ209" s="778"/>
      <c r="BA209" s="778"/>
      <c r="BB209" s="778"/>
      <c r="BC209" s="778"/>
      <c r="BD209" s="778"/>
      <c r="BE209" s="778"/>
      <c r="BF209" s="778"/>
      <c r="BG209" s="778"/>
      <c r="BH209" s="778"/>
      <c r="BI209" s="777"/>
      <c r="BJ209" s="777">
        <f>I209</f>
        <v>120</v>
      </c>
      <c r="BK209" s="778"/>
      <c r="BL209" s="778"/>
      <c r="BM209" s="778"/>
    </row>
    <row r="210" s="771" customFormat="1" ht="31" hidden="1" customHeight="1" spans="1:65">
      <c r="A210" s="775">
        <v>45806</v>
      </c>
      <c r="B210" s="776" t="s">
        <v>943</v>
      </c>
      <c r="C210" s="509" t="s">
        <v>356</v>
      </c>
      <c r="D210" s="777">
        <v>4500168288</v>
      </c>
      <c r="E210" s="509"/>
      <c r="F210" s="778" t="s">
        <v>944</v>
      </c>
      <c r="G210" s="779" t="s">
        <v>463</v>
      </c>
      <c r="H210" s="509" t="s">
        <v>424</v>
      </c>
      <c r="I210" s="509">
        <v>42</v>
      </c>
      <c r="J210" s="509">
        <v>0</v>
      </c>
      <c r="K210" s="509">
        <v>6</v>
      </c>
      <c r="L210" s="780">
        <f t="shared" si="53"/>
        <v>7</v>
      </c>
      <c r="M210" s="781">
        <v>45842</v>
      </c>
      <c r="N210" s="781">
        <v>45848</v>
      </c>
      <c r="O210" s="782"/>
      <c r="P210" s="782" t="s">
        <v>103</v>
      </c>
      <c r="Q210" s="509"/>
      <c r="R210" s="784">
        <v>45813</v>
      </c>
      <c r="S210" s="784" t="s">
        <v>66</v>
      </c>
      <c r="T210" s="784" t="s">
        <v>945</v>
      </c>
      <c r="U210" s="784"/>
      <c r="V210" s="784"/>
      <c r="W210" s="776" t="s">
        <v>946</v>
      </c>
      <c r="X210" s="781" t="s">
        <v>395</v>
      </c>
      <c r="Y210" s="785">
        <v>8.1</v>
      </c>
      <c r="Z210" s="786">
        <f t="shared" si="54"/>
        <v>340.2</v>
      </c>
      <c r="AA210" s="458" t="s">
        <v>942</v>
      </c>
      <c r="AB210" s="509" t="s">
        <v>427</v>
      </c>
      <c r="AC210" s="509" t="s">
        <v>76</v>
      </c>
      <c r="AD210" s="509"/>
      <c r="AE210" s="635" t="s">
        <v>69</v>
      </c>
      <c r="AF210" s="635"/>
      <c r="AG210" s="788">
        <v>0</v>
      </c>
      <c r="AH210" s="782"/>
      <c r="AI210" s="509"/>
      <c r="AJ210" s="509"/>
      <c r="AK210" s="509"/>
      <c r="AL210" s="777">
        <f t="shared" si="55"/>
        <v>42</v>
      </c>
      <c r="AM210" s="656"/>
      <c r="AN210" s="656"/>
      <c r="AO210" s="656"/>
      <c r="AP210" s="777"/>
      <c r="AQ210" s="656">
        <f>I210</f>
        <v>42</v>
      </c>
      <c r="AR210" s="777">
        <f t="shared" si="56"/>
        <v>42</v>
      </c>
      <c r="AS210" s="777"/>
      <c r="AT210" s="777">
        <f t="shared" si="57"/>
        <v>42</v>
      </c>
      <c r="AU210" s="777"/>
      <c r="AV210" s="778"/>
      <c r="AW210" s="778"/>
      <c r="AX210" s="778"/>
      <c r="AY210" s="778"/>
      <c r="AZ210" s="778"/>
      <c r="BA210" s="778"/>
      <c r="BB210" s="778"/>
      <c r="BC210" s="778"/>
      <c r="BD210" s="778"/>
      <c r="BE210" s="778"/>
      <c r="BF210" s="778"/>
      <c r="BG210" s="778"/>
      <c r="BH210" s="778"/>
      <c r="BI210" s="777"/>
      <c r="BJ210" s="777">
        <f>I210</f>
        <v>42</v>
      </c>
      <c r="BK210" s="778"/>
      <c r="BL210" s="778"/>
      <c r="BM210" s="778"/>
    </row>
    <row r="211" s="771" customFormat="1" ht="31" hidden="1" customHeight="1" spans="1:65">
      <c r="A211" s="775">
        <v>45799</v>
      </c>
      <c r="B211" s="776" t="s">
        <v>128</v>
      </c>
      <c r="C211" s="509" t="s">
        <v>90</v>
      </c>
      <c r="D211" s="777">
        <v>4500167595</v>
      </c>
      <c r="E211" s="886" t="s">
        <v>947</v>
      </c>
      <c r="F211" s="778" t="s">
        <v>948</v>
      </c>
      <c r="G211" s="779" t="s">
        <v>93</v>
      </c>
      <c r="H211" s="509" t="s">
        <v>94</v>
      </c>
      <c r="I211" s="509">
        <v>1872</v>
      </c>
      <c r="J211" s="509">
        <v>0</v>
      </c>
      <c r="K211" s="509">
        <v>4</v>
      </c>
      <c r="L211" s="780">
        <f t="shared" si="53"/>
        <v>468</v>
      </c>
      <c r="M211" s="781">
        <v>45845</v>
      </c>
      <c r="N211" s="781">
        <v>45847</v>
      </c>
      <c r="O211" s="782" t="s">
        <v>949</v>
      </c>
      <c r="P211" s="782" t="s">
        <v>103</v>
      </c>
      <c r="Q211" s="509"/>
      <c r="R211" s="784" t="s">
        <v>870</v>
      </c>
      <c r="S211" s="784" t="s">
        <v>66</v>
      </c>
      <c r="T211" s="784" t="s">
        <v>623</v>
      </c>
      <c r="U211" s="683" t="s">
        <v>133</v>
      </c>
      <c r="V211" s="784"/>
      <c r="W211" s="776" t="s">
        <v>330</v>
      </c>
      <c r="X211" s="781" t="s">
        <v>98</v>
      </c>
      <c r="Y211" s="785">
        <v>2.58</v>
      </c>
      <c r="Z211" s="786">
        <f t="shared" si="54"/>
        <v>4829.76</v>
      </c>
      <c r="AA211" s="509" t="s">
        <v>950</v>
      </c>
      <c r="AB211" s="509" t="s">
        <v>93</v>
      </c>
      <c r="AC211" s="509" t="s">
        <v>76</v>
      </c>
      <c r="AD211" s="509"/>
      <c r="AE211" s="635" t="s">
        <v>69</v>
      </c>
      <c r="AF211" s="635"/>
      <c r="AG211" s="788">
        <f>4+1868</f>
        <v>1872</v>
      </c>
      <c r="AH211" s="782">
        <f t="shared" si="40"/>
        <v>0</v>
      </c>
      <c r="AI211" s="509"/>
      <c r="AJ211" s="509"/>
      <c r="AK211" s="509"/>
      <c r="AL211" s="777">
        <f t="shared" si="55"/>
        <v>1872</v>
      </c>
      <c r="AM211" s="656"/>
      <c r="AN211" s="656"/>
      <c r="AO211" s="656"/>
      <c r="AP211" s="777">
        <f>I211</f>
        <v>1872</v>
      </c>
      <c r="AQ211" s="656"/>
      <c r="AR211" s="777">
        <f t="shared" si="56"/>
        <v>1872</v>
      </c>
      <c r="AS211" s="777"/>
      <c r="AT211" s="543">
        <f t="shared" si="57"/>
        <v>1872</v>
      </c>
      <c r="AU211" s="777"/>
      <c r="AV211" s="778"/>
      <c r="AW211" s="778"/>
      <c r="AX211" s="778"/>
      <c r="AY211" s="778"/>
      <c r="AZ211" s="778"/>
      <c r="BA211" s="778"/>
      <c r="BB211" s="778"/>
      <c r="BC211" s="778"/>
      <c r="BD211" s="777">
        <f>I211/4</f>
        <v>468</v>
      </c>
      <c r="BE211" s="778"/>
      <c r="BF211" s="778"/>
      <c r="BG211" s="778"/>
      <c r="BH211" s="778"/>
      <c r="BI211" s="778"/>
      <c r="BJ211" s="778"/>
      <c r="BK211" s="778"/>
      <c r="BL211" s="778"/>
      <c r="BM211" s="778"/>
    </row>
    <row r="212" s="771" customFormat="1" ht="31" hidden="1" customHeight="1" spans="1:65">
      <c r="A212" s="775">
        <v>45799</v>
      </c>
      <c r="B212" s="776" t="s">
        <v>128</v>
      </c>
      <c r="C212" s="509" t="s">
        <v>90</v>
      </c>
      <c r="D212" s="777">
        <v>4500167595</v>
      </c>
      <c r="E212" s="886" t="s">
        <v>951</v>
      </c>
      <c r="F212" s="778" t="s">
        <v>952</v>
      </c>
      <c r="G212" s="779" t="s">
        <v>93</v>
      </c>
      <c r="H212" s="509" t="s">
        <v>94</v>
      </c>
      <c r="I212" s="509">
        <v>2808</v>
      </c>
      <c r="J212" s="509">
        <v>0</v>
      </c>
      <c r="K212" s="509">
        <v>4</v>
      </c>
      <c r="L212" s="780">
        <f t="shared" si="53"/>
        <v>702</v>
      </c>
      <c r="M212" s="781">
        <v>45845</v>
      </c>
      <c r="N212" s="781">
        <v>45847</v>
      </c>
      <c r="O212" s="782" t="s">
        <v>949</v>
      </c>
      <c r="P212" s="782" t="s">
        <v>103</v>
      </c>
      <c r="Q212" s="509"/>
      <c r="R212" s="784" t="s">
        <v>870</v>
      </c>
      <c r="S212" s="784" t="s">
        <v>66</v>
      </c>
      <c r="T212" s="784" t="s">
        <v>623</v>
      </c>
      <c r="U212" s="683" t="s">
        <v>133</v>
      </c>
      <c r="V212" s="784"/>
      <c r="W212" s="776" t="s">
        <v>330</v>
      </c>
      <c r="X212" s="781" t="s">
        <v>98</v>
      </c>
      <c r="Y212" s="785">
        <v>2.58</v>
      </c>
      <c r="Z212" s="786">
        <f t="shared" si="54"/>
        <v>7244.64</v>
      </c>
      <c r="AA212" s="509" t="s">
        <v>953</v>
      </c>
      <c r="AB212" s="509" t="s">
        <v>93</v>
      </c>
      <c r="AC212" s="509" t="s">
        <v>76</v>
      </c>
      <c r="AD212" s="509"/>
      <c r="AE212" s="635" t="s">
        <v>69</v>
      </c>
      <c r="AF212" s="635"/>
      <c r="AG212" s="788">
        <f>700+2108</f>
        <v>2808</v>
      </c>
      <c r="AH212" s="782">
        <f t="shared" si="40"/>
        <v>0</v>
      </c>
      <c r="AI212" s="509"/>
      <c r="AJ212" s="509"/>
      <c r="AK212" s="509"/>
      <c r="AL212" s="777">
        <f t="shared" si="55"/>
        <v>2808</v>
      </c>
      <c r="AM212" s="656"/>
      <c r="AN212" s="656"/>
      <c r="AO212" s="656"/>
      <c r="AP212" s="777">
        <f>I212</f>
        <v>2808</v>
      </c>
      <c r="AQ212" s="656"/>
      <c r="AR212" s="777">
        <f t="shared" si="56"/>
        <v>2808</v>
      </c>
      <c r="AS212" s="777"/>
      <c r="AT212" s="543">
        <f t="shared" si="57"/>
        <v>2808</v>
      </c>
      <c r="AU212" s="777"/>
      <c r="AV212" s="778"/>
      <c r="AW212" s="778"/>
      <c r="AX212" s="778"/>
      <c r="AY212" s="778"/>
      <c r="AZ212" s="778"/>
      <c r="BA212" s="778"/>
      <c r="BB212" s="778"/>
      <c r="BC212" s="778"/>
      <c r="BD212" s="777">
        <f>I212/4</f>
        <v>702</v>
      </c>
      <c r="BE212" s="778"/>
      <c r="BF212" s="778"/>
      <c r="BG212" s="778"/>
      <c r="BH212" s="778"/>
      <c r="BI212" s="778"/>
      <c r="BJ212" s="778"/>
      <c r="BK212" s="778"/>
      <c r="BL212" s="778"/>
      <c r="BM212" s="778"/>
    </row>
    <row r="213" s="771" customFormat="1" ht="31" hidden="1" customHeight="1" spans="1:65">
      <c r="A213" s="775">
        <v>45804</v>
      </c>
      <c r="B213" s="776" t="s">
        <v>440</v>
      </c>
      <c r="C213" s="509" t="s">
        <v>249</v>
      </c>
      <c r="D213" s="777">
        <v>4500167998</v>
      </c>
      <c r="E213" s="509" t="s">
        <v>954</v>
      </c>
      <c r="F213" s="778" t="s">
        <v>955</v>
      </c>
      <c r="G213" s="779" t="s">
        <v>251</v>
      </c>
      <c r="H213" s="509" t="s">
        <v>252</v>
      </c>
      <c r="I213" s="509">
        <v>512</v>
      </c>
      <c r="J213" s="509">
        <v>4</v>
      </c>
      <c r="K213" s="509">
        <v>16</v>
      </c>
      <c r="L213" s="780">
        <f t="shared" si="53"/>
        <v>32</v>
      </c>
      <c r="M213" s="781">
        <v>45847</v>
      </c>
      <c r="N213" s="781">
        <v>45843</v>
      </c>
      <c r="O213" s="782"/>
      <c r="P213" s="782" t="s">
        <v>103</v>
      </c>
      <c r="Q213" s="509"/>
      <c r="R213" s="784">
        <v>45814</v>
      </c>
      <c r="S213" s="784" t="s">
        <v>66</v>
      </c>
      <c r="T213" s="784" t="s">
        <v>956</v>
      </c>
      <c r="U213" s="784"/>
      <c r="V213" s="784"/>
      <c r="W213" s="776" t="s">
        <v>957</v>
      </c>
      <c r="X213" s="781" t="s">
        <v>254</v>
      </c>
      <c r="Y213" s="785">
        <v>5</v>
      </c>
      <c r="Z213" s="786">
        <f t="shared" si="54"/>
        <v>2560</v>
      </c>
      <c r="AA213" s="509" t="s">
        <v>958</v>
      </c>
      <c r="AB213" s="509" t="s">
        <v>251</v>
      </c>
      <c r="AC213" s="509" t="s">
        <v>76</v>
      </c>
      <c r="AD213" s="509"/>
      <c r="AE213" s="635" t="s">
        <v>69</v>
      </c>
      <c r="AF213" s="635"/>
      <c r="AG213" s="788">
        <f>496+16</f>
        <v>512</v>
      </c>
      <c r="AH213" s="782">
        <f t="shared" si="40"/>
        <v>0</v>
      </c>
      <c r="AI213" s="509"/>
      <c r="AJ213" s="509"/>
      <c r="AK213" s="509"/>
      <c r="AL213" s="777">
        <f t="shared" si="55"/>
        <v>512</v>
      </c>
      <c r="AM213" s="656"/>
      <c r="AN213" s="656"/>
      <c r="AO213" s="656"/>
      <c r="AP213" s="777">
        <f>I213</f>
        <v>512</v>
      </c>
      <c r="AQ213" s="656"/>
      <c r="AR213" s="777">
        <f t="shared" si="56"/>
        <v>512</v>
      </c>
      <c r="AS213" s="777"/>
      <c r="AT213" s="777">
        <f t="shared" si="57"/>
        <v>512</v>
      </c>
      <c r="AU213" s="777"/>
      <c r="AV213" s="778"/>
      <c r="AW213" s="778"/>
      <c r="AX213" s="778"/>
      <c r="AY213" s="778"/>
      <c r="AZ213" s="778"/>
      <c r="BA213" s="778"/>
      <c r="BB213" s="778"/>
      <c r="BC213" s="778"/>
      <c r="BD213" s="777">
        <f>I213/4</f>
        <v>128</v>
      </c>
      <c r="BE213" s="778"/>
      <c r="BF213" s="778"/>
      <c r="BG213" s="778"/>
      <c r="BH213" s="778"/>
      <c r="BI213" s="778"/>
      <c r="BJ213" s="778"/>
      <c r="BK213" s="778"/>
      <c r="BL213" s="778"/>
      <c r="BM213" s="778"/>
    </row>
    <row r="214" s="771" customFormat="1" ht="31" hidden="1" customHeight="1" spans="1:65">
      <c r="A214" s="775">
        <v>45812</v>
      </c>
      <c r="B214" s="776" t="s">
        <v>128</v>
      </c>
      <c r="C214" s="509" t="s">
        <v>90</v>
      </c>
      <c r="D214" s="777">
        <v>4500168952</v>
      </c>
      <c r="E214" s="886" t="s">
        <v>959</v>
      </c>
      <c r="F214" s="778" t="s">
        <v>960</v>
      </c>
      <c r="G214" s="779" t="s">
        <v>186</v>
      </c>
      <c r="H214" s="509" t="s">
        <v>94</v>
      </c>
      <c r="I214" s="509">
        <v>248</v>
      </c>
      <c r="J214" s="509">
        <v>0</v>
      </c>
      <c r="K214" s="509">
        <v>4</v>
      </c>
      <c r="L214" s="780">
        <f t="shared" si="53"/>
        <v>62</v>
      </c>
      <c r="M214" s="781">
        <v>45847</v>
      </c>
      <c r="N214" s="781">
        <v>45849</v>
      </c>
      <c r="O214" s="782" t="s">
        <v>961</v>
      </c>
      <c r="P214" s="782" t="s">
        <v>103</v>
      </c>
      <c r="Q214" s="509"/>
      <c r="R214" s="784" t="s">
        <v>962</v>
      </c>
      <c r="S214" s="784" t="s">
        <v>66</v>
      </c>
      <c r="T214" s="784">
        <v>45826</v>
      </c>
      <c r="U214" s="784"/>
      <c r="V214" s="784"/>
      <c r="W214" s="776" t="s">
        <v>963</v>
      </c>
      <c r="X214" s="781" t="s">
        <v>98</v>
      </c>
      <c r="Y214" s="785">
        <v>2.5402</v>
      </c>
      <c r="Z214" s="786">
        <f t="shared" si="54"/>
        <v>629.9696</v>
      </c>
      <c r="AA214" s="509" t="s">
        <v>964</v>
      </c>
      <c r="AB214" s="509" t="s">
        <v>186</v>
      </c>
      <c r="AC214" s="509" t="s">
        <v>76</v>
      </c>
      <c r="AD214" s="509"/>
      <c r="AE214" s="635" t="s">
        <v>69</v>
      </c>
      <c r="AF214" s="635"/>
      <c r="AG214" s="788">
        <v>248</v>
      </c>
      <c r="AH214" s="782">
        <f t="shared" si="40"/>
        <v>0</v>
      </c>
      <c r="AI214" s="509"/>
      <c r="AJ214" s="509"/>
      <c r="AK214" s="509"/>
      <c r="AL214" s="777">
        <f t="shared" si="55"/>
        <v>248</v>
      </c>
      <c r="AM214" s="656"/>
      <c r="AN214" s="656"/>
      <c r="AO214" s="656"/>
      <c r="AP214" s="777">
        <f>I214</f>
        <v>248</v>
      </c>
      <c r="AQ214" s="656"/>
      <c r="AR214" s="777">
        <f t="shared" si="56"/>
        <v>248</v>
      </c>
      <c r="AS214" s="777"/>
      <c r="AT214" s="777">
        <f t="shared" si="57"/>
        <v>248</v>
      </c>
      <c r="AU214" s="777"/>
      <c r="AV214" s="778"/>
      <c r="AW214" s="778"/>
      <c r="AX214" s="778"/>
      <c r="AY214" s="778"/>
      <c r="AZ214" s="778"/>
      <c r="BA214" s="778"/>
      <c r="BB214" s="778"/>
      <c r="BC214" s="778"/>
      <c r="BD214" s="778"/>
      <c r="BE214" s="778"/>
      <c r="BF214" s="778"/>
      <c r="BG214" s="778"/>
      <c r="BH214" s="778"/>
      <c r="BI214" s="778"/>
      <c r="BJ214" s="778"/>
      <c r="BK214" s="778"/>
      <c r="BL214" s="778"/>
      <c r="BM214" s="778"/>
    </row>
    <row r="215" s="771" customFormat="1" ht="31" hidden="1" customHeight="1" spans="1:65">
      <c r="A215" s="775">
        <v>45814</v>
      </c>
      <c r="B215" s="776" t="s">
        <v>965</v>
      </c>
      <c r="C215" s="509" t="s">
        <v>882</v>
      </c>
      <c r="D215" s="777">
        <v>4500169123</v>
      </c>
      <c r="E215" s="509">
        <v>4500061201</v>
      </c>
      <c r="F215" s="778" t="s">
        <v>966</v>
      </c>
      <c r="G215" s="779" t="s">
        <v>64</v>
      </c>
      <c r="H215" s="509" t="s">
        <v>65</v>
      </c>
      <c r="I215" s="509">
        <v>600</v>
      </c>
      <c r="J215" s="509">
        <v>0</v>
      </c>
      <c r="K215" s="509">
        <v>12</v>
      </c>
      <c r="L215" s="780">
        <f t="shared" si="53"/>
        <v>50</v>
      </c>
      <c r="M215" s="781">
        <v>45849</v>
      </c>
      <c r="N215" s="781">
        <v>45845</v>
      </c>
      <c r="O215" s="782"/>
      <c r="P215" s="782" t="s">
        <v>103</v>
      </c>
      <c r="Q215" s="509"/>
      <c r="R215" s="784">
        <v>45814</v>
      </c>
      <c r="S215" s="784" t="s">
        <v>66</v>
      </c>
      <c r="T215" s="784" t="s">
        <v>967</v>
      </c>
      <c r="U215" s="784"/>
      <c r="V215" s="784"/>
      <c r="W215" s="776" t="s">
        <v>968</v>
      </c>
      <c r="X215" s="781" t="s">
        <v>886</v>
      </c>
      <c r="Y215" s="785">
        <v>4.1018</v>
      </c>
      <c r="Z215" s="786">
        <f t="shared" si="54"/>
        <v>2461.08</v>
      </c>
      <c r="AA215" s="509"/>
      <c r="AB215" s="509" t="s">
        <v>165</v>
      </c>
      <c r="AC215" s="509" t="s">
        <v>76</v>
      </c>
      <c r="AD215" s="509"/>
      <c r="AE215" s="635" t="s">
        <v>69</v>
      </c>
      <c r="AF215" s="635"/>
      <c r="AG215" s="788">
        <f>588+12</f>
        <v>600</v>
      </c>
      <c r="AH215" s="782">
        <f t="shared" si="40"/>
        <v>0</v>
      </c>
      <c r="AI215" s="509"/>
      <c r="AJ215" s="509"/>
      <c r="AK215" s="509"/>
      <c r="AL215" s="777">
        <f t="shared" si="55"/>
        <v>600</v>
      </c>
      <c r="AM215" s="656"/>
      <c r="AN215" s="656"/>
      <c r="AO215" s="656"/>
      <c r="AP215" s="777"/>
      <c r="AQ215" s="656">
        <f>I215</f>
        <v>600</v>
      </c>
      <c r="AR215" s="777">
        <f t="shared" si="56"/>
        <v>600</v>
      </c>
      <c r="AS215" s="777"/>
      <c r="AT215" s="777">
        <f t="shared" si="57"/>
        <v>600</v>
      </c>
      <c r="AU215" s="777"/>
      <c r="AV215" s="778"/>
      <c r="AW215" s="778"/>
      <c r="AX215" s="778"/>
      <c r="AY215" s="778"/>
      <c r="AZ215" s="778"/>
      <c r="BA215" s="778"/>
      <c r="BB215" s="778"/>
      <c r="BC215" s="778"/>
      <c r="BD215" s="778"/>
      <c r="BE215" s="778"/>
      <c r="BF215" s="778"/>
      <c r="BG215" s="778"/>
      <c r="BH215" s="778"/>
      <c r="BI215" s="778"/>
      <c r="BJ215" s="778"/>
      <c r="BK215" s="778"/>
      <c r="BL215" s="778"/>
      <c r="BM215" s="778"/>
    </row>
    <row r="216" s="771" customFormat="1" ht="31" hidden="1" customHeight="1" spans="1:65">
      <c r="A216" s="775">
        <v>45771</v>
      </c>
      <c r="B216" s="776" t="s">
        <v>817</v>
      </c>
      <c r="C216" s="509" t="s">
        <v>153</v>
      </c>
      <c r="D216" s="777">
        <v>4500161406</v>
      </c>
      <c r="E216" s="886" t="s">
        <v>969</v>
      </c>
      <c r="F216" s="778" t="s">
        <v>970</v>
      </c>
      <c r="G216" s="779" t="s">
        <v>971</v>
      </c>
      <c r="H216" s="509" t="s">
        <v>744</v>
      </c>
      <c r="I216" s="509">
        <v>24</v>
      </c>
      <c r="J216" s="509">
        <v>0</v>
      </c>
      <c r="K216" s="509">
        <v>1</v>
      </c>
      <c r="L216" s="780">
        <f t="shared" si="53"/>
        <v>24</v>
      </c>
      <c r="M216" s="781">
        <v>45850</v>
      </c>
      <c r="N216" s="781">
        <v>45846</v>
      </c>
      <c r="O216" s="782"/>
      <c r="P216" s="782" t="s">
        <v>103</v>
      </c>
      <c r="Q216" s="509"/>
      <c r="R216" s="784">
        <v>45790</v>
      </c>
      <c r="S216" s="784" t="s">
        <v>66</v>
      </c>
      <c r="T216" s="784" t="s">
        <v>66</v>
      </c>
      <c r="U216" s="784"/>
      <c r="V216" s="784"/>
      <c r="W216" s="776" t="s">
        <v>972</v>
      </c>
      <c r="X216" s="781" t="s">
        <v>821</v>
      </c>
      <c r="Y216" s="785">
        <v>0</v>
      </c>
      <c r="Z216" s="786">
        <v>0</v>
      </c>
      <c r="AA216" s="509" t="s">
        <v>973</v>
      </c>
      <c r="AB216" s="509" t="s">
        <v>974</v>
      </c>
      <c r="AC216" s="509" t="s">
        <v>76</v>
      </c>
      <c r="AD216" s="509"/>
      <c r="AE216" s="635" t="s">
        <v>69</v>
      </c>
      <c r="AF216" s="635"/>
      <c r="AG216" s="788">
        <v>0</v>
      </c>
      <c r="AH216" s="782"/>
      <c r="AI216" s="509"/>
      <c r="AJ216" s="509"/>
      <c r="AK216" s="509"/>
      <c r="AL216" s="777"/>
      <c r="AM216" s="656"/>
      <c r="AN216" s="656"/>
      <c r="AO216" s="656"/>
      <c r="AP216" s="777"/>
      <c r="AQ216" s="656"/>
      <c r="AR216" s="777"/>
      <c r="AS216" s="777"/>
      <c r="AT216" s="777"/>
      <c r="AU216" s="777"/>
      <c r="AV216" s="778"/>
      <c r="AW216" s="778"/>
      <c r="AX216" s="778"/>
      <c r="AY216" s="778"/>
      <c r="AZ216" s="778"/>
      <c r="BA216" s="778"/>
      <c r="BB216" s="778"/>
      <c r="BC216" s="778"/>
      <c r="BD216" s="778"/>
      <c r="BE216" s="778"/>
      <c r="BF216" s="778"/>
      <c r="BG216" s="778"/>
      <c r="BH216" s="778"/>
      <c r="BI216" s="778"/>
      <c r="BJ216" s="778"/>
      <c r="BK216" s="778"/>
      <c r="BL216" s="778"/>
      <c r="BM216" s="778"/>
    </row>
    <row r="217" s="771" customFormat="1" ht="31" hidden="1" customHeight="1" spans="1:65">
      <c r="A217" s="775">
        <v>45771</v>
      </c>
      <c r="B217" s="776" t="s">
        <v>817</v>
      </c>
      <c r="C217" s="509" t="s">
        <v>153</v>
      </c>
      <c r="D217" s="777">
        <v>4500161406</v>
      </c>
      <c r="E217" s="886" t="s">
        <v>969</v>
      </c>
      <c r="F217" s="778" t="s">
        <v>970</v>
      </c>
      <c r="G217" s="779" t="s">
        <v>460</v>
      </c>
      <c r="H217" s="509" t="s">
        <v>65</v>
      </c>
      <c r="I217" s="509">
        <v>2400</v>
      </c>
      <c r="J217" s="509">
        <v>0</v>
      </c>
      <c r="K217" s="509">
        <v>100</v>
      </c>
      <c r="L217" s="780">
        <f t="shared" si="53"/>
        <v>24</v>
      </c>
      <c r="M217" s="781">
        <v>45850</v>
      </c>
      <c r="N217" s="781">
        <v>45846</v>
      </c>
      <c r="O217" s="782"/>
      <c r="P217" s="782" t="s">
        <v>103</v>
      </c>
      <c r="Q217" s="509"/>
      <c r="R217" s="784">
        <v>45790</v>
      </c>
      <c r="S217" s="784" t="s">
        <v>66</v>
      </c>
      <c r="T217" s="784" t="s">
        <v>66</v>
      </c>
      <c r="U217" s="784"/>
      <c r="V217" s="784"/>
      <c r="W217" s="776"/>
      <c r="X217" s="781" t="s">
        <v>821</v>
      </c>
      <c r="Y217" s="785">
        <v>1000</v>
      </c>
      <c r="Z217" s="786">
        <f>Y217*L217</f>
        <v>24000</v>
      </c>
      <c r="AA217" s="509" t="s">
        <v>973</v>
      </c>
      <c r="AB217" s="509" t="s">
        <v>974</v>
      </c>
      <c r="AC217" s="509" t="s">
        <v>76</v>
      </c>
      <c r="AD217" s="509"/>
      <c r="AE217" s="635" t="s">
        <v>69</v>
      </c>
      <c r="AF217" s="635"/>
      <c r="AG217" s="788">
        <v>0</v>
      </c>
      <c r="AH217" s="782"/>
      <c r="AI217" s="509"/>
      <c r="AJ217" s="509"/>
      <c r="AK217" s="509"/>
      <c r="AL217" s="777"/>
      <c r="AM217" s="656">
        <f>I217</f>
        <v>2400</v>
      </c>
      <c r="AN217" s="656"/>
      <c r="AO217" s="656"/>
      <c r="AP217" s="777"/>
      <c r="AQ217" s="656"/>
      <c r="AR217" s="777"/>
      <c r="AS217" s="777"/>
      <c r="AT217" s="777"/>
      <c r="AU217" s="777"/>
      <c r="AV217" s="778"/>
      <c r="AW217" s="778">
        <f>I217</f>
        <v>2400</v>
      </c>
      <c r="AX217" s="778">
        <f>I217</f>
        <v>2400</v>
      </c>
      <c r="AY217" s="778">
        <f>I217</f>
        <v>2400</v>
      </c>
      <c r="AZ217" s="778"/>
      <c r="BA217" s="778"/>
      <c r="BB217" s="778"/>
      <c r="BC217" s="778"/>
      <c r="BD217" s="778"/>
      <c r="BE217" s="778"/>
      <c r="BF217" s="778"/>
      <c r="BG217" s="778">
        <f>I217</f>
        <v>2400</v>
      </c>
      <c r="BH217" s="778">
        <f>I217/5</f>
        <v>480</v>
      </c>
      <c r="BI217" s="778"/>
      <c r="BJ217" s="778"/>
      <c r="BK217" s="778"/>
      <c r="BL217" s="778"/>
      <c r="BM217" s="778"/>
    </row>
    <row r="218" s="771" customFormat="1" ht="31" hidden="1" customHeight="1" spans="1:65">
      <c r="A218" s="775">
        <v>45817</v>
      </c>
      <c r="B218" s="776" t="s">
        <v>128</v>
      </c>
      <c r="C218" s="509" t="s">
        <v>90</v>
      </c>
      <c r="D218" s="777">
        <v>4500169395</v>
      </c>
      <c r="E218" s="886" t="s">
        <v>975</v>
      </c>
      <c r="F218" s="778" t="s">
        <v>976</v>
      </c>
      <c r="G218" s="779" t="s">
        <v>93</v>
      </c>
      <c r="H218" s="509" t="s">
        <v>94</v>
      </c>
      <c r="I218" s="509">
        <v>1488</v>
      </c>
      <c r="J218" s="509">
        <v>0</v>
      </c>
      <c r="K218" s="509">
        <v>4</v>
      </c>
      <c r="L218" s="780">
        <f t="shared" si="53"/>
        <v>372</v>
      </c>
      <c r="M218" s="781">
        <v>45853</v>
      </c>
      <c r="N218" s="781">
        <f>M218-1</f>
        <v>45852</v>
      </c>
      <c r="O218" s="782" t="s">
        <v>977</v>
      </c>
      <c r="P218" s="782" t="s">
        <v>103</v>
      </c>
      <c r="Q218" s="509"/>
      <c r="R218" s="784" t="s">
        <v>132</v>
      </c>
      <c r="S218" s="784" t="s">
        <v>66</v>
      </c>
      <c r="T218" s="784" t="s">
        <v>133</v>
      </c>
      <c r="U218" s="683" t="s">
        <v>133</v>
      </c>
      <c r="V218" s="784"/>
      <c r="W218" s="776" t="s">
        <v>901</v>
      </c>
      <c r="X218" s="781" t="s">
        <v>98</v>
      </c>
      <c r="Y218" s="785">
        <v>2.58</v>
      </c>
      <c r="Z218" s="786">
        <f t="shared" ref="Z218:Z226" si="58">Y218*I218</f>
        <v>3839.04</v>
      </c>
      <c r="AA218" s="509" t="s">
        <v>978</v>
      </c>
      <c r="AB218" s="509" t="s">
        <v>93</v>
      </c>
      <c r="AC218" s="509" t="s">
        <v>76</v>
      </c>
      <c r="AD218" s="509"/>
      <c r="AE218" s="635" t="s">
        <v>69</v>
      </c>
      <c r="AF218" s="635"/>
      <c r="AG218" s="788">
        <v>1488</v>
      </c>
      <c r="AH218" s="782">
        <f t="shared" si="40"/>
        <v>0</v>
      </c>
      <c r="AI218" s="509"/>
      <c r="AJ218" s="509"/>
      <c r="AK218" s="509"/>
      <c r="AL218" s="777">
        <f t="shared" ref="AL218:AL226" si="59">I218</f>
        <v>1488</v>
      </c>
      <c r="AM218" s="656"/>
      <c r="AN218" s="656"/>
      <c r="AO218" s="656"/>
      <c r="AP218" s="777">
        <f t="shared" ref="AP218:AP224" si="60">I218</f>
        <v>1488</v>
      </c>
      <c r="AQ218" s="656"/>
      <c r="AR218" s="777">
        <f t="shared" ref="AR218:AR223" si="61">I218</f>
        <v>1488</v>
      </c>
      <c r="AS218" s="777"/>
      <c r="AT218" s="543">
        <f t="shared" ref="AT218:AT223" si="62">I218</f>
        <v>1488</v>
      </c>
      <c r="AU218" s="777"/>
      <c r="AV218" s="778"/>
      <c r="AW218" s="778"/>
      <c r="AX218" s="778"/>
      <c r="AY218" s="778"/>
      <c r="AZ218" s="778"/>
      <c r="BA218" s="778"/>
      <c r="BB218" s="778"/>
      <c r="BC218" s="778"/>
      <c r="BD218" s="777">
        <f t="shared" ref="BD218:BD223" si="63">I218/4</f>
        <v>372</v>
      </c>
      <c r="BE218" s="778"/>
      <c r="BF218" s="778"/>
      <c r="BG218" s="778"/>
      <c r="BH218" s="778"/>
      <c r="BI218" s="778"/>
      <c r="BJ218" s="778"/>
      <c r="BK218" s="778"/>
      <c r="BL218" s="778"/>
      <c r="BM218" s="778"/>
    </row>
    <row r="219" s="771" customFormat="1" ht="31" hidden="1" customHeight="1" spans="1:65">
      <c r="A219" s="775">
        <v>45817</v>
      </c>
      <c r="B219" s="776" t="s">
        <v>128</v>
      </c>
      <c r="C219" s="509" t="s">
        <v>90</v>
      </c>
      <c r="D219" s="777">
        <v>4500169395</v>
      </c>
      <c r="E219" s="886" t="s">
        <v>979</v>
      </c>
      <c r="F219" s="778" t="s">
        <v>980</v>
      </c>
      <c r="G219" s="779" t="s">
        <v>93</v>
      </c>
      <c r="H219" s="509" t="s">
        <v>94</v>
      </c>
      <c r="I219" s="509">
        <v>1696</v>
      </c>
      <c r="J219" s="509">
        <v>0</v>
      </c>
      <c r="K219" s="509">
        <v>4</v>
      </c>
      <c r="L219" s="780">
        <f t="shared" si="53"/>
        <v>424</v>
      </c>
      <c r="M219" s="781">
        <v>45853</v>
      </c>
      <c r="N219" s="781">
        <f>M219-1</f>
        <v>45852</v>
      </c>
      <c r="O219" s="782" t="s">
        <v>977</v>
      </c>
      <c r="P219" s="782" t="s">
        <v>103</v>
      </c>
      <c r="Q219" s="509"/>
      <c r="R219" s="784" t="s">
        <v>132</v>
      </c>
      <c r="S219" s="784" t="s">
        <v>66</v>
      </c>
      <c r="T219" s="784" t="s">
        <v>133</v>
      </c>
      <c r="U219" s="683" t="s">
        <v>133</v>
      </c>
      <c r="V219" s="784"/>
      <c r="W219" s="776" t="s">
        <v>901</v>
      </c>
      <c r="X219" s="781" t="s">
        <v>98</v>
      </c>
      <c r="Y219" s="785">
        <v>2.58</v>
      </c>
      <c r="Z219" s="786">
        <f t="shared" si="58"/>
        <v>4375.68</v>
      </c>
      <c r="AA219" s="509" t="s">
        <v>981</v>
      </c>
      <c r="AB219" s="509" t="s">
        <v>93</v>
      </c>
      <c r="AC219" s="509" t="s">
        <v>76</v>
      </c>
      <c r="AD219" s="509"/>
      <c r="AE219" s="635" t="s">
        <v>69</v>
      </c>
      <c r="AF219" s="635"/>
      <c r="AG219" s="788">
        <v>1696</v>
      </c>
      <c r="AH219" s="782">
        <f t="shared" si="40"/>
        <v>0</v>
      </c>
      <c r="AI219" s="509"/>
      <c r="AJ219" s="509"/>
      <c r="AK219" s="509"/>
      <c r="AL219" s="777">
        <f t="shared" si="59"/>
        <v>1696</v>
      </c>
      <c r="AM219" s="656"/>
      <c r="AN219" s="656"/>
      <c r="AO219" s="656"/>
      <c r="AP219" s="777">
        <f t="shared" si="60"/>
        <v>1696</v>
      </c>
      <c r="AQ219" s="656"/>
      <c r="AR219" s="777">
        <f t="shared" si="61"/>
        <v>1696</v>
      </c>
      <c r="AS219" s="777"/>
      <c r="AT219" s="543">
        <f t="shared" si="62"/>
        <v>1696</v>
      </c>
      <c r="AU219" s="777"/>
      <c r="AV219" s="778"/>
      <c r="AW219" s="778"/>
      <c r="AX219" s="778"/>
      <c r="AY219" s="778"/>
      <c r="AZ219" s="778"/>
      <c r="BA219" s="778"/>
      <c r="BB219" s="778"/>
      <c r="BC219" s="778"/>
      <c r="BD219" s="777">
        <f t="shared" si="63"/>
        <v>424</v>
      </c>
      <c r="BE219" s="778"/>
      <c r="BF219" s="778"/>
      <c r="BG219" s="778"/>
      <c r="BH219" s="778"/>
      <c r="BI219" s="778"/>
      <c r="BJ219" s="778"/>
      <c r="BK219" s="778"/>
      <c r="BL219" s="778"/>
      <c r="BM219" s="778"/>
    </row>
    <row r="220" s="771" customFormat="1" ht="31" hidden="1" customHeight="1" spans="1:65">
      <c r="A220" s="775">
        <v>45817</v>
      </c>
      <c r="B220" s="776" t="s">
        <v>128</v>
      </c>
      <c r="C220" s="509" t="s">
        <v>90</v>
      </c>
      <c r="D220" s="777">
        <v>4500169395</v>
      </c>
      <c r="E220" s="886" t="s">
        <v>982</v>
      </c>
      <c r="F220" s="778" t="s">
        <v>983</v>
      </c>
      <c r="G220" s="779" t="s">
        <v>93</v>
      </c>
      <c r="H220" s="509" t="s">
        <v>94</v>
      </c>
      <c r="I220" s="509">
        <v>1808</v>
      </c>
      <c r="J220" s="509">
        <v>0</v>
      </c>
      <c r="K220" s="509">
        <v>4</v>
      </c>
      <c r="L220" s="780">
        <f t="shared" si="53"/>
        <v>452</v>
      </c>
      <c r="M220" s="781">
        <v>45853</v>
      </c>
      <c r="N220" s="781">
        <f>M220-1</f>
        <v>45852</v>
      </c>
      <c r="O220" s="782" t="s">
        <v>977</v>
      </c>
      <c r="P220" s="782" t="s">
        <v>103</v>
      </c>
      <c r="Q220" s="509"/>
      <c r="R220" s="784" t="s">
        <v>132</v>
      </c>
      <c r="S220" s="784" t="s">
        <v>66</v>
      </c>
      <c r="T220" s="784" t="s">
        <v>133</v>
      </c>
      <c r="U220" s="683" t="s">
        <v>133</v>
      </c>
      <c r="V220" s="784"/>
      <c r="W220" s="776" t="s">
        <v>901</v>
      </c>
      <c r="X220" s="781" t="s">
        <v>98</v>
      </c>
      <c r="Y220" s="785">
        <v>2.58</v>
      </c>
      <c r="Z220" s="786">
        <f t="shared" si="58"/>
        <v>4664.64</v>
      </c>
      <c r="AA220" s="509" t="s">
        <v>984</v>
      </c>
      <c r="AB220" s="509" t="s">
        <v>93</v>
      </c>
      <c r="AC220" s="509" t="s">
        <v>76</v>
      </c>
      <c r="AD220" s="509"/>
      <c r="AE220" s="635" t="s">
        <v>69</v>
      </c>
      <c r="AF220" s="635"/>
      <c r="AG220" s="788">
        <v>1808</v>
      </c>
      <c r="AH220" s="782">
        <f t="shared" si="40"/>
        <v>0</v>
      </c>
      <c r="AI220" s="509"/>
      <c r="AJ220" s="509"/>
      <c r="AK220" s="509"/>
      <c r="AL220" s="777">
        <f t="shared" si="59"/>
        <v>1808</v>
      </c>
      <c r="AM220" s="656"/>
      <c r="AN220" s="656"/>
      <c r="AO220" s="656"/>
      <c r="AP220" s="777">
        <f t="shared" si="60"/>
        <v>1808</v>
      </c>
      <c r="AQ220" s="656"/>
      <c r="AR220" s="777">
        <f t="shared" si="61"/>
        <v>1808</v>
      </c>
      <c r="AS220" s="777"/>
      <c r="AT220" s="543">
        <f t="shared" si="62"/>
        <v>1808</v>
      </c>
      <c r="AU220" s="777"/>
      <c r="AV220" s="778"/>
      <c r="AW220" s="778"/>
      <c r="AX220" s="778"/>
      <c r="AY220" s="778"/>
      <c r="AZ220" s="778"/>
      <c r="BA220" s="778"/>
      <c r="BB220" s="778"/>
      <c r="BC220" s="778"/>
      <c r="BD220" s="777">
        <f t="shared" si="63"/>
        <v>452</v>
      </c>
      <c r="BE220" s="778"/>
      <c r="BF220" s="778"/>
      <c r="BG220" s="778"/>
      <c r="BH220" s="778"/>
      <c r="BI220" s="778"/>
      <c r="BJ220" s="778"/>
      <c r="BK220" s="778"/>
      <c r="BL220" s="778"/>
      <c r="BM220" s="778"/>
    </row>
    <row r="221" s="771" customFormat="1" ht="31" hidden="1" customHeight="1" spans="1:65">
      <c r="A221" s="775">
        <v>45817</v>
      </c>
      <c r="B221" s="776" t="s">
        <v>128</v>
      </c>
      <c r="C221" s="509" t="s">
        <v>90</v>
      </c>
      <c r="D221" s="777">
        <v>4500169395</v>
      </c>
      <c r="E221" s="886" t="s">
        <v>985</v>
      </c>
      <c r="F221" s="778" t="s">
        <v>986</v>
      </c>
      <c r="G221" s="779" t="s">
        <v>93</v>
      </c>
      <c r="H221" s="509" t="s">
        <v>94</v>
      </c>
      <c r="I221" s="509">
        <v>1408</v>
      </c>
      <c r="J221" s="509">
        <v>0</v>
      </c>
      <c r="K221" s="509">
        <v>4</v>
      </c>
      <c r="L221" s="780">
        <f t="shared" si="53"/>
        <v>352</v>
      </c>
      <c r="M221" s="781">
        <v>45853</v>
      </c>
      <c r="N221" s="781">
        <f>M221-1</f>
        <v>45852</v>
      </c>
      <c r="O221" s="782" t="s">
        <v>977</v>
      </c>
      <c r="P221" s="782" t="s">
        <v>103</v>
      </c>
      <c r="Q221" s="509"/>
      <c r="R221" s="784" t="s">
        <v>132</v>
      </c>
      <c r="S221" s="784" t="s">
        <v>66</v>
      </c>
      <c r="T221" s="784" t="s">
        <v>133</v>
      </c>
      <c r="U221" s="683" t="s">
        <v>133</v>
      </c>
      <c r="V221" s="784"/>
      <c r="W221" s="776" t="s">
        <v>901</v>
      </c>
      <c r="X221" s="781" t="s">
        <v>98</v>
      </c>
      <c r="Y221" s="785">
        <v>2.58</v>
      </c>
      <c r="Z221" s="786">
        <f t="shared" si="58"/>
        <v>3632.64</v>
      </c>
      <c r="AA221" s="509" t="s">
        <v>987</v>
      </c>
      <c r="AB221" s="509" t="s">
        <v>93</v>
      </c>
      <c r="AC221" s="509" t="s">
        <v>76</v>
      </c>
      <c r="AD221" s="509"/>
      <c r="AE221" s="635" t="s">
        <v>69</v>
      </c>
      <c r="AF221" s="635"/>
      <c r="AG221" s="788">
        <v>1408</v>
      </c>
      <c r="AH221" s="782">
        <f t="shared" si="40"/>
        <v>0</v>
      </c>
      <c r="AI221" s="509"/>
      <c r="AJ221" s="509"/>
      <c r="AK221" s="509"/>
      <c r="AL221" s="777">
        <f t="shared" si="59"/>
        <v>1408</v>
      </c>
      <c r="AM221" s="656"/>
      <c r="AN221" s="656"/>
      <c r="AO221" s="656"/>
      <c r="AP221" s="777">
        <f t="shared" si="60"/>
        <v>1408</v>
      </c>
      <c r="AQ221" s="656"/>
      <c r="AR221" s="777">
        <f t="shared" si="61"/>
        <v>1408</v>
      </c>
      <c r="AS221" s="777"/>
      <c r="AT221" s="543">
        <f t="shared" si="62"/>
        <v>1408</v>
      </c>
      <c r="AU221" s="777"/>
      <c r="AV221" s="778"/>
      <c r="AW221" s="778"/>
      <c r="AX221" s="778"/>
      <c r="AY221" s="778"/>
      <c r="AZ221" s="778"/>
      <c r="BA221" s="778"/>
      <c r="BB221" s="778"/>
      <c r="BC221" s="778"/>
      <c r="BD221" s="777">
        <f t="shared" si="63"/>
        <v>352</v>
      </c>
      <c r="BE221" s="778"/>
      <c r="BF221" s="778"/>
      <c r="BG221" s="778"/>
      <c r="BH221" s="778"/>
      <c r="BI221" s="778"/>
      <c r="BJ221" s="778"/>
      <c r="BK221" s="778"/>
      <c r="BL221" s="778"/>
      <c r="BM221" s="778"/>
    </row>
    <row r="222" s="771" customFormat="1" ht="31" hidden="1" customHeight="1" spans="1:65">
      <c r="A222" s="775">
        <v>45817</v>
      </c>
      <c r="B222" s="776" t="s">
        <v>128</v>
      </c>
      <c r="C222" s="509" t="s">
        <v>90</v>
      </c>
      <c r="D222" s="777">
        <v>4500169395</v>
      </c>
      <c r="E222" s="886" t="s">
        <v>988</v>
      </c>
      <c r="F222" s="778" t="s">
        <v>989</v>
      </c>
      <c r="G222" s="779" t="s">
        <v>93</v>
      </c>
      <c r="H222" s="509" t="s">
        <v>94</v>
      </c>
      <c r="I222" s="509">
        <v>1496</v>
      </c>
      <c r="J222" s="509">
        <v>0</v>
      </c>
      <c r="K222" s="509">
        <v>4</v>
      </c>
      <c r="L222" s="780">
        <f t="shared" si="53"/>
        <v>374</v>
      </c>
      <c r="M222" s="781">
        <v>45853</v>
      </c>
      <c r="N222" s="781">
        <f>M222-1</f>
        <v>45852</v>
      </c>
      <c r="O222" s="782" t="s">
        <v>977</v>
      </c>
      <c r="P222" s="782" t="s">
        <v>103</v>
      </c>
      <c r="Q222" s="509"/>
      <c r="R222" s="784" t="s">
        <v>132</v>
      </c>
      <c r="S222" s="784" t="s">
        <v>66</v>
      </c>
      <c r="T222" s="784" t="s">
        <v>133</v>
      </c>
      <c r="U222" s="683" t="s">
        <v>133</v>
      </c>
      <c r="V222" s="784"/>
      <c r="W222" s="776" t="s">
        <v>901</v>
      </c>
      <c r="X222" s="781" t="s">
        <v>98</v>
      </c>
      <c r="Y222" s="785">
        <v>2.58</v>
      </c>
      <c r="Z222" s="786">
        <f t="shared" si="58"/>
        <v>3859.68</v>
      </c>
      <c r="AA222" s="509" t="s">
        <v>990</v>
      </c>
      <c r="AB222" s="509" t="s">
        <v>93</v>
      </c>
      <c r="AC222" s="509" t="s">
        <v>76</v>
      </c>
      <c r="AD222" s="509"/>
      <c r="AE222" s="635" t="s">
        <v>69</v>
      </c>
      <c r="AF222" s="635"/>
      <c r="AG222" s="788">
        <v>1496</v>
      </c>
      <c r="AH222" s="782">
        <f t="shared" si="40"/>
        <v>0</v>
      </c>
      <c r="AI222" s="509"/>
      <c r="AJ222" s="509"/>
      <c r="AK222" s="509"/>
      <c r="AL222" s="777">
        <f t="shared" si="59"/>
        <v>1496</v>
      </c>
      <c r="AM222" s="656"/>
      <c r="AN222" s="656"/>
      <c r="AO222" s="656"/>
      <c r="AP222" s="777">
        <f t="shared" si="60"/>
        <v>1496</v>
      </c>
      <c r="AQ222" s="656"/>
      <c r="AR222" s="777">
        <f t="shared" si="61"/>
        <v>1496</v>
      </c>
      <c r="AS222" s="777"/>
      <c r="AT222" s="543">
        <f t="shared" si="62"/>
        <v>1496</v>
      </c>
      <c r="AU222" s="777"/>
      <c r="AV222" s="778"/>
      <c r="AW222" s="778"/>
      <c r="AX222" s="778"/>
      <c r="AY222" s="778"/>
      <c r="AZ222" s="778"/>
      <c r="BA222" s="778"/>
      <c r="BB222" s="778"/>
      <c r="BC222" s="778"/>
      <c r="BD222" s="777">
        <f t="shared" si="63"/>
        <v>374</v>
      </c>
      <c r="BE222" s="778"/>
      <c r="BF222" s="778"/>
      <c r="BG222" s="778"/>
      <c r="BH222" s="778"/>
      <c r="BI222" s="778"/>
      <c r="BJ222" s="778"/>
      <c r="BK222" s="778"/>
      <c r="BL222" s="778"/>
      <c r="BM222" s="778"/>
    </row>
    <row r="223" s="771" customFormat="1" ht="31" hidden="1" customHeight="1" spans="1:65">
      <c r="A223" s="775">
        <v>45814</v>
      </c>
      <c r="B223" s="776" t="s">
        <v>248</v>
      </c>
      <c r="C223" s="509" t="s">
        <v>249</v>
      </c>
      <c r="D223" s="777">
        <v>4500159839</v>
      </c>
      <c r="E223" s="509">
        <v>14552407</v>
      </c>
      <c r="F223" s="778" t="s">
        <v>991</v>
      </c>
      <c r="G223" s="779" t="s">
        <v>251</v>
      </c>
      <c r="H223" s="509" t="s">
        <v>252</v>
      </c>
      <c r="I223" s="509">
        <v>1344</v>
      </c>
      <c r="J223" s="509">
        <v>4</v>
      </c>
      <c r="K223" s="509">
        <v>16</v>
      </c>
      <c r="L223" s="780">
        <f t="shared" si="53"/>
        <v>84</v>
      </c>
      <c r="M223" s="781">
        <v>45854</v>
      </c>
      <c r="N223" s="781">
        <v>45850</v>
      </c>
      <c r="O223" s="782"/>
      <c r="P223" s="782" t="s">
        <v>103</v>
      </c>
      <c r="Q223" s="509"/>
      <c r="R223" s="784">
        <v>45827</v>
      </c>
      <c r="S223" s="784" t="s">
        <v>66</v>
      </c>
      <c r="T223" s="784" t="s">
        <v>992</v>
      </c>
      <c r="U223" s="784" t="s">
        <v>993</v>
      </c>
      <c r="V223" s="784"/>
      <c r="W223" s="776" t="s">
        <v>994</v>
      </c>
      <c r="X223" s="781" t="s">
        <v>254</v>
      </c>
      <c r="Y223" s="785">
        <v>4.3217</v>
      </c>
      <c r="Z223" s="786">
        <f t="shared" si="58"/>
        <v>5808.3648</v>
      </c>
      <c r="AA223" s="509" t="s">
        <v>995</v>
      </c>
      <c r="AB223" s="509" t="s">
        <v>251</v>
      </c>
      <c r="AC223" s="509" t="s">
        <v>76</v>
      </c>
      <c r="AD223" s="509"/>
      <c r="AE223" s="635" t="s">
        <v>69</v>
      </c>
      <c r="AF223" s="635"/>
      <c r="AG223" s="788">
        <v>1344</v>
      </c>
      <c r="AH223" s="782">
        <f t="shared" si="40"/>
        <v>0</v>
      </c>
      <c r="AI223" s="509"/>
      <c r="AJ223" s="509"/>
      <c r="AK223" s="509"/>
      <c r="AL223" s="729">
        <f t="shared" si="59"/>
        <v>1344</v>
      </c>
      <c r="AM223" s="656"/>
      <c r="AN223" s="656"/>
      <c r="AO223" s="656"/>
      <c r="AP223" s="777">
        <f t="shared" si="60"/>
        <v>1344</v>
      </c>
      <c r="AQ223" s="656"/>
      <c r="AR223" s="777">
        <f t="shared" si="61"/>
        <v>1344</v>
      </c>
      <c r="AS223" s="777"/>
      <c r="AT223" s="777">
        <f t="shared" si="62"/>
        <v>1344</v>
      </c>
      <c r="AU223" s="777"/>
      <c r="AV223" s="778"/>
      <c r="AW223" s="778"/>
      <c r="AX223" s="778"/>
      <c r="AY223" s="778"/>
      <c r="AZ223" s="778"/>
      <c r="BA223" s="778"/>
      <c r="BB223" s="778"/>
      <c r="BC223" s="778"/>
      <c r="BD223" s="777">
        <f t="shared" si="63"/>
        <v>336</v>
      </c>
      <c r="BE223" s="778"/>
      <c r="BF223" s="778"/>
      <c r="BG223" s="778"/>
      <c r="BH223" s="778"/>
      <c r="BI223" s="778"/>
      <c r="BJ223" s="778"/>
      <c r="BK223" s="778"/>
      <c r="BL223" s="778"/>
      <c r="BM223" s="778"/>
    </row>
    <row r="224" s="771" customFormat="1" ht="31" hidden="1" customHeight="1" spans="1:65">
      <c r="A224" s="775">
        <v>45768</v>
      </c>
      <c r="B224" s="776" t="s">
        <v>741</v>
      </c>
      <c r="C224" s="509" t="s">
        <v>468</v>
      </c>
      <c r="D224" s="777">
        <v>4500164465</v>
      </c>
      <c r="E224" s="509">
        <v>7950403010</v>
      </c>
      <c r="F224" s="778" t="s">
        <v>996</v>
      </c>
      <c r="G224" s="779" t="s">
        <v>743</v>
      </c>
      <c r="H224" s="509" t="s">
        <v>744</v>
      </c>
      <c r="I224" s="509">
        <v>64</v>
      </c>
      <c r="J224" s="509">
        <v>0</v>
      </c>
      <c r="K224" s="509">
        <v>1</v>
      </c>
      <c r="L224" s="780">
        <f t="shared" si="53"/>
        <v>64</v>
      </c>
      <c r="M224" s="781">
        <v>45835</v>
      </c>
      <c r="N224" s="781">
        <v>45838</v>
      </c>
      <c r="O224" s="782"/>
      <c r="P224" s="782" t="s">
        <v>103</v>
      </c>
      <c r="Q224" s="509"/>
      <c r="R224" s="784">
        <v>45792</v>
      </c>
      <c r="S224" s="784" t="s">
        <v>66</v>
      </c>
      <c r="T224" s="784">
        <v>45807</v>
      </c>
      <c r="U224" s="784"/>
      <c r="V224" s="784"/>
      <c r="W224" s="776" t="s">
        <v>997</v>
      </c>
      <c r="X224" s="781" t="s">
        <v>473</v>
      </c>
      <c r="Y224" s="785">
        <v>0</v>
      </c>
      <c r="Z224" s="786">
        <v>0</v>
      </c>
      <c r="AA224" s="509" t="s">
        <v>998</v>
      </c>
      <c r="AB224" s="509" t="s">
        <v>743</v>
      </c>
      <c r="AC224" s="509" t="s">
        <v>76</v>
      </c>
      <c r="AD224" s="509"/>
      <c r="AE224" s="635" t="s">
        <v>69</v>
      </c>
      <c r="AF224" s="635"/>
      <c r="AG224" s="788">
        <v>4800</v>
      </c>
      <c r="AH224" s="782">
        <f>AG224-I225</f>
        <v>0</v>
      </c>
      <c r="AI224" s="509"/>
      <c r="AJ224" s="509"/>
      <c r="AK224" s="509"/>
      <c r="AL224" s="777"/>
      <c r="AM224" s="656"/>
      <c r="AN224" s="656"/>
      <c r="AO224" s="656"/>
      <c r="AP224" s="777"/>
      <c r="AQ224" s="656"/>
      <c r="AR224" s="777"/>
      <c r="AS224" s="777"/>
      <c r="AT224" s="777"/>
      <c r="AU224" s="777"/>
      <c r="AV224" s="778"/>
      <c r="AW224" s="778"/>
      <c r="AX224" s="778"/>
      <c r="AY224" s="778"/>
      <c r="AZ224" s="778"/>
      <c r="BA224" s="778"/>
      <c r="BB224" s="778"/>
      <c r="BC224" s="778"/>
      <c r="BD224" s="778"/>
      <c r="BE224" s="778"/>
      <c r="BF224" s="778"/>
      <c r="BG224" s="778"/>
      <c r="BH224" s="778"/>
      <c r="BI224" s="778"/>
      <c r="BJ224" s="778"/>
      <c r="BK224" s="778"/>
      <c r="BL224" s="778"/>
      <c r="BM224" s="778"/>
    </row>
    <row r="225" s="771" customFormat="1" ht="31" hidden="1" customHeight="1" spans="1:65">
      <c r="A225" s="775">
        <v>45771</v>
      </c>
      <c r="B225" s="776" t="s">
        <v>741</v>
      </c>
      <c r="C225" s="509" t="s">
        <v>468</v>
      </c>
      <c r="D225" s="777">
        <v>4500164465</v>
      </c>
      <c r="E225" s="509">
        <v>7950403010</v>
      </c>
      <c r="F225" s="778" t="s">
        <v>996</v>
      </c>
      <c r="G225" s="779" t="s">
        <v>460</v>
      </c>
      <c r="H225" s="509" t="s">
        <v>65</v>
      </c>
      <c r="I225" s="509">
        <v>4800</v>
      </c>
      <c r="J225" s="509">
        <v>0</v>
      </c>
      <c r="K225" s="509">
        <v>75</v>
      </c>
      <c r="L225" s="780">
        <f t="shared" si="53"/>
        <v>64</v>
      </c>
      <c r="M225" s="781">
        <v>45835</v>
      </c>
      <c r="N225" s="781">
        <v>45838</v>
      </c>
      <c r="O225" s="782"/>
      <c r="P225" s="782" t="s">
        <v>103</v>
      </c>
      <c r="Q225" s="509"/>
      <c r="R225" s="784">
        <v>45792</v>
      </c>
      <c r="S225" s="784" t="s">
        <v>66</v>
      </c>
      <c r="T225" s="784">
        <v>45807</v>
      </c>
      <c r="U225" s="784"/>
      <c r="V225" s="784"/>
      <c r="W225" s="776"/>
      <c r="X225" s="781" t="s">
        <v>473</v>
      </c>
      <c r="Y225" s="785">
        <v>755</v>
      </c>
      <c r="Z225" s="786">
        <f>Y225*L225</f>
        <v>48320</v>
      </c>
      <c r="AA225" s="509" t="s">
        <v>998</v>
      </c>
      <c r="AB225" s="509" t="s">
        <v>743</v>
      </c>
      <c r="AC225" s="509" t="s">
        <v>76</v>
      </c>
      <c r="AD225" s="509"/>
      <c r="AE225" s="635" t="s">
        <v>69</v>
      </c>
      <c r="AF225" s="635"/>
      <c r="AG225" s="788">
        <v>0</v>
      </c>
      <c r="AH225" s="782">
        <v>0</v>
      </c>
      <c r="AI225" s="509"/>
      <c r="AJ225" s="509"/>
      <c r="AK225" s="509"/>
      <c r="AL225" s="777"/>
      <c r="AM225" s="656"/>
      <c r="AN225" s="656"/>
      <c r="AO225" s="656">
        <f>I225</f>
        <v>4800</v>
      </c>
      <c r="AP225" s="777"/>
      <c r="AQ225" s="656"/>
      <c r="AR225" s="777"/>
      <c r="AS225" s="777"/>
      <c r="AT225" s="777"/>
      <c r="AU225" s="777"/>
      <c r="AV225" s="778"/>
      <c r="AW225" s="778">
        <f>I225</f>
        <v>4800</v>
      </c>
      <c r="AX225" s="778">
        <f>I225</f>
        <v>4800</v>
      </c>
      <c r="AY225" s="778">
        <f>I225</f>
        <v>4800</v>
      </c>
      <c r="AZ225" s="778"/>
      <c r="BA225" s="778"/>
      <c r="BB225" s="778"/>
      <c r="BC225" s="778"/>
      <c r="BD225" s="778"/>
      <c r="BE225" s="778"/>
      <c r="BF225" s="778"/>
      <c r="BG225" s="778">
        <f>I225</f>
        <v>4800</v>
      </c>
      <c r="BH225" s="778">
        <f>I225/5</f>
        <v>960</v>
      </c>
      <c r="BI225" s="778"/>
      <c r="BJ225" s="778"/>
      <c r="BK225" s="778"/>
      <c r="BL225" s="778"/>
      <c r="BM225" s="778"/>
    </row>
    <row r="226" s="771" customFormat="1" ht="31" hidden="1" customHeight="1" spans="1:65">
      <c r="A226" s="775">
        <v>45800</v>
      </c>
      <c r="B226" s="776" t="s">
        <v>280</v>
      </c>
      <c r="C226" s="509" t="s">
        <v>249</v>
      </c>
      <c r="D226" s="777">
        <v>4500167693</v>
      </c>
      <c r="E226" s="509" t="s">
        <v>999</v>
      </c>
      <c r="F226" s="778" t="s">
        <v>1000</v>
      </c>
      <c r="G226" s="779" t="s">
        <v>102</v>
      </c>
      <c r="H226" s="509" t="s">
        <v>65</v>
      </c>
      <c r="I226" s="509">
        <v>2560</v>
      </c>
      <c r="J226" s="509">
        <v>0</v>
      </c>
      <c r="K226" s="509">
        <v>16</v>
      </c>
      <c r="L226" s="780">
        <f t="shared" si="53"/>
        <v>160</v>
      </c>
      <c r="M226" s="781">
        <v>45849</v>
      </c>
      <c r="N226" s="781">
        <v>45849</v>
      </c>
      <c r="O226" s="782"/>
      <c r="P226" s="782" t="s">
        <v>103</v>
      </c>
      <c r="Q226" s="509"/>
      <c r="R226" s="784">
        <v>45800</v>
      </c>
      <c r="S226" s="784" t="s">
        <v>66</v>
      </c>
      <c r="T226" s="784" t="s">
        <v>66</v>
      </c>
      <c r="U226" s="784"/>
      <c r="V226" s="784" t="s">
        <v>1001</v>
      </c>
      <c r="W226" s="776" t="s">
        <v>1002</v>
      </c>
      <c r="X226" s="781" t="s">
        <v>285</v>
      </c>
      <c r="Y226" s="785">
        <v>4.2542</v>
      </c>
      <c r="Z226" s="786">
        <f>Y226*I226</f>
        <v>10890.752</v>
      </c>
      <c r="AA226" s="458" t="s">
        <v>1003</v>
      </c>
      <c r="AB226" s="509" t="s">
        <v>102</v>
      </c>
      <c r="AC226" s="509" t="s">
        <v>76</v>
      </c>
      <c r="AD226" s="509"/>
      <c r="AE226" s="635" t="s">
        <v>69</v>
      </c>
      <c r="AF226" s="635"/>
      <c r="AG226" s="788">
        <v>2560</v>
      </c>
      <c r="AH226" s="782">
        <f>AG226-I226</f>
        <v>0</v>
      </c>
      <c r="AI226" s="509"/>
      <c r="AJ226" s="509"/>
      <c r="AK226" s="509"/>
      <c r="AL226" s="777">
        <f>I226</f>
        <v>2560</v>
      </c>
      <c r="AM226" s="656"/>
      <c r="AN226" s="656"/>
      <c r="AO226" s="656"/>
      <c r="AP226" s="777">
        <f>I226</f>
        <v>2560</v>
      </c>
      <c r="AQ226" s="656"/>
      <c r="AR226" s="777">
        <f>I226</f>
        <v>2560</v>
      </c>
      <c r="AS226" s="777"/>
      <c r="AT226" s="543">
        <f>I226</f>
        <v>2560</v>
      </c>
      <c r="AU226" s="777"/>
      <c r="AV226" s="778"/>
      <c r="AW226" s="778"/>
      <c r="AX226" s="778"/>
      <c r="AY226" s="778"/>
      <c r="AZ226" s="778"/>
      <c r="BA226" s="778"/>
      <c r="BB226" s="778"/>
      <c r="BC226" s="778"/>
      <c r="BD226" s="777">
        <f>I226/4</f>
        <v>640</v>
      </c>
      <c r="BE226" s="778"/>
      <c r="BF226" s="778"/>
      <c r="BG226" s="778"/>
      <c r="BH226" s="778"/>
      <c r="BI226" s="778"/>
      <c r="BJ226" s="778"/>
      <c r="BK226" s="778"/>
      <c r="BL226" s="778"/>
      <c r="BM226" s="778"/>
    </row>
    <row r="227" s="771" customFormat="1" ht="31" hidden="1" customHeight="1" spans="1:65">
      <c r="A227" s="775">
        <v>45771</v>
      </c>
      <c r="B227" s="776" t="s">
        <v>817</v>
      </c>
      <c r="C227" s="509" t="s">
        <v>153</v>
      </c>
      <c r="D227" s="777">
        <v>4500161402</v>
      </c>
      <c r="E227" s="886" t="s">
        <v>1004</v>
      </c>
      <c r="F227" s="778" t="s">
        <v>1005</v>
      </c>
      <c r="G227" s="779" t="s">
        <v>819</v>
      </c>
      <c r="H227" s="509" t="s">
        <v>744</v>
      </c>
      <c r="I227" s="509">
        <v>72</v>
      </c>
      <c r="J227" s="509">
        <v>0</v>
      </c>
      <c r="K227" s="509">
        <v>1</v>
      </c>
      <c r="L227" s="780">
        <f t="shared" si="53"/>
        <v>72</v>
      </c>
      <c r="M227" s="781">
        <v>45853</v>
      </c>
      <c r="N227" s="781">
        <v>45849</v>
      </c>
      <c r="O227" s="782"/>
      <c r="P227" s="782" t="s">
        <v>103</v>
      </c>
      <c r="Q227" s="509"/>
      <c r="R227" s="784">
        <v>45790</v>
      </c>
      <c r="S227" s="784" t="s">
        <v>66</v>
      </c>
      <c r="T227" s="784" t="s">
        <v>66</v>
      </c>
      <c r="U227" s="784"/>
      <c r="V227" s="784"/>
      <c r="W227" s="776" t="s">
        <v>820</v>
      </c>
      <c r="X227" s="781" t="s">
        <v>821</v>
      </c>
      <c r="Y227" s="785">
        <v>0</v>
      </c>
      <c r="Z227" s="786">
        <v>0</v>
      </c>
      <c r="AA227" s="509" t="s">
        <v>1006</v>
      </c>
      <c r="AB227" s="509" t="s">
        <v>819</v>
      </c>
      <c r="AC227" s="509" t="s">
        <v>76</v>
      </c>
      <c r="AD227" s="509"/>
      <c r="AE227" s="635" t="s">
        <v>69</v>
      </c>
      <c r="AF227" s="635"/>
      <c r="AG227" s="788">
        <v>5400</v>
      </c>
      <c r="AH227" s="782">
        <v>0</v>
      </c>
      <c r="AI227" s="509"/>
      <c r="AJ227" s="509"/>
      <c r="AK227" s="509"/>
      <c r="AL227" s="777"/>
      <c r="AM227" s="656"/>
      <c r="AN227" s="656"/>
      <c r="AO227" s="656"/>
      <c r="AP227" s="777"/>
      <c r="AQ227" s="656"/>
      <c r="AR227" s="777"/>
      <c r="AS227" s="777"/>
      <c r="AT227" s="777"/>
      <c r="AU227" s="777"/>
      <c r="AV227" s="778"/>
      <c r="AW227" s="778"/>
      <c r="AX227" s="778"/>
      <c r="AY227" s="778"/>
      <c r="AZ227" s="778"/>
      <c r="BA227" s="778"/>
      <c r="BB227" s="778"/>
      <c r="BC227" s="778"/>
      <c r="BD227" s="778"/>
      <c r="BE227" s="778"/>
      <c r="BF227" s="778"/>
      <c r="BG227" s="778"/>
      <c r="BH227" s="778"/>
      <c r="BI227" s="778"/>
      <c r="BJ227" s="778"/>
      <c r="BK227" s="778"/>
      <c r="BL227" s="778"/>
      <c r="BM227" s="778"/>
    </row>
    <row r="228" s="771" customFormat="1" ht="31" hidden="1" customHeight="1" spans="1:65">
      <c r="A228" s="775">
        <v>45771</v>
      </c>
      <c r="B228" s="776" t="s">
        <v>817</v>
      </c>
      <c r="C228" s="509" t="s">
        <v>153</v>
      </c>
      <c r="D228" s="777">
        <v>4500161402</v>
      </c>
      <c r="E228" s="886" t="s">
        <v>1004</v>
      </c>
      <c r="F228" s="778" t="s">
        <v>1005</v>
      </c>
      <c r="G228" s="779" t="s">
        <v>460</v>
      </c>
      <c r="H228" s="509" t="s">
        <v>65</v>
      </c>
      <c r="I228" s="509">
        <v>5400</v>
      </c>
      <c r="J228" s="509">
        <v>0</v>
      </c>
      <c r="K228" s="509">
        <v>75</v>
      </c>
      <c r="L228" s="780">
        <f t="shared" si="53"/>
        <v>72</v>
      </c>
      <c r="M228" s="781">
        <v>45853</v>
      </c>
      <c r="N228" s="781">
        <v>45849</v>
      </c>
      <c r="O228" s="782"/>
      <c r="P228" s="782" t="s">
        <v>103</v>
      </c>
      <c r="Q228" s="509"/>
      <c r="R228" s="784">
        <v>45790</v>
      </c>
      <c r="S228" s="784" t="s">
        <v>66</v>
      </c>
      <c r="T228" s="784" t="s">
        <v>66</v>
      </c>
      <c r="U228" s="784"/>
      <c r="V228" s="784"/>
      <c r="W228" s="776" t="s">
        <v>820</v>
      </c>
      <c r="X228" s="781" t="s">
        <v>821</v>
      </c>
      <c r="Y228" s="785">
        <v>762.5</v>
      </c>
      <c r="Z228" s="786">
        <f>Y228*L228</f>
        <v>54900</v>
      </c>
      <c r="AA228" s="509" t="s">
        <v>1006</v>
      </c>
      <c r="AB228" s="509" t="s">
        <v>819</v>
      </c>
      <c r="AC228" s="509" t="s">
        <v>76</v>
      </c>
      <c r="AD228" s="509"/>
      <c r="AE228" s="635" t="s">
        <v>69</v>
      </c>
      <c r="AF228" s="635"/>
      <c r="AG228" s="788">
        <v>0</v>
      </c>
      <c r="AH228" s="782">
        <v>0</v>
      </c>
      <c r="AI228" s="509"/>
      <c r="AJ228" s="509"/>
      <c r="AK228" s="509"/>
      <c r="AL228" s="777"/>
      <c r="AM228" s="656">
        <f>I228</f>
        <v>5400</v>
      </c>
      <c r="AN228" s="656"/>
      <c r="AO228" s="656"/>
      <c r="AP228" s="777"/>
      <c r="AQ228" s="656"/>
      <c r="AR228" s="777"/>
      <c r="AS228" s="777"/>
      <c r="AT228" s="777"/>
      <c r="AU228" s="777"/>
      <c r="AV228" s="778"/>
      <c r="AW228" s="778">
        <f>I228</f>
        <v>5400</v>
      </c>
      <c r="AX228" s="778">
        <f>I228</f>
        <v>5400</v>
      </c>
      <c r="AY228" s="778">
        <f>I228</f>
        <v>5400</v>
      </c>
      <c r="AZ228" s="778"/>
      <c r="BA228" s="778"/>
      <c r="BB228" s="778"/>
      <c r="BC228" s="778"/>
      <c r="BD228" s="778"/>
      <c r="BE228" s="778"/>
      <c r="BF228" s="778"/>
      <c r="BG228" s="778">
        <f>I228</f>
        <v>5400</v>
      </c>
      <c r="BH228" s="778">
        <f>I228/5</f>
        <v>1080</v>
      </c>
      <c r="BI228" s="778"/>
      <c r="BJ228" s="778"/>
      <c r="BK228" s="778"/>
      <c r="BL228" s="778"/>
      <c r="BM228" s="778"/>
    </row>
    <row r="229" s="771" customFormat="1" ht="31" hidden="1" customHeight="1" spans="1:65">
      <c r="A229" s="775">
        <v>45783</v>
      </c>
      <c r="B229" s="776" t="s">
        <v>1007</v>
      </c>
      <c r="C229" s="509" t="s">
        <v>1008</v>
      </c>
      <c r="D229" s="777">
        <v>4500165563</v>
      </c>
      <c r="E229" s="886" t="s">
        <v>1009</v>
      </c>
      <c r="F229" s="778" t="s">
        <v>1010</v>
      </c>
      <c r="G229" s="779" t="s">
        <v>64</v>
      </c>
      <c r="H229" s="509" t="s">
        <v>65</v>
      </c>
      <c r="I229" s="509">
        <v>2652</v>
      </c>
      <c r="J229" s="509">
        <v>0</v>
      </c>
      <c r="K229" s="509">
        <v>12</v>
      </c>
      <c r="L229" s="780">
        <f t="shared" si="53"/>
        <v>221</v>
      </c>
      <c r="M229" s="781">
        <v>45874</v>
      </c>
      <c r="N229" s="781">
        <v>45870</v>
      </c>
      <c r="O229" s="782"/>
      <c r="P229" s="782" t="s">
        <v>103</v>
      </c>
      <c r="Q229" s="509"/>
      <c r="R229" s="784">
        <v>45806</v>
      </c>
      <c r="S229" s="784" t="s">
        <v>66</v>
      </c>
      <c r="T229" s="784">
        <v>45806</v>
      </c>
      <c r="U229" s="784" t="s">
        <v>1011</v>
      </c>
      <c r="V229" s="784"/>
      <c r="W229" s="776" t="s">
        <v>1012</v>
      </c>
      <c r="X229" s="781" t="s">
        <v>1013</v>
      </c>
      <c r="Y229" s="785">
        <v>4.1456</v>
      </c>
      <c r="Z229" s="786">
        <f>Y229*I229</f>
        <v>10994.1312</v>
      </c>
      <c r="AA229" s="509"/>
      <c r="AB229" s="509" t="s">
        <v>165</v>
      </c>
      <c r="AC229" s="509" t="s">
        <v>76</v>
      </c>
      <c r="AD229" s="509"/>
      <c r="AE229" s="635" t="s">
        <v>69</v>
      </c>
      <c r="AF229" s="635"/>
      <c r="AG229" s="788">
        <v>2652</v>
      </c>
      <c r="AH229" s="782">
        <f>AG229-I229</f>
        <v>0</v>
      </c>
      <c r="AI229" s="509"/>
      <c r="AJ229" s="509"/>
      <c r="AK229" s="509"/>
      <c r="AL229" s="777">
        <f>I229</f>
        <v>2652</v>
      </c>
      <c r="AM229" s="656"/>
      <c r="AN229" s="656"/>
      <c r="AO229" s="656"/>
      <c r="AP229" s="777"/>
      <c r="AQ229" s="656">
        <f>I229</f>
        <v>2652</v>
      </c>
      <c r="AR229" s="777">
        <f t="shared" ref="AR229:AR256" si="64">I229</f>
        <v>2652</v>
      </c>
      <c r="AS229" s="777"/>
      <c r="AT229" s="777">
        <f>I229</f>
        <v>2652</v>
      </c>
      <c r="AU229" s="777"/>
      <c r="AV229" s="778"/>
      <c r="AW229" s="778"/>
      <c r="AX229" s="778"/>
      <c r="AY229" s="778"/>
      <c r="AZ229" s="778"/>
      <c r="BA229" s="778"/>
      <c r="BB229" s="778"/>
      <c r="BC229" s="778"/>
      <c r="BD229" s="778"/>
      <c r="BE229" s="778"/>
      <c r="BF229" s="778"/>
      <c r="BG229" s="778"/>
      <c r="BH229" s="778"/>
      <c r="BI229" s="778"/>
      <c r="BJ229" s="778"/>
      <c r="BK229" s="778"/>
      <c r="BL229" s="778"/>
      <c r="BM229" s="778"/>
    </row>
    <row r="230" s="771" customFormat="1" ht="31" hidden="1" customHeight="1" spans="1:65">
      <c r="A230" s="775">
        <v>45805</v>
      </c>
      <c r="B230" s="776" t="s">
        <v>1014</v>
      </c>
      <c r="C230" s="509" t="s">
        <v>366</v>
      </c>
      <c r="D230" s="777">
        <v>4500166748</v>
      </c>
      <c r="E230" s="509"/>
      <c r="F230" s="778" t="s">
        <v>1015</v>
      </c>
      <c r="G230" s="779" t="s">
        <v>62</v>
      </c>
      <c r="H230" s="509" t="s">
        <v>455</v>
      </c>
      <c r="I230" s="509">
        <v>20</v>
      </c>
      <c r="J230" s="509">
        <v>0</v>
      </c>
      <c r="K230" s="509">
        <v>1</v>
      </c>
      <c r="L230" s="780">
        <f t="shared" si="53"/>
        <v>20</v>
      </c>
      <c r="M230" s="781">
        <v>45841</v>
      </c>
      <c r="N230" s="781">
        <v>45846</v>
      </c>
      <c r="O230" s="782"/>
      <c r="P230" s="782" t="s">
        <v>103</v>
      </c>
      <c r="Q230" s="509"/>
      <c r="R230" s="784">
        <v>45806</v>
      </c>
      <c r="S230" s="784" t="s">
        <v>66</v>
      </c>
      <c r="T230" s="784">
        <v>45826</v>
      </c>
      <c r="U230" s="784"/>
      <c r="V230" s="784"/>
      <c r="W230" s="776" t="s">
        <v>1016</v>
      </c>
      <c r="X230" s="781" t="s">
        <v>395</v>
      </c>
      <c r="Y230" s="785">
        <v>0</v>
      </c>
      <c r="Z230" s="786">
        <f>Y230*I230</f>
        <v>0</v>
      </c>
      <c r="AA230" s="509"/>
      <c r="AB230" s="509" t="s">
        <v>459</v>
      </c>
      <c r="AC230" s="509" t="s">
        <v>76</v>
      </c>
      <c r="AD230" s="509"/>
      <c r="AE230" s="635" t="s">
        <v>69</v>
      </c>
      <c r="AF230" s="635"/>
      <c r="AG230" s="788">
        <v>360</v>
      </c>
      <c r="AH230" s="782">
        <f>AG230-I231</f>
        <v>0</v>
      </c>
      <c r="AI230" s="509"/>
      <c r="AJ230" s="509"/>
      <c r="AK230" s="509"/>
      <c r="AL230" s="777"/>
      <c r="AM230" s="656"/>
      <c r="AN230" s="656"/>
      <c r="AO230" s="656"/>
      <c r="AP230" s="777"/>
      <c r="AQ230" s="656"/>
      <c r="AR230" s="777">
        <f t="shared" si="64"/>
        <v>20</v>
      </c>
      <c r="AS230" s="777"/>
      <c r="AT230" s="543">
        <f>I230</f>
        <v>20</v>
      </c>
      <c r="AU230" s="777"/>
      <c r="AV230" s="778"/>
      <c r="AW230" s="778"/>
      <c r="AX230" s="778"/>
      <c r="AY230" s="778"/>
      <c r="AZ230" s="778"/>
      <c r="BA230" s="778"/>
      <c r="BB230" s="778"/>
      <c r="BC230" s="778"/>
      <c r="BD230" s="778"/>
      <c r="BE230" s="778"/>
      <c r="BF230" s="778"/>
      <c r="BG230" s="778"/>
      <c r="BH230" s="778"/>
      <c r="BI230" s="778"/>
      <c r="BJ230" s="778"/>
      <c r="BK230" s="778">
        <f>I230</f>
        <v>20</v>
      </c>
      <c r="BL230" s="778"/>
      <c r="BM230" s="778"/>
    </row>
    <row r="231" s="771" customFormat="1" ht="31" hidden="1" customHeight="1" spans="1:65">
      <c r="A231" s="775">
        <v>45805</v>
      </c>
      <c r="B231" s="776" t="s">
        <v>1014</v>
      </c>
      <c r="C231" s="509" t="s">
        <v>366</v>
      </c>
      <c r="D231" s="777">
        <v>4500166748</v>
      </c>
      <c r="E231" s="509"/>
      <c r="F231" s="778" t="s">
        <v>1015</v>
      </c>
      <c r="G231" s="779" t="s">
        <v>460</v>
      </c>
      <c r="H231" s="509" t="s">
        <v>65</v>
      </c>
      <c r="I231" s="509">
        <v>360</v>
      </c>
      <c r="J231" s="509">
        <v>0</v>
      </c>
      <c r="K231" s="509">
        <v>18</v>
      </c>
      <c r="L231" s="780">
        <f t="shared" si="53"/>
        <v>20</v>
      </c>
      <c r="M231" s="781">
        <v>45841</v>
      </c>
      <c r="N231" s="781">
        <v>45846</v>
      </c>
      <c r="O231" s="782"/>
      <c r="P231" s="782" t="s">
        <v>103</v>
      </c>
      <c r="Q231" s="509"/>
      <c r="R231" s="784">
        <v>45806</v>
      </c>
      <c r="S231" s="784" t="s">
        <v>66</v>
      </c>
      <c r="T231" s="784">
        <v>45826</v>
      </c>
      <c r="U231" s="784"/>
      <c r="V231" s="784"/>
      <c r="W231" s="776" t="s">
        <v>1017</v>
      </c>
      <c r="X231" s="781" t="s">
        <v>395</v>
      </c>
      <c r="Y231" s="785">
        <v>172.3098</v>
      </c>
      <c r="Z231" s="786">
        <f>Y231*L231</f>
        <v>3446.196</v>
      </c>
      <c r="AA231" s="509" t="s">
        <v>1018</v>
      </c>
      <c r="AB231" s="509" t="s">
        <v>459</v>
      </c>
      <c r="AC231" s="509" t="s">
        <v>76</v>
      </c>
      <c r="AD231" s="509"/>
      <c r="AE231" s="635" t="s">
        <v>69</v>
      </c>
      <c r="AF231" s="635"/>
      <c r="AG231" s="788">
        <v>0</v>
      </c>
      <c r="AH231" s="782">
        <v>0</v>
      </c>
      <c r="AI231" s="509"/>
      <c r="AJ231" s="509"/>
      <c r="AK231" s="509"/>
      <c r="AL231" s="777">
        <f t="shared" ref="AL231:AL257" si="65">I231</f>
        <v>360</v>
      </c>
      <c r="AM231" s="656"/>
      <c r="AN231" s="656"/>
      <c r="AO231" s="656"/>
      <c r="AP231" s="777"/>
      <c r="AQ231" s="656">
        <f>I231</f>
        <v>360</v>
      </c>
      <c r="AR231" s="777">
        <f t="shared" si="64"/>
        <v>360</v>
      </c>
      <c r="AS231" s="777"/>
      <c r="AT231" s="777">
        <f t="shared" ref="AT231:AT242" si="66">I231</f>
        <v>360</v>
      </c>
      <c r="AU231" s="777"/>
      <c r="AV231" s="778"/>
      <c r="AW231" s="778"/>
      <c r="AX231" s="778"/>
      <c r="AY231" s="778"/>
      <c r="AZ231" s="778"/>
      <c r="BA231" s="778"/>
      <c r="BB231" s="778"/>
      <c r="BC231" s="778"/>
      <c r="BD231" s="778"/>
      <c r="BE231" s="778"/>
      <c r="BF231" s="778"/>
      <c r="BG231" s="778"/>
      <c r="BH231" s="778"/>
      <c r="BI231" s="778"/>
      <c r="BJ231" s="778"/>
      <c r="BK231" s="778"/>
      <c r="BL231" s="778"/>
      <c r="BM231" s="778"/>
    </row>
    <row r="232" s="771" customFormat="1" ht="31" hidden="1" customHeight="1" spans="1:65">
      <c r="A232" s="775">
        <v>45841</v>
      </c>
      <c r="B232" s="776"/>
      <c r="C232" s="509"/>
      <c r="D232" s="777" t="s">
        <v>1019</v>
      </c>
      <c r="E232" s="509"/>
      <c r="F232" s="778"/>
      <c r="G232" s="779" t="s">
        <v>64</v>
      </c>
      <c r="H232" s="509" t="s">
        <v>65</v>
      </c>
      <c r="I232" s="509">
        <v>72</v>
      </c>
      <c r="J232" s="509">
        <v>0</v>
      </c>
      <c r="K232" s="509">
        <v>12</v>
      </c>
      <c r="L232" s="780">
        <f t="shared" si="53"/>
        <v>6</v>
      </c>
      <c r="M232" s="781">
        <v>45852</v>
      </c>
      <c r="N232" s="781">
        <v>45852</v>
      </c>
      <c r="O232" s="782"/>
      <c r="P232" s="782" t="s">
        <v>103</v>
      </c>
      <c r="Q232" s="509"/>
      <c r="R232" s="784" t="s">
        <v>66</v>
      </c>
      <c r="S232" s="784" t="s">
        <v>66</v>
      </c>
      <c r="T232" s="784" t="s">
        <v>66</v>
      </c>
      <c r="U232" s="784"/>
      <c r="V232" s="784"/>
      <c r="W232" s="776" t="s">
        <v>1020</v>
      </c>
      <c r="X232" s="781" t="s">
        <v>79</v>
      </c>
      <c r="Y232" s="785"/>
      <c r="Z232" s="786"/>
      <c r="AA232" s="458" t="s">
        <v>1021</v>
      </c>
      <c r="AB232" s="509" t="s">
        <v>64</v>
      </c>
      <c r="AC232" s="509" t="s">
        <v>76</v>
      </c>
      <c r="AD232" s="509"/>
      <c r="AE232" s="635" t="s">
        <v>69</v>
      </c>
      <c r="AF232" s="635"/>
      <c r="AG232" s="788">
        <v>72</v>
      </c>
      <c r="AH232" s="782">
        <v>0</v>
      </c>
      <c r="AI232" s="509"/>
      <c r="AJ232" s="509"/>
      <c r="AK232" s="509"/>
      <c r="AL232" s="777">
        <f t="shared" si="65"/>
        <v>72</v>
      </c>
      <c r="AM232" s="656"/>
      <c r="AN232" s="656"/>
      <c r="AO232" s="656"/>
      <c r="AP232" s="777">
        <f>I232</f>
        <v>72</v>
      </c>
      <c r="AQ232" s="656"/>
      <c r="AR232" s="777">
        <f t="shared" si="64"/>
        <v>72</v>
      </c>
      <c r="AS232" s="777"/>
      <c r="AT232" s="777">
        <f t="shared" si="66"/>
        <v>72</v>
      </c>
      <c r="AU232" s="777"/>
      <c r="AV232" s="778"/>
      <c r="AW232" s="778"/>
      <c r="AX232" s="778"/>
      <c r="AY232" s="778"/>
      <c r="AZ232" s="778"/>
      <c r="BA232" s="778"/>
      <c r="BB232" s="778"/>
      <c r="BC232" s="778"/>
      <c r="BD232" s="778"/>
      <c r="BE232" s="778"/>
      <c r="BF232" s="778"/>
      <c r="BG232" s="778"/>
      <c r="BH232" s="778"/>
      <c r="BI232" s="778"/>
      <c r="BJ232" s="778"/>
      <c r="BK232" s="778"/>
      <c r="BL232" s="778"/>
      <c r="BM232" s="778"/>
    </row>
    <row r="233" s="771" customFormat="1" ht="31" hidden="1" customHeight="1" spans="1:65">
      <c r="A233" s="775">
        <v>45740</v>
      </c>
      <c r="B233" s="776" t="s">
        <v>152</v>
      </c>
      <c r="C233" s="509" t="s">
        <v>153</v>
      </c>
      <c r="D233" s="777">
        <v>4500160886</v>
      </c>
      <c r="E233" s="509">
        <v>9900924262</v>
      </c>
      <c r="F233" s="778" t="s">
        <v>1022</v>
      </c>
      <c r="G233" s="779" t="s">
        <v>155</v>
      </c>
      <c r="H233" s="509" t="s">
        <v>65</v>
      </c>
      <c r="I233" s="509">
        <v>1596</v>
      </c>
      <c r="J233" s="509">
        <v>0</v>
      </c>
      <c r="K233" s="509">
        <v>2</v>
      </c>
      <c r="L233" s="780">
        <f t="shared" si="53"/>
        <v>798</v>
      </c>
      <c r="M233" s="781">
        <v>45849</v>
      </c>
      <c r="N233" s="781">
        <v>45853</v>
      </c>
      <c r="O233" s="782" t="s">
        <v>1023</v>
      </c>
      <c r="P233" s="782" t="s">
        <v>103</v>
      </c>
      <c r="Q233" s="509"/>
      <c r="R233" s="784">
        <v>45811</v>
      </c>
      <c r="S233" s="784" t="s">
        <v>66</v>
      </c>
      <c r="T233" s="784" t="s">
        <v>561</v>
      </c>
      <c r="U233" s="784"/>
      <c r="V233" s="784"/>
      <c r="W233" s="776" t="s">
        <v>1024</v>
      </c>
      <c r="X233" s="781" t="s">
        <v>158</v>
      </c>
      <c r="Y233" s="785">
        <v>4.1</v>
      </c>
      <c r="Z233" s="786">
        <f t="shared" ref="Z233:Z257" si="67">Y233*I233</f>
        <v>6543.6</v>
      </c>
      <c r="AA233" s="509" t="s">
        <v>1025</v>
      </c>
      <c r="AB233" s="509" t="s">
        <v>155</v>
      </c>
      <c r="AC233" s="509" t="s">
        <v>76</v>
      </c>
      <c r="AD233" s="509"/>
      <c r="AE233" s="635" t="s">
        <v>69</v>
      </c>
      <c r="AF233" s="635"/>
      <c r="AG233" s="788">
        <v>1596</v>
      </c>
      <c r="AH233" s="782">
        <f t="shared" ref="AH233:AH261" si="68">AG233-I233</f>
        <v>0</v>
      </c>
      <c r="AI233" s="509"/>
      <c r="AJ233" s="509"/>
      <c r="AK233" s="509"/>
      <c r="AL233" s="777">
        <f t="shared" si="65"/>
        <v>1596</v>
      </c>
      <c r="AM233" s="656"/>
      <c r="AN233" s="656"/>
      <c r="AO233" s="656"/>
      <c r="AP233" s="777"/>
      <c r="AQ233" s="656">
        <f>I233</f>
        <v>1596</v>
      </c>
      <c r="AR233" s="777">
        <f t="shared" si="64"/>
        <v>1596</v>
      </c>
      <c r="AS233" s="777"/>
      <c r="AT233" s="777">
        <f t="shared" si="66"/>
        <v>1596</v>
      </c>
      <c r="AU233" s="777"/>
      <c r="AV233" s="778"/>
      <c r="AW233" s="778"/>
      <c r="AX233" s="778"/>
      <c r="AY233" s="778"/>
      <c r="AZ233" s="778"/>
      <c r="BA233" s="778"/>
      <c r="BB233" s="778"/>
      <c r="BC233" s="778"/>
      <c r="BD233" s="778"/>
      <c r="BE233" s="778"/>
      <c r="BF233" s="778"/>
      <c r="BG233" s="778"/>
      <c r="BH233" s="778"/>
      <c r="BI233" s="778"/>
      <c r="BJ233" s="778"/>
      <c r="BK233" s="778"/>
      <c r="BL233" s="778"/>
      <c r="BM233" s="778"/>
    </row>
    <row r="234" s="771" customFormat="1" ht="31" hidden="1" customHeight="1" spans="1:65">
      <c r="A234" s="775">
        <v>45812</v>
      </c>
      <c r="B234" s="776" t="s">
        <v>128</v>
      </c>
      <c r="C234" s="509" t="s">
        <v>90</v>
      </c>
      <c r="D234" s="777">
        <v>4500168953</v>
      </c>
      <c r="E234" s="886" t="s">
        <v>1026</v>
      </c>
      <c r="F234" s="778" t="s">
        <v>1027</v>
      </c>
      <c r="G234" s="779" t="s">
        <v>186</v>
      </c>
      <c r="H234" s="509" t="s">
        <v>94</v>
      </c>
      <c r="I234" s="509">
        <v>352</v>
      </c>
      <c r="J234" s="509">
        <v>0</v>
      </c>
      <c r="K234" s="509">
        <v>4</v>
      </c>
      <c r="L234" s="780">
        <f t="shared" si="53"/>
        <v>88</v>
      </c>
      <c r="M234" s="781">
        <v>45854</v>
      </c>
      <c r="N234" s="781">
        <v>45859</v>
      </c>
      <c r="O234" s="782" t="s">
        <v>1028</v>
      </c>
      <c r="P234" s="782" t="s">
        <v>103</v>
      </c>
      <c r="Q234" s="509"/>
      <c r="R234" s="784" t="s">
        <v>962</v>
      </c>
      <c r="S234" s="784" t="s">
        <v>66</v>
      </c>
      <c r="T234" s="784" t="s">
        <v>1029</v>
      </c>
      <c r="U234" s="784"/>
      <c r="V234" s="784"/>
      <c r="W234" s="776" t="s">
        <v>963</v>
      </c>
      <c r="X234" s="781" t="s">
        <v>98</v>
      </c>
      <c r="Y234" s="785">
        <v>2.5402</v>
      </c>
      <c r="Z234" s="786">
        <f t="shared" si="67"/>
        <v>894.1504</v>
      </c>
      <c r="AA234" s="509" t="s">
        <v>1030</v>
      </c>
      <c r="AB234" s="509" t="s">
        <v>186</v>
      </c>
      <c r="AC234" s="509" t="s">
        <v>76</v>
      </c>
      <c r="AD234" s="509"/>
      <c r="AE234" s="635" t="s">
        <v>69</v>
      </c>
      <c r="AF234" s="635"/>
      <c r="AG234" s="788">
        <v>352</v>
      </c>
      <c r="AH234" s="782">
        <f t="shared" si="68"/>
        <v>0</v>
      </c>
      <c r="AI234" s="509"/>
      <c r="AJ234" s="509"/>
      <c r="AK234" s="509"/>
      <c r="AL234" s="777">
        <f t="shared" si="65"/>
        <v>352</v>
      </c>
      <c r="AM234" s="656"/>
      <c r="AN234" s="656"/>
      <c r="AO234" s="656"/>
      <c r="AP234" s="777">
        <f t="shared" ref="AP234:AP239" si="69">I234</f>
        <v>352</v>
      </c>
      <c r="AQ234" s="656"/>
      <c r="AR234" s="777">
        <f t="shared" si="64"/>
        <v>352</v>
      </c>
      <c r="AS234" s="777"/>
      <c r="AT234" s="777">
        <f t="shared" si="66"/>
        <v>352</v>
      </c>
      <c r="AU234" s="777"/>
      <c r="AV234" s="778"/>
      <c r="AW234" s="778"/>
      <c r="AX234" s="778"/>
      <c r="AY234" s="778"/>
      <c r="AZ234" s="778"/>
      <c r="BA234" s="778"/>
      <c r="BB234" s="778"/>
      <c r="BC234" s="778"/>
      <c r="BD234" s="778"/>
      <c r="BE234" s="778"/>
      <c r="BF234" s="778"/>
      <c r="BG234" s="778"/>
      <c r="BH234" s="778"/>
      <c r="BI234" s="778"/>
      <c r="BJ234" s="778"/>
      <c r="BK234" s="778"/>
      <c r="BL234" s="778"/>
      <c r="BM234" s="778"/>
    </row>
    <row r="235" s="771" customFormat="1" ht="31" hidden="1" customHeight="1" spans="1:65">
      <c r="A235" s="775">
        <v>45812</v>
      </c>
      <c r="B235" s="776" t="s">
        <v>128</v>
      </c>
      <c r="C235" s="509" t="s">
        <v>90</v>
      </c>
      <c r="D235" s="777">
        <v>4500168953</v>
      </c>
      <c r="E235" s="886" t="s">
        <v>1031</v>
      </c>
      <c r="F235" s="778" t="s">
        <v>1032</v>
      </c>
      <c r="G235" s="779" t="s">
        <v>186</v>
      </c>
      <c r="H235" s="509" t="s">
        <v>94</v>
      </c>
      <c r="I235" s="509">
        <v>120</v>
      </c>
      <c r="J235" s="509">
        <v>0</v>
      </c>
      <c r="K235" s="509">
        <v>4</v>
      </c>
      <c r="L235" s="780">
        <f t="shared" si="53"/>
        <v>30</v>
      </c>
      <c r="M235" s="781">
        <v>45854</v>
      </c>
      <c r="N235" s="781">
        <v>45859</v>
      </c>
      <c r="O235" s="782" t="s">
        <v>1028</v>
      </c>
      <c r="P235" s="782" t="s">
        <v>103</v>
      </c>
      <c r="Q235" s="509"/>
      <c r="R235" s="784" t="s">
        <v>962</v>
      </c>
      <c r="S235" s="784" t="s">
        <v>66</v>
      </c>
      <c r="T235" s="784" t="s">
        <v>1029</v>
      </c>
      <c r="U235" s="784"/>
      <c r="V235" s="784"/>
      <c r="W235" s="776" t="s">
        <v>963</v>
      </c>
      <c r="X235" s="781" t="s">
        <v>98</v>
      </c>
      <c r="Y235" s="785">
        <v>2.5402</v>
      </c>
      <c r="Z235" s="786">
        <f t="shared" si="67"/>
        <v>304.824</v>
      </c>
      <c r="AA235" s="509" t="s">
        <v>1033</v>
      </c>
      <c r="AB235" s="509" t="s">
        <v>186</v>
      </c>
      <c r="AC235" s="509" t="s">
        <v>76</v>
      </c>
      <c r="AD235" s="509"/>
      <c r="AE235" s="635" t="s">
        <v>69</v>
      </c>
      <c r="AF235" s="635"/>
      <c r="AG235" s="788">
        <v>120</v>
      </c>
      <c r="AH235" s="782">
        <f t="shared" si="68"/>
        <v>0</v>
      </c>
      <c r="AI235" s="509"/>
      <c r="AJ235" s="509"/>
      <c r="AK235" s="509"/>
      <c r="AL235" s="777">
        <f t="shared" si="65"/>
        <v>120</v>
      </c>
      <c r="AM235" s="656"/>
      <c r="AN235" s="656"/>
      <c r="AO235" s="656"/>
      <c r="AP235" s="777">
        <f t="shared" si="69"/>
        <v>120</v>
      </c>
      <c r="AQ235" s="656"/>
      <c r="AR235" s="777">
        <f t="shared" si="64"/>
        <v>120</v>
      </c>
      <c r="AS235" s="777"/>
      <c r="AT235" s="777">
        <f t="shared" si="66"/>
        <v>120</v>
      </c>
      <c r="AU235" s="777"/>
      <c r="AV235" s="778"/>
      <c r="AW235" s="778"/>
      <c r="AX235" s="778"/>
      <c r="AY235" s="778"/>
      <c r="AZ235" s="778"/>
      <c r="BA235" s="778"/>
      <c r="BB235" s="778"/>
      <c r="BC235" s="778"/>
      <c r="BD235" s="778"/>
      <c r="BE235" s="778"/>
      <c r="BF235" s="778"/>
      <c r="BG235" s="778"/>
      <c r="BH235" s="778"/>
      <c r="BI235" s="778"/>
      <c r="BJ235" s="778"/>
      <c r="BK235" s="778"/>
      <c r="BL235" s="778"/>
      <c r="BM235" s="778"/>
    </row>
    <row r="236" s="771" customFormat="1" ht="31" hidden="1" customHeight="1" spans="1:65">
      <c r="A236" s="775">
        <v>45812</v>
      </c>
      <c r="B236" s="776" t="s">
        <v>128</v>
      </c>
      <c r="C236" s="509" t="s">
        <v>90</v>
      </c>
      <c r="D236" s="777">
        <v>4500168953</v>
      </c>
      <c r="E236" s="886" t="s">
        <v>1034</v>
      </c>
      <c r="F236" s="778" t="s">
        <v>1035</v>
      </c>
      <c r="G236" s="779" t="s">
        <v>186</v>
      </c>
      <c r="H236" s="509" t="s">
        <v>94</v>
      </c>
      <c r="I236" s="509">
        <v>100</v>
      </c>
      <c r="J236" s="509">
        <v>0</v>
      </c>
      <c r="K236" s="509">
        <v>4</v>
      </c>
      <c r="L236" s="780">
        <f t="shared" si="53"/>
        <v>25</v>
      </c>
      <c r="M236" s="781">
        <v>45854</v>
      </c>
      <c r="N236" s="781">
        <v>45859</v>
      </c>
      <c r="O236" s="782" t="s">
        <v>1028</v>
      </c>
      <c r="P236" s="782" t="s">
        <v>103</v>
      </c>
      <c r="Q236" s="509"/>
      <c r="R236" s="784" t="s">
        <v>962</v>
      </c>
      <c r="S236" s="784" t="s">
        <v>66</v>
      </c>
      <c r="T236" s="784" t="s">
        <v>1029</v>
      </c>
      <c r="U236" s="784"/>
      <c r="V236" s="784"/>
      <c r="W236" s="776" t="s">
        <v>963</v>
      </c>
      <c r="X236" s="781" t="s">
        <v>98</v>
      </c>
      <c r="Y236" s="785">
        <v>2.5402</v>
      </c>
      <c r="Z236" s="786">
        <f t="shared" si="67"/>
        <v>254.02</v>
      </c>
      <c r="AA236" s="509" t="s">
        <v>1036</v>
      </c>
      <c r="AB236" s="509" t="s">
        <v>186</v>
      </c>
      <c r="AC236" s="509" t="s">
        <v>76</v>
      </c>
      <c r="AD236" s="509"/>
      <c r="AE236" s="635" t="s">
        <v>69</v>
      </c>
      <c r="AF236" s="635"/>
      <c r="AG236" s="788">
        <v>100</v>
      </c>
      <c r="AH236" s="782">
        <f t="shared" si="68"/>
        <v>0</v>
      </c>
      <c r="AI236" s="509"/>
      <c r="AJ236" s="509"/>
      <c r="AK236" s="509"/>
      <c r="AL236" s="777">
        <f t="shared" si="65"/>
        <v>100</v>
      </c>
      <c r="AM236" s="656"/>
      <c r="AN236" s="656"/>
      <c r="AO236" s="656"/>
      <c r="AP236" s="777">
        <f t="shared" si="69"/>
        <v>100</v>
      </c>
      <c r="AQ236" s="656"/>
      <c r="AR236" s="777">
        <f t="shared" si="64"/>
        <v>100</v>
      </c>
      <c r="AS236" s="777"/>
      <c r="AT236" s="777">
        <f t="shared" si="66"/>
        <v>100</v>
      </c>
      <c r="AU236" s="777"/>
      <c r="AV236" s="778"/>
      <c r="AW236" s="778"/>
      <c r="AX236" s="778"/>
      <c r="AY236" s="778"/>
      <c r="AZ236" s="778"/>
      <c r="BA236" s="778"/>
      <c r="BB236" s="778"/>
      <c r="BC236" s="778"/>
      <c r="BD236" s="778"/>
      <c r="BE236" s="778"/>
      <c r="BF236" s="778"/>
      <c r="BG236" s="778"/>
      <c r="BH236" s="778"/>
      <c r="BI236" s="778"/>
      <c r="BJ236" s="778"/>
      <c r="BK236" s="778"/>
      <c r="BL236" s="778"/>
      <c r="BM236" s="778"/>
    </row>
    <row r="237" s="771" customFormat="1" ht="31" hidden="1" customHeight="1" spans="1:65">
      <c r="A237" s="775">
        <v>45799</v>
      </c>
      <c r="B237" s="776" t="s">
        <v>128</v>
      </c>
      <c r="C237" s="509" t="s">
        <v>90</v>
      </c>
      <c r="D237" s="777">
        <v>4500167604</v>
      </c>
      <c r="E237" s="886" t="s">
        <v>1037</v>
      </c>
      <c r="F237" s="778" t="s">
        <v>1038</v>
      </c>
      <c r="G237" s="779" t="s">
        <v>93</v>
      </c>
      <c r="H237" s="509" t="s">
        <v>94</v>
      </c>
      <c r="I237" s="509">
        <v>2328</v>
      </c>
      <c r="J237" s="509">
        <v>0</v>
      </c>
      <c r="K237" s="509">
        <v>4</v>
      </c>
      <c r="L237" s="780">
        <f t="shared" si="53"/>
        <v>582</v>
      </c>
      <c r="M237" s="781">
        <v>45855</v>
      </c>
      <c r="N237" s="781">
        <v>45860</v>
      </c>
      <c r="O237" s="782" t="s">
        <v>977</v>
      </c>
      <c r="P237" s="782" t="s">
        <v>103</v>
      </c>
      <c r="Q237" s="509"/>
      <c r="R237" s="784" t="s">
        <v>870</v>
      </c>
      <c r="S237" s="784" t="s">
        <v>66</v>
      </c>
      <c r="T237" s="784" t="s">
        <v>1039</v>
      </c>
      <c r="U237" s="683" t="s">
        <v>133</v>
      </c>
      <c r="V237" s="784"/>
      <c r="W237" s="776" t="s">
        <v>134</v>
      </c>
      <c r="X237" s="781" t="s">
        <v>98</v>
      </c>
      <c r="Y237" s="785">
        <v>2.58</v>
      </c>
      <c r="Z237" s="786">
        <f t="shared" si="67"/>
        <v>6006.24</v>
      </c>
      <c r="AA237" s="509" t="s">
        <v>1040</v>
      </c>
      <c r="AB237" s="509" t="s">
        <v>93</v>
      </c>
      <c r="AC237" s="509" t="s">
        <v>76</v>
      </c>
      <c r="AD237" s="509"/>
      <c r="AE237" s="635" t="s">
        <v>69</v>
      </c>
      <c r="AF237" s="635"/>
      <c r="AG237" s="788">
        <v>2328</v>
      </c>
      <c r="AH237" s="782">
        <f t="shared" si="68"/>
        <v>0</v>
      </c>
      <c r="AI237" s="509"/>
      <c r="AJ237" s="509"/>
      <c r="AK237" s="509"/>
      <c r="AL237" s="777">
        <f t="shared" si="65"/>
        <v>2328</v>
      </c>
      <c r="AM237" s="656"/>
      <c r="AN237" s="656"/>
      <c r="AO237" s="656"/>
      <c r="AP237" s="777">
        <f t="shared" si="69"/>
        <v>2328</v>
      </c>
      <c r="AQ237" s="656"/>
      <c r="AR237" s="777">
        <f t="shared" si="64"/>
        <v>2328</v>
      </c>
      <c r="AS237" s="777"/>
      <c r="AT237" s="543">
        <f t="shared" si="66"/>
        <v>2328</v>
      </c>
      <c r="AU237" s="777"/>
      <c r="AV237" s="778"/>
      <c r="AW237" s="778"/>
      <c r="AX237" s="778"/>
      <c r="AY237" s="778"/>
      <c r="AZ237" s="778"/>
      <c r="BA237" s="778"/>
      <c r="BB237" s="778"/>
      <c r="BC237" s="778"/>
      <c r="BD237" s="777">
        <f>I237/4</f>
        <v>582</v>
      </c>
      <c r="BE237" s="778"/>
      <c r="BF237" s="778"/>
      <c r="BG237" s="778"/>
      <c r="BH237" s="778"/>
      <c r="BI237" s="778"/>
      <c r="BJ237" s="778"/>
      <c r="BK237" s="778"/>
      <c r="BL237" s="778"/>
      <c r="BM237" s="778"/>
    </row>
    <row r="238" s="771" customFormat="1" ht="31" hidden="1" customHeight="1" spans="1:65">
      <c r="A238" s="775">
        <v>45799</v>
      </c>
      <c r="B238" s="776" t="s">
        <v>128</v>
      </c>
      <c r="C238" s="509" t="s">
        <v>90</v>
      </c>
      <c r="D238" s="777">
        <v>4500167598</v>
      </c>
      <c r="E238" s="886" t="s">
        <v>1041</v>
      </c>
      <c r="F238" s="778" t="s">
        <v>1042</v>
      </c>
      <c r="G238" s="779" t="s">
        <v>93</v>
      </c>
      <c r="H238" s="509" t="s">
        <v>94</v>
      </c>
      <c r="I238" s="509">
        <v>1896</v>
      </c>
      <c r="J238" s="509">
        <v>0</v>
      </c>
      <c r="K238" s="509">
        <v>4</v>
      </c>
      <c r="L238" s="780">
        <f t="shared" si="53"/>
        <v>474</v>
      </c>
      <c r="M238" s="781">
        <v>45849</v>
      </c>
      <c r="N238" s="781">
        <v>45852</v>
      </c>
      <c r="O238" s="782" t="s">
        <v>1043</v>
      </c>
      <c r="P238" s="782" t="s">
        <v>103</v>
      </c>
      <c r="Q238" s="509"/>
      <c r="R238" s="784" t="s">
        <v>870</v>
      </c>
      <c r="S238" s="784" t="s">
        <v>66</v>
      </c>
      <c r="T238" s="784" t="s">
        <v>1039</v>
      </c>
      <c r="U238" s="683" t="s">
        <v>133</v>
      </c>
      <c r="V238" s="784"/>
      <c r="W238" s="776" t="s">
        <v>134</v>
      </c>
      <c r="X238" s="781" t="s">
        <v>98</v>
      </c>
      <c r="Y238" s="785">
        <v>2.58</v>
      </c>
      <c r="Z238" s="786">
        <f t="shared" si="67"/>
        <v>4891.68</v>
      </c>
      <c r="AA238" s="509" t="s">
        <v>1044</v>
      </c>
      <c r="AB238" s="509" t="s">
        <v>93</v>
      </c>
      <c r="AC238" s="509" t="s">
        <v>76</v>
      </c>
      <c r="AD238" s="509"/>
      <c r="AE238" s="635" t="s">
        <v>69</v>
      </c>
      <c r="AF238" s="635"/>
      <c r="AG238" s="788">
        <v>1896</v>
      </c>
      <c r="AH238" s="782">
        <f t="shared" si="68"/>
        <v>0</v>
      </c>
      <c r="AI238" s="509"/>
      <c r="AJ238" s="509"/>
      <c r="AK238" s="509"/>
      <c r="AL238" s="777">
        <f t="shared" si="65"/>
        <v>1896</v>
      </c>
      <c r="AM238" s="656"/>
      <c r="AN238" s="656"/>
      <c r="AO238" s="656"/>
      <c r="AP238" s="777">
        <f t="shared" si="69"/>
        <v>1896</v>
      </c>
      <c r="AQ238" s="656"/>
      <c r="AR238" s="777">
        <f t="shared" si="64"/>
        <v>1896</v>
      </c>
      <c r="AS238" s="777"/>
      <c r="AT238" s="543">
        <f t="shared" si="66"/>
        <v>1896</v>
      </c>
      <c r="AU238" s="777"/>
      <c r="AV238" s="778"/>
      <c r="AW238" s="778"/>
      <c r="AX238" s="778"/>
      <c r="AY238" s="778"/>
      <c r="AZ238" s="778"/>
      <c r="BA238" s="778"/>
      <c r="BB238" s="778"/>
      <c r="BC238" s="778"/>
      <c r="BD238" s="777">
        <f>I238/4</f>
        <v>474</v>
      </c>
      <c r="BE238" s="778"/>
      <c r="BF238" s="778"/>
      <c r="BG238" s="778"/>
      <c r="BH238" s="778"/>
      <c r="BI238" s="778"/>
      <c r="BJ238" s="778"/>
      <c r="BK238" s="778"/>
      <c r="BL238" s="778"/>
      <c r="BM238" s="778"/>
    </row>
    <row r="239" s="771" customFormat="1" ht="31" hidden="1" customHeight="1" spans="1:65">
      <c r="A239" s="775">
        <v>45786</v>
      </c>
      <c r="B239" s="776" t="s">
        <v>1045</v>
      </c>
      <c r="C239" s="509" t="s">
        <v>249</v>
      </c>
      <c r="D239" s="777">
        <v>4500163581</v>
      </c>
      <c r="E239" s="509" t="s">
        <v>1046</v>
      </c>
      <c r="F239" s="778" t="s">
        <v>1047</v>
      </c>
      <c r="G239" s="779" t="s">
        <v>93</v>
      </c>
      <c r="H239" s="509" t="s">
        <v>94</v>
      </c>
      <c r="I239" s="509">
        <v>1608</v>
      </c>
      <c r="J239" s="509">
        <v>0</v>
      </c>
      <c r="K239" s="509">
        <v>4</v>
      </c>
      <c r="L239" s="780">
        <f t="shared" si="53"/>
        <v>402</v>
      </c>
      <c r="M239" s="781">
        <v>45856</v>
      </c>
      <c r="N239" s="781">
        <v>45854</v>
      </c>
      <c r="O239" s="782"/>
      <c r="P239" s="782" t="s">
        <v>103</v>
      </c>
      <c r="Q239" s="509"/>
      <c r="R239" s="784">
        <v>45786</v>
      </c>
      <c r="S239" s="784" t="s">
        <v>66</v>
      </c>
      <c r="T239" s="784">
        <v>45786</v>
      </c>
      <c r="U239" s="784"/>
      <c r="V239" s="784"/>
      <c r="W239" s="776" t="s">
        <v>1048</v>
      </c>
      <c r="X239" s="781" t="s">
        <v>1049</v>
      </c>
      <c r="Y239" s="785">
        <v>5</v>
      </c>
      <c r="Z239" s="786">
        <f t="shared" si="67"/>
        <v>8040</v>
      </c>
      <c r="AA239" s="509" t="s">
        <v>1050</v>
      </c>
      <c r="AB239" s="509" t="s">
        <v>93</v>
      </c>
      <c r="AC239" s="509" t="s">
        <v>76</v>
      </c>
      <c r="AD239" s="509"/>
      <c r="AE239" s="635" t="s">
        <v>69</v>
      </c>
      <c r="AF239" s="635"/>
      <c r="AG239" s="788">
        <v>1608</v>
      </c>
      <c r="AH239" s="782">
        <f t="shared" si="68"/>
        <v>0</v>
      </c>
      <c r="AI239" s="509"/>
      <c r="AJ239" s="509"/>
      <c r="AK239" s="509"/>
      <c r="AL239" s="777">
        <f t="shared" si="65"/>
        <v>1608</v>
      </c>
      <c r="AM239" s="656"/>
      <c r="AN239" s="656"/>
      <c r="AO239" s="656"/>
      <c r="AP239" s="777">
        <f t="shared" si="69"/>
        <v>1608</v>
      </c>
      <c r="AQ239" s="656"/>
      <c r="AR239" s="777">
        <f t="shared" si="64"/>
        <v>1608</v>
      </c>
      <c r="AS239" s="777"/>
      <c r="AT239" s="777">
        <f t="shared" si="66"/>
        <v>1608</v>
      </c>
      <c r="AU239" s="777"/>
      <c r="AV239" s="778"/>
      <c r="AW239" s="778"/>
      <c r="AX239" s="778"/>
      <c r="AY239" s="778"/>
      <c r="AZ239" s="778"/>
      <c r="BA239" s="778"/>
      <c r="BB239" s="778"/>
      <c r="BC239" s="778"/>
      <c r="BD239" s="777">
        <f>I239/4</f>
        <v>402</v>
      </c>
      <c r="BE239" s="778"/>
      <c r="BF239" s="778"/>
      <c r="BG239" s="778"/>
      <c r="BH239" s="778"/>
      <c r="BI239" s="778"/>
      <c r="BJ239" s="778"/>
      <c r="BK239" s="778"/>
      <c r="BL239" s="778"/>
      <c r="BM239" s="778"/>
    </row>
    <row r="240" s="771" customFormat="1" ht="31" hidden="1" customHeight="1" spans="1:65">
      <c r="A240" s="775">
        <v>45814</v>
      </c>
      <c r="B240" s="776" t="s">
        <v>1051</v>
      </c>
      <c r="C240" s="509" t="s">
        <v>153</v>
      </c>
      <c r="D240" s="777">
        <v>4500169319</v>
      </c>
      <c r="E240" s="509" t="s">
        <v>1052</v>
      </c>
      <c r="F240" s="778" t="s">
        <v>1053</v>
      </c>
      <c r="G240" s="779" t="s">
        <v>64</v>
      </c>
      <c r="H240" s="509" t="s">
        <v>65</v>
      </c>
      <c r="I240" s="509">
        <v>132</v>
      </c>
      <c r="J240" s="509">
        <v>0</v>
      </c>
      <c r="K240" s="509">
        <v>12</v>
      </c>
      <c r="L240" s="780">
        <f t="shared" si="53"/>
        <v>11</v>
      </c>
      <c r="M240" s="781">
        <v>45856</v>
      </c>
      <c r="N240" s="781">
        <v>45854</v>
      </c>
      <c r="O240" s="782"/>
      <c r="P240" s="782" t="s">
        <v>103</v>
      </c>
      <c r="Q240" s="509"/>
      <c r="R240" s="784">
        <v>45824</v>
      </c>
      <c r="S240" s="784" t="s">
        <v>66</v>
      </c>
      <c r="T240" s="784">
        <v>45825</v>
      </c>
      <c r="U240" s="784"/>
      <c r="V240" s="784"/>
      <c r="W240" s="776" t="s">
        <v>1054</v>
      </c>
      <c r="X240" s="781" t="s">
        <v>1055</v>
      </c>
      <c r="Y240" s="785">
        <v>4.1018</v>
      </c>
      <c r="Z240" s="786">
        <f t="shared" si="67"/>
        <v>541.4376</v>
      </c>
      <c r="AA240" s="509"/>
      <c r="AB240" s="509" t="s">
        <v>165</v>
      </c>
      <c r="AC240" s="509" t="s">
        <v>76</v>
      </c>
      <c r="AD240" s="509"/>
      <c r="AE240" s="635" t="s">
        <v>69</v>
      </c>
      <c r="AF240" s="635"/>
      <c r="AG240" s="788">
        <v>132</v>
      </c>
      <c r="AH240" s="782">
        <f t="shared" si="68"/>
        <v>0</v>
      </c>
      <c r="AI240" s="509"/>
      <c r="AJ240" s="509"/>
      <c r="AK240" s="509"/>
      <c r="AL240" s="777">
        <f t="shared" si="65"/>
        <v>132</v>
      </c>
      <c r="AM240" s="656"/>
      <c r="AN240" s="656"/>
      <c r="AO240" s="656"/>
      <c r="AP240" s="777"/>
      <c r="AQ240" s="656">
        <f>I240</f>
        <v>132</v>
      </c>
      <c r="AR240" s="777">
        <f t="shared" si="64"/>
        <v>132</v>
      </c>
      <c r="AS240" s="777"/>
      <c r="AT240" s="543">
        <f t="shared" si="66"/>
        <v>132</v>
      </c>
      <c r="AU240" s="777"/>
      <c r="AV240" s="778"/>
      <c r="AW240" s="778"/>
      <c r="AX240" s="778"/>
      <c r="AY240" s="778"/>
      <c r="AZ240" s="778"/>
      <c r="BA240" s="778"/>
      <c r="BB240" s="778"/>
      <c r="BC240" s="778"/>
      <c r="BD240" s="778"/>
      <c r="BE240" s="778"/>
      <c r="BF240" s="778"/>
      <c r="BG240" s="778"/>
      <c r="BH240" s="778"/>
      <c r="BI240" s="778"/>
      <c r="BJ240" s="778"/>
      <c r="BK240" s="778"/>
      <c r="BL240" s="778"/>
      <c r="BM240" s="778"/>
    </row>
    <row r="241" s="771" customFormat="1" ht="31" hidden="1" customHeight="1" spans="1:65">
      <c r="A241" s="775">
        <v>45798</v>
      </c>
      <c r="B241" s="776" t="s">
        <v>280</v>
      </c>
      <c r="C241" s="509" t="s">
        <v>249</v>
      </c>
      <c r="D241" s="777">
        <v>4500167191</v>
      </c>
      <c r="E241" s="509" t="s">
        <v>1056</v>
      </c>
      <c r="F241" s="778" t="s">
        <v>1057</v>
      </c>
      <c r="G241" s="779" t="s">
        <v>463</v>
      </c>
      <c r="H241" s="509" t="s">
        <v>424</v>
      </c>
      <c r="I241" s="509">
        <v>8700</v>
      </c>
      <c r="J241" s="509">
        <v>0</v>
      </c>
      <c r="K241" s="509">
        <v>6</v>
      </c>
      <c r="L241" s="780">
        <f t="shared" si="53"/>
        <v>1450</v>
      </c>
      <c r="M241" s="781">
        <v>45856</v>
      </c>
      <c r="N241" s="781">
        <v>45857</v>
      </c>
      <c r="O241" s="782"/>
      <c r="P241" s="782" t="s">
        <v>103</v>
      </c>
      <c r="Q241" s="509"/>
      <c r="R241" s="784">
        <v>45800</v>
      </c>
      <c r="S241" s="784" t="s">
        <v>66</v>
      </c>
      <c r="T241" s="784" t="s">
        <v>66</v>
      </c>
      <c r="U241" s="784"/>
      <c r="V241" s="784" t="s">
        <v>1001</v>
      </c>
      <c r="W241" s="776" t="s">
        <v>831</v>
      </c>
      <c r="X241" s="781" t="s">
        <v>285</v>
      </c>
      <c r="Y241" s="785">
        <v>8.1</v>
      </c>
      <c r="Z241" s="786">
        <f t="shared" si="67"/>
        <v>70470</v>
      </c>
      <c r="AA241" s="458" t="s">
        <v>1058</v>
      </c>
      <c r="AB241" s="509" t="s">
        <v>427</v>
      </c>
      <c r="AC241" s="509" t="s">
        <v>76</v>
      </c>
      <c r="AD241" s="509"/>
      <c r="AE241" s="635" t="s">
        <v>69</v>
      </c>
      <c r="AF241" s="635"/>
      <c r="AG241" s="788">
        <v>0</v>
      </c>
      <c r="AH241" s="782"/>
      <c r="AI241" s="509"/>
      <c r="AJ241" s="509"/>
      <c r="AK241" s="509"/>
      <c r="AL241" s="777">
        <f t="shared" si="65"/>
        <v>8700</v>
      </c>
      <c r="AM241" s="656"/>
      <c r="AN241" s="656"/>
      <c r="AO241" s="656"/>
      <c r="AP241" s="777"/>
      <c r="AQ241" s="656">
        <f>I241</f>
        <v>8700</v>
      </c>
      <c r="AR241" s="777">
        <f t="shared" si="64"/>
        <v>8700</v>
      </c>
      <c r="AS241" s="777"/>
      <c r="AT241" s="543">
        <f t="shared" si="66"/>
        <v>8700</v>
      </c>
      <c r="AU241" s="777"/>
      <c r="AV241" s="778"/>
      <c r="AW241" s="778"/>
      <c r="AX241" s="778"/>
      <c r="AY241" s="778"/>
      <c r="AZ241" s="778"/>
      <c r="BA241" s="778"/>
      <c r="BB241" s="778"/>
      <c r="BC241" s="778"/>
      <c r="BD241" s="778"/>
      <c r="BE241" s="778"/>
      <c r="BF241" s="778"/>
      <c r="BG241" s="778"/>
      <c r="BH241" s="778"/>
      <c r="BI241" s="777"/>
      <c r="BJ241" s="777">
        <f>I241</f>
        <v>8700</v>
      </c>
      <c r="BK241" s="778"/>
      <c r="BL241" s="778"/>
      <c r="BM241" s="778"/>
    </row>
    <row r="242" s="771" customFormat="1" ht="31" hidden="1" customHeight="1" spans="1:65">
      <c r="A242" s="775">
        <v>45813</v>
      </c>
      <c r="B242" s="776" t="s">
        <v>605</v>
      </c>
      <c r="C242" s="509" t="s">
        <v>366</v>
      </c>
      <c r="D242" s="777">
        <v>4500169038</v>
      </c>
      <c r="E242" s="509" t="s">
        <v>1059</v>
      </c>
      <c r="F242" s="778" t="s">
        <v>1060</v>
      </c>
      <c r="G242" s="779" t="s">
        <v>141</v>
      </c>
      <c r="H242" s="509" t="s">
        <v>94</v>
      </c>
      <c r="I242" s="509">
        <v>504</v>
      </c>
      <c r="J242" s="509">
        <v>0</v>
      </c>
      <c r="K242" s="509">
        <v>4</v>
      </c>
      <c r="L242" s="780">
        <f t="shared" si="53"/>
        <v>126</v>
      </c>
      <c r="M242" s="781">
        <v>45859</v>
      </c>
      <c r="N242" s="781">
        <v>45857</v>
      </c>
      <c r="O242" s="782"/>
      <c r="P242" s="782" t="s">
        <v>103</v>
      </c>
      <c r="Q242" s="509"/>
      <c r="R242" s="784">
        <v>45813</v>
      </c>
      <c r="S242" s="784" t="s">
        <v>66</v>
      </c>
      <c r="T242" s="784" t="s">
        <v>1061</v>
      </c>
      <c r="U242" s="784"/>
      <c r="V242" s="784"/>
      <c r="W242" s="776" t="s">
        <v>1062</v>
      </c>
      <c r="X242" s="781" t="s">
        <v>370</v>
      </c>
      <c r="Y242" s="785">
        <v>4.3</v>
      </c>
      <c r="Z242" s="786">
        <f t="shared" si="67"/>
        <v>2167.2</v>
      </c>
      <c r="AA242" s="509" t="s">
        <v>1063</v>
      </c>
      <c r="AB242" s="509" t="s">
        <v>141</v>
      </c>
      <c r="AC242" s="509" t="s">
        <v>76</v>
      </c>
      <c r="AD242" s="509"/>
      <c r="AE242" s="635" t="s">
        <v>69</v>
      </c>
      <c r="AF242" s="635"/>
      <c r="AG242" s="788">
        <v>504</v>
      </c>
      <c r="AH242" s="782">
        <f t="shared" si="68"/>
        <v>0</v>
      </c>
      <c r="AI242" s="509"/>
      <c r="AJ242" s="509"/>
      <c r="AK242" s="509"/>
      <c r="AL242" s="777">
        <f t="shared" si="65"/>
        <v>504</v>
      </c>
      <c r="AM242" s="656"/>
      <c r="AN242" s="656"/>
      <c r="AO242" s="656"/>
      <c r="AP242" s="777"/>
      <c r="AQ242" s="656">
        <f>I242</f>
        <v>504</v>
      </c>
      <c r="AR242" s="777">
        <f t="shared" si="64"/>
        <v>504</v>
      </c>
      <c r="AS242" s="777"/>
      <c r="AT242" s="777">
        <f t="shared" si="66"/>
        <v>504</v>
      </c>
      <c r="AU242" s="777"/>
      <c r="AV242" s="778"/>
      <c r="AW242" s="778"/>
      <c r="AX242" s="778"/>
      <c r="AY242" s="778"/>
      <c r="AZ242" s="778"/>
      <c r="BA242" s="778"/>
      <c r="BB242" s="778"/>
      <c r="BC242" s="778"/>
      <c r="BD242" s="778"/>
      <c r="BE242" s="777">
        <f>I242/4</f>
        <v>126</v>
      </c>
      <c r="BF242" s="778"/>
      <c r="BG242" s="778"/>
      <c r="BH242" s="778"/>
      <c r="BI242" s="778"/>
      <c r="BJ242" s="778"/>
      <c r="BK242" s="778"/>
      <c r="BL242" s="778"/>
      <c r="BM242" s="778"/>
    </row>
    <row r="243" s="771" customFormat="1" ht="31" hidden="1" customHeight="1" spans="1:65">
      <c r="A243" s="775">
        <v>45799</v>
      </c>
      <c r="B243" s="776" t="s">
        <v>128</v>
      </c>
      <c r="C243" s="509" t="s">
        <v>90</v>
      </c>
      <c r="D243" s="777">
        <v>4500167602</v>
      </c>
      <c r="E243" s="886" t="s">
        <v>1064</v>
      </c>
      <c r="F243" s="778" t="s">
        <v>1065</v>
      </c>
      <c r="G243" s="779" t="s">
        <v>93</v>
      </c>
      <c r="H243" s="509" t="s">
        <v>94</v>
      </c>
      <c r="I243" s="509">
        <v>2808</v>
      </c>
      <c r="J243" s="509">
        <v>0</v>
      </c>
      <c r="K243" s="509">
        <v>4</v>
      </c>
      <c r="L243" s="780">
        <f t="shared" si="53"/>
        <v>702</v>
      </c>
      <c r="M243" s="781">
        <v>45853</v>
      </c>
      <c r="N243" s="781">
        <v>45858</v>
      </c>
      <c r="O243" s="782" t="s">
        <v>977</v>
      </c>
      <c r="P243" s="782" t="s">
        <v>103</v>
      </c>
      <c r="Q243" s="509"/>
      <c r="R243" s="784" t="s">
        <v>870</v>
      </c>
      <c r="S243" s="784" t="s">
        <v>66</v>
      </c>
      <c r="T243" s="784" t="s">
        <v>1039</v>
      </c>
      <c r="U243" s="683" t="s">
        <v>133</v>
      </c>
      <c r="V243" s="784"/>
      <c r="W243" s="776" t="s">
        <v>134</v>
      </c>
      <c r="X243" s="781" t="s">
        <v>98</v>
      </c>
      <c r="Y243" s="785">
        <v>2.58</v>
      </c>
      <c r="Z243" s="786">
        <f t="shared" si="67"/>
        <v>7244.64</v>
      </c>
      <c r="AA243" s="509" t="s">
        <v>1066</v>
      </c>
      <c r="AB243" s="509" t="s">
        <v>93</v>
      </c>
      <c r="AC243" s="509" t="s">
        <v>76</v>
      </c>
      <c r="AD243" s="509"/>
      <c r="AE243" s="635" t="s">
        <v>69</v>
      </c>
      <c r="AF243" s="635"/>
      <c r="AG243" s="788">
        <v>2808</v>
      </c>
      <c r="AH243" s="782">
        <f t="shared" si="68"/>
        <v>0</v>
      </c>
      <c r="AI243" s="509"/>
      <c r="AJ243" s="509"/>
      <c r="AK243" s="509"/>
      <c r="AL243" s="777">
        <f t="shared" si="65"/>
        <v>2808</v>
      </c>
      <c r="AM243" s="656"/>
      <c r="AN243" s="656"/>
      <c r="AO243" s="656"/>
      <c r="AP243" s="777">
        <f t="shared" ref="AP243:AP249" si="70">I243</f>
        <v>2808</v>
      </c>
      <c r="AQ243" s="656"/>
      <c r="AR243" s="777">
        <f t="shared" si="64"/>
        <v>2808</v>
      </c>
      <c r="AS243" s="777"/>
      <c r="AT243" s="543">
        <f t="shared" ref="AT243:AT256" si="71">I243</f>
        <v>2808</v>
      </c>
      <c r="AU243" s="777"/>
      <c r="AV243" s="778"/>
      <c r="AW243" s="778"/>
      <c r="AX243" s="778"/>
      <c r="AY243" s="778"/>
      <c r="AZ243" s="778"/>
      <c r="BA243" s="778"/>
      <c r="BB243" s="778"/>
      <c r="BC243" s="778"/>
      <c r="BD243" s="777">
        <f t="shared" ref="BD243:BD255" si="72">I243/4</f>
        <v>702</v>
      </c>
      <c r="BE243" s="778"/>
      <c r="BF243" s="778"/>
      <c r="BG243" s="778"/>
      <c r="BH243" s="778"/>
      <c r="BI243" s="778"/>
      <c r="BJ243" s="778"/>
      <c r="BK243" s="778"/>
      <c r="BL243" s="778"/>
      <c r="BM243" s="778"/>
    </row>
    <row r="244" s="771" customFormat="1" ht="31" hidden="1" customHeight="1" spans="1:65">
      <c r="A244" s="775">
        <v>45799</v>
      </c>
      <c r="B244" s="776" t="s">
        <v>128</v>
      </c>
      <c r="C244" s="509" t="s">
        <v>90</v>
      </c>
      <c r="D244" s="777">
        <v>4500167605</v>
      </c>
      <c r="E244" s="886" t="s">
        <v>1067</v>
      </c>
      <c r="F244" s="778" t="s">
        <v>1068</v>
      </c>
      <c r="G244" s="779" t="s">
        <v>93</v>
      </c>
      <c r="H244" s="509" t="s">
        <v>94</v>
      </c>
      <c r="I244" s="509">
        <v>1568</v>
      </c>
      <c r="J244" s="509">
        <v>0</v>
      </c>
      <c r="K244" s="509">
        <v>4</v>
      </c>
      <c r="L244" s="780">
        <f t="shared" si="53"/>
        <v>392</v>
      </c>
      <c r="M244" s="781">
        <v>45859</v>
      </c>
      <c r="N244" s="781">
        <v>45864</v>
      </c>
      <c r="O244" s="782" t="s">
        <v>1069</v>
      </c>
      <c r="P244" s="782" t="s">
        <v>103</v>
      </c>
      <c r="Q244" s="509" t="s">
        <v>1070</v>
      </c>
      <c r="R244" s="784" t="s">
        <v>870</v>
      </c>
      <c r="S244" s="784" t="s">
        <v>66</v>
      </c>
      <c r="T244" s="784" t="s">
        <v>1039</v>
      </c>
      <c r="U244" s="683" t="s">
        <v>133</v>
      </c>
      <c r="V244" s="784"/>
      <c r="W244" s="776" t="s">
        <v>134</v>
      </c>
      <c r="X244" s="781" t="s">
        <v>98</v>
      </c>
      <c r="Y244" s="785">
        <v>2.58</v>
      </c>
      <c r="Z244" s="786">
        <f t="shared" si="67"/>
        <v>4045.44</v>
      </c>
      <c r="AA244" s="509" t="s">
        <v>1071</v>
      </c>
      <c r="AB244" s="509" t="s">
        <v>93</v>
      </c>
      <c r="AC244" s="509" t="s">
        <v>76</v>
      </c>
      <c r="AD244" s="509"/>
      <c r="AE244" s="635" t="s">
        <v>69</v>
      </c>
      <c r="AF244" s="635"/>
      <c r="AG244" s="788">
        <f>1564+4</f>
        <v>1568</v>
      </c>
      <c r="AH244" s="782">
        <f t="shared" si="68"/>
        <v>0</v>
      </c>
      <c r="AI244" s="509"/>
      <c r="AJ244" s="509"/>
      <c r="AK244" s="509"/>
      <c r="AL244" s="777">
        <f t="shared" si="65"/>
        <v>1568</v>
      </c>
      <c r="AM244" s="656"/>
      <c r="AN244" s="656"/>
      <c r="AO244" s="656"/>
      <c r="AP244" s="777">
        <f t="shared" si="70"/>
        <v>1568</v>
      </c>
      <c r="AQ244" s="656"/>
      <c r="AR244" s="777">
        <f t="shared" si="64"/>
        <v>1568</v>
      </c>
      <c r="AS244" s="777"/>
      <c r="AT244" s="543">
        <f t="shared" si="71"/>
        <v>1568</v>
      </c>
      <c r="AU244" s="777"/>
      <c r="AV244" s="778"/>
      <c r="AW244" s="778"/>
      <c r="AX244" s="778"/>
      <c r="AY244" s="778"/>
      <c r="AZ244" s="778"/>
      <c r="BA244" s="778"/>
      <c r="BB244" s="778"/>
      <c r="BC244" s="778"/>
      <c r="BD244" s="777">
        <f t="shared" si="72"/>
        <v>392</v>
      </c>
      <c r="BE244" s="778"/>
      <c r="BF244" s="778"/>
      <c r="BG244" s="778"/>
      <c r="BH244" s="778"/>
      <c r="BI244" s="778"/>
      <c r="BJ244" s="778"/>
      <c r="BK244" s="778"/>
      <c r="BL244" s="778"/>
      <c r="BM244" s="778"/>
    </row>
    <row r="245" s="771" customFormat="1" ht="31" hidden="1" customHeight="1" spans="1:65">
      <c r="A245" s="775">
        <v>45799</v>
      </c>
      <c r="B245" s="776" t="s">
        <v>128</v>
      </c>
      <c r="C245" s="509" t="s">
        <v>90</v>
      </c>
      <c r="D245" s="777">
        <v>4500167605</v>
      </c>
      <c r="E245" s="886" t="s">
        <v>1072</v>
      </c>
      <c r="F245" s="778" t="s">
        <v>1073</v>
      </c>
      <c r="G245" s="779" t="s">
        <v>93</v>
      </c>
      <c r="H245" s="509" t="s">
        <v>94</v>
      </c>
      <c r="I245" s="509">
        <v>2016</v>
      </c>
      <c r="J245" s="509">
        <v>0</v>
      </c>
      <c r="K245" s="509">
        <v>4</v>
      </c>
      <c r="L245" s="780">
        <f t="shared" si="53"/>
        <v>504</v>
      </c>
      <c r="M245" s="781">
        <v>45859</v>
      </c>
      <c r="N245" s="781">
        <v>45864</v>
      </c>
      <c r="O245" s="782" t="s">
        <v>1069</v>
      </c>
      <c r="P245" s="782" t="s">
        <v>103</v>
      </c>
      <c r="Q245" s="509"/>
      <c r="R245" s="784" t="s">
        <v>870</v>
      </c>
      <c r="S245" s="784" t="s">
        <v>66</v>
      </c>
      <c r="T245" s="784" t="s">
        <v>1039</v>
      </c>
      <c r="U245" s="683" t="s">
        <v>133</v>
      </c>
      <c r="V245" s="784"/>
      <c r="W245" s="776" t="s">
        <v>134</v>
      </c>
      <c r="X245" s="781" t="s">
        <v>98</v>
      </c>
      <c r="Y245" s="785">
        <v>2.58</v>
      </c>
      <c r="Z245" s="786">
        <f t="shared" si="67"/>
        <v>5201.28</v>
      </c>
      <c r="AA245" s="509" t="s">
        <v>1074</v>
      </c>
      <c r="AB245" s="509" t="s">
        <v>93</v>
      </c>
      <c r="AC245" s="509" t="s">
        <v>76</v>
      </c>
      <c r="AD245" s="509"/>
      <c r="AE245" s="635" t="s">
        <v>69</v>
      </c>
      <c r="AF245" s="635"/>
      <c r="AG245" s="788">
        <f>2012+4</f>
        <v>2016</v>
      </c>
      <c r="AH245" s="782">
        <f t="shared" si="68"/>
        <v>0</v>
      </c>
      <c r="AI245" s="509"/>
      <c r="AJ245" s="509"/>
      <c r="AK245" s="509"/>
      <c r="AL245" s="777">
        <f t="shared" si="65"/>
        <v>2016</v>
      </c>
      <c r="AM245" s="656"/>
      <c r="AN245" s="656"/>
      <c r="AO245" s="656"/>
      <c r="AP245" s="777">
        <f t="shared" si="70"/>
        <v>2016</v>
      </c>
      <c r="AQ245" s="656"/>
      <c r="AR245" s="777">
        <f t="shared" si="64"/>
        <v>2016</v>
      </c>
      <c r="AS245" s="777"/>
      <c r="AT245" s="543">
        <f t="shared" si="71"/>
        <v>2016</v>
      </c>
      <c r="AU245" s="777"/>
      <c r="AV245" s="778"/>
      <c r="AW245" s="778"/>
      <c r="AX245" s="778"/>
      <c r="AY245" s="778"/>
      <c r="AZ245" s="778"/>
      <c r="BA245" s="778"/>
      <c r="BB245" s="778"/>
      <c r="BC245" s="778"/>
      <c r="BD245" s="777">
        <f t="shared" si="72"/>
        <v>504</v>
      </c>
      <c r="BE245" s="778"/>
      <c r="BF245" s="778"/>
      <c r="BG245" s="778"/>
      <c r="BH245" s="778"/>
      <c r="BI245" s="778"/>
      <c r="BJ245" s="778"/>
      <c r="BK245" s="778"/>
      <c r="BL245" s="778"/>
      <c r="BM245" s="778"/>
    </row>
    <row r="246" s="771" customFormat="1" ht="31" hidden="1" customHeight="1" spans="1:65">
      <c r="A246" s="775">
        <v>45820</v>
      </c>
      <c r="B246" s="776" t="s">
        <v>128</v>
      </c>
      <c r="C246" s="509" t="s">
        <v>90</v>
      </c>
      <c r="D246" s="777">
        <v>4500169831</v>
      </c>
      <c r="E246" s="509"/>
      <c r="F246" s="778" t="s">
        <v>1075</v>
      </c>
      <c r="G246" s="779" t="s">
        <v>93</v>
      </c>
      <c r="H246" s="509" t="s">
        <v>94</v>
      </c>
      <c r="I246" s="509">
        <v>2520</v>
      </c>
      <c r="J246" s="509">
        <v>0</v>
      </c>
      <c r="K246" s="509">
        <v>4</v>
      </c>
      <c r="L246" s="780">
        <f t="shared" si="53"/>
        <v>630</v>
      </c>
      <c r="M246" s="781">
        <v>45859</v>
      </c>
      <c r="N246" s="781">
        <v>45864</v>
      </c>
      <c r="O246" s="782" t="s">
        <v>1069</v>
      </c>
      <c r="P246" s="782" t="s">
        <v>103</v>
      </c>
      <c r="Q246" s="509"/>
      <c r="R246" s="784" t="s">
        <v>132</v>
      </c>
      <c r="S246" s="784" t="s">
        <v>66</v>
      </c>
      <c r="T246" s="784" t="s">
        <v>133</v>
      </c>
      <c r="U246" s="683" t="s">
        <v>133</v>
      </c>
      <c r="V246" s="784"/>
      <c r="W246" s="776" t="s">
        <v>1076</v>
      </c>
      <c r="X246" s="781" t="s">
        <v>98</v>
      </c>
      <c r="Y246" s="785">
        <v>2.58</v>
      </c>
      <c r="Z246" s="786">
        <f t="shared" si="67"/>
        <v>6501.6</v>
      </c>
      <c r="AA246" s="509" t="s">
        <v>1077</v>
      </c>
      <c r="AB246" s="509" t="s">
        <v>93</v>
      </c>
      <c r="AC246" s="509" t="s">
        <v>76</v>
      </c>
      <c r="AD246" s="509"/>
      <c r="AE246" s="635" t="s">
        <v>69</v>
      </c>
      <c r="AF246" s="635"/>
      <c r="AG246" s="788">
        <v>2520</v>
      </c>
      <c r="AH246" s="782">
        <f t="shared" si="68"/>
        <v>0</v>
      </c>
      <c r="AI246" s="509"/>
      <c r="AJ246" s="509"/>
      <c r="AK246" s="509"/>
      <c r="AL246" s="777">
        <f t="shared" si="65"/>
        <v>2520</v>
      </c>
      <c r="AM246" s="656"/>
      <c r="AN246" s="656"/>
      <c r="AO246" s="656"/>
      <c r="AP246" s="777">
        <f t="shared" si="70"/>
        <v>2520</v>
      </c>
      <c r="AQ246" s="656"/>
      <c r="AR246" s="777">
        <f t="shared" si="64"/>
        <v>2520</v>
      </c>
      <c r="AS246" s="777"/>
      <c r="AT246" s="543">
        <f t="shared" si="71"/>
        <v>2520</v>
      </c>
      <c r="AU246" s="777"/>
      <c r="AV246" s="778"/>
      <c r="AW246" s="778"/>
      <c r="AX246" s="778"/>
      <c r="AY246" s="778"/>
      <c r="AZ246" s="778"/>
      <c r="BA246" s="778"/>
      <c r="BB246" s="778"/>
      <c r="BC246" s="778"/>
      <c r="BD246" s="777">
        <f t="shared" si="72"/>
        <v>630</v>
      </c>
      <c r="BE246" s="778"/>
      <c r="BF246" s="778"/>
      <c r="BG246" s="778"/>
      <c r="BH246" s="778"/>
      <c r="BI246" s="778"/>
      <c r="BJ246" s="778"/>
      <c r="BK246" s="778"/>
      <c r="BL246" s="778"/>
      <c r="BM246" s="778"/>
    </row>
    <row r="247" s="771" customFormat="1" ht="31" hidden="1" customHeight="1" spans="1:65">
      <c r="A247" s="775">
        <v>45820</v>
      </c>
      <c r="B247" s="776" t="s">
        <v>128</v>
      </c>
      <c r="C247" s="509" t="s">
        <v>90</v>
      </c>
      <c r="D247" s="777">
        <v>4500169831</v>
      </c>
      <c r="E247" s="509"/>
      <c r="F247" s="778" t="s">
        <v>1078</v>
      </c>
      <c r="G247" s="779" t="s">
        <v>93</v>
      </c>
      <c r="H247" s="509" t="s">
        <v>94</v>
      </c>
      <c r="I247" s="509">
        <v>2088</v>
      </c>
      <c r="J247" s="509">
        <v>0</v>
      </c>
      <c r="K247" s="509">
        <v>4</v>
      </c>
      <c r="L247" s="780">
        <f t="shared" si="53"/>
        <v>522</v>
      </c>
      <c r="M247" s="781">
        <v>45859</v>
      </c>
      <c r="N247" s="781">
        <v>45864</v>
      </c>
      <c r="O247" s="782" t="s">
        <v>1069</v>
      </c>
      <c r="P247" s="782" t="s">
        <v>103</v>
      </c>
      <c r="Q247" s="509"/>
      <c r="R247" s="784" t="s">
        <v>132</v>
      </c>
      <c r="S247" s="784" t="s">
        <v>66</v>
      </c>
      <c r="T247" s="784" t="s">
        <v>133</v>
      </c>
      <c r="U247" s="683" t="s">
        <v>133</v>
      </c>
      <c r="V247" s="784"/>
      <c r="W247" s="776" t="s">
        <v>1076</v>
      </c>
      <c r="X247" s="781" t="s">
        <v>98</v>
      </c>
      <c r="Y247" s="785">
        <v>2.58</v>
      </c>
      <c r="Z247" s="786">
        <f t="shared" si="67"/>
        <v>5387.04</v>
      </c>
      <c r="AA247" s="509" t="s">
        <v>1079</v>
      </c>
      <c r="AB247" s="509" t="s">
        <v>93</v>
      </c>
      <c r="AC247" s="509" t="s">
        <v>76</v>
      </c>
      <c r="AD247" s="509"/>
      <c r="AE247" s="635" t="s">
        <v>69</v>
      </c>
      <c r="AF247" s="635"/>
      <c r="AG247" s="788">
        <f>2080+8</f>
        <v>2088</v>
      </c>
      <c r="AH247" s="782">
        <f t="shared" si="68"/>
        <v>0</v>
      </c>
      <c r="AI247" s="509"/>
      <c r="AJ247" s="509"/>
      <c r="AK247" s="509"/>
      <c r="AL247" s="777">
        <f t="shared" si="65"/>
        <v>2088</v>
      </c>
      <c r="AM247" s="656"/>
      <c r="AN247" s="656"/>
      <c r="AO247" s="656"/>
      <c r="AP247" s="777">
        <f t="shared" si="70"/>
        <v>2088</v>
      </c>
      <c r="AQ247" s="656"/>
      <c r="AR247" s="777">
        <f t="shared" si="64"/>
        <v>2088</v>
      </c>
      <c r="AS247" s="777"/>
      <c r="AT247" s="543">
        <f t="shared" si="71"/>
        <v>2088</v>
      </c>
      <c r="AU247" s="777"/>
      <c r="AV247" s="778"/>
      <c r="AW247" s="778"/>
      <c r="AX247" s="778"/>
      <c r="AY247" s="778"/>
      <c r="AZ247" s="778"/>
      <c r="BA247" s="778"/>
      <c r="BB247" s="778"/>
      <c r="BC247" s="778"/>
      <c r="BD247" s="777">
        <f t="shared" si="72"/>
        <v>522</v>
      </c>
      <c r="BE247" s="778"/>
      <c r="BF247" s="778"/>
      <c r="BG247" s="778"/>
      <c r="BH247" s="778"/>
      <c r="BI247" s="778"/>
      <c r="BJ247" s="778"/>
      <c r="BK247" s="778"/>
      <c r="BL247" s="778"/>
      <c r="BM247" s="778"/>
    </row>
    <row r="248" s="771" customFormat="1" ht="31" hidden="1" customHeight="1" spans="1:65">
      <c r="A248" s="775">
        <v>45799</v>
      </c>
      <c r="B248" s="776" t="s">
        <v>128</v>
      </c>
      <c r="C248" s="509" t="s">
        <v>90</v>
      </c>
      <c r="D248" s="777">
        <v>4500167607</v>
      </c>
      <c r="E248" s="886" t="s">
        <v>1080</v>
      </c>
      <c r="F248" s="778" t="s">
        <v>1081</v>
      </c>
      <c r="G248" s="779" t="s">
        <v>93</v>
      </c>
      <c r="H248" s="509" t="s">
        <v>94</v>
      </c>
      <c r="I248" s="509">
        <v>1896</v>
      </c>
      <c r="J248" s="509">
        <v>0</v>
      </c>
      <c r="K248" s="509">
        <v>4</v>
      </c>
      <c r="L248" s="780">
        <f t="shared" si="53"/>
        <v>474</v>
      </c>
      <c r="M248" s="781">
        <v>45861</v>
      </c>
      <c r="N248" s="781">
        <v>45866</v>
      </c>
      <c r="O248" s="782" t="s">
        <v>1069</v>
      </c>
      <c r="P248" s="782" t="s">
        <v>103</v>
      </c>
      <c r="Q248" s="509"/>
      <c r="R248" s="784" t="s">
        <v>870</v>
      </c>
      <c r="S248" s="784" t="s">
        <v>66</v>
      </c>
      <c r="T248" s="784" t="s">
        <v>1039</v>
      </c>
      <c r="U248" s="683" t="s">
        <v>133</v>
      </c>
      <c r="V248" s="784"/>
      <c r="W248" s="776" t="s">
        <v>134</v>
      </c>
      <c r="X248" s="781" t="s">
        <v>98</v>
      </c>
      <c r="Y248" s="785">
        <v>4.3</v>
      </c>
      <c r="Z248" s="786">
        <f t="shared" si="67"/>
        <v>8152.8</v>
      </c>
      <c r="AA248" s="509" t="s">
        <v>1082</v>
      </c>
      <c r="AB248" s="509" t="s">
        <v>93</v>
      </c>
      <c r="AC248" s="509" t="s">
        <v>76</v>
      </c>
      <c r="AD248" s="509"/>
      <c r="AE248" s="635" t="s">
        <v>69</v>
      </c>
      <c r="AF248" s="635"/>
      <c r="AG248" s="788">
        <v>1896</v>
      </c>
      <c r="AH248" s="782">
        <f t="shared" si="68"/>
        <v>0</v>
      </c>
      <c r="AI248" s="509"/>
      <c r="AJ248" s="509"/>
      <c r="AK248" s="509"/>
      <c r="AL248" s="777">
        <f t="shared" si="65"/>
        <v>1896</v>
      </c>
      <c r="AM248" s="656"/>
      <c r="AN248" s="656"/>
      <c r="AO248" s="656"/>
      <c r="AP248" s="777">
        <f t="shared" si="70"/>
        <v>1896</v>
      </c>
      <c r="AQ248" s="656"/>
      <c r="AR248" s="777">
        <f t="shared" si="64"/>
        <v>1896</v>
      </c>
      <c r="AS248" s="777"/>
      <c r="AT248" s="543">
        <f t="shared" si="71"/>
        <v>1896</v>
      </c>
      <c r="AU248" s="777"/>
      <c r="AV248" s="778"/>
      <c r="AW248" s="778"/>
      <c r="AX248" s="778"/>
      <c r="AY248" s="778"/>
      <c r="AZ248" s="778"/>
      <c r="BA248" s="778"/>
      <c r="BB248" s="778"/>
      <c r="BC248" s="778"/>
      <c r="BD248" s="777">
        <f t="shared" si="72"/>
        <v>474</v>
      </c>
      <c r="BE248" s="778"/>
      <c r="BF248" s="778"/>
      <c r="BG248" s="778"/>
      <c r="BH248" s="778"/>
      <c r="BI248" s="778"/>
      <c r="BJ248" s="778"/>
      <c r="BK248" s="778"/>
      <c r="BL248" s="778"/>
      <c r="BM248" s="778"/>
    </row>
    <row r="249" s="771" customFormat="1" ht="31" hidden="1" customHeight="1" spans="1:65">
      <c r="A249" s="775">
        <v>45799</v>
      </c>
      <c r="B249" s="776" t="s">
        <v>128</v>
      </c>
      <c r="C249" s="509" t="s">
        <v>90</v>
      </c>
      <c r="D249" s="777">
        <v>4500167609</v>
      </c>
      <c r="E249" s="886" t="s">
        <v>1083</v>
      </c>
      <c r="F249" s="778" t="s">
        <v>1084</v>
      </c>
      <c r="G249" s="779" t="s">
        <v>93</v>
      </c>
      <c r="H249" s="509" t="s">
        <v>94</v>
      </c>
      <c r="I249" s="509">
        <v>1880</v>
      </c>
      <c r="J249" s="509">
        <v>0</v>
      </c>
      <c r="K249" s="509">
        <v>4</v>
      </c>
      <c r="L249" s="780">
        <f t="shared" si="53"/>
        <v>470</v>
      </c>
      <c r="M249" s="781">
        <v>45863</v>
      </c>
      <c r="N249" s="781">
        <v>45868</v>
      </c>
      <c r="O249" s="782" t="s">
        <v>1085</v>
      </c>
      <c r="P249" s="782" t="s">
        <v>103</v>
      </c>
      <c r="Q249" s="509"/>
      <c r="R249" s="784" t="s">
        <v>870</v>
      </c>
      <c r="S249" s="784" t="s">
        <v>66</v>
      </c>
      <c r="T249" s="784" t="s">
        <v>1039</v>
      </c>
      <c r="U249" s="683" t="s">
        <v>133</v>
      </c>
      <c r="V249" s="784"/>
      <c r="W249" s="776" t="s">
        <v>134</v>
      </c>
      <c r="X249" s="781" t="s">
        <v>98</v>
      </c>
      <c r="Y249" s="785">
        <v>4.3</v>
      </c>
      <c r="Z249" s="786">
        <f t="shared" si="67"/>
        <v>8084</v>
      </c>
      <c r="AA249" s="509" t="s">
        <v>1086</v>
      </c>
      <c r="AB249" s="509" t="s">
        <v>93</v>
      </c>
      <c r="AC249" s="509" t="s">
        <v>76</v>
      </c>
      <c r="AD249" s="509"/>
      <c r="AE249" s="635" t="s">
        <v>69</v>
      </c>
      <c r="AF249" s="635"/>
      <c r="AG249" s="788">
        <f>1876+4</f>
        <v>1880</v>
      </c>
      <c r="AH249" s="782">
        <f t="shared" si="68"/>
        <v>0</v>
      </c>
      <c r="AI249" s="509"/>
      <c r="AJ249" s="509"/>
      <c r="AK249" s="509"/>
      <c r="AL249" s="777">
        <f t="shared" si="65"/>
        <v>1880</v>
      </c>
      <c r="AM249" s="656"/>
      <c r="AN249" s="656"/>
      <c r="AO249" s="656"/>
      <c r="AP249" s="777">
        <f t="shared" si="70"/>
        <v>1880</v>
      </c>
      <c r="AQ249" s="656"/>
      <c r="AR249" s="777">
        <f t="shared" si="64"/>
        <v>1880</v>
      </c>
      <c r="AS249" s="777"/>
      <c r="AT249" s="543">
        <f t="shared" si="71"/>
        <v>1880</v>
      </c>
      <c r="AU249" s="777"/>
      <c r="AV249" s="778"/>
      <c r="AW249" s="778"/>
      <c r="AX249" s="778"/>
      <c r="AY249" s="778"/>
      <c r="AZ249" s="778"/>
      <c r="BA249" s="778"/>
      <c r="BB249" s="778"/>
      <c r="BC249" s="778"/>
      <c r="BD249" s="777">
        <f t="shared" si="72"/>
        <v>470</v>
      </c>
      <c r="BE249" s="778"/>
      <c r="BF249" s="778"/>
      <c r="BG249" s="778"/>
      <c r="BH249" s="778"/>
      <c r="BI249" s="778"/>
      <c r="BJ249" s="778"/>
      <c r="BK249" s="778"/>
      <c r="BL249" s="778"/>
      <c r="BM249" s="778"/>
    </row>
    <row r="250" s="771" customFormat="1" ht="31" hidden="1" customHeight="1" spans="1:65">
      <c r="A250" s="775">
        <v>45799</v>
      </c>
      <c r="B250" s="776" t="s">
        <v>128</v>
      </c>
      <c r="C250" s="509" t="s">
        <v>90</v>
      </c>
      <c r="D250" s="777">
        <v>4500167600</v>
      </c>
      <c r="E250" s="886" t="s">
        <v>1087</v>
      </c>
      <c r="F250" s="778" t="s">
        <v>1088</v>
      </c>
      <c r="G250" s="779" t="s">
        <v>93</v>
      </c>
      <c r="H250" s="509" t="s">
        <v>94</v>
      </c>
      <c r="I250" s="509">
        <v>1880</v>
      </c>
      <c r="J250" s="509">
        <v>0</v>
      </c>
      <c r="K250" s="509">
        <v>4</v>
      </c>
      <c r="L250" s="780">
        <f t="shared" si="53"/>
        <v>470</v>
      </c>
      <c r="M250" s="781">
        <v>45852</v>
      </c>
      <c r="N250" s="781">
        <v>45852</v>
      </c>
      <c r="O250" s="782" t="s">
        <v>949</v>
      </c>
      <c r="P250" s="782" t="s">
        <v>103</v>
      </c>
      <c r="Q250" s="509"/>
      <c r="R250" s="784" t="s">
        <v>870</v>
      </c>
      <c r="S250" s="784" t="s">
        <v>66</v>
      </c>
      <c r="T250" s="784" t="s">
        <v>1039</v>
      </c>
      <c r="U250" s="683" t="s">
        <v>133</v>
      </c>
      <c r="V250" s="784"/>
      <c r="W250" s="776" t="s">
        <v>134</v>
      </c>
      <c r="X250" s="781" t="s">
        <v>98</v>
      </c>
      <c r="Y250" s="785">
        <v>2.58</v>
      </c>
      <c r="Z250" s="786">
        <f t="shared" si="67"/>
        <v>4850.4</v>
      </c>
      <c r="AA250" s="509" t="s">
        <v>1089</v>
      </c>
      <c r="AB250" s="509" t="s">
        <v>93</v>
      </c>
      <c r="AC250" s="509" t="s">
        <v>76</v>
      </c>
      <c r="AD250" s="509"/>
      <c r="AE250" s="635" t="s">
        <v>69</v>
      </c>
      <c r="AF250" s="635"/>
      <c r="AG250" s="788">
        <v>1880</v>
      </c>
      <c r="AH250" s="782">
        <f t="shared" si="68"/>
        <v>0</v>
      </c>
      <c r="AI250" s="509"/>
      <c r="AJ250" s="509"/>
      <c r="AK250" s="509"/>
      <c r="AL250" s="777">
        <f t="shared" si="65"/>
        <v>1880</v>
      </c>
      <c r="AM250" s="656"/>
      <c r="AN250" s="656"/>
      <c r="AO250" s="656"/>
      <c r="AP250" s="777">
        <f t="shared" ref="AP250:AP255" si="73">I250</f>
        <v>1880</v>
      </c>
      <c r="AQ250" s="656"/>
      <c r="AR250" s="777">
        <f t="shared" si="64"/>
        <v>1880</v>
      </c>
      <c r="AS250" s="777"/>
      <c r="AT250" s="543">
        <f t="shared" si="71"/>
        <v>1880</v>
      </c>
      <c r="AU250" s="777"/>
      <c r="AV250" s="778"/>
      <c r="AW250" s="778"/>
      <c r="AX250" s="778"/>
      <c r="AY250" s="778"/>
      <c r="AZ250" s="778"/>
      <c r="BA250" s="778"/>
      <c r="BB250" s="778"/>
      <c r="BC250" s="778"/>
      <c r="BD250" s="777">
        <f t="shared" si="72"/>
        <v>470</v>
      </c>
      <c r="BE250" s="778"/>
      <c r="BF250" s="778"/>
      <c r="BG250" s="778"/>
      <c r="BH250" s="778"/>
      <c r="BI250" s="778"/>
      <c r="BJ250" s="778"/>
      <c r="BK250" s="778"/>
      <c r="BL250" s="778"/>
      <c r="BM250" s="778"/>
    </row>
    <row r="251" s="771" customFormat="1" ht="31" hidden="1" customHeight="1" spans="1:65">
      <c r="A251" s="775">
        <v>45799</v>
      </c>
      <c r="B251" s="776" t="s">
        <v>128</v>
      </c>
      <c r="C251" s="509" t="s">
        <v>90</v>
      </c>
      <c r="D251" s="777">
        <v>4500167600</v>
      </c>
      <c r="E251" s="886" t="s">
        <v>1090</v>
      </c>
      <c r="F251" s="778" t="s">
        <v>1091</v>
      </c>
      <c r="G251" s="779" t="s">
        <v>93</v>
      </c>
      <c r="H251" s="509" t="s">
        <v>94</v>
      </c>
      <c r="I251" s="509">
        <v>1872</v>
      </c>
      <c r="J251" s="509">
        <v>0</v>
      </c>
      <c r="K251" s="509">
        <v>4</v>
      </c>
      <c r="L251" s="780">
        <f t="shared" si="53"/>
        <v>468</v>
      </c>
      <c r="M251" s="781">
        <v>45852</v>
      </c>
      <c r="N251" s="781">
        <v>45852</v>
      </c>
      <c r="O251" s="782" t="s">
        <v>949</v>
      </c>
      <c r="P251" s="782" t="s">
        <v>103</v>
      </c>
      <c r="Q251" s="509"/>
      <c r="R251" s="784" t="s">
        <v>870</v>
      </c>
      <c r="S251" s="784" t="s">
        <v>66</v>
      </c>
      <c r="T251" s="784" t="s">
        <v>1039</v>
      </c>
      <c r="U251" s="683" t="s">
        <v>133</v>
      </c>
      <c r="V251" s="784"/>
      <c r="W251" s="776" t="s">
        <v>134</v>
      </c>
      <c r="X251" s="781" t="s">
        <v>98</v>
      </c>
      <c r="Y251" s="785">
        <v>2.58</v>
      </c>
      <c r="Z251" s="786">
        <f t="shared" si="67"/>
        <v>4829.76</v>
      </c>
      <c r="AA251" s="509" t="s">
        <v>1092</v>
      </c>
      <c r="AB251" s="509" t="s">
        <v>93</v>
      </c>
      <c r="AC251" s="509" t="s">
        <v>76</v>
      </c>
      <c r="AD251" s="509"/>
      <c r="AE251" s="635" t="s">
        <v>69</v>
      </c>
      <c r="AF251" s="635"/>
      <c r="AG251" s="788">
        <v>1872</v>
      </c>
      <c r="AH251" s="782">
        <f t="shared" si="68"/>
        <v>0</v>
      </c>
      <c r="AI251" s="509"/>
      <c r="AJ251" s="509"/>
      <c r="AK251" s="509"/>
      <c r="AL251" s="777">
        <f t="shared" si="65"/>
        <v>1872</v>
      </c>
      <c r="AM251" s="656"/>
      <c r="AN251" s="656"/>
      <c r="AO251" s="656"/>
      <c r="AP251" s="777">
        <f t="shared" si="73"/>
        <v>1872</v>
      </c>
      <c r="AQ251" s="656"/>
      <c r="AR251" s="777">
        <f t="shared" si="64"/>
        <v>1872</v>
      </c>
      <c r="AS251" s="777"/>
      <c r="AT251" s="543">
        <f t="shared" si="71"/>
        <v>1872</v>
      </c>
      <c r="AU251" s="777"/>
      <c r="AV251" s="778"/>
      <c r="AW251" s="778"/>
      <c r="AX251" s="778"/>
      <c r="AY251" s="778"/>
      <c r="AZ251" s="778"/>
      <c r="BA251" s="778"/>
      <c r="BB251" s="778"/>
      <c r="BC251" s="778"/>
      <c r="BD251" s="777">
        <f t="shared" si="72"/>
        <v>468</v>
      </c>
      <c r="BE251" s="778"/>
      <c r="BF251" s="778"/>
      <c r="BG251" s="778"/>
      <c r="BH251" s="778"/>
      <c r="BI251" s="778"/>
      <c r="BJ251" s="778"/>
      <c r="BK251" s="778"/>
      <c r="BL251" s="778"/>
      <c r="BM251" s="778"/>
    </row>
    <row r="252" s="771" customFormat="1" ht="31" hidden="1" customHeight="1" spans="1:65">
      <c r="A252" s="775">
        <v>45806</v>
      </c>
      <c r="B252" s="776" t="s">
        <v>128</v>
      </c>
      <c r="C252" s="509" t="s">
        <v>90</v>
      </c>
      <c r="D252" s="777">
        <v>4500168363</v>
      </c>
      <c r="E252" s="886" t="s">
        <v>1093</v>
      </c>
      <c r="F252" s="778" t="s">
        <v>1094</v>
      </c>
      <c r="G252" s="779" t="s">
        <v>93</v>
      </c>
      <c r="H252" s="509" t="s">
        <v>94</v>
      </c>
      <c r="I252" s="509">
        <v>1856</v>
      </c>
      <c r="J252" s="509">
        <v>0</v>
      </c>
      <c r="K252" s="509">
        <v>4</v>
      </c>
      <c r="L252" s="780">
        <f t="shared" si="53"/>
        <v>464</v>
      </c>
      <c r="M252" s="781">
        <v>45847</v>
      </c>
      <c r="N252" s="781">
        <v>45852</v>
      </c>
      <c r="O252" s="782" t="s">
        <v>949</v>
      </c>
      <c r="P252" s="782" t="s">
        <v>103</v>
      </c>
      <c r="Q252" s="509"/>
      <c r="R252" s="784" t="s">
        <v>132</v>
      </c>
      <c r="S252" s="784" t="s">
        <v>66</v>
      </c>
      <c r="T252" s="784" t="s">
        <v>133</v>
      </c>
      <c r="U252" s="683" t="s">
        <v>133</v>
      </c>
      <c r="V252" s="784"/>
      <c r="W252" s="776" t="s">
        <v>901</v>
      </c>
      <c r="X252" s="781" t="s">
        <v>98</v>
      </c>
      <c r="Y252" s="785">
        <v>2.58</v>
      </c>
      <c r="Z252" s="786">
        <f t="shared" si="67"/>
        <v>4788.48</v>
      </c>
      <c r="AA252" s="509" t="s">
        <v>1095</v>
      </c>
      <c r="AB252" s="509" t="s">
        <v>93</v>
      </c>
      <c r="AC252" s="509" t="s">
        <v>76</v>
      </c>
      <c r="AD252" s="509"/>
      <c r="AE252" s="635" t="s">
        <v>69</v>
      </c>
      <c r="AF252" s="635"/>
      <c r="AG252" s="788">
        <f>1400+456</f>
        <v>1856</v>
      </c>
      <c r="AH252" s="782">
        <f t="shared" si="68"/>
        <v>0</v>
      </c>
      <c r="AI252" s="509"/>
      <c r="AJ252" s="509"/>
      <c r="AK252" s="509"/>
      <c r="AL252" s="777">
        <f t="shared" si="65"/>
        <v>1856</v>
      </c>
      <c r="AM252" s="656"/>
      <c r="AN252" s="656"/>
      <c r="AO252" s="656"/>
      <c r="AP252" s="777">
        <f t="shared" si="73"/>
        <v>1856</v>
      </c>
      <c r="AQ252" s="656"/>
      <c r="AR252" s="777">
        <f t="shared" si="64"/>
        <v>1856</v>
      </c>
      <c r="AS252" s="777"/>
      <c r="AT252" s="777">
        <f t="shared" si="71"/>
        <v>1856</v>
      </c>
      <c r="AU252" s="777"/>
      <c r="AV252" s="778"/>
      <c r="AW252" s="778"/>
      <c r="AX252" s="778"/>
      <c r="AY252" s="778"/>
      <c r="AZ252" s="778"/>
      <c r="BA252" s="778"/>
      <c r="BB252" s="778"/>
      <c r="BC252" s="778"/>
      <c r="BD252" s="777">
        <f t="shared" si="72"/>
        <v>464</v>
      </c>
      <c r="BE252" s="778"/>
      <c r="BF252" s="778"/>
      <c r="BG252" s="778"/>
      <c r="BH252" s="778"/>
      <c r="BI252" s="778"/>
      <c r="BJ252" s="778"/>
      <c r="BK252" s="778"/>
      <c r="BL252" s="778"/>
      <c r="BM252" s="778"/>
    </row>
    <row r="253" s="771" customFormat="1" ht="31" hidden="1" customHeight="1" spans="1:65">
      <c r="A253" s="775">
        <v>45806</v>
      </c>
      <c r="B253" s="776" t="s">
        <v>128</v>
      </c>
      <c r="C253" s="509" t="s">
        <v>90</v>
      </c>
      <c r="D253" s="777">
        <v>4500168363</v>
      </c>
      <c r="E253" s="886" t="s">
        <v>1096</v>
      </c>
      <c r="F253" s="778" t="s">
        <v>1097</v>
      </c>
      <c r="G253" s="779" t="s">
        <v>93</v>
      </c>
      <c r="H253" s="509" t="s">
        <v>94</v>
      </c>
      <c r="I253" s="509">
        <v>2232</v>
      </c>
      <c r="J253" s="509">
        <v>0</v>
      </c>
      <c r="K253" s="509">
        <v>4</v>
      </c>
      <c r="L253" s="780">
        <f t="shared" si="53"/>
        <v>558</v>
      </c>
      <c r="M253" s="781">
        <v>45847</v>
      </c>
      <c r="N253" s="781">
        <v>45852</v>
      </c>
      <c r="O253" s="782" t="s">
        <v>949</v>
      </c>
      <c r="P253" s="782" t="s">
        <v>103</v>
      </c>
      <c r="Q253" s="509"/>
      <c r="R253" s="784" t="s">
        <v>132</v>
      </c>
      <c r="S253" s="784" t="s">
        <v>66</v>
      </c>
      <c r="T253" s="784" t="s">
        <v>133</v>
      </c>
      <c r="U253" s="683" t="s">
        <v>133</v>
      </c>
      <c r="V253" s="784"/>
      <c r="W253" s="776" t="s">
        <v>901</v>
      </c>
      <c r="X253" s="781" t="s">
        <v>98</v>
      </c>
      <c r="Y253" s="785">
        <v>2.58</v>
      </c>
      <c r="Z253" s="786">
        <f t="shared" si="67"/>
        <v>5758.56</v>
      </c>
      <c r="AA253" s="509" t="s">
        <v>1098</v>
      </c>
      <c r="AB253" s="509" t="s">
        <v>93</v>
      </c>
      <c r="AC253" s="509" t="s">
        <v>76</v>
      </c>
      <c r="AD253" s="509"/>
      <c r="AE253" s="635" t="s">
        <v>69</v>
      </c>
      <c r="AF253" s="635"/>
      <c r="AG253" s="788">
        <f>4+2228</f>
        <v>2232</v>
      </c>
      <c r="AH253" s="782">
        <f t="shared" si="68"/>
        <v>0</v>
      </c>
      <c r="AI253" s="509"/>
      <c r="AJ253" s="509"/>
      <c r="AK253" s="509"/>
      <c r="AL253" s="777">
        <f t="shared" si="65"/>
        <v>2232</v>
      </c>
      <c r="AM253" s="656"/>
      <c r="AN253" s="656"/>
      <c r="AO253" s="656"/>
      <c r="AP253" s="777">
        <f t="shared" si="73"/>
        <v>2232</v>
      </c>
      <c r="AQ253" s="656"/>
      <c r="AR253" s="777">
        <f t="shared" si="64"/>
        <v>2232</v>
      </c>
      <c r="AS253" s="777"/>
      <c r="AT253" s="777">
        <f t="shared" si="71"/>
        <v>2232</v>
      </c>
      <c r="AU253" s="777"/>
      <c r="AV253" s="778"/>
      <c r="AW253" s="778"/>
      <c r="AX253" s="778"/>
      <c r="AY253" s="778"/>
      <c r="AZ253" s="778"/>
      <c r="BA253" s="778"/>
      <c r="BB253" s="778"/>
      <c r="BC253" s="778"/>
      <c r="BD253" s="777">
        <f t="shared" si="72"/>
        <v>558</v>
      </c>
      <c r="BE253" s="778"/>
      <c r="BF253" s="778"/>
      <c r="BG253" s="778"/>
      <c r="BH253" s="778"/>
      <c r="BI253" s="778"/>
      <c r="BJ253" s="778"/>
      <c r="BK253" s="778"/>
      <c r="BL253" s="778"/>
      <c r="BM253" s="778"/>
    </row>
    <row r="254" s="771" customFormat="1" ht="31" hidden="1" customHeight="1" spans="1:65">
      <c r="A254" s="775">
        <v>45799</v>
      </c>
      <c r="B254" s="776" t="s">
        <v>128</v>
      </c>
      <c r="C254" s="509" t="s">
        <v>90</v>
      </c>
      <c r="D254" s="777">
        <v>4500167596</v>
      </c>
      <c r="E254" s="886" t="s">
        <v>1099</v>
      </c>
      <c r="F254" s="778" t="s">
        <v>1100</v>
      </c>
      <c r="G254" s="779" t="s">
        <v>93</v>
      </c>
      <c r="H254" s="509" t="s">
        <v>94</v>
      </c>
      <c r="I254" s="509">
        <v>1568</v>
      </c>
      <c r="J254" s="509">
        <v>0</v>
      </c>
      <c r="K254" s="509">
        <v>4</v>
      </c>
      <c r="L254" s="780">
        <f t="shared" si="53"/>
        <v>392</v>
      </c>
      <c r="M254" s="781">
        <v>45848</v>
      </c>
      <c r="N254" s="781">
        <v>45853</v>
      </c>
      <c r="O254" s="782" t="s">
        <v>1043</v>
      </c>
      <c r="P254" s="782" t="s">
        <v>103</v>
      </c>
      <c r="Q254" s="509"/>
      <c r="R254" s="784" t="s">
        <v>870</v>
      </c>
      <c r="S254" s="784" t="s">
        <v>66</v>
      </c>
      <c r="T254" s="784">
        <v>45826</v>
      </c>
      <c r="U254" s="683" t="s">
        <v>133</v>
      </c>
      <c r="V254" s="784"/>
      <c r="W254" s="776" t="s">
        <v>134</v>
      </c>
      <c r="X254" s="781" t="s">
        <v>98</v>
      </c>
      <c r="Y254" s="785">
        <v>2.58</v>
      </c>
      <c r="Z254" s="786">
        <f t="shared" si="67"/>
        <v>4045.44</v>
      </c>
      <c r="AA254" s="509" t="s">
        <v>1101</v>
      </c>
      <c r="AB254" s="509" t="s">
        <v>93</v>
      </c>
      <c r="AC254" s="509" t="s">
        <v>76</v>
      </c>
      <c r="AD254" s="509"/>
      <c r="AE254" s="635" t="s">
        <v>69</v>
      </c>
      <c r="AF254" s="635"/>
      <c r="AG254" s="788">
        <f>1564+4</f>
        <v>1568</v>
      </c>
      <c r="AH254" s="782">
        <f t="shared" si="68"/>
        <v>0</v>
      </c>
      <c r="AI254" s="509"/>
      <c r="AJ254" s="509"/>
      <c r="AK254" s="509"/>
      <c r="AL254" s="777">
        <f t="shared" si="65"/>
        <v>1568</v>
      </c>
      <c r="AM254" s="656"/>
      <c r="AN254" s="656"/>
      <c r="AO254" s="656"/>
      <c r="AP254" s="777">
        <f t="shared" si="73"/>
        <v>1568</v>
      </c>
      <c r="AQ254" s="656"/>
      <c r="AR254" s="777">
        <f t="shared" si="64"/>
        <v>1568</v>
      </c>
      <c r="AS254" s="777"/>
      <c r="AT254" s="543">
        <f t="shared" si="71"/>
        <v>1568</v>
      </c>
      <c r="AU254" s="777"/>
      <c r="AV254" s="778"/>
      <c r="AW254" s="778"/>
      <c r="AX254" s="778"/>
      <c r="AY254" s="778"/>
      <c r="AZ254" s="778"/>
      <c r="BA254" s="778"/>
      <c r="BB254" s="778"/>
      <c r="BC254" s="778"/>
      <c r="BD254" s="777">
        <f t="shared" si="72"/>
        <v>392</v>
      </c>
      <c r="BE254" s="778"/>
      <c r="BF254" s="778"/>
      <c r="BG254" s="778"/>
      <c r="BH254" s="778"/>
      <c r="BI254" s="778"/>
      <c r="BJ254" s="778"/>
      <c r="BK254" s="778"/>
      <c r="BL254" s="778"/>
      <c r="BM254" s="778"/>
    </row>
    <row r="255" s="771" customFormat="1" ht="31" hidden="1" customHeight="1" spans="1:65">
      <c r="A255" s="775">
        <v>45799</v>
      </c>
      <c r="B255" s="776" t="s">
        <v>128</v>
      </c>
      <c r="C255" s="509" t="s">
        <v>90</v>
      </c>
      <c r="D255" s="777">
        <v>4500167596</v>
      </c>
      <c r="E255" s="886" t="s">
        <v>1102</v>
      </c>
      <c r="F255" s="778" t="s">
        <v>1103</v>
      </c>
      <c r="G255" s="779" t="s">
        <v>93</v>
      </c>
      <c r="H255" s="509" t="s">
        <v>94</v>
      </c>
      <c r="I255" s="509">
        <v>2016</v>
      </c>
      <c r="J255" s="509">
        <v>0</v>
      </c>
      <c r="K255" s="509">
        <v>4</v>
      </c>
      <c r="L255" s="780">
        <f t="shared" si="53"/>
        <v>504</v>
      </c>
      <c r="M255" s="781">
        <v>45848</v>
      </c>
      <c r="N255" s="781">
        <v>45853</v>
      </c>
      <c r="O255" s="782" t="s">
        <v>1043</v>
      </c>
      <c r="P255" s="782" t="s">
        <v>103</v>
      </c>
      <c r="Q255" s="509"/>
      <c r="R255" s="784" t="s">
        <v>870</v>
      </c>
      <c r="S255" s="784" t="s">
        <v>66</v>
      </c>
      <c r="T255" s="784">
        <v>45826</v>
      </c>
      <c r="U255" s="683" t="s">
        <v>133</v>
      </c>
      <c r="V255" s="784"/>
      <c r="W255" s="776" t="s">
        <v>134</v>
      </c>
      <c r="X255" s="781" t="s">
        <v>98</v>
      </c>
      <c r="Y255" s="785">
        <v>2.58</v>
      </c>
      <c r="Z255" s="786">
        <f t="shared" si="67"/>
        <v>5201.28</v>
      </c>
      <c r="AA255" s="509" t="s">
        <v>1104</v>
      </c>
      <c r="AB255" s="509" t="s">
        <v>93</v>
      </c>
      <c r="AC255" s="509" t="s">
        <v>76</v>
      </c>
      <c r="AD255" s="509"/>
      <c r="AE255" s="635" t="s">
        <v>69</v>
      </c>
      <c r="AF255" s="635"/>
      <c r="AG255" s="788">
        <v>2016</v>
      </c>
      <c r="AH255" s="782">
        <f t="shared" si="68"/>
        <v>0</v>
      </c>
      <c r="AI255" s="509"/>
      <c r="AJ255" s="509"/>
      <c r="AK255" s="509"/>
      <c r="AL255" s="777">
        <f t="shared" si="65"/>
        <v>2016</v>
      </c>
      <c r="AM255" s="656"/>
      <c r="AN255" s="656"/>
      <c r="AO255" s="656"/>
      <c r="AP255" s="777">
        <f t="shared" si="73"/>
        <v>2016</v>
      </c>
      <c r="AQ255" s="656"/>
      <c r="AR255" s="777">
        <f t="shared" si="64"/>
        <v>2016</v>
      </c>
      <c r="AS255" s="777"/>
      <c r="AT255" s="543">
        <f t="shared" si="71"/>
        <v>2016</v>
      </c>
      <c r="AU255" s="777"/>
      <c r="AV255" s="778"/>
      <c r="AW255" s="778"/>
      <c r="AX255" s="778"/>
      <c r="AY255" s="778"/>
      <c r="AZ255" s="778"/>
      <c r="BA255" s="778"/>
      <c r="BB255" s="778"/>
      <c r="BC255" s="778"/>
      <c r="BD255" s="777">
        <f t="shared" si="72"/>
        <v>504</v>
      </c>
      <c r="BE255" s="778"/>
      <c r="BF255" s="778"/>
      <c r="BG255" s="778"/>
      <c r="BH255" s="778"/>
      <c r="BI255" s="778"/>
      <c r="BJ255" s="778"/>
      <c r="BK255" s="778"/>
      <c r="BL255" s="778"/>
      <c r="BM255" s="778"/>
    </row>
    <row r="256" s="771" customFormat="1" ht="31" hidden="1" customHeight="1" spans="1:65">
      <c r="A256" s="775">
        <v>45803</v>
      </c>
      <c r="B256" s="776" t="s">
        <v>1105</v>
      </c>
      <c r="C256" s="509" t="s">
        <v>468</v>
      </c>
      <c r="D256" s="777">
        <v>4500167907</v>
      </c>
      <c r="E256" s="509">
        <v>129631875</v>
      </c>
      <c r="F256" s="778" t="s">
        <v>1106</v>
      </c>
      <c r="G256" s="779" t="s">
        <v>64</v>
      </c>
      <c r="H256" s="509" t="s">
        <v>65</v>
      </c>
      <c r="I256" s="509">
        <v>852</v>
      </c>
      <c r="J256" s="509">
        <v>0</v>
      </c>
      <c r="K256" s="509">
        <v>12</v>
      </c>
      <c r="L256" s="780">
        <f t="shared" si="53"/>
        <v>71</v>
      </c>
      <c r="M256" s="781">
        <v>45856</v>
      </c>
      <c r="N256" s="781" t="e">
        <f>#REF!-2</f>
        <v>#REF!</v>
      </c>
      <c r="O256" s="782"/>
      <c r="P256" s="782" t="s">
        <v>103</v>
      </c>
      <c r="Q256" s="509"/>
      <c r="R256" s="784">
        <v>45827</v>
      </c>
      <c r="S256" s="784" t="s">
        <v>66</v>
      </c>
      <c r="T256" s="784">
        <v>45833</v>
      </c>
      <c r="U256" s="784"/>
      <c r="V256" s="784"/>
      <c r="W256" s="776" t="s">
        <v>1107</v>
      </c>
      <c r="X256" s="781" t="s">
        <v>304</v>
      </c>
      <c r="Y256" s="785">
        <v>4.1456</v>
      </c>
      <c r="Z256" s="786">
        <f t="shared" si="67"/>
        <v>3532.0512</v>
      </c>
      <c r="AA256" s="458" t="s">
        <v>1108</v>
      </c>
      <c r="AB256" s="509" t="s">
        <v>165</v>
      </c>
      <c r="AC256" s="509" t="s">
        <v>76</v>
      </c>
      <c r="AD256" s="509"/>
      <c r="AE256" s="635" t="s">
        <v>69</v>
      </c>
      <c r="AF256" s="635"/>
      <c r="AG256" s="788">
        <f>852+12</f>
        <v>864</v>
      </c>
      <c r="AH256" s="782">
        <f t="shared" si="68"/>
        <v>12</v>
      </c>
      <c r="AI256" s="509"/>
      <c r="AJ256" s="509"/>
      <c r="AK256" s="509"/>
      <c r="AL256" s="777">
        <f t="shared" si="65"/>
        <v>852</v>
      </c>
      <c r="AM256" s="656"/>
      <c r="AN256" s="656"/>
      <c r="AO256" s="656"/>
      <c r="AP256" s="777"/>
      <c r="AQ256" s="656">
        <f>I256</f>
        <v>852</v>
      </c>
      <c r="AR256" s="777">
        <f t="shared" si="64"/>
        <v>852</v>
      </c>
      <c r="AS256" s="777"/>
      <c r="AT256" s="777">
        <f t="shared" si="71"/>
        <v>852</v>
      </c>
      <c r="AU256" s="777"/>
      <c r="AV256" s="778"/>
      <c r="AW256" s="778"/>
      <c r="AX256" s="778"/>
      <c r="AY256" s="778"/>
      <c r="AZ256" s="778"/>
      <c r="BA256" s="778"/>
      <c r="BB256" s="778"/>
      <c r="BC256" s="778"/>
      <c r="BD256" s="778"/>
      <c r="BE256" s="778"/>
      <c r="BF256" s="778"/>
      <c r="BG256" s="778"/>
      <c r="BH256" s="778"/>
      <c r="BI256" s="778"/>
      <c r="BJ256" s="778"/>
      <c r="BK256" s="778"/>
      <c r="BL256" s="778"/>
      <c r="BM256" s="778"/>
    </row>
    <row r="257" s="771" customFormat="1" ht="31" hidden="1" customHeight="1" spans="1:65">
      <c r="A257" s="775">
        <v>45771</v>
      </c>
      <c r="B257" s="776" t="s">
        <v>817</v>
      </c>
      <c r="C257" s="509" t="s">
        <v>153</v>
      </c>
      <c r="D257" s="777">
        <v>4500161405</v>
      </c>
      <c r="E257" s="886" t="s">
        <v>1109</v>
      </c>
      <c r="F257" s="778" t="s">
        <v>1110</v>
      </c>
      <c r="G257" s="779" t="s">
        <v>819</v>
      </c>
      <c r="H257" s="509" t="s">
        <v>744</v>
      </c>
      <c r="I257" s="509">
        <v>72</v>
      </c>
      <c r="J257" s="509">
        <v>0</v>
      </c>
      <c r="K257" s="509">
        <v>1</v>
      </c>
      <c r="L257" s="780">
        <f t="shared" si="53"/>
        <v>72</v>
      </c>
      <c r="M257" s="781">
        <v>45854</v>
      </c>
      <c r="N257" s="781">
        <v>45852</v>
      </c>
      <c r="O257" s="782"/>
      <c r="P257" s="782" t="s">
        <v>103</v>
      </c>
      <c r="Q257" s="509"/>
      <c r="R257" s="784">
        <v>45790</v>
      </c>
      <c r="S257" s="784" t="s">
        <v>66</v>
      </c>
      <c r="T257" s="784" t="s">
        <v>66</v>
      </c>
      <c r="U257" s="784"/>
      <c r="V257" s="784"/>
      <c r="W257" s="776" t="s">
        <v>820</v>
      </c>
      <c r="X257" s="781" t="s">
        <v>821</v>
      </c>
      <c r="Y257" s="785">
        <v>0</v>
      </c>
      <c r="Z257" s="786">
        <v>0</v>
      </c>
      <c r="AA257" s="458" t="s">
        <v>1111</v>
      </c>
      <c r="AB257" s="509" t="s">
        <v>819</v>
      </c>
      <c r="AC257" s="509" t="s">
        <v>76</v>
      </c>
      <c r="AD257" s="509"/>
      <c r="AE257" s="635"/>
      <c r="AF257" s="635"/>
      <c r="AG257" s="788">
        <f>1500+600+900+2400</f>
        <v>5400</v>
      </c>
      <c r="AH257" s="782">
        <f>AG257-I258</f>
        <v>0</v>
      </c>
      <c r="AI257" s="509"/>
      <c r="AJ257" s="509"/>
      <c r="AK257" s="509"/>
      <c r="AL257" s="777"/>
      <c r="AM257" s="656"/>
      <c r="AN257" s="656"/>
      <c r="AO257" s="656"/>
      <c r="AP257" s="777"/>
      <c r="AQ257" s="656"/>
      <c r="AR257" s="777"/>
      <c r="AS257" s="777"/>
      <c r="AT257" s="777"/>
      <c r="AU257" s="777"/>
      <c r="AV257" s="778"/>
      <c r="AW257" s="778"/>
      <c r="AX257" s="778"/>
      <c r="AY257" s="778"/>
      <c r="AZ257" s="778"/>
      <c r="BA257" s="778"/>
      <c r="BB257" s="778"/>
      <c r="BC257" s="778"/>
      <c r="BD257" s="778"/>
      <c r="BE257" s="778"/>
      <c r="BF257" s="778"/>
      <c r="BG257" s="778"/>
      <c r="BH257" s="778"/>
      <c r="BI257" s="778"/>
      <c r="BJ257" s="778"/>
      <c r="BK257" s="778"/>
      <c r="BL257" s="778"/>
      <c r="BM257" s="778"/>
    </row>
    <row r="258" s="771" customFormat="1" ht="31" hidden="1" customHeight="1" spans="1:65">
      <c r="A258" s="775">
        <v>45771</v>
      </c>
      <c r="B258" s="776" t="s">
        <v>817</v>
      </c>
      <c r="C258" s="509" t="s">
        <v>153</v>
      </c>
      <c r="D258" s="777">
        <v>4500161405</v>
      </c>
      <c r="E258" s="886" t="s">
        <v>1109</v>
      </c>
      <c r="F258" s="778" t="s">
        <v>1110</v>
      </c>
      <c r="G258" s="779" t="s">
        <v>460</v>
      </c>
      <c r="H258" s="509" t="s">
        <v>65</v>
      </c>
      <c r="I258" s="509">
        <v>5400</v>
      </c>
      <c r="J258" s="509">
        <v>0</v>
      </c>
      <c r="K258" s="509">
        <v>75</v>
      </c>
      <c r="L258" s="780">
        <f t="shared" si="53"/>
        <v>72</v>
      </c>
      <c r="M258" s="781">
        <v>45854</v>
      </c>
      <c r="N258" s="781">
        <v>45852</v>
      </c>
      <c r="O258" s="782"/>
      <c r="P258" s="782" t="s">
        <v>103</v>
      </c>
      <c r="Q258" s="509"/>
      <c r="R258" s="784">
        <v>45790</v>
      </c>
      <c r="S258" s="784" t="s">
        <v>66</v>
      </c>
      <c r="T258" s="784" t="s">
        <v>66</v>
      </c>
      <c r="U258" s="784"/>
      <c r="V258" s="784"/>
      <c r="W258" s="776" t="s">
        <v>820</v>
      </c>
      <c r="X258" s="781" t="s">
        <v>821</v>
      </c>
      <c r="Y258" s="785">
        <v>762.5</v>
      </c>
      <c r="Z258" s="786">
        <f>Y258*L258</f>
        <v>54900</v>
      </c>
      <c r="AA258" s="509"/>
      <c r="AB258" s="509" t="s">
        <v>819</v>
      </c>
      <c r="AC258" s="509" t="s">
        <v>76</v>
      </c>
      <c r="AD258" s="509"/>
      <c r="AE258" s="635"/>
      <c r="AF258" s="635"/>
      <c r="AG258" s="788">
        <v>0</v>
      </c>
      <c r="AH258" s="782">
        <v>0</v>
      </c>
      <c r="AI258" s="509"/>
      <c r="AJ258" s="509"/>
      <c r="AK258" s="509"/>
      <c r="AL258" s="777"/>
      <c r="AM258" s="656">
        <f>I258</f>
        <v>5400</v>
      </c>
      <c r="AN258" s="656"/>
      <c r="AO258" s="656"/>
      <c r="AP258" s="777"/>
      <c r="AQ258" s="656"/>
      <c r="AR258" s="777"/>
      <c r="AS258" s="777"/>
      <c r="AT258" s="777"/>
      <c r="AU258" s="777"/>
      <c r="AV258" s="778"/>
      <c r="AW258" s="778">
        <f>I258</f>
        <v>5400</v>
      </c>
      <c r="AX258" s="778">
        <f>I258</f>
        <v>5400</v>
      </c>
      <c r="AY258" s="778">
        <f>I258</f>
        <v>5400</v>
      </c>
      <c r="AZ258" s="778"/>
      <c r="BA258" s="778"/>
      <c r="BB258" s="778"/>
      <c r="BC258" s="778"/>
      <c r="BD258" s="778"/>
      <c r="BE258" s="778"/>
      <c r="BF258" s="778"/>
      <c r="BG258" s="778">
        <f>I258</f>
        <v>5400</v>
      </c>
      <c r="BH258" s="778">
        <f>I258/5</f>
        <v>1080</v>
      </c>
      <c r="BI258" s="778"/>
      <c r="BJ258" s="778"/>
      <c r="BK258" s="778"/>
      <c r="BL258" s="778"/>
      <c r="BM258" s="778"/>
    </row>
    <row r="259" s="771" customFormat="1" ht="31" hidden="1" customHeight="1" spans="1:65">
      <c r="A259" s="775">
        <v>45805</v>
      </c>
      <c r="B259" s="776" t="s">
        <v>220</v>
      </c>
      <c r="C259" s="509" t="s">
        <v>90</v>
      </c>
      <c r="D259" s="777">
        <v>4500168202</v>
      </c>
      <c r="E259" s="509" t="s">
        <v>1112</v>
      </c>
      <c r="F259" s="778" t="s">
        <v>1113</v>
      </c>
      <c r="G259" s="779" t="s">
        <v>223</v>
      </c>
      <c r="H259" s="509" t="s">
        <v>224</v>
      </c>
      <c r="I259" s="509">
        <v>2508</v>
      </c>
      <c r="J259" s="509">
        <v>0</v>
      </c>
      <c r="K259" s="509">
        <v>4</v>
      </c>
      <c r="L259" s="780">
        <f t="shared" si="53"/>
        <v>627</v>
      </c>
      <c r="M259" s="781">
        <v>45860</v>
      </c>
      <c r="N259" s="781">
        <v>45858</v>
      </c>
      <c r="O259" s="782"/>
      <c r="P259" s="782" t="s">
        <v>103</v>
      </c>
      <c r="Q259" s="509"/>
      <c r="R259" s="784">
        <v>45817</v>
      </c>
      <c r="S259" s="784" t="s">
        <v>96</v>
      </c>
      <c r="T259" s="784" t="s">
        <v>1114</v>
      </c>
      <c r="U259" s="784"/>
      <c r="V259" s="784"/>
      <c r="W259" s="776" t="s">
        <v>1115</v>
      </c>
      <c r="X259" s="781" t="s">
        <v>226</v>
      </c>
      <c r="Y259" s="785">
        <v>3.318</v>
      </c>
      <c r="Z259" s="786">
        <f t="shared" ref="Z259:Z276" si="74">Y259*I259</f>
        <v>8321.544</v>
      </c>
      <c r="AA259" s="509" t="s">
        <v>1116</v>
      </c>
      <c r="AB259" s="509" t="s">
        <v>223</v>
      </c>
      <c r="AC259" s="509" t="s">
        <v>76</v>
      </c>
      <c r="AD259" s="509"/>
      <c r="AE259" s="635" t="s">
        <v>69</v>
      </c>
      <c r="AF259" s="635"/>
      <c r="AG259" s="788">
        <v>2508</v>
      </c>
      <c r="AH259" s="782">
        <f>AG259-I259</f>
        <v>0</v>
      </c>
      <c r="AI259" s="509"/>
      <c r="AJ259" s="509"/>
      <c r="AK259" s="509"/>
      <c r="AL259" s="777"/>
      <c r="AM259" s="656"/>
      <c r="AN259" s="656">
        <f>I259</f>
        <v>2508</v>
      </c>
      <c r="AO259" s="656"/>
      <c r="AP259" s="777"/>
      <c r="AQ259" s="656"/>
      <c r="AR259" s="777"/>
      <c r="AS259" s="777"/>
      <c r="AT259" s="777">
        <f>I259</f>
        <v>2508</v>
      </c>
      <c r="AU259" s="777"/>
      <c r="AV259" s="778"/>
      <c r="AW259" s="778"/>
      <c r="AX259" s="778"/>
      <c r="AY259" s="778"/>
      <c r="AZ259" s="778"/>
      <c r="BA259" s="778"/>
      <c r="BB259" s="778">
        <f>I259</f>
        <v>2508</v>
      </c>
      <c r="BC259" s="778">
        <f>I259</f>
        <v>2508</v>
      </c>
      <c r="BD259" s="777">
        <f>I259/4</f>
        <v>627</v>
      </c>
      <c r="BE259" s="778"/>
      <c r="BF259" s="778"/>
      <c r="BG259" s="778"/>
      <c r="BH259" s="778"/>
      <c r="BI259" s="778"/>
      <c r="BJ259" s="778"/>
      <c r="BK259" s="778"/>
      <c r="BL259" s="778"/>
      <c r="BM259" s="778"/>
    </row>
    <row r="260" s="771" customFormat="1" ht="31" hidden="1" customHeight="1" spans="1:65">
      <c r="A260" s="775">
        <v>45799</v>
      </c>
      <c r="B260" s="776" t="s">
        <v>1117</v>
      </c>
      <c r="C260" s="509" t="s">
        <v>468</v>
      </c>
      <c r="D260" s="777">
        <v>4500167249</v>
      </c>
      <c r="E260" s="509">
        <v>5040017</v>
      </c>
      <c r="F260" s="778" t="s">
        <v>1118</v>
      </c>
      <c r="G260" s="779" t="s">
        <v>64</v>
      </c>
      <c r="H260" s="509" t="s">
        <v>65</v>
      </c>
      <c r="I260" s="509">
        <v>1800</v>
      </c>
      <c r="J260" s="509">
        <v>0</v>
      </c>
      <c r="K260" s="509">
        <v>12</v>
      </c>
      <c r="L260" s="780">
        <f t="shared" si="53"/>
        <v>150</v>
      </c>
      <c r="M260" s="781">
        <v>45859</v>
      </c>
      <c r="N260" s="781">
        <v>45859</v>
      </c>
      <c r="O260" s="782"/>
      <c r="P260" s="782" t="s">
        <v>103</v>
      </c>
      <c r="Q260" s="509"/>
      <c r="R260" s="784">
        <v>45831</v>
      </c>
      <c r="S260" s="784" t="s">
        <v>66</v>
      </c>
      <c r="T260" s="784">
        <v>45835</v>
      </c>
      <c r="U260" s="784"/>
      <c r="V260" s="784"/>
      <c r="W260" s="776" t="s">
        <v>1119</v>
      </c>
      <c r="X260" s="781" t="s">
        <v>304</v>
      </c>
      <c r="Y260" s="785">
        <v>4.1456</v>
      </c>
      <c r="Z260" s="786">
        <f t="shared" si="74"/>
        <v>7462.08</v>
      </c>
      <c r="AA260" s="509" t="s">
        <v>1120</v>
      </c>
      <c r="AB260" s="509" t="s">
        <v>165</v>
      </c>
      <c r="AC260" s="509" t="s">
        <v>76</v>
      </c>
      <c r="AD260" s="509"/>
      <c r="AE260" s="635"/>
      <c r="AF260" s="635"/>
      <c r="AG260" s="788">
        <v>1800</v>
      </c>
      <c r="AH260" s="782">
        <f>AG260-I260</f>
        <v>0</v>
      </c>
      <c r="AI260" s="509"/>
      <c r="AJ260" s="509"/>
      <c r="AK260" s="509"/>
      <c r="AL260" s="777">
        <f>I260</f>
        <v>1800</v>
      </c>
      <c r="AM260" s="656"/>
      <c r="AN260" s="656"/>
      <c r="AO260" s="656"/>
      <c r="AP260" s="777"/>
      <c r="AQ260" s="656">
        <f>I260</f>
        <v>1800</v>
      </c>
      <c r="AR260" s="777">
        <f t="shared" ref="AR260:AR267" si="75">I260</f>
        <v>1800</v>
      </c>
      <c r="AS260" s="777"/>
      <c r="AT260" s="777">
        <f>I260</f>
        <v>1800</v>
      </c>
      <c r="AU260" s="777"/>
      <c r="AV260" s="778"/>
      <c r="AW260" s="778"/>
      <c r="AX260" s="778"/>
      <c r="AY260" s="778"/>
      <c r="AZ260" s="778"/>
      <c r="BA260" s="778"/>
      <c r="BB260" s="778"/>
      <c r="BC260" s="778"/>
      <c r="BD260" s="778"/>
      <c r="BE260" s="778"/>
      <c r="BF260" s="778"/>
      <c r="BG260" s="778"/>
      <c r="BH260" s="778"/>
      <c r="BI260" s="778"/>
      <c r="BJ260" s="778"/>
      <c r="BK260" s="778"/>
      <c r="BL260" s="778"/>
      <c r="BM260" s="778"/>
    </row>
    <row r="261" s="771" customFormat="1" ht="31" hidden="1" customHeight="1" spans="1:65">
      <c r="A261" s="775">
        <v>45818</v>
      </c>
      <c r="B261" s="776" t="s">
        <v>1121</v>
      </c>
      <c r="C261" s="509" t="s">
        <v>356</v>
      </c>
      <c r="D261" s="777">
        <v>4500169530</v>
      </c>
      <c r="E261" s="509"/>
      <c r="F261" s="778" t="s">
        <v>1122</v>
      </c>
      <c r="G261" s="779" t="s">
        <v>463</v>
      </c>
      <c r="H261" s="509" t="s">
        <v>424</v>
      </c>
      <c r="I261" s="509">
        <v>240</v>
      </c>
      <c r="J261" s="509">
        <v>0</v>
      </c>
      <c r="K261" s="509">
        <v>6</v>
      </c>
      <c r="L261" s="780">
        <f t="shared" ref="L261:L320" si="76">I261/K261</f>
        <v>40</v>
      </c>
      <c r="M261" s="781">
        <v>45863</v>
      </c>
      <c r="N261" s="781">
        <v>45861</v>
      </c>
      <c r="O261" s="782"/>
      <c r="P261" s="782" t="s">
        <v>103</v>
      </c>
      <c r="Q261" s="509"/>
      <c r="R261" s="784">
        <v>45818</v>
      </c>
      <c r="S261" s="784" t="s">
        <v>66</v>
      </c>
      <c r="T261" s="784" t="s">
        <v>1123</v>
      </c>
      <c r="U261" s="784"/>
      <c r="V261" s="784"/>
      <c r="W261" s="776" t="s">
        <v>1124</v>
      </c>
      <c r="X261" s="781" t="s">
        <v>359</v>
      </c>
      <c r="Y261" s="785">
        <v>8.1</v>
      </c>
      <c r="Z261" s="786">
        <f t="shared" si="74"/>
        <v>1944</v>
      </c>
      <c r="AA261" s="458" t="s">
        <v>1125</v>
      </c>
      <c r="AB261" s="509" t="s">
        <v>427</v>
      </c>
      <c r="AC261" s="509" t="s">
        <v>76</v>
      </c>
      <c r="AD261" s="509"/>
      <c r="AE261" s="635"/>
      <c r="AF261" s="635"/>
      <c r="AG261" s="788">
        <f>I261</f>
        <v>240</v>
      </c>
      <c r="AH261" s="782">
        <f>AG261-I261</f>
        <v>0</v>
      </c>
      <c r="AI261" s="509"/>
      <c r="AJ261" s="509"/>
      <c r="AK261" s="509"/>
      <c r="AL261" s="777">
        <f>I261</f>
        <v>240</v>
      </c>
      <c r="AM261" s="656"/>
      <c r="AN261" s="656"/>
      <c r="AO261" s="656"/>
      <c r="AP261" s="777"/>
      <c r="AQ261" s="656">
        <f>I261</f>
        <v>240</v>
      </c>
      <c r="AR261" s="777">
        <f t="shared" si="75"/>
        <v>240</v>
      </c>
      <c r="AS261" s="777"/>
      <c r="AT261" s="543">
        <f>I261</f>
        <v>240</v>
      </c>
      <c r="AU261" s="777"/>
      <c r="AV261" s="778"/>
      <c r="AW261" s="778"/>
      <c r="AX261" s="778"/>
      <c r="AY261" s="778"/>
      <c r="AZ261" s="778"/>
      <c r="BA261" s="778"/>
      <c r="BB261" s="778"/>
      <c r="BC261" s="778"/>
      <c r="BD261" s="778"/>
      <c r="BE261" s="778"/>
      <c r="BF261" s="778"/>
      <c r="BG261" s="778"/>
      <c r="BH261" s="778"/>
      <c r="BI261" s="777"/>
      <c r="BJ261" s="778">
        <f>I261</f>
        <v>240</v>
      </c>
      <c r="BK261" s="778"/>
      <c r="BL261" s="778"/>
      <c r="BM261" s="778"/>
    </row>
    <row r="262" s="771" customFormat="1" ht="31" hidden="1" customHeight="1" spans="1:65">
      <c r="A262" s="775">
        <v>45775</v>
      </c>
      <c r="B262" s="776" t="s">
        <v>579</v>
      </c>
      <c r="C262" s="509" t="s">
        <v>377</v>
      </c>
      <c r="D262" s="777">
        <v>4500160470</v>
      </c>
      <c r="E262" s="509">
        <v>300565974</v>
      </c>
      <c r="F262" s="778" t="s">
        <v>1126</v>
      </c>
      <c r="G262" s="779" t="s">
        <v>64</v>
      </c>
      <c r="H262" s="509" t="s">
        <v>65</v>
      </c>
      <c r="I262" s="509">
        <v>240</v>
      </c>
      <c r="J262" s="509">
        <v>0</v>
      </c>
      <c r="K262" s="509">
        <v>12</v>
      </c>
      <c r="L262" s="780">
        <f t="shared" si="76"/>
        <v>20</v>
      </c>
      <c r="M262" s="781">
        <v>45861</v>
      </c>
      <c r="N262" s="781">
        <v>45863</v>
      </c>
      <c r="O262" s="782"/>
      <c r="P262" s="782" t="s">
        <v>103</v>
      </c>
      <c r="Q262" s="509"/>
      <c r="R262" s="784">
        <v>45775</v>
      </c>
      <c r="S262" s="784" t="s">
        <v>66</v>
      </c>
      <c r="T262" s="784">
        <v>45790</v>
      </c>
      <c r="U262" s="784"/>
      <c r="V262" s="784"/>
      <c r="W262" s="776" t="s">
        <v>1127</v>
      </c>
      <c r="X262" s="781" t="s">
        <v>381</v>
      </c>
      <c r="Y262" s="785">
        <v>4.1</v>
      </c>
      <c r="Z262" s="786">
        <f t="shared" si="74"/>
        <v>984</v>
      </c>
      <c r="AA262" s="509" t="s">
        <v>1128</v>
      </c>
      <c r="AB262" s="509" t="s">
        <v>165</v>
      </c>
      <c r="AC262" s="509" t="s">
        <v>76</v>
      </c>
      <c r="AD262" s="509"/>
      <c r="AE262" s="635"/>
      <c r="AF262" s="635"/>
      <c r="AG262" s="788">
        <v>240</v>
      </c>
      <c r="AH262" s="782">
        <f t="shared" ref="AH262:AH299" si="77">AG262-I262</f>
        <v>0</v>
      </c>
      <c r="AI262" s="509"/>
      <c r="AJ262" s="509"/>
      <c r="AK262" s="509"/>
      <c r="AL262" s="777">
        <f t="shared" ref="AL262:AL268" si="78">I262</f>
        <v>240</v>
      </c>
      <c r="AM262" s="656"/>
      <c r="AN262" s="656"/>
      <c r="AO262" s="656"/>
      <c r="AP262" s="777"/>
      <c r="AQ262" s="656">
        <f>I262</f>
        <v>240</v>
      </c>
      <c r="AR262" s="777">
        <f t="shared" si="75"/>
        <v>240</v>
      </c>
      <c r="AS262" s="777"/>
      <c r="AT262" s="543">
        <f>I262</f>
        <v>240</v>
      </c>
      <c r="AU262" s="777"/>
      <c r="AV262" s="778"/>
      <c r="AW262" s="778"/>
      <c r="AX262" s="778"/>
      <c r="AY262" s="778"/>
      <c r="AZ262" s="778"/>
      <c r="BA262" s="778"/>
      <c r="BB262" s="778"/>
      <c r="BC262" s="778"/>
      <c r="BD262" s="778"/>
      <c r="BE262" s="778"/>
      <c r="BF262" s="778"/>
      <c r="BG262" s="778"/>
      <c r="BH262" s="778"/>
      <c r="BI262" s="778"/>
      <c r="BJ262" s="778"/>
      <c r="BK262" s="778"/>
      <c r="BL262" s="778"/>
      <c r="BM262" s="778"/>
    </row>
    <row r="263" s="771" customFormat="1" ht="31" hidden="1" customHeight="1" spans="1:65">
      <c r="A263" s="775">
        <v>45818</v>
      </c>
      <c r="B263" s="776" t="s">
        <v>1129</v>
      </c>
      <c r="C263" s="509" t="s">
        <v>1130</v>
      </c>
      <c r="D263" s="777">
        <v>4500169604</v>
      </c>
      <c r="E263" s="509"/>
      <c r="F263" s="778" t="s">
        <v>1131</v>
      </c>
      <c r="G263" s="779" t="s">
        <v>64</v>
      </c>
      <c r="H263" s="509" t="s">
        <v>65</v>
      </c>
      <c r="I263" s="509">
        <v>108</v>
      </c>
      <c r="J263" s="509">
        <v>0</v>
      </c>
      <c r="K263" s="509">
        <v>12</v>
      </c>
      <c r="L263" s="780">
        <f t="shared" si="76"/>
        <v>9</v>
      </c>
      <c r="M263" s="781">
        <v>45863</v>
      </c>
      <c r="N263" s="781">
        <v>45864</v>
      </c>
      <c r="O263" s="782"/>
      <c r="P263" s="782" t="s">
        <v>103</v>
      </c>
      <c r="Q263" s="509"/>
      <c r="R263" s="784">
        <v>45832</v>
      </c>
      <c r="S263" s="784" t="s">
        <v>66</v>
      </c>
      <c r="T263" s="784">
        <v>45832</v>
      </c>
      <c r="U263" s="784"/>
      <c r="V263" s="784"/>
      <c r="W263" s="776" t="s">
        <v>1132</v>
      </c>
      <c r="X263" s="781" t="s">
        <v>473</v>
      </c>
      <c r="Y263" s="785">
        <v>4.1018</v>
      </c>
      <c r="Z263" s="786">
        <f t="shared" si="74"/>
        <v>442.9944</v>
      </c>
      <c r="AA263" s="509" t="s">
        <v>1133</v>
      </c>
      <c r="AB263" s="509" t="s">
        <v>165</v>
      </c>
      <c r="AC263" s="509" t="s">
        <v>76</v>
      </c>
      <c r="AD263" s="509"/>
      <c r="AE263" s="635"/>
      <c r="AF263" s="635"/>
      <c r="AG263" s="788">
        <v>108</v>
      </c>
      <c r="AH263" s="782">
        <f t="shared" si="77"/>
        <v>0</v>
      </c>
      <c r="AI263" s="509"/>
      <c r="AJ263" s="509"/>
      <c r="AK263" s="509"/>
      <c r="AL263" s="777">
        <f t="shared" si="78"/>
        <v>108</v>
      </c>
      <c r="AM263" s="656"/>
      <c r="AN263" s="656"/>
      <c r="AO263" s="656"/>
      <c r="AP263" s="777"/>
      <c r="AQ263" s="656">
        <f>I263</f>
        <v>108</v>
      </c>
      <c r="AR263" s="777">
        <f t="shared" si="75"/>
        <v>108</v>
      </c>
      <c r="AS263" s="777"/>
      <c r="AT263" s="543">
        <f>I263</f>
        <v>108</v>
      </c>
      <c r="AU263" s="777"/>
      <c r="AV263" s="778"/>
      <c r="AW263" s="778"/>
      <c r="AX263" s="778"/>
      <c r="AY263" s="778"/>
      <c r="AZ263" s="778"/>
      <c r="BA263" s="778"/>
      <c r="BB263" s="778"/>
      <c r="BC263" s="778"/>
      <c r="BD263" s="778"/>
      <c r="BE263" s="778"/>
      <c r="BF263" s="778"/>
      <c r="BG263" s="778"/>
      <c r="BH263" s="778"/>
      <c r="BI263" s="778"/>
      <c r="BJ263" s="778"/>
      <c r="BK263" s="778"/>
      <c r="BL263" s="778"/>
      <c r="BM263" s="778"/>
    </row>
    <row r="264" s="771" customFormat="1" ht="31" hidden="1" customHeight="1" spans="1:65">
      <c r="A264" s="775">
        <v>45807</v>
      </c>
      <c r="B264" s="776" t="s">
        <v>1134</v>
      </c>
      <c r="C264" s="509" t="s">
        <v>749</v>
      </c>
      <c r="D264" s="777">
        <v>4500168200</v>
      </c>
      <c r="E264" s="509" t="s">
        <v>1135</v>
      </c>
      <c r="F264" s="778" t="s">
        <v>1136</v>
      </c>
      <c r="G264" s="779" t="s">
        <v>93</v>
      </c>
      <c r="H264" s="509" t="s">
        <v>94</v>
      </c>
      <c r="I264" s="509">
        <v>520</v>
      </c>
      <c r="J264" s="509">
        <v>0</v>
      </c>
      <c r="K264" s="509">
        <v>4</v>
      </c>
      <c r="L264" s="780">
        <f t="shared" si="76"/>
        <v>130</v>
      </c>
      <c r="M264" s="781">
        <v>45866</v>
      </c>
      <c r="N264" s="781">
        <v>45864</v>
      </c>
      <c r="O264" s="782"/>
      <c r="P264" s="782" t="s">
        <v>103</v>
      </c>
      <c r="Q264" s="509"/>
      <c r="R264" s="784">
        <v>45807</v>
      </c>
      <c r="S264" s="784" t="s">
        <v>66</v>
      </c>
      <c r="T264" s="784" t="s">
        <v>1137</v>
      </c>
      <c r="U264" s="784"/>
      <c r="V264" s="784" t="s">
        <v>1138</v>
      </c>
      <c r="W264" s="776" t="s">
        <v>1139</v>
      </c>
      <c r="X264" s="781" t="s">
        <v>1140</v>
      </c>
      <c r="Y264" s="785">
        <v>4.3</v>
      </c>
      <c r="Z264" s="786">
        <f t="shared" si="74"/>
        <v>2236</v>
      </c>
      <c r="AA264" s="509"/>
      <c r="AB264" s="509" t="s">
        <v>141</v>
      </c>
      <c r="AC264" s="509" t="s">
        <v>76</v>
      </c>
      <c r="AD264" s="509"/>
      <c r="AE264" s="635"/>
      <c r="AF264" s="635"/>
      <c r="AG264" s="788">
        <v>520</v>
      </c>
      <c r="AH264" s="782">
        <f t="shared" si="77"/>
        <v>0</v>
      </c>
      <c r="AI264" s="509"/>
      <c r="AJ264" s="509"/>
      <c r="AK264" s="509"/>
      <c r="AL264" s="777">
        <f t="shared" si="78"/>
        <v>520</v>
      </c>
      <c r="AM264" s="656"/>
      <c r="AN264" s="656"/>
      <c r="AO264" s="656"/>
      <c r="AP264" s="777"/>
      <c r="AQ264" s="656">
        <f>I264</f>
        <v>520</v>
      </c>
      <c r="AR264" s="777">
        <f t="shared" si="75"/>
        <v>520</v>
      </c>
      <c r="AS264" s="777"/>
      <c r="AT264" s="777">
        <f t="shared" ref="AT264:AT278" si="79">I264</f>
        <v>520</v>
      </c>
      <c r="AU264" s="777"/>
      <c r="AV264" s="778"/>
      <c r="AW264" s="778"/>
      <c r="AX264" s="778"/>
      <c r="AY264" s="778"/>
      <c r="AZ264" s="778"/>
      <c r="BA264" s="778"/>
      <c r="BB264" s="778"/>
      <c r="BC264" s="778"/>
      <c r="BD264" s="778"/>
      <c r="BE264" s="777">
        <f>I264/4</f>
        <v>130</v>
      </c>
      <c r="BF264" s="778"/>
      <c r="BG264" s="778"/>
      <c r="BH264" s="778"/>
      <c r="BI264" s="778"/>
      <c r="BJ264" s="778"/>
      <c r="BK264" s="778"/>
      <c r="BL264" s="778"/>
      <c r="BM264" s="778"/>
    </row>
    <row r="265" s="771" customFormat="1" ht="31" hidden="1" customHeight="1" spans="1:65">
      <c r="A265" s="775">
        <v>45831</v>
      </c>
      <c r="B265" s="776" t="s">
        <v>1141</v>
      </c>
      <c r="C265" s="509"/>
      <c r="D265" s="777" t="s">
        <v>1142</v>
      </c>
      <c r="E265" s="509"/>
      <c r="F265" s="778"/>
      <c r="G265" s="779" t="s">
        <v>93</v>
      </c>
      <c r="H265" s="509" t="s">
        <v>94</v>
      </c>
      <c r="I265" s="509">
        <v>2832</v>
      </c>
      <c r="J265" s="509">
        <v>0</v>
      </c>
      <c r="K265" s="509">
        <v>4</v>
      </c>
      <c r="L265" s="780">
        <f t="shared" si="76"/>
        <v>708</v>
      </c>
      <c r="M265" s="781">
        <v>45867</v>
      </c>
      <c r="N265" s="781">
        <v>45863</v>
      </c>
      <c r="O265" s="782"/>
      <c r="P265" s="782" t="s">
        <v>103</v>
      </c>
      <c r="Q265" s="509" t="s">
        <v>1143</v>
      </c>
      <c r="R265" s="784" t="s">
        <v>1144</v>
      </c>
      <c r="S265" s="784" t="s">
        <v>66</v>
      </c>
      <c r="T265" s="784" t="s">
        <v>66</v>
      </c>
      <c r="U265" s="784"/>
      <c r="V265" s="784"/>
      <c r="W265" s="776" t="s">
        <v>1145</v>
      </c>
      <c r="X265" s="781" t="s">
        <v>879</v>
      </c>
      <c r="Y265" s="785">
        <v>4.11</v>
      </c>
      <c r="Z265" s="786">
        <f t="shared" si="74"/>
        <v>11639.52</v>
      </c>
      <c r="AA265" s="458" t="s">
        <v>1146</v>
      </c>
      <c r="AB265" s="509" t="s">
        <v>93</v>
      </c>
      <c r="AC265" s="509" t="s">
        <v>76</v>
      </c>
      <c r="AD265" s="509"/>
      <c r="AE265" s="635"/>
      <c r="AF265" s="635"/>
      <c r="AG265" s="788">
        <v>2832</v>
      </c>
      <c r="AH265" s="782">
        <f t="shared" si="77"/>
        <v>0</v>
      </c>
      <c r="AI265" s="509"/>
      <c r="AJ265" s="509"/>
      <c r="AK265" s="509"/>
      <c r="AL265" s="777">
        <f t="shared" si="78"/>
        <v>2832</v>
      </c>
      <c r="AM265" s="656"/>
      <c r="AN265" s="656"/>
      <c r="AO265" s="656"/>
      <c r="AP265" s="777">
        <f>I265</f>
        <v>2832</v>
      </c>
      <c r="AQ265" s="656"/>
      <c r="AR265" s="777">
        <f t="shared" si="75"/>
        <v>2832</v>
      </c>
      <c r="AS265" s="777"/>
      <c r="AT265" s="777">
        <f t="shared" si="79"/>
        <v>2832</v>
      </c>
      <c r="AU265" s="777"/>
      <c r="AV265" s="778"/>
      <c r="AW265" s="778"/>
      <c r="AX265" s="778"/>
      <c r="AY265" s="778"/>
      <c r="AZ265" s="778"/>
      <c r="BA265" s="778"/>
      <c r="BB265" s="778"/>
      <c r="BC265" s="778"/>
      <c r="BD265" s="777">
        <f>I265/4</f>
        <v>708</v>
      </c>
      <c r="BE265" s="778"/>
      <c r="BF265" s="778"/>
      <c r="BG265" s="778"/>
      <c r="BH265" s="778"/>
      <c r="BI265" s="778"/>
      <c r="BJ265" s="778"/>
      <c r="BK265" s="778"/>
      <c r="BL265" s="778"/>
      <c r="BM265" s="778"/>
    </row>
    <row r="266" s="771" customFormat="1" ht="31" hidden="1" customHeight="1" spans="1:65">
      <c r="A266" s="775">
        <v>45799</v>
      </c>
      <c r="B266" s="776" t="s">
        <v>1147</v>
      </c>
      <c r="C266" s="509" t="s">
        <v>468</v>
      </c>
      <c r="D266" s="777">
        <v>4500167318</v>
      </c>
      <c r="E266" s="509">
        <v>17047861</v>
      </c>
      <c r="F266" s="778" t="s">
        <v>1148</v>
      </c>
      <c r="G266" s="779" t="s">
        <v>64</v>
      </c>
      <c r="H266" s="509" t="s">
        <v>65</v>
      </c>
      <c r="I266" s="509">
        <v>420</v>
      </c>
      <c r="J266" s="509">
        <v>0</v>
      </c>
      <c r="K266" s="509">
        <v>12</v>
      </c>
      <c r="L266" s="780">
        <f t="shared" si="76"/>
        <v>35</v>
      </c>
      <c r="M266" s="781">
        <v>45863</v>
      </c>
      <c r="N266" s="781">
        <v>45866</v>
      </c>
      <c r="O266" s="782"/>
      <c r="P266" s="782" t="s">
        <v>103</v>
      </c>
      <c r="Q266" s="509"/>
      <c r="R266" s="784">
        <v>45827</v>
      </c>
      <c r="S266" s="784" t="s">
        <v>66</v>
      </c>
      <c r="T266" s="784">
        <v>45832</v>
      </c>
      <c r="U266" s="784"/>
      <c r="V266" s="784"/>
      <c r="W266" s="776" t="s">
        <v>1149</v>
      </c>
      <c r="X266" s="781" t="s">
        <v>304</v>
      </c>
      <c r="Y266" s="785">
        <v>4.1456</v>
      </c>
      <c r="Z266" s="786">
        <f t="shared" si="74"/>
        <v>1741.152</v>
      </c>
      <c r="AA266" s="509" t="s">
        <v>1150</v>
      </c>
      <c r="AB266" s="509" t="s">
        <v>165</v>
      </c>
      <c r="AC266" s="509" t="s">
        <v>76</v>
      </c>
      <c r="AD266" s="509"/>
      <c r="AE266" s="635"/>
      <c r="AF266" s="635"/>
      <c r="AG266" s="788">
        <v>420</v>
      </c>
      <c r="AH266" s="782">
        <f t="shared" si="77"/>
        <v>0</v>
      </c>
      <c r="AI266" s="509"/>
      <c r="AJ266" s="509"/>
      <c r="AK266" s="509"/>
      <c r="AL266" s="777">
        <f t="shared" si="78"/>
        <v>420</v>
      </c>
      <c r="AM266" s="656"/>
      <c r="AN266" s="656"/>
      <c r="AO266" s="656"/>
      <c r="AP266" s="777"/>
      <c r="AQ266" s="656">
        <f>I266</f>
        <v>420</v>
      </c>
      <c r="AR266" s="777">
        <f t="shared" si="75"/>
        <v>420</v>
      </c>
      <c r="AS266" s="777"/>
      <c r="AT266" s="777">
        <f t="shared" si="79"/>
        <v>420</v>
      </c>
      <c r="AU266" s="777"/>
      <c r="AV266" s="778"/>
      <c r="AW266" s="778"/>
      <c r="AX266" s="778"/>
      <c r="AY266" s="778"/>
      <c r="AZ266" s="778"/>
      <c r="BA266" s="778"/>
      <c r="BB266" s="778"/>
      <c r="BC266" s="778"/>
      <c r="BD266" s="778"/>
      <c r="BE266" s="778"/>
      <c r="BF266" s="778"/>
      <c r="BG266" s="778"/>
      <c r="BH266" s="778"/>
      <c r="BI266" s="778"/>
      <c r="BJ266" s="778"/>
      <c r="BK266" s="778"/>
      <c r="BL266" s="778"/>
      <c r="BM266" s="778"/>
    </row>
    <row r="267" s="771" customFormat="1" ht="31" hidden="1" customHeight="1" spans="1:65">
      <c r="A267" s="775">
        <v>45771</v>
      </c>
      <c r="B267" s="776" t="s">
        <v>1151</v>
      </c>
      <c r="C267" s="509" t="s">
        <v>1152</v>
      </c>
      <c r="D267" s="777">
        <v>4500164774</v>
      </c>
      <c r="E267" s="509" t="s">
        <v>1153</v>
      </c>
      <c r="F267" s="778" t="s">
        <v>1154</v>
      </c>
      <c r="G267" s="779" t="s">
        <v>64</v>
      </c>
      <c r="H267" s="509" t="s">
        <v>65</v>
      </c>
      <c r="I267" s="509">
        <v>120</v>
      </c>
      <c r="J267" s="509">
        <v>0</v>
      </c>
      <c r="K267" s="509">
        <v>12</v>
      </c>
      <c r="L267" s="780">
        <f t="shared" si="76"/>
        <v>10</v>
      </c>
      <c r="M267" s="781">
        <v>45859</v>
      </c>
      <c r="N267" s="781">
        <v>45866</v>
      </c>
      <c r="O267" s="782"/>
      <c r="P267" s="782" t="s">
        <v>103</v>
      </c>
      <c r="Q267" s="509"/>
      <c r="R267" s="784">
        <v>45833</v>
      </c>
      <c r="S267" s="784" t="s">
        <v>66</v>
      </c>
      <c r="T267" s="784">
        <v>45840</v>
      </c>
      <c r="U267" s="784" t="s">
        <v>1155</v>
      </c>
      <c r="V267" s="784"/>
      <c r="W267" s="776" t="s">
        <v>1156</v>
      </c>
      <c r="X267" s="781" t="s">
        <v>473</v>
      </c>
      <c r="Y267" s="785">
        <v>4.1</v>
      </c>
      <c r="Z267" s="786">
        <f t="shared" si="74"/>
        <v>492</v>
      </c>
      <c r="AA267" s="509" t="s">
        <v>1157</v>
      </c>
      <c r="AB267" s="509" t="s">
        <v>165</v>
      </c>
      <c r="AC267" s="509" t="s">
        <v>76</v>
      </c>
      <c r="AD267" s="509"/>
      <c r="AE267" s="635"/>
      <c r="AF267" s="635"/>
      <c r="AG267" s="788">
        <v>120</v>
      </c>
      <c r="AH267" s="782">
        <f t="shared" si="77"/>
        <v>0</v>
      </c>
      <c r="AI267" s="509"/>
      <c r="AJ267" s="509"/>
      <c r="AK267" s="509"/>
      <c r="AL267" s="777">
        <f t="shared" si="78"/>
        <v>120</v>
      </c>
      <c r="AM267" s="656"/>
      <c r="AN267" s="656"/>
      <c r="AO267" s="656"/>
      <c r="AP267" s="777"/>
      <c r="AQ267" s="656">
        <f>I267</f>
        <v>120</v>
      </c>
      <c r="AR267" s="777">
        <f t="shared" si="75"/>
        <v>120</v>
      </c>
      <c r="AS267" s="777"/>
      <c r="AT267" s="777">
        <f t="shared" si="79"/>
        <v>120</v>
      </c>
      <c r="AU267" s="777"/>
      <c r="AV267" s="778"/>
      <c r="AW267" s="778"/>
      <c r="AX267" s="778"/>
      <c r="AY267" s="778"/>
      <c r="AZ267" s="778"/>
      <c r="BA267" s="778"/>
      <c r="BB267" s="778"/>
      <c r="BC267" s="778"/>
      <c r="BD267" s="778"/>
      <c r="BE267" s="778"/>
      <c r="BF267" s="778"/>
      <c r="BG267" s="778"/>
      <c r="BH267" s="778"/>
      <c r="BI267" s="778"/>
      <c r="BJ267" s="778"/>
      <c r="BK267" s="778"/>
      <c r="BL267" s="778"/>
      <c r="BM267" s="778"/>
    </row>
    <row r="268" s="771" customFormat="1" ht="31" hidden="1" customHeight="1" spans="1:65">
      <c r="A268" s="775">
        <v>45834</v>
      </c>
      <c r="B268" s="776" t="s">
        <v>220</v>
      </c>
      <c r="C268" s="509" t="s">
        <v>90</v>
      </c>
      <c r="D268" s="777">
        <v>4500171338</v>
      </c>
      <c r="E268" s="509" t="s">
        <v>1158</v>
      </c>
      <c r="F268" s="778" t="s">
        <v>1159</v>
      </c>
      <c r="G268" s="779" t="s">
        <v>223</v>
      </c>
      <c r="H268" s="509" t="s">
        <v>224</v>
      </c>
      <c r="I268" s="509">
        <v>3780</v>
      </c>
      <c r="J268" s="509">
        <v>0</v>
      </c>
      <c r="K268" s="509">
        <v>4</v>
      </c>
      <c r="L268" s="780">
        <f t="shared" si="76"/>
        <v>945</v>
      </c>
      <c r="M268" s="781">
        <v>45868</v>
      </c>
      <c r="N268" s="781">
        <v>45866</v>
      </c>
      <c r="O268" s="782"/>
      <c r="P268" s="782" t="s">
        <v>103</v>
      </c>
      <c r="Q268" s="509"/>
      <c r="R268" s="784">
        <v>45834</v>
      </c>
      <c r="S268" s="784" t="s">
        <v>96</v>
      </c>
      <c r="T268" s="784">
        <v>45845</v>
      </c>
      <c r="U268" s="784"/>
      <c r="V268" s="784"/>
      <c r="W268" s="776" t="s">
        <v>1160</v>
      </c>
      <c r="X268" s="781" t="s">
        <v>226</v>
      </c>
      <c r="Y268" s="785">
        <v>2.8063</v>
      </c>
      <c r="Z268" s="786">
        <f t="shared" si="74"/>
        <v>10607.814</v>
      </c>
      <c r="AA268" s="509" t="s">
        <v>1161</v>
      </c>
      <c r="AB268" s="509" t="s">
        <v>223</v>
      </c>
      <c r="AC268" s="509" t="s">
        <v>76</v>
      </c>
      <c r="AD268" s="509"/>
      <c r="AE268" s="635" t="s">
        <v>69</v>
      </c>
      <c r="AF268" s="635"/>
      <c r="AG268" s="788">
        <v>3780</v>
      </c>
      <c r="AH268" s="782">
        <f t="shared" si="77"/>
        <v>0</v>
      </c>
      <c r="AI268" s="509"/>
      <c r="AJ268" s="509"/>
      <c r="AK268" s="509"/>
      <c r="AL268" s="777"/>
      <c r="AM268" s="656"/>
      <c r="AN268" s="656">
        <f>I268</f>
        <v>3780</v>
      </c>
      <c r="AO268" s="656"/>
      <c r="AP268" s="777"/>
      <c r="AQ268" s="656"/>
      <c r="AR268" s="777"/>
      <c r="AS268" s="777"/>
      <c r="AT268" s="777">
        <f t="shared" si="79"/>
        <v>3780</v>
      </c>
      <c r="AU268" s="777"/>
      <c r="AV268" s="778"/>
      <c r="AW268" s="778"/>
      <c r="AX268" s="778"/>
      <c r="AY268" s="778"/>
      <c r="AZ268" s="778"/>
      <c r="BA268" s="778"/>
      <c r="BB268" s="778">
        <f>I268</f>
        <v>3780</v>
      </c>
      <c r="BC268" s="778">
        <f>I268</f>
        <v>3780</v>
      </c>
      <c r="BD268" s="777">
        <f>I268/4</f>
        <v>945</v>
      </c>
      <c r="BE268" s="778"/>
      <c r="BF268" s="778"/>
      <c r="BG268" s="778"/>
      <c r="BH268" s="778"/>
      <c r="BI268" s="778"/>
      <c r="BJ268" s="778"/>
      <c r="BK268" s="778"/>
      <c r="BL268" s="778"/>
      <c r="BM268" s="778"/>
    </row>
    <row r="269" s="771" customFormat="1" ht="31" hidden="1" customHeight="1" spans="1:65">
      <c r="A269" s="775">
        <v>45825</v>
      </c>
      <c r="B269" s="776" t="s">
        <v>783</v>
      </c>
      <c r="C269" s="509" t="s">
        <v>90</v>
      </c>
      <c r="D269" s="777">
        <v>4500170270</v>
      </c>
      <c r="E269" s="509" t="s">
        <v>1162</v>
      </c>
      <c r="F269" s="778" t="s">
        <v>1163</v>
      </c>
      <c r="G269" s="779" t="s">
        <v>93</v>
      </c>
      <c r="H269" s="509" t="s">
        <v>94</v>
      </c>
      <c r="I269" s="509">
        <v>1360</v>
      </c>
      <c r="J269" s="509">
        <v>0</v>
      </c>
      <c r="K269" s="509">
        <v>4</v>
      </c>
      <c r="L269" s="780">
        <f t="shared" si="76"/>
        <v>340</v>
      </c>
      <c r="M269" s="781">
        <v>45869</v>
      </c>
      <c r="N269" s="781">
        <v>45867</v>
      </c>
      <c r="O269" s="782"/>
      <c r="P269" s="782" t="s">
        <v>103</v>
      </c>
      <c r="Q269" s="509"/>
      <c r="R269" s="784">
        <v>45825</v>
      </c>
      <c r="S269" s="784" t="s">
        <v>66</v>
      </c>
      <c r="T269" s="784" t="s">
        <v>66</v>
      </c>
      <c r="U269" s="784"/>
      <c r="V269" s="784"/>
      <c r="W269" s="776" t="s">
        <v>1164</v>
      </c>
      <c r="X269" s="781" t="s">
        <v>316</v>
      </c>
      <c r="Y269" s="785">
        <v>2.58</v>
      </c>
      <c r="Z269" s="786">
        <f t="shared" si="74"/>
        <v>3508.8</v>
      </c>
      <c r="AA269" s="509" t="s">
        <v>1165</v>
      </c>
      <c r="AB269" s="509" t="s">
        <v>93</v>
      </c>
      <c r="AC269" s="509" t="s">
        <v>76</v>
      </c>
      <c r="AD269" s="509"/>
      <c r="AE269" s="635"/>
      <c r="AF269" s="635"/>
      <c r="AG269" s="788">
        <v>1360</v>
      </c>
      <c r="AH269" s="782">
        <f t="shared" si="77"/>
        <v>0</v>
      </c>
      <c r="AI269" s="509"/>
      <c r="AJ269" s="509"/>
      <c r="AK269" s="509"/>
      <c r="AL269" s="777">
        <f t="shared" ref="AL269:AL281" si="80">I269</f>
        <v>1360</v>
      </c>
      <c r="AM269" s="656"/>
      <c r="AN269" s="656"/>
      <c r="AO269" s="656"/>
      <c r="AP269" s="777">
        <f>I269</f>
        <v>1360</v>
      </c>
      <c r="AQ269" s="656"/>
      <c r="AR269" s="777">
        <f>I269</f>
        <v>1360</v>
      </c>
      <c r="AS269" s="777"/>
      <c r="AT269" s="777">
        <f t="shared" si="79"/>
        <v>1360</v>
      </c>
      <c r="AU269" s="777"/>
      <c r="AV269" s="778"/>
      <c r="AW269" s="778"/>
      <c r="AX269" s="778"/>
      <c r="AY269" s="778"/>
      <c r="AZ269" s="778"/>
      <c r="BA269" s="778"/>
      <c r="BB269" s="778"/>
      <c r="BC269" s="778"/>
      <c r="BD269" s="777">
        <f>I269/4</f>
        <v>340</v>
      </c>
      <c r="BE269" s="778"/>
      <c r="BF269" s="778"/>
      <c r="BG269" s="778"/>
      <c r="BH269" s="778"/>
      <c r="BI269" s="778"/>
      <c r="BJ269" s="778"/>
      <c r="BK269" s="778"/>
      <c r="BL269" s="778"/>
      <c r="BM269" s="778"/>
    </row>
    <row r="270" s="771" customFormat="1" ht="31" hidden="1" customHeight="1" spans="1:65">
      <c r="A270" s="775">
        <v>45792</v>
      </c>
      <c r="B270" s="776" t="s">
        <v>778</v>
      </c>
      <c r="C270" s="509" t="s">
        <v>139</v>
      </c>
      <c r="D270" s="777">
        <v>4500166481</v>
      </c>
      <c r="E270" s="509">
        <v>4400483989</v>
      </c>
      <c r="F270" s="778" t="s">
        <v>1166</v>
      </c>
      <c r="G270" s="779" t="s">
        <v>148</v>
      </c>
      <c r="H270" s="509" t="s">
        <v>65</v>
      </c>
      <c r="I270" s="509">
        <v>1504</v>
      </c>
      <c r="J270" s="509">
        <v>0</v>
      </c>
      <c r="K270" s="509">
        <v>8</v>
      </c>
      <c r="L270" s="780">
        <f t="shared" si="76"/>
        <v>188</v>
      </c>
      <c r="M270" s="781">
        <v>45863</v>
      </c>
      <c r="N270" s="781">
        <v>45866</v>
      </c>
      <c r="O270" s="782"/>
      <c r="P270" s="782" t="s">
        <v>103</v>
      </c>
      <c r="Q270" s="509"/>
      <c r="R270" s="784">
        <v>45792</v>
      </c>
      <c r="S270" s="784" t="s">
        <v>66</v>
      </c>
      <c r="T270" s="784" t="s">
        <v>1167</v>
      </c>
      <c r="U270" s="784"/>
      <c r="V270" s="784"/>
      <c r="W270" s="776" t="s">
        <v>1168</v>
      </c>
      <c r="X270" s="781" t="s">
        <v>781</v>
      </c>
      <c r="Y270" s="785">
        <v>4.2227</v>
      </c>
      <c r="Z270" s="786">
        <f t="shared" si="74"/>
        <v>6350.9408</v>
      </c>
      <c r="AA270" s="509"/>
      <c r="AB270" s="509" t="s">
        <v>148</v>
      </c>
      <c r="AC270" s="509" t="s">
        <v>76</v>
      </c>
      <c r="AD270" s="509"/>
      <c r="AE270" s="635" t="s">
        <v>69</v>
      </c>
      <c r="AF270" s="635"/>
      <c r="AG270" s="788">
        <v>1504</v>
      </c>
      <c r="AH270" s="782">
        <f t="shared" si="77"/>
        <v>0</v>
      </c>
      <c r="AI270" s="509"/>
      <c r="AJ270" s="509"/>
      <c r="AK270" s="509"/>
      <c r="AL270" s="777">
        <f t="shared" si="80"/>
        <v>1504</v>
      </c>
      <c r="AM270" s="656"/>
      <c r="AN270" s="656"/>
      <c r="AO270" s="656"/>
      <c r="AP270" s="777"/>
      <c r="AQ270" s="656"/>
      <c r="AR270" s="777"/>
      <c r="AS270" s="777"/>
      <c r="AT270" s="777">
        <f t="shared" si="79"/>
        <v>1504</v>
      </c>
      <c r="AU270" s="777"/>
      <c r="AV270" s="778"/>
      <c r="AW270" s="778"/>
      <c r="AX270" s="778"/>
      <c r="AY270" s="778"/>
      <c r="AZ270" s="777">
        <f>I270</f>
        <v>1504</v>
      </c>
      <c r="BA270" s="777">
        <f>I270</f>
        <v>1504</v>
      </c>
      <c r="BB270" s="778"/>
      <c r="BC270" s="778"/>
      <c r="BD270" s="778"/>
      <c r="BE270" s="777">
        <f>I270/4</f>
        <v>376</v>
      </c>
      <c r="BF270" s="778"/>
      <c r="BG270" s="778"/>
      <c r="BH270" s="778"/>
      <c r="BI270" s="778"/>
      <c r="BJ270" s="778"/>
      <c r="BK270" s="778"/>
      <c r="BL270" s="778"/>
      <c r="BM270" s="778"/>
    </row>
    <row r="271" s="771" customFormat="1" ht="31" hidden="1" customHeight="1" spans="1:65">
      <c r="A271" s="775">
        <v>45826</v>
      </c>
      <c r="B271" s="776" t="s">
        <v>238</v>
      </c>
      <c r="C271" s="509" t="s">
        <v>153</v>
      </c>
      <c r="D271" s="777">
        <v>4500168979</v>
      </c>
      <c r="E271" s="509">
        <v>3501527807</v>
      </c>
      <c r="F271" s="778" t="s">
        <v>1169</v>
      </c>
      <c r="G271" s="779" t="s">
        <v>64</v>
      </c>
      <c r="H271" s="509" t="s">
        <v>65</v>
      </c>
      <c r="I271" s="509">
        <v>828</v>
      </c>
      <c r="J271" s="509">
        <v>0</v>
      </c>
      <c r="K271" s="509">
        <v>12</v>
      </c>
      <c r="L271" s="780">
        <f t="shared" si="76"/>
        <v>69</v>
      </c>
      <c r="M271" s="781">
        <v>45860</v>
      </c>
      <c r="N271" s="781">
        <v>45860</v>
      </c>
      <c r="O271" s="782" t="s">
        <v>1170</v>
      </c>
      <c r="P271" s="782" t="s">
        <v>69</v>
      </c>
      <c r="Q271" s="509"/>
      <c r="R271" s="784">
        <v>45826</v>
      </c>
      <c r="S271" s="784" t="s">
        <v>66</v>
      </c>
      <c r="T271" s="784">
        <v>45834</v>
      </c>
      <c r="U271" s="784"/>
      <c r="V271" s="784"/>
      <c r="W271" s="776" t="s">
        <v>1171</v>
      </c>
      <c r="X271" s="781" t="s">
        <v>242</v>
      </c>
      <c r="Y271" s="785">
        <v>4.1018</v>
      </c>
      <c r="Z271" s="786">
        <f t="shared" si="74"/>
        <v>3396.2904</v>
      </c>
      <c r="AA271" s="509"/>
      <c r="AB271" s="509" t="s">
        <v>165</v>
      </c>
      <c r="AC271" s="509" t="s">
        <v>76</v>
      </c>
      <c r="AD271" s="509" t="s">
        <v>69</v>
      </c>
      <c r="AE271" s="635"/>
      <c r="AF271" s="635"/>
      <c r="AG271" s="788">
        <v>828</v>
      </c>
      <c r="AH271" s="782">
        <f t="shared" si="77"/>
        <v>0</v>
      </c>
      <c r="AI271" s="509"/>
      <c r="AJ271" s="509"/>
      <c r="AK271" s="509"/>
      <c r="AL271" s="777">
        <f t="shared" si="80"/>
        <v>828</v>
      </c>
      <c r="AM271" s="656"/>
      <c r="AN271" s="656"/>
      <c r="AO271" s="656"/>
      <c r="AP271" s="777"/>
      <c r="AQ271" s="656">
        <f>I271</f>
        <v>828</v>
      </c>
      <c r="AR271" s="777">
        <f t="shared" ref="AR271:AR295" si="81">I271</f>
        <v>828</v>
      </c>
      <c r="AS271" s="777"/>
      <c r="AT271" s="777">
        <f t="shared" si="79"/>
        <v>828</v>
      </c>
      <c r="AU271" s="777"/>
      <c r="AV271" s="778"/>
      <c r="AW271" s="778"/>
      <c r="AX271" s="778"/>
      <c r="AY271" s="778"/>
      <c r="AZ271" s="778"/>
      <c r="BA271" s="778"/>
      <c r="BB271" s="778"/>
      <c r="BC271" s="778"/>
      <c r="BD271" s="778"/>
      <c r="BE271" s="777"/>
      <c r="BF271" s="778"/>
      <c r="BG271" s="778"/>
      <c r="BH271" s="778"/>
      <c r="BI271" s="778"/>
      <c r="BJ271" s="778"/>
      <c r="BK271" s="778"/>
      <c r="BL271" s="778"/>
      <c r="BM271" s="778"/>
    </row>
    <row r="272" s="771" customFormat="1" ht="31" hidden="1" customHeight="1" spans="1:65">
      <c r="A272" s="775">
        <v>45813</v>
      </c>
      <c r="B272" s="776" t="s">
        <v>1172</v>
      </c>
      <c r="C272" s="509" t="s">
        <v>90</v>
      </c>
      <c r="D272" s="777">
        <v>4500169087</v>
      </c>
      <c r="E272" s="509" t="s">
        <v>1173</v>
      </c>
      <c r="F272" s="778" t="s">
        <v>1174</v>
      </c>
      <c r="G272" s="779" t="s">
        <v>93</v>
      </c>
      <c r="H272" s="509" t="s">
        <v>94</v>
      </c>
      <c r="I272" s="509">
        <v>1200</v>
      </c>
      <c r="J272" s="509">
        <v>0</v>
      </c>
      <c r="K272" s="509">
        <v>4</v>
      </c>
      <c r="L272" s="780">
        <f t="shared" si="76"/>
        <v>300</v>
      </c>
      <c r="M272" s="781">
        <v>45863</v>
      </c>
      <c r="N272" s="781">
        <v>45857</v>
      </c>
      <c r="O272" s="782"/>
      <c r="P272" s="782" t="s">
        <v>103</v>
      </c>
      <c r="Q272" s="509" t="s">
        <v>1175</v>
      </c>
      <c r="R272" s="784" t="s">
        <v>1176</v>
      </c>
      <c r="S272" s="784" t="s">
        <v>96</v>
      </c>
      <c r="T272" s="784">
        <v>45824</v>
      </c>
      <c r="U272" s="784"/>
      <c r="V272" s="784"/>
      <c r="W272" s="776" t="s">
        <v>1177</v>
      </c>
      <c r="X272" s="781" t="s">
        <v>1178</v>
      </c>
      <c r="Y272" s="785">
        <v>2.5501</v>
      </c>
      <c r="Z272" s="786">
        <f t="shared" si="74"/>
        <v>3060.12</v>
      </c>
      <c r="AA272" s="509" t="s">
        <v>1179</v>
      </c>
      <c r="AB272" s="509" t="s">
        <v>93</v>
      </c>
      <c r="AC272" s="509" t="s">
        <v>76</v>
      </c>
      <c r="AD272" s="509"/>
      <c r="AE272" s="635"/>
      <c r="AF272" s="635"/>
      <c r="AG272" s="788">
        <v>1200</v>
      </c>
      <c r="AH272" s="782">
        <f t="shared" si="77"/>
        <v>0</v>
      </c>
      <c r="AI272" s="509"/>
      <c r="AJ272" s="509"/>
      <c r="AK272" s="509"/>
      <c r="AL272" s="777">
        <f t="shared" si="80"/>
        <v>1200</v>
      </c>
      <c r="AM272" s="656"/>
      <c r="AN272" s="656"/>
      <c r="AO272" s="656"/>
      <c r="AP272" s="777">
        <f>I272</f>
        <v>1200</v>
      </c>
      <c r="AQ272" s="656"/>
      <c r="AR272" s="777">
        <f t="shared" si="81"/>
        <v>1200</v>
      </c>
      <c r="AS272" s="777"/>
      <c r="AT272" s="777">
        <f t="shared" si="79"/>
        <v>1200</v>
      </c>
      <c r="AU272" s="777"/>
      <c r="AV272" s="778"/>
      <c r="AW272" s="778"/>
      <c r="AX272" s="778"/>
      <c r="AY272" s="778"/>
      <c r="AZ272" s="778"/>
      <c r="BA272" s="778"/>
      <c r="BB272" s="778"/>
      <c r="BC272" s="778"/>
      <c r="BD272" s="777">
        <f>I272/4</f>
        <v>300</v>
      </c>
      <c r="BE272" s="777"/>
      <c r="BF272" s="778"/>
      <c r="BG272" s="778"/>
      <c r="BH272" s="778"/>
      <c r="BI272" s="778"/>
      <c r="BJ272" s="778"/>
      <c r="BK272" s="778"/>
      <c r="BL272" s="778"/>
      <c r="BM272" s="778"/>
    </row>
    <row r="273" s="771" customFormat="1" ht="31" hidden="1" customHeight="1" spans="1:65">
      <c r="A273" s="775">
        <v>45789</v>
      </c>
      <c r="B273" s="776" t="s">
        <v>1180</v>
      </c>
      <c r="C273" s="509" t="s">
        <v>468</v>
      </c>
      <c r="D273" s="777">
        <v>4500165982</v>
      </c>
      <c r="E273" s="509">
        <v>61971743</v>
      </c>
      <c r="F273" s="778" t="s">
        <v>1181</v>
      </c>
      <c r="G273" s="779" t="s">
        <v>64</v>
      </c>
      <c r="H273" s="509" t="s">
        <v>65</v>
      </c>
      <c r="I273" s="509">
        <v>3000</v>
      </c>
      <c r="J273" s="509">
        <v>0</v>
      </c>
      <c r="K273" s="509">
        <v>12</v>
      </c>
      <c r="L273" s="780">
        <f t="shared" si="76"/>
        <v>250</v>
      </c>
      <c r="M273" s="781">
        <v>45863</v>
      </c>
      <c r="N273" s="781">
        <v>45861</v>
      </c>
      <c r="O273" s="782"/>
      <c r="P273" s="782" t="s">
        <v>103</v>
      </c>
      <c r="Q273" s="509"/>
      <c r="R273" s="784">
        <v>45812</v>
      </c>
      <c r="S273" s="784" t="s">
        <v>66</v>
      </c>
      <c r="T273" s="784" t="s">
        <v>1182</v>
      </c>
      <c r="U273" s="784"/>
      <c r="V273" s="784"/>
      <c r="W273" s="776" t="s">
        <v>1183</v>
      </c>
      <c r="X273" s="781" t="s">
        <v>1184</v>
      </c>
      <c r="Y273" s="785">
        <v>4.1403</v>
      </c>
      <c r="Z273" s="786">
        <f t="shared" si="74"/>
        <v>12420.9</v>
      </c>
      <c r="AA273" s="509"/>
      <c r="AB273" s="509" t="s">
        <v>165</v>
      </c>
      <c r="AC273" s="509" t="s">
        <v>76</v>
      </c>
      <c r="AD273" s="509"/>
      <c r="AE273" s="635" t="s">
        <v>69</v>
      </c>
      <c r="AF273" s="635"/>
      <c r="AG273" s="788">
        <v>3000</v>
      </c>
      <c r="AH273" s="782">
        <f t="shared" si="77"/>
        <v>0</v>
      </c>
      <c r="AI273" s="509"/>
      <c r="AJ273" s="509"/>
      <c r="AK273" s="509"/>
      <c r="AL273" s="777">
        <f t="shared" si="80"/>
        <v>3000</v>
      </c>
      <c r="AM273" s="656"/>
      <c r="AN273" s="656"/>
      <c r="AO273" s="656"/>
      <c r="AP273" s="777"/>
      <c r="AQ273" s="656">
        <f>I273</f>
        <v>3000</v>
      </c>
      <c r="AR273" s="777">
        <f t="shared" si="81"/>
        <v>3000</v>
      </c>
      <c r="AS273" s="777"/>
      <c r="AT273" s="777">
        <f t="shared" si="79"/>
        <v>3000</v>
      </c>
      <c r="AU273" s="777"/>
      <c r="AV273" s="778"/>
      <c r="AW273" s="778"/>
      <c r="AX273" s="778"/>
      <c r="AY273" s="778"/>
      <c r="AZ273" s="778"/>
      <c r="BA273" s="778"/>
      <c r="BB273" s="778"/>
      <c r="BC273" s="778"/>
      <c r="BD273" s="778"/>
      <c r="BE273" s="777"/>
      <c r="BF273" s="778"/>
      <c r="BG273" s="778"/>
      <c r="BH273" s="778"/>
      <c r="BI273" s="778"/>
      <c r="BJ273" s="778"/>
      <c r="BK273" s="778"/>
      <c r="BL273" s="778"/>
      <c r="BM273" s="778"/>
    </row>
    <row r="274" s="771" customFormat="1" ht="31" hidden="1" customHeight="1" spans="1:65">
      <c r="A274" s="775">
        <v>45785</v>
      </c>
      <c r="B274" s="776" t="s">
        <v>1180</v>
      </c>
      <c r="C274" s="509" t="s">
        <v>468</v>
      </c>
      <c r="D274" s="777">
        <v>4500164920</v>
      </c>
      <c r="E274" s="509">
        <v>61963726</v>
      </c>
      <c r="F274" s="778" t="s">
        <v>1185</v>
      </c>
      <c r="G274" s="779" t="s">
        <v>64</v>
      </c>
      <c r="H274" s="509" t="s">
        <v>65</v>
      </c>
      <c r="I274" s="509">
        <v>240</v>
      </c>
      <c r="J274" s="509">
        <v>0</v>
      </c>
      <c r="K274" s="509">
        <v>12</v>
      </c>
      <c r="L274" s="780">
        <f t="shared" si="76"/>
        <v>20</v>
      </c>
      <c r="M274" s="781">
        <v>45863</v>
      </c>
      <c r="N274" s="781">
        <v>45861</v>
      </c>
      <c r="O274" s="782"/>
      <c r="P274" s="782" t="s">
        <v>103</v>
      </c>
      <c r="Q274" s="509"/>
      <c r="R274" s="784">
        <v>45812</v>
      </c>
      <c r="S274" s="784" t="s">
        <v>66</v>
      </c>
      <c r="T274" s="784" t="s">
        <v>1182</v>
      </c>
      <c r="U274" s="784"/>
      <c r="V274" s="784"/>
      <c r="W274" s="776" t="s">
        <v>1186</v>
      </c>
      <c r="X274" s="781" t="s">
        <v>473</v>
      </c>
      <c r="Y274" s="785">
        <v>4.1</v>
      </c>
      <c r="Z274" s="786">
        <f t="shared" si="74"/>
        <v>984</v>
      </c>
      <c r="AA274" s="509"/>
      <c r="AB274" s="509" t="s">
        <v>165</v>
      </c>
      <c r="AC274" s="509" t="s">
        <v>76</v>
      </c>
      <c r="AD274" s="509"/>
      <c r="AE274" s="635" t="s">
        <v>69</v>
      </c>
      <c r="AF274" s="635"/>
      <c r="AG274" s="788">
        <v>240</v>
      </c>
      <c r="AH274" s="782">
        <f t="shared" si="77"/>
        <v>0</v>
      </c>
      <c r="AI274" s="509"/>
      <c r="AJ274" s="509"/>
      <c r="AK274" s="509"/>
      <c r="AL274" s="777">
        <f t="shared" si="80"/>
        <v>240</v>
      </c>
      <c r="AM274" s="656"/>
      <c r="AN274" s="656"/>
      <c r="AO274" s="656"/>
      <c r="AP274" s="777"/>
      <c r="AQ274" s="656">
        <f>I274</f>
        <v>240</v>
      </c>
      <c r="AR274" s="777">
        <f t="shared" si="81"/>
        <v>240</v>
      </c>
      <c r="AS274" s="777"/>
      <c r="AT274" s="777">
        <f t="shared" si="79"/>
        <v>240</v>
      </c>
      <c r="AU274" s="777"/>
      <c r="AV274" s="778"/>
      <c r="AW274" s="778"/>
      <c r="AX274" s="778"/>
      <c r="AY274" s="778"/>
      <c r="AZ274" s="778"/>
      <c r="BA274" s="778"/>
      <c r="BB274" s="778"/>
      <c r="BC274" s="778"/>
      <c r="BD274" s="778"/>
      <c r="BE274" s="777"/>
      <c r="BF274" s="778"/>
      <c r="BG274" s="778"/>
      <c r="BH274" s="778"/>
      <c r="BI274" s="778"/>
      <c r="BJ274" s="778"/>
      <c r="BK274" s="778"/>
      <c r="BL274" s="778"/>
      <c r="BM274" s="778"/>
    </row>
    <row r="275" s="771" customFormat="1" ht="31" hidden="1" customHeight="1" spans="1:65">
      <c r="A275" s="775">
        <v>45820</v>
      </c>
      <c r="B275" s="776" t="s">
        <v>128</v>
      </c>
      <c r="C275" s="509" t="s">
        <v>90</v>
      </c>
      <c r="D275" s="777">
        <v>4500169834</v>
      </c>
      <c r="E275" s="886" t="s">
        <v>1187</v>
      </c>
      <c r="F275" s="778" t="s">
        <v>1188</v>
      </c>
      <c r="G275" s="779" t="s">
        <v>93</v>
      </c>
      <c r="H275" s="509" t="s">
        <v>94</v>
      </c>
      <c r="I275" s="509">
        <v>1688</v>
      </c>
      <c r="J275" s="509">
        <v>0</v>
      </c>
      <c r="K275" s="509">
        <v>4</v>
      </c>
      <c r="L275" s="780">
        <f t="shared" si="76"/>
        <v>422</v>
      </c>
      <c r="M275" s="781">
        <v>45867</v>
      </c>
      <c r="N275" s="781">
        <v>45873</v>
      </c>
      <c r="O275" s="782" t="s">
        <v>1189</v>
      </c>
      <c r="P275" s="782" t="s">
        <v>103</v>
      </c>
      <c r="Q275" s="509"/>
      <c r="R275" s="784" t="s">
        <v>132</v>
      </c>
      <c r="S275" s="784" t="s">
        <v>66</v>
      </c>
      <c r="T275" s="784" t="s">
        <v>133</v>
      </c>
      <c r="U275" s="683" t="s">
        <v>133</v>
      </c>
      <c r="V275" s="784"/>
      <c r="W275" s="776" t="s">
        <v>1076</v>
      </c>
      <c r="X275" s="781" t="s">
        <v>98</v>
      </c>
      <c r="Y275" s="785">
        <v>2.58</v>
      </c>
      <c r="Z275" s="786">
        <f t="shared" si="74"/>
        <v>4355.04</v>
      </c>
      <c r="AA275" s="509" t="s">
        <v>1190</v>
      </c>
      <c r="AB275" s="509" t="s">
        <v>93</v>
      </c>
      <c r="AC275" s="509" t="s">
        <v>76</v>
      </c>
      <c r="AD275" s="509"/>
      <c r="AE275" s="635"/>
      <c r="AF275" s="635"/>
      <c r="AG275" s="788">
        <v>1688</v>
      </c>
      <c r="AH275" s="782">
        <f t="shared" si="77"/>
        <v>0</v>
      </c>
      <c r="AI275" s="509"/>
      <c r="AJ275" s="509"/>
      <c r="AK275" s="509"/>
      <c r="AL275" s="777">
        <f t="shared" si="80"/>
        <v>1688</v>
      </c>
      <c r="AM275" s="656"/>
      <c r="AN275" s="656"/>
      <c r="AO275" s="656"/>
      <c r="AP275" s="777">
        <f t="shared" ref="AP275:AP281" si="82">I275</f>
        <v>1688</v>
      </c>
      <c r="AQ275" s="656"/>
      <c r="AR275" s="777">
        <f t="shared" si="81"/>
        <v>1688</v>
      </c>
      <c r="AS275" s="777"/>
      <c r="AT275" s="543">
        <f t="shared" si="79"/>
        <v>1688</v>
      </c>
      <c r="AU275" s="777"/>
      <c r="AV275" s="778"/>
      <c r="AW275" s="778"/>
      <c r="AX275" s="778"/>
      <c r="AY275" s="778"/>
      <c r="AZ275" s="778"/>
      <c r="BA275" s="778"/>
      <c r="BB275" s="778"/>
      <c r="BC275" s="778"/>
      <c r="BD275" s="777">
        <f>I275/4</f>
        <v>422</v>
      </c>
      <c r="BE275" s="777"/>
      <c r="BF275" s="778"/>
      <c r="BG275" s="778"/>
      <c r="BH275" s="778"/>
      <c r="BI275" s="778"/>
      <c r="BJ275" s="778"/>
      <c r="BK275" s="778"/>
      <c r="BL275" s="778"/>
      <c r="BM275" s="778"/>
    </row>
    <row r="276" s="771" customFormat="1" ht="31" hidden="1" customHeight="1" spans="1:65">
      <c r="A276" s="775">
        <v>45820</v>
      </c>
      <c r="B276" s="776" t="s">
        <v>128</v>
      </c>
      <c r="C276" s="509" t="s">
        <v>90</v>
      </c>
      <c r="D276" s="777">
        <v>4500169834</v>
      </c>
      <c r="E276" s="886" t="s">
        <v>1191</v>
      </c>
      <c r="F276" s="778" t="s">
        <v>1192</v>
      </c>
      <c r="G276" s="779" t="s">
        <v>93</v>
      </c>
      <c r="H276" s="509" t="s">
        <v>94</v>
      </c>
      <c r="I276" s="509">
        <v>1580</v>
      </c>
      <c r="J276" s="509">
        <v>0</v>
      </c>
      <c r="K276" s="509">
        <v>4</v>
      </c>
      <c r="L276" s="780">
        <f t="shared" si="76"/>
        <v>395</v>
      </c>
      <c r="M276" s="781">
        <v>45867</v>
      </c>
      <c r="N276" s="781">
        <v>45873</v>
      </c>
      <c r="O276" s="782" t="s">
        <v>1189</v>
      </c>
      <c r="P276" s="782" t="s">
        <v>103</v>
      </c>
      <c r="Q276" s="509"/>
      <c r="R276" s="784" t="s">
        <v>132</v>
      </c>
      <c r="S276" s="784" t="s">
        <v>66</v>
      </c>
      <c r="T276" s="784" t="s">
        <v>133</v>
      </c>
      <c r="U276" s="683" t="s">
        <v>133</v>
      </c>
      <c r="V276" s="784"/>
      <c r="W276" s="776" t="s">
        <v>1076</v>
      </c>
      <c r="X276" s="781" t="s">
        <v>98</v>
      </c>
      <c r="Y276" s="785">
        <v>2.58</v>
      </c>
      <c r="Z276" s="786">
        <f t="shared" si="74"/>
        <v>4076.4</v>
      </c>
      <c r="AA276" s="509" t="s">
        <v>1193</v>
      </c>
      <c r="AB276" s="509" t="s">
        <v>93</v>
      </c>
      <c r="AC276" s="509" t="s">
        <v>76</v>
      </c>
      <c r="AD276" s="509"/>
      <c r="AE276" s="635"/>
      <c r="AF276" s="635"/>
      <c r="AG276" s="788">
        <v>1580</v>
      </c>
      <c r="AH276" s="782">
        <f t="shared" si="77"/>
        <v>0</v>
      </c>
      <c r="AI276" s="509"/>
      <c r="AJ276" s="509"/>
      <c r="AK276" s="509"/>
      <c r="AL276" s="777">
        <f t="shared" si="80"/>
        <v>1580</v>
      </c>
      <c r="AM276" s="656"/>
      <c r="AN276" s="656"/>
      <c r="AO276" s="656"/>
      <c r="AP276" s="777">
        <f t="shared" si="82"/>
        <v>1580</v>
      </c>
      <c r="AQ276" s="656"/>
      <c r="AR276" s="777">
        <f t="shared" si="81"/>
        <v>1580</v>
      </c>
      <c r="AS276" s="777"/>
      <c r="AT276" s="543">
        <f t="shared" si="79"/>
        <v>1580</v>
      </c>
      <c r="AU276" s="777"/>
      <c r="AV276" s="778"/>
      <c r="AW276" s="778"/>
      <c r="AX276" s="778"/>
      <c r="AY276" s="778"/>
      <c r="AZ276" s="778"/>
      <c r="BA276" s="778"/>
      <c r="BB276" s="778"/>
      <c r="BC276" s="778"/>
      <c r="BD276" s="777">
        <f>I276/4</f>
        <v>395</v>
      </c>
      <c r="BE276" s="777"/>
      <c r="BF276" s="778"/>
      <c r="BG276" s="778"/>
      <c r="BH276" s="778"/>
      <c r="BI276" s="778"/>
      <c r="BJ276" s="778"/>
      <c r="BK276" s="778"/>
      <c r="BL276" s="778"/>
      <c r="BM276" s="778"/>
    </row>
    <row r="277" s="771" customFormat="1" ht="31" hidden="1" customHeight="1" spans="1:65">
      <c r="A277" s="775">
        <v>45820</v>
      </c>
      <c r="B277" s="776" t="s">
        <v>128</v>
      </c>
      <c r="C277" s="509" t="s">
        <v>90</v>
      </c>
      <c r="D277" s="777">
        <v>4500169834</v>
      </c>
      <c r="E277" s="886" t="s">
        <v>1194</v>
      </c>
      <c r="F277" s="778" t="s">
        <v>1195</v>
      </c>
      <c r="G277" s="779" t="s">
        <v>93</v>
      </c>
      <c r="H277" s="509" t="s">
        <v>94</v>
      </c>
      <c r="I277" s="509">
        <v>1680</v>
      </c>
      <c r="J277" s="509">
        <v>0</v>
      </c>
      <c r="K277" s="509">
        <v>4</v>
      </c>
      <c r="L277" s="780">
        <f t="shared" si="76"/>
        <v>420</v>
      </c>
      <c r="M277" s="781">
        <v>45867</v>
      </c>
      <c r="N277" s="781">
        <v>45873</v>
      </c>
      <c r="O277" s="782" t="s">
        <v>1189</v>
      </c>
      <c r="P277" s="782" t="s">
        <v>103</v>
      </c>
      <c r="Q277" s="509"/>
      <c r="R277" s="784" t="s">
        <v>132</v>
      </c>
      <c r="S277" s="784" t="s">
        <v>66</v>
      </c>
      <c r="T277" s="784" t="s">
        <v>133</v>
      </c>
      <c r="U277" s="683" t="s">
        <v>133</v>
      </c>
      <c r="V277" s="784"/>
      <c r="W277" s="776" t="s">
        <v>1076</v>
      </c>
      <c r="X277" s="781" t="s">
        <v>98</v>
      </c>
      <c r="Y277" s="785">
        <v>2.58</v>
      </c>
      <c r="Z277" s="786">
        <f t="shared" ref="Z277:Z296" si="83">Y277*I277</f>
        <v>4334.4</v>
      </c>
      <c r="AA277" s="509" t="s">
        <v>1196</v>
      </c>
      <c r="AB277" s="509" t="s">
        <v>93</v>
      </c>
      <c r="AC277" s="509" t="s">
        <v>76</v>
      </c>
      <c r="AD277" s="509"/>
      <c r="AE277" s="635"/>
      <c r="AF277" s="635"/>
      <c r="AG277" s="788">
        <v>1680</v>
      </c>
      <c r="AH277" s="782">
        <f t="shared" si="77"/>
        <v>0</v>
      </c>
      <c r="AI277" s="509"/>
      <c r="AJ277" s="509"/>
      <c r="AK277" s="509"/>
      <c r="AL277" s="777">
        <f t="shared" si="80"/>
        <v>1680</v>
      </c>
      <c r="AM277" s="656"/>
      <c r="AN277" s="656"/>
      <c r="AO277" s="656"/>
      <c r="AP277" s="777">
        <f t="shared" si="82"/>
        <v>1680</v>
      </c>
      <c r="AQ277" s="656"/>
      <c r="AR277" s="777">
        <f t="shared" si="81"/>
        <v>1680</v>
      </c>
      <c r="AS277" s="777"/>
      <c r="AT277" s="543">
        <f t="shared" si="79"/>
        <v>1680</v>
      </c>
      <c r="AU277" s="777"/>
      <c r="AV277" s="778"/>
      <c r="AW277" s="778"/>
      <c r="AX277" s="778"/>
      <c r="AY277" s="778"/>
      <c r="AZ277" s="778"/>
      <c r="BA277" s="778"/>
      <c r="BB277" s="778"/>
      <c r="BC277" s="778"/>
      <c r="BD277" s="777">
        <f>I277/4</f>
        <v>420</v>
      </c>
      <c r="BE277" s="777"/>
      <c r="BF277" s="778"/>
      <c r="BG277" s="778"/>
      <c r="BH277" s="778"/>
      <c r="BI277" s="778"/>
      <c r="BJ277" s="778"/>
      <c r="BK277" s="778"/>
      <c r="BL277" s="778"/>
      <c r="BM277" s="778"/>
    </row>
    <row r="278" s="771" customFormat="1" ht="31" hidden="1" customHeight="1" spans="1:65">
      <c r="A278" s="775">
        <v>45820</v>
      </c>
      <c r="B278" s="776" t="s">
        <v>128</v>
      </c>
      <c r="C278" s="509" t="s">
        <v>90</v>
      </c>
      <c r="D278" s="777">
        <v>4500169834</v>
      </c>
      <c r="E278" s="886" t="s">
        <v>1197</v>
      </c>
      <c r="F278" s="778" t="s">
        <v>1198</v>
      </c>
      <c r="G278" s="779" t="s">
        <v>93</v>
      </c>
      <c r="H278" s="509" t="s">
        <v>94</v>
      </c>
      <c r="I278" s="509">
        <v>1232</v>
      </c>
      <c r="J278" s="509">
        <v>0</v>
      </c>
      <c r="K278" s="509">
        <v>4</v>
      </c>
      <c r="L278" s="780">
        <f t="shared" si="76"/>
        <v>308</v>
      </c>
      <c r="M278" s="781">
        <v>45867</v>
      </c>
      <c r="N278" s="781">
        <v>45873</v>
      </c>
      <c r="O278" s="782" t="s">
        <v>1189</v>
      </c>
      <c r="P278" s="782" t="s">
        <v>103</v>
      </c>
      <c r="Q278" s="509"/>
      <c r="R278" s="784" t="s">
        <v>132</v>
      </c>
      <c r="S278" s="784" t="s">
        <v>66</v>
      </c>
      <c r="T278" s="784" t="s">
        <v>133</v>
      </c>
      <c r="U278" s="683" t="s">
        <v>133</v>
      </c>
      <c r="V278" s="784"/>
      <c r="W278" s="776" t="s">
        <v>1076</v>
      </c>
      <c r="X278" s="781" t="s">
        <v>98</v>
      </c>
      <c r="Y278" s="785">
        <v>2.58</v>
      </c>
      <c r="Z278" s="786">
        <f t="shared" si="83"/>
        <v>3178.56</v>
      </c>
      <c r="AA278" s="509" t="s">
        <v>1199</v>
      </c>
      <c r="AB278" s="509" t="s">
        <v>93</v>
      </c>
      <c r="AC278" s="509" t="s">
        <v>76</v>
      </c>
      <c r="AD278" s="509"/>
      <c r="AE278" s="635"/>
      <c r="AF278" s="635"/>
      <c r="AG278" s="788">
        <v>1232</v>
      </c>
      <c r="AH278" s="782">
        <f t="shared" si="77"/>
        <v>0</v>
      </c>
      <c r="AI278" s="509"/>
      <c r="AJ278" s="509"/>
      <c r="AK278" s="509"/>
      <c r="AL278" s="777">
        <f t="shared" si="80"/>
        <v>1232</v>
      </c>
      <c r="AM278" s="656"/>
      <c r="AN278" s="656"/>
      <c r="AO278" s="656"/>
      <c r="AP278" s="777">
        <f t="shared" si="82"/>
        <v>1232</v>
      </c>
      <c r="AQ278" s="656"/>
      <c r="AR278" s="777">
        <f t="shared" si="81"/>
        <v>1232</v>
      </c>
      <c r="AS278" s="777"/>
      <c r="AT278" s="543">
        <f t="shared" si="79"/>
        <v>1232</v>
      </c>
      <c r="AU278" s="777"/>
      <c r="AV278" s="778"/>
      <c r="AW278" s="778"/>
      <c r="AX278" s="778"/>
      <c r="AY278" s="778"/>
      <c r="AZ278" s="778"/>
      <c r="BA278" s="778"/>
      <c r="BB278" s="778"/>
      <c r="BC278" s="778"/>
      <c r="BD278" s="777">
        <f>I278/4</f>
        <v>308</v>
      </c>
      <c r="BE278" s="777"/>
      <c r="BF278" s="778"/>
      <c r="BG278" s="778"/>
      <c r="BH278" s="778"/>
      <c r="BI278" s="778"/>
      <c r="BJ278" s="778"/>
      <c r="BK278" s="778"/>
      <c r="BL278" s="778"/>
      <c r="BM278" s="778"/>
    </row>
    <row r="279" s="771" customFormat="1" ht="31" hidden="1" customHeight="1" spans="1:65">
      <c r="A279" s="775">
        <v>45828</v>
      </c>
      <c r="B279" s="776" t="s">
        <v>125</v>
      </c>
      <c r="C279" s="509" t="s">
        <v>71</v>
      </c>
      <c r="D279" s="777">
        <v>4500170843</v>
      </c>
      <c r="E279" s="509">
        <v>20862339</v>
      </c>
      <c r="F279" s="778" t="s">
        <v>1200</v>
      </c>
      <c r="G279" s="779" t="s">
        <v>463</v>
      </c>
      <c r="H279" s="509" t="s">
        <v>424</v>
      </c>
      <c r="I279" s="509">
        <v>354</v>
      </c>
      <c r="J279" s="509">
        <v>0</v>
      </c>
      <c r="K279" s="509">
        <v>6</v>
      </c>
      <c r="L279" s="780">
        <f t="shared" si="76"/>
        <v>59</v>
      </c>
      <c r="M279" s="781">
        <v>45870</v>
      </c>
      <c r="N279" s="781">
        <v>45868</v>
      </c>
      <c r="O279" s="782"/>
      <c r="P279" s="782" t="s">
        <v>103</v>
      </c>
      <c r="Q279" s="509"/>
      <c r="R279" s="784">
        <v>45828</v>
      </c>
      <c r="S279" s="784" t="s">
        <v>96</v>
      </c>
      <c r="T279" s="784" t="s">
        <v>1201</v>
      </c>
      <c r="U279" s="784"/>
      <c r="V279" s="784"/>
      <c r="W279" s="776" t="s">
        <v>1202</v>
      </c>
      <c r="X279" s="781" t="s">
        <v>121</v>
      </c>
      <c r="Y279" s="785">
        <v>7.4117</v>
      </c>
      <c r="Z279" s="786">
        <f t="shared" si="83"/>
        <v>2623.7418</v>
      </c>
      <c r="AA279" s="509"/>
      <c r="AB279" s="509" t="s">
        <v>1203</v>
      </c>
      <c r="AC279" s="509" t="s">
        <v>76</v>
      </c>
      <c r="AD279" s="509"/>
      <c r="AE279" s="635"/>
      <c r="AF279" s="635"/>
      <c r="AG279" s="788">
        <f>I279</f>
        <v>354</v>
      </c>
      <c r="AH279" s="782">
        <f t="shared" si="77"/>
        <v>0</v>
      </c>
      <c r="AI279" s="509"/>
      <c r="AJ279" s="509"/>
      <c r="AK279" s="509"/>
      <c r="AL279" s="777">
        <f t="shared" ref="AL279:AL296" si="84">I279</f>
        <v>354</v>
      </c>
      <c r="AM279" s="656"/>
      <c r="AN279" s="656"/>
      <c r="AO279" s="656"/>
      <c r="AP279" s="777">
        <f t="shared" si="82"/>
        <v>354</v>
      </c>
      <c r="AQ279" s="656"/>
      <c r="AR279" s="777">
        <f t="shared" si="81"/>
        <v>354</v>
      </c>
      <c r="AS279" s="777"/>
      <c r="AT279" s="777">
        <f t="shared" ref="AT279:AT295" si="85">I279</f>
        <v>354</v>
      </c>
      <c r="AU279" s="777"/>
      <c r="AV279" s="778"/>
      <c r="AW279" s="778"/>
      <c r="AX279" s="778"/>
      <c r="AY279" s="778"/>
      <c r="AZ279" s="778"/>
      <c r="BA279" s="778"/>
      <c r="BB279" s="778"/>
      <c r="BC279" s="778"/>
      <c r="BD279" s="778"/>
      <c r="BE279" s="777"/>
      <c r="BF279" s="778"/>
      <c r="BG279" s="778"/>
      <c r="BH279" s="778"/>
      <c r="BI279" s="777"/>
      <c r="BJ279" s="778">
        <f>I279</f>
        <v>354</v>
      </c>
      <c r="BK279" s="778"/>
      <c r="BL279" s="778"/>
      <c r="BM279" s="778"/>
    </row>
    <row r="280" s="771" customFormat="1" ht="31" hidden="1" customHeight="1" spans="1:65">
      <c r="A280" s="775">
        <v>45828</v>
      </c>
      <c r="B280" s="776" t="s">
        <v>122</v>
      </c>
      <c r="C280" s="509" t="s">
        <v>116</v>
      </c>
      <c r="D280" s="777">
        <v>4500170842</v>
      </c>
      <c r="E280" s="509">
        <v>20862333</v>
      </c>
      <c r="F280" s="778" t="s">
        <v>1204</v>
      </c>
      <c r="G280" s="779" t="s">
        <v>463</v>
      </c>
      <c r="H280" s="509" t="s">
        <v>424</v>
      </c>
      <c r="I280" s="509">
        <v>3246</v>
      </c>
      <c r="J280" s="509">
        <v>0</v>
      </c>
      <c r="K280" s="509">
        <v>6</v>
      </c>
      <c r="L280" s="780">
        <f t="shared" si="76"/>
        <v>541</v>
      </c>
      <c r="M280" s="781">
        <v>45870</v>
      </c>
      <c r="N280" s="781">
        <v>45868</v>
      </c>
      <c r="O280" s="782"/>
      <c r="P280" s="782" t="s">
        <v>103</v>
      </c>
      <c r="Q280" s="509"/>
      <c r="R280" s="784">
        <v>45828</v>
      </c>
      <c r="S280" s="784" t="s">
        <v>96</v>
      </c>
      <c r="T280" s="784" t="s">
        <v>1182</v>
      </c>
      <c r="U280" s="784"/>
      <c r="V280" s="784"/>
      <c r="W280" s="776" t="s">
        <v>1205</v>
      </c>
      <c r="X280" s="781" t="s">
        <v>121</v>
      </c>
      <c r="Y280" s="785">
        <v>6.8865</v>
      </c>
      <c r="Z280" s="786">
        <f t="shared" si="83"/>
        <v>22353.579</v>
      </c>
      <c r="AA280" s="509"/>
      <c r="AB280" s="509" t="s">
        <v>1203</v>
      </c>
      <c r="AC280" s="509" t="s">
        <v>76</v>
      </c>
      <c r="AD280" s="509"/>
      <c r="AE280" s="635"/>
      <c r="AF280" s="635"/>
      <c r="AG280" s="788">
        <f>I280</f>
        <v>3246</v>
      </c>
      <c r="AH280" s="782">
        <f t="shared" si="77"/>
        <v>0</v>
      </c>
      <c r="AI280" s="509"/>
      <c r="AJ280" s="509"/>
      <c r="AK280" s="509"/>
      <c r="AL280" s="777">
        <f t="shared" si="84"/>
        <v>3246</v>
      </c>
      <c r="AM280" s="656"/>
      <c r="AN280" s="656"/>
      <c r="AO280" s="656"/>
      <c r="AP280" s="777">
        <f t="shared" si="82"/>
        <v>3246</v>
      </c>
      <c r="AQ280" s="656"/>
      <c r="AR280" s="777">
        <f t="shared" si="81"/>
        <v>3246</v>
      </c>
      <c r="AS280" s="777"/>
      <c r="AT280" s="777">
        <f t="shared" si="85"/>
        <v>3246</v>
      </c>
      <c r="AU280" s="777"/>
      <c r="AV280" s="778"/>
      <c r="AW280" s="778"/>
      <c r="AX280" s="778"/>
      <c r="AY280" s="778"/>
      <c r="AZ280" s="778"/>
      <c r="BA280" s="778"/>
      <c r="BB280" s="778"/>
      <c r="BC280" s="778"/>
      <c r="BD280" s="778"/>
      <c r="BE280" s="777"/>
      <c r="BF280" s="778"/>
      <c r="BG280" s="778"/>
      <c r="BH280" s="778"/>
      <c r="BI280" s="777"/>
      <c r="BJ280" s="778">
        <f>I280</f>
        <v>3246</v>
      </c>
      <c r="BK280" s="778"/>
      <c r="BL280" s="778"/>
      <c r="BM280" s="778"/>
    </row>
    <row r="281" s="771" customFormat="1" ht="31" hidden="1" customHeight="1" spans="1:65">
      <c r="A281" s="775">
        <v>45838</v>
      </c>
      <c r="B281" s="776" t="s">
        <v>360</v>
      </c>
      <c r="C281" s="509" t="s">
        <v>249</v>
      </c>
      <c r="D281" s="777">
        <v>4500164207</v>
      </c>
      <c r="E281" s="509">
        <v>240150</v>
      </c>
      <c r="F281" s="778" t="s">
        <v>1206</v>
      </c>
      <c r="G281" s="779" t="s">
        <v>64</v>
      </c>
      <c r="H281" s="509" t="s">
        <v>65</v>
      </c>
      <c r="I281" s="509">
        <v>300</v>
      </c>
      <c r="J281" s="509">
        <v>0</v>
      </c>
      <c r="K281" s="509">
        <v>12</v>
      </c>
      <c r="L281" s="780">
        <f t="shared" si="76"/>
        <v>25</v>
      </c>
      <c r="M281" s="781">
        <v>45870</v>
      </c>
      <c r="N281" s="781">
        <v>45868</v>
      </c>
      <c r="O281" s="782"/>
      <c r="P281" s="782" t="s">
        <v>103</v>
      </c>
      <c r="Q281" s="509"/>
      <c r="R281" s="784">
        <v>45838</v>
      </c>
      <c r="S281" s="784" t="s">
        <v>66</v>
      </c>
      <c r="T281" s="784">
        <v>45838</v>
      </c>
      <c r="U281" s="784"/>
      <c r="V281" s="784"/>
      <c r="W281" s="776" t="s">
        <v>1207</v>
      </c>
      <c r="X281" s="781">
        <v>300150</v>
      </c>
      <c r="Y281" s="785">
        <v>4.1456</v>
      </c>
      <c r="Z281" s="786">
        <f t="shared" si="83"/>
        <v>1243.68</v>
      </c>
      <c r="AA281" s="509"/>
      <c r="AB281" s="509" t="s">
        <v>64</v>
      </c>
      <c r="AC281" s="509" t="s">
        <v>76</v>
      </c>
      <c r="AD281" s="509"/>
      <c r="AE281" s="635"/>
      <c r="AF281" s="635"/>
      <c r="AG281" s="788">
        <v>300</v>
      </c>
      <c r="AH281" s="782">
        <f t="shared" si="77"/>
        <v>0</v>
      </c>
      <c r="AI281" s="509"/>
      <c r="AJ281" s="509"/>
      <c r="AK281" s="509"/>
      <c r="AL281" s="777">
        <f t="shared" si="84"/>
        <v>300</v>
      </c>
      <c r="AM281" s="656"/>
      <c r="AN281" s="656"/>
      <c r="AO281" s="656"/>
      <c r="AP281" s="777">
        <f t="shared" si="82"/>
        <v>300</v>
      </c>
      <c r="AQ281" s="656"/>
      <c r="AR281" s="777">
        <f t="shared" si="81"/>
        <v>300</v>
      </c>
      <c r="AS281" s="777"/>
      <c r="AT281" s="777">
        <f t="shared" si="85"/>
        <v>300</v>
      </c>
      <c r="AU281" s="777"/>
      <c r="AV281" s="778"/>
      <c r="AW281" s="778"/>
      <c r="AX281" s="778"/>
      <c r="AY281" s="778"/>
      <c r="AZ281" s="778"/>
      <c r="BA281" s="778"/>
      <c r="BB281" s="778"/>
      <c r="BC281" s="778"/>
      <c r="BD281" s="778"/>
      <c r="BE281" s="777"/>
      <c r="BF281" s="778"/>
      <c r="BG281" s="778"/>
      <c r="BH281" s="778"/>
      <c r="BI281" s="778"/>
      <c r="BJ281" s="778"/>
      <c r="BK281" s="778"/>
      <c r="BL281" s="778"/>
      <c r="BM281" s="778"/>
    </row>
    <row r="282" s="771" customFormat="1" ht="31" hidden="1" customHeight="1" spans="1:65">
      <c r="A282" s="775">
        <v>45826</v>
      </c>
      <c r="B282" s="776" t="s">
        <v>1208</v>
      </c>
      <c r="C282" s="509" t="s">
        <v>153</v>
      </c>
      <c r="D282" s="777">
        <v>4500170357</v>
      </c>
      <c r="E282" s="509" t="s">
        <v>1209</v>
      </c>
      <c r="F282" s="778" t="s">
        <v>1210</v>
      </c>
      <c r="G282" s="779" t="s">
        <v>93</v>
      </c>
      <c r="H282" s="509" t="s">
        <v>94</v>
      </c>
      <c r="I282" s="509">
        <v>616</v>
      </c>
      <c r="J282" s="509">
        <v>0</v>
      </c>
      <c r="K282" s="509">
        <v>4</v>
      </c>
      <c r="L282" s="780">
        <f t="shared" si="76"/>
        <v>154</v>
      </c>
      <c r="M282" s="781">
        <v>45870</v>
      </c>
      <c r="N282" s="781">
        <v>45869</v>
      </c>
      <c r="O282" s="782"/>
      <c r="P282" s="782" t="s">
        <v>103</v>
      </c>
      <c r="Q282" s="509"/>
      <c r="R282" s="784">
        <v>45826</v>
      </c>
      <c r="S282" s="784" t="s">
        <v>66</v>
      </c>
      <c r="T282" s="784">
        <v>45838</v>
      </c>
      <c r="U282" s="784"/>
      <c r="V282" s="784" t="s">
        <v>1211</v>
      </c>
      <c r="W282" s="776" t="s">
        <v>1212</v>
      </c>
      <c r="X282" s="781" t="s">
        <v>1213</v>
      </c>
      <c r="Y282" s="785">
        <v>4.3</v>
      </c>
      <c r="Z282" s="786">
        <f t="shared" si="83"/>
        <v>2648.8</v>
      </c>
      <c r="AA282" s="509"/>
      <c r="AB282" s="509" t="s">
        <v>141</v>
      </c>
      <c r="AC282" s="509" t="s">
        <v>76</v>
      </c>
      <c r="AD282" s="509"/>
      <c r="AE282" s="635"/>
      <c r="AF282" s="635"/>
      <c r="AG282" s="788">
        <v>616</v>
      </c>
      <c r="AH282" s="782">
        <f t="shared" si="77"/>
        <v>0</v>
      </c>
      <c r="AI282" s="509"/>
      <c r="AJ282" s="509"/>
      <c r="AK282" s="509"/>
      <c r="AL282" s="777">
        <f t="shared" si="84"/>
        <v>616</v>
      </c>
      <c r="AM282" s="656"/>
      <c r="AN282" s="656"/>
      <c r="AO282" s="656"/>
      <c r="AP282" s="777"/>
      <c r="AQ282" s="656">
        <f>I282</f>
        <v>616</v>
      </c>
      <c r="AR282" s="777">
        <f t="shared" si="81"/>
        <v>616</v>
      </c>
      <c r="AS282" s="777"/>
      <c r="AT282" s="777">
        <f t="shared" si="85"/>
        <v>616</v>
      </c>
      <c r="AU282" s="777"/>
      <c r="AV282" s="778"/>
      <c r="AW282" s="778"/>
      <c r="AX282" s="778"/>
      <c r="AY282" s="778"/>
      <c r="AZ282" s="778"/>
      <c r="BA282" s="778"/>
      <c r="BB282" s="778"/>
      <c r="BC282" s="778"/>
      <c r="BD282" s="778"/>
      <c r="BE282" s="777">
        <f>I282/4</f>
        <v>154</v>
      </c>
      <c r="BF282" s="778"/>
      <c r="BG282" s="778"/>
      <c r="BH282" s="778"/>
      <c r="BI282" s="778"/>
      <c r="BJ282" s="778"/>
      <c r="BK282" s="778"/>
      <c r="BL282" s="778"/>
      <c r="BM282" s="778"/>
    </row>
    <row r="283" s="771" customFormat="1" ht="31" hidden="1" customHeight="1" spans="1:65">
      <c r="A283" s="775">
        <v>45828</v>
      </c>
      <c r="B283" s="776" t="s">
        <v>1214</v>
      </c>
      <c r="C283" s="509" t="s">
        <v>366</v>
      </c>
      <c r="D283" s="777">
        <v>4500170840</v>
      </c>
      <c r="E283" s="509"/>
      <c r="F283" s="778" t="s">
        <v>1215</v>
      </c>
      <c r="G283" s="779" t="s">
        <v>64</v>
      </c>
      <c r="H283" s="509" t="s">
        <v>65</v>
      </c>
      <c r="I283" s="509">
        <v>996</v>
      </c>
      <c r="J283" s="509">
        <v>0</v>
      </c>
      <c r="K283" s="509">
        <v>12</v>
      </c>
      <c r="L283" s="780">
        <f t="shared" si="76"/>
        <v>83</v>
      </c>
      <c r="M283" s="781">
        <v>45870</v>
      </c>
      <c r="N283" s="781">
        <v>45870</v>
      </c>
      <c r="O283" s="782" t="s">
        <v>1216</v>
      </c>
      <c r="P283" s="782" t="s">
        <v>103</v>
      </c>
      <c r="Q283" s="509"/>
      <c r="R283" s="784">
        <v>45840</v>
      </c>
      <c r="S283" s="784" t="s">
        <v>66</v>
      </c>
      <c r="T283" s="784">
        <v>45845</v>
      </c>
      <c r="U283" s="784" t="s">
        <v>1217</v>
      </c>
      <c r="V283" s="784" t="s">
        <v>1218</v>
      </c>
      <c r="W283" s="776" t="s">
        <v>1219</v>
      </c>
      <c r="X283" s="781" t="s">
        <v>370</v>
      </c>
      <c r="Y283" s="785">
        <v>4.1456</v>
      </c>
      <c r="Z283" s="786">
        <f t="shared" si="83"/>
        <v>4129.0176</v>
      </c>
      <c r="AA283" s="509"/>
      <c r="AB283" s="509" t="s">
        <v>165</v>
      </c>
      <c r="AC283" s="509" t="s">
        <v>76</v>
      </c>
      <c r="AD283" s="509"/>
      <c r="AE283" s="635"/>
      <c r="AF283" s="635"/>
      <c r="AG283" s="788">
        <v>996</v>
      </c>
      <c r="AH283" s="782">
        <f t="shared" si="77"/>
        <v>0</v>
      </c>
      <c r="AI283" s="509"/>
      <c r="AJ283" s="509"/>
      <c r="AK283" s="509"/>
      <c r="AL283" s="777">
        <f t="shared" si="84"/>
        <v>996</v>
      </c>
      <c r="AM283" s="656"/>
      <c r="AN283" s="656"/>
      <c r="AO283" s="656"/>
      <c r="AP283" s="777"/>
      <c r="AQ283" s="656">
        <f>I283</f>
        <v>996</v>
      </c>
      <c r="AR283" s="777">
        <f t="shared" si="81"/>
        <v>996</v>
      </c>
      <c r="AS283" s="777"/>
      <c r="AT283" s="777">
        <f t="shared" si="85"/>
        <v>996</v>
      </c>
      <c r="AU283" s="777"/>
      <c r="AV283" s="778"/>
      <c r="AW283" s="778"/>
      <c r="AX283" s="778"/>
      <c r="AY283" s="778"/>
      <c r="AZ283" s="778"/>
      <c r="BA283" s="778"/>
      <c r="BB283" s="778"/>
      <c r="BC283" s="778"/>
      <c r="BD283" s="778"/>
      <c r="BE283" s="777"/>
      <c r="BF283" s="778"/>
      <c r="BG283" s="778"/>
      <c r="BH283" s="778"/>
      <c r="BI283" s="778"/>
      <c r="BJ283" s="778"/>
      <c r="BK283" s="778"/>
      <c r="BL283" s="778"/>
      <c r="BM283" s="778"/>
    </row>
    <row r="284" s="771" customFormat="1" ht="31" hidden="1" customHeight="1" spans="1:65">
      <c r="A284" s="775">
        <v>45826</v>
      </c>
      <c r="B284" s="776" t="s">
        <v>1220</v>
      </c>
      <c r="C284" s="509" t="s">
        <v>468</v>
      </c>
      <c r="D284" s="777">
        <v>4500170311</v>
      </c>
      <c r="E284" s="509"/>
      <c r="F284" s="778" t="s">
        <v>1221</v>
      </c>
      <c r="G284" s="779" t="s">
        <v>64</v>
      </c>
      <c r="H284" s="509" t="s">
        <v>65</v>
      </c>
      <c r="I284" s="509">
        <v>312</v>
      </c>
      <c r="J284" s="509">
        <v>0</v>
      </c>
      <c r="K284" s="509">
        <v>12</v>
      </c>
      <c r="L284" s="780">
        <f t="shared" si="76"/>
        <v>26</v>
      </c>
      <c r="M284" s="781">
        <v>45870</v>
      </c>
      <c r="N284" s="781">
        <v>45873</v>
      </c>
      <c r="O284" s="782" t="s">
        <v>1222</v>
      </c>
      <c r="P284" s="782" t="s">
        <v>103</v>
      </c>
      <c r="Q284" s="509"/>
      <c r="R284" s="784">
        <v>45840</v>
      </c>
      <c r="S284" s="784" t="s">
        <v>66</v>
      </c>
      <c r="T284" s="784">
        <v>45848</v>
      </c>
      <c r="U284" s="784"/>
      <c r="V284" s="784"/>
      <c r="W284" s="776" t="s">
        <v>1223</v>
      </c>
      <c r="X284" s="781" t="s">
        <v>304</v>
      </c>
      <c r="Y284" s="785">
        <v>4.1456</v>
      </c>
      <c r="Z284" s="786">
        <f t="shared" si="83"/>
        <v>1293.4272</v>
      </c>
      <c r="AA284" s="509"/>
      <c r="AB284" s="509" t="s">
        <v>64</v>
      </c>
      <c r="AC284" s="509" t="s">
        <v>76</v>
      </c>
      <c r="AD284" s="509"/>
      <c r="AE284" s="635"/>
      <c r="AF284" s="635"/>
      <c r="AG284" s="788">
        <v>312</v>
      </c>
      <c r="AH284" s="782">
        <f t="shared" si="77"/>
        <v>0</v>
      </c>
      <c r="AI284" s="509"/>
      <c r="AJ284" s="509"/>
      <c r="AK284" s="509"/>
      <c r="AL284" s="777">
        <f t="shared" si="84"/>
        <v>312</v>
      </c>
      <c r="AM284" s="656"/>
      <c r="AN284" s="656"/>
      <c r="AO284" s="656"/>
      <c r="AP284" s="777"/>
      <c r="AQ284" s="656">
        <f>I284</f>
        <v>312</v>
      </c>
      <c r="AR284" s="777">
        <f t="shared" si="81"/>
        <v>312</v>
      </c>
      <c r="AS284" s="777"/>
      <c r="AT284" s="777">
        <f t="shared" si="85"/>
        <v>312</v>
      </c>
      <c r="AU284" s="777"/>
      <c r="AV284" s="778"/>
      <c r="AW284" s="778"/>
      <c r="AX284" s="778"/>
      <c r="AY284" s="778"/>
      <c r="AZ284" s="778"/>
      <c r="BA284" s="778"/>
      <c r="BB284" s="778"/>
      <c r="BC284" s="778"/>
      <c r="BD284" s="778"/>
      <c r="BE284" s="777"/>
      <c r="BF284" s="778"/>
      <c r="BG284" s="778"/>
      <c r="BH284" s="778"/>
      <c r="BI284" s="778"/>
      <c r="BJ284" s="778"/>
      <c r="BK284" s="778"/>
      <c r="BL284" s="778"/>
      <c r="BM284" s="778"/>
    </row>
    <row r="285" s="771" customFormat="1" ht="31" hidden="1" customHeight="1" spans="1:65">
      <c r="A285" s="775">
        <v>45826</v>
      </c>
      <c r="B285" s="776" t="s">
        <v>1224</v>
      </c>
      <c r="C285" s="509" t="s">
        <v>524</v>
      </c>
      <c r="D285" s="777">
        <v>4500170501</v>
      </c>
      <c r="E285" s="509"/>
      <c r="F285" s="778" t="s">
        <v>1225</v>
      </c>
      <c r="G285" s="779" t="s">
        <v>64</v>
      </c>
      <c r="H285" s="509" t="s">
        <v>65</v>
      </c>
      <c r="I285" s="509">
        <v>504</v>
      </c>
      <c r="J285" s="509">
        <v>0</v>
      </c>
      <c r="K285" s="509">
        <v>12</v>
      </c>
      <c r="L285" s="780">
        <f t="shared" si="76"/>
        <v>42</v>
      </c>
      <c r="M285" s="781">
        <v>45873</v>
      </c>
      <c r="N285" s="781">
        <v>45873</v>
      </c>
      <c r="O285" s="782"/>
      <c r="P285" s="782" t="s">
        <v>103</v>
      </c>
      <c r="Q285" s="509"/>
      <c r="R285" s="784">
        <v>45834</v>
      </c>
      <c r="S285" s="784" t="s">
        <v>66</v>
      </c>
      <c r="T285" s="784" t="s">
        <v>1226</v>
      </c>
      <c r="U285" s="784"/>
      <c r="V285" s="784"/>
      <c r="W285" s="776" t="s">
        <v>1227</v>
      </c>
      <c r="X285" s="781" t="s">
        <v>207</v>
      </c>
      <c r="Y285" s="785">
        <v>4.1456</v>
      </c>
      <c r="Z285" s="786">
        <f t="shared" si="83"/>
        <v>2089.3824</v>
      </c>
      <c r="AA285" s="509"/>
      <c r="AB285" s="509" t="s">
        <v>64</v>
      </c>
      <c r="AC285" s="509" t="s">
        <v>76</v>
      </c>
      <c r="AD285" s="509"/>
      <c r="AE285" s="635"/>
      <c r="AF285" s="635"/>
      <c r="AG285" s="788">
        <v>504</v>
      </c>
      <c r="AH285" s="782">
        <f t="shared" ref="AH285:AH296" si="86">AG285-I285</f>
        <v>0</v>
      </c>
      <c r="AI285" s="509"/>
      <c r="AJ285" s="509"/>
      <c r="AK285" s="509"/>
      <c r="AL285" s="777">
        <f t="shared" si="84"/>
        <v>504</v>
      </c>
      <c r="AM285" s="656"/>
      <c r="AN285" s="656"/>
      <c r="AO285" s="656"/>
      <c r="AP285" s="777">
        <f>I285</f>
        <v>504</v>
      </c>
      <c r="AQ285" s="656"/>
      <c r="AR285" s="777">
        <f t="shared" si="81"/>
        <v>504</v>
      </c>
      <c r="AS285" s="777"/>
      <c r="AT285" s="777">
        <f t="shared" si="85"/>
        <v>504</v>
      </c>
      <c r="AU285" s="777"/>
      <c r="AV285" s="778"/>
      <c r="AW285" s="778"/>
      <c r="AX285" s="778"/>
      <c r="AY285" s="778"/>
      <c r="AZ285" s="778"/>
      <c r="BA285" s="778"/>
      <c r="BB285" s="778"/>
      <c r="BC285" s="778"/>
      <c r="BD285" s="778"/>
      <c r="BE285" s="777"/>
      <c r="BF285" s="778"/>
      <c r="BG285" s="778"/>
      <c r="BH285" s="778"/>
      <c r="BI285" s="778"/>
      <c r="BJ285" s="778"/>
      <c r="BK285" s="778"/>
      <c r="BL285" s="778"/>
      <c r="BM285" s="778"/>
    </row>
    <row r="286" s="771" customFormat="1" ht="31" hidden="1" customHeight="1" spans="1:65">
      <c r="A286" s="775">
        <v>45838</v>
      </c>
      <c r="B286" s="776" t="s">
        <v>1228</v>
      </c>
      <c r="C286" s="509" t="s">
        <v>841</v>
      </c>
      <c r="D286" s="777">
        <v>4500172103</v>
      </c>
      <c r="E286" s="509"/>
      <c r="F286" s="778" t="s">
        <v>1229</v>
      </c>
      <c r="G286" s="779" t="s">
        <v>64</v>
      </c>
      <c r="H286" s="509" t="s">
        <v>65</v>
      </c>
      <c r="I286" s="509">
        <v>600</v>
      </c>
      <c r="J286" s="509">
        <v>0</v>
      </c>
      <c r="K286" s="509">
        <v>12</v>
      </c>
      <c r="L286" s="780">
        <f t="shared" si="76"/>
        <v>50</v>
      </c>
      <c r="M286" s="781">
        <v>45874</v>
      </c>
      <c r="N286" s="781">
        <v>45870</v>
      </c>
      <c r="O286" s="782"/>
      <c r="P286" s="782" t="s">
        <v>103</v>
      </c>
      <c r="Q286" s="509"/>
      <c r="R286" s="784">
        <v>45845</v>
      </c>
      <c r="S286" s="784" t="s">
        <v>66</v>
      </c>
      <c r="T286" s="784" t="s">
        <v>1230</v>
      </c>
      <c r="U286" s="784"/>
      <c r="V286" s="784"/>
      <c r="W286" s="776" t="s">
        <v>1231</v>
      </c>
      <c r="X286" s="781" t="s">
        <v>853</v>
      </c>
      <c r="Y286" s="785">
        <v>4.1456</v>
      </c>
      <c r="Z286" s="786">
        <f t="shared" si="83"/>
        <v>2487.36</v>
      </c>
      <c r="AA286" s="509" t="s">
        <v>1232</v>
      </c>
      <c r="AB286" s="509" t="s">
        <v>165</v>
      </c>
      <c r="AC286" s="509" t="s">
        <v>76</v>
      </c>
      <c r="AD286" s="509"/>
      <c r="AE286" s="635"/>
      <c r="AF286" s="635"/>
      <c r="AG286" s="788">
        <v>600</v>
      </c>
      <c r="AH286" s="782">
        <f t="shared" si="86"/>
        <v>0</v>
      </c>
      <c r="AI286" s="509"/>
      <c r="AJ286" s="509"/>
      <c r="AK286" s="509"/>
      <c r="AL286" s="777">
        <f t="shared" si="84"/>
        <v>600</v>
      </c>
      <c r="AM286" s="656"/>
      <c r="AN286" s="656"/>
      <c r="AO286" s="656"/>
      <c r="AP286" s="777"/>
      <c r="AQ286" s="656">
        <f>I286</f>
        <v>600</v>
      </c>
      <c r="AR286" s="777">
        <f t="shared" si="81"/>
        <v>600</v>
      </c>
      <c r="AS286" s="777"/>
      <c r="AT286" s="777">
        <f t="shared" si="85"/>
        <v>600</v>
      </c>
      <c r="AU286" s="777"/>
      <c r="AV286" s="778"/>
      <c r="AW286" s="778"/>
      <c r="AX286" s="778"/>
      <c r="AY286" s="778"/>
      <c r="AZ286" s="778"/>
      <c r="BA286" s="778"/>
      <c r="BB286" s="778"/>
      <c r="BC286" s="778"/>
      <c r="BD286" s="778"/>
      <c r="BE286" s="777"/>
      <c r="BF286" s="778"/>
      <c r="BG286" s="778"/>
      <c r="BH286" s="778"/>
      <c r="BI286" s="778"/>
      <c r="BJ286" s="778"/>
      <c r="BK286" s="778"/>
      <c r="BL286" s="778"/>
      <c r="BM286" s="778"/>
    </row>
    <row r="287" s="771" customFormat="1" ht="31" hidden="1" customHeight="1" spans="1:65">
      <c r="A287" s="775">
        <v>45785</v>
      </c>
      <c r="B287" s="776" t="s">
        <v>1233</v>
      </c>
      <c r="C287" s="509" t="s">
        <v>1234</v>
      </c>
      <c r="D287" s="777">
        <v>4500165405</v>
      </c>
      <c r="E287" s="509" t="s">
        <v>1235</v>
      </c>
      <c r="F287" s="778" t="s">
        <v>1236</v>
      </c>
      <c r="G287" s="779" t="s">
        <v>64</v>
      </c>
      <c r="H287" s="509" t="s">
        <v>65</v>
      </c>
      <c r="I287" s="509">
        <v>816</v>
      </c>
      <c r="J287" s="509">
        <v>0</v>
      </c>
      <c r="K287" s="509">
        <v>12</v>
      </c>
      <c r="L287" s="780">
        <f t="shared" si="76"/>
        <v>68</v>
      </c>
      <c r="M287" s="781">
        <v>45874</v>
      </c>
      <c r="N287" s="781">
        <v>45870</v>
      </c>
      <c r="O287" s="782"/>
      <c r="P287" s="782" t="s">
        <v>103</v>
      </c>
      <c r="Q287" s="509"/>
      <c r="R287" s="784">
        <v>45785</v>
      </c>
      <c r="S287" s="784" t="s">
        <v>66</v>
      </c>
      <c r="T287" s="784">
        <v>45853</v>
      </c>
      <c r="U287" s="784"/>
      <c r="V287" s="784"/>
      <c r="W287" s="776" t="s">
        <v>1237</v>
      </c>
      <c r="X287" s="781" t="s">
        <v>1238</v>
      </c>
      <c r="Y287" s="785">
        <v>4.2386</v>
      </c>
      <c r="Z287" s="786">
        <f t="shared" si="83"/>
        <v>3458.6976</v>
      </c>
      <c r="AA287" s="509"/>
      <c r="AB287" s="509" t="s">
        <v>64</v>
      </c>
      <c r="AC287" s="509" t="s">
        <v>76</v>
      </c>
      <c r="AD287" s="509"/>
      <c r="AE287" s="635"/>
      <c r="AF287" s="635"/>
      <c r="AG287" s="788">
        <v>816</v>
      </c>
      <c r="AH287" s="782">
        <f t="shared" si="86"/>
        <v>0</v>
      </c>
      <c r="AI287" s="509"/>
      <c r="AJ287" s="509"/>
      <c r="AK287" s="509"/>
      <c r="AL287" s="777">
        <f t="shared" si="84"/>
        <v>816</v>
      </c>
      <c r="AM287" s="656"/>
      <c r="AN287" s="656"/>
      <c r="AO287" s="656"/>
      <c r="AP287" s="777">
        <f t="shared" ref="AP287:AP296" si="87">I287</f>
        <v>816</v>
      </c>
      <c r="AQ287" s="656"/>
      <c r="AR287" s="777">
        <f t="shared" si="81"/>
        <v>816</v>
      </c>
      <c r="AS287" s="777"/>
      <c r="AT287" s="777">
        <f t="shared" si="85"/>
        <v>816</v>
      </c>
      <c r="AU287" s="777"/>
      <c r="AV287" s="778"/>
      <c r="AW287" s="778"/>
      <c r="AX287" s="778"/>
      <c r="AY287" s="778"/>
      <c r="AZ287" s="778"/>
      <c r="BA287" s="778"/>
      <c r="BB287" s="778"/>
      <c r="BC287" s="778"/>
      <c r="BD287" s="778"/>
      <c r="BE287" s="777"/>
      <c r="BF287" s="778"/>
      <c r="BG287" s="778"/>
      <c r="BH287" s="778"/>
      <c r="BI287" s="778"/>
      <c r="BJ287" s="778"/>
      <c r="BK287" s="778"/>
      <c r="BL287" s="778"/>
      <c r="BM287" s="778"/>
    </row>
    <row r="288" s="771" customFormat="1" ht="31" hidden="1" customHeight="1" spans="1:65">
      <c r="A288" s="775">
        <v>45790</v>
      </c>
      <c r="B288" s="776" t="s">
        <v>1233</v>
      </c>
      <c r="C288" s="509" t="s">
        <v>1234</v>
      </c>
      <c r="D288" s="777">
        <v>4500165405</v>
      </c>
      <c r="E288" s="509" t="s">
        <v>1239</v>
      </c>
      <c r="F288" s="778" t="s">
        <v>1240</v>
      </c>
      <c r="G288" s="779" t="s">
        <v>64</v>
      </c>
      <c r="H288" s="509" t="s">
        <v>65</v>
      </c>
      <c r="I288" s="509">
        <v>1188</v>
      </c>
      <c r="J288" s="509">
        <v>0</v>
      </c>
      <c r="K288" s="509">
        <v>12</v>
      </c>
      <c r="L288" s="780">
        <f t="shared" si="76"/>
        <v>99</v>
      </c>
      <c r="M288" s="781">
        <v>45874</v>
      </c>
      <c r="N288" s="781">
        <v>45870</v>
      </c>
      <c r="O288" s="782"/>
      <c r="P288" s="782" t="s">
        <v>103</v>
      </c>
      <c r="Q288" s="509"/>
      <c r="R288" s="784">
        <v>45785</v>
      </c>
      <c r="S288" s="784" t="s">
        <v>66</v>
      </c>
      <c r="T288" s="784">
        <v>45853</v>
      </c>
      <c r="U288" s="784"/>
      <c r="V288" s="784"/>
      <c r="W288" s="776" t="s">
        <v>1237</v>
      </c>
      <c r="X288" s="781" t="s">
        <v>1238</v>
      </c>
      <c r="Y288" s="785">
        <v>4.2386</v>
      </c>
      <c r="Z288" s="786">
        <f t="shared" si="83"/>
        <v>5035.4568</v>
      </c>
      <c r="AA288" s="509"/>
      <c r="AB288" s="509" t="s">
        <v>64</v>
      </c>
      <c r="AC288" s="509" t="s">
        <v>76</v>
      </c>
      <c r="AD288" s="509"/>
      <c r="AE288" s="635"/>
      <c r="AF288" s="635"/>
      <c r="AG288" s="788">
        <v>1188</v>
      </c>
      <c r="AH288" s="782">
        <f t="shared" si="86"/>
        <v>0</v>
      </c>
      <c r="AI288" s="509"/>
      <c r="AJ288" s="509"/>
      <c r="AK288" s="509"/>
      <c r="AL288" s="777">
        <f t="shared" si="84"/>
        <v>1188</v>
      </c>
      <c r="AM288" s="656"/>
      <c r="AN288" s="656"/>
      <c r="AO288" s="656"/>
      <c r="AP288" s="794">
        <f t="shared" si="87"/>
        <v>1188</v>
      </c>
      <c r="AQ288" s="794"/>
      <c r="AR288" s="777">
        <f t="shared" si="81"/>
        <v>1188</v>
      </c>
      <c r="AS288" s="777"/>
      <c r="AT288" s="794">
        <f t="shared" si="85"/>
        <v>1188</v>
      </c>
      <c r="AU288" s="794"/>
      <c r="AV288" s="778"/>
      <c r="AW288" s="778"/>
      <c r="AX288" s="778"/>
      <c r="AY288" s="778"/>
      <c r="AZ288" s="778"/>
      <c r="BA288" s="778"/>
      <c r="BB288" s="778"/>
      <c r="BC288" s="778"/>
      <c r="BD288" s="778"/>
      <c r="BE288" s="777"/>
      <c r="BF288" s="778"/>
      <c r="BG288" s="778"/>
      <c r="BH288" s="778"/>
      <c r="BI288" s="778"/>
      <c r="BJ288" s="778"/>
      <c r="BK288" s="778"/>
      <c r="BL288" s="778"/>
      <c r="BM288" s="778"/>
    </row>
    <row r="289" s="771" customFormat="1" ht="31" hidden="1" customHeight="1" spans="1:65">
      <c r="A289" s="775">
        <v>45834</v>
      </c>
      <c r="B289" s="776" t="s">
        <v>312</v>
      </c>
      <c r="C289" s="509" t="s">
        <v>90</v>
      </c>
      <c r="D289" s="777">
        <v>4500171377</v>
      </c>
      <c r="E289" s="509" t="s">
        <v>1241</v>
      </c>
      <c r="F289" s="778" t="s">
        <v>1242</v>
      </c>
      <c r="G289" s="779" t="s">
        <v>93</v>
      </c>
      <c r="H289" s="509" t="s">
        <v>94</v>
      </c>
      <c r="I289" s="509">
        <v>644</v>
      </c>
      <c r="J289" s="509">
        <v>0</v>
      </c>
      <c r="K289" s="509">
        <v>4</v>
      </c>
      <c r="L289" s="780">
        <f t="shared" si="76"/>
        <v>161</v>
      </c>
      <c r="M289" s="781">
        <v>45878</v>
      </c>
      <c r="N289" s="781">
        <v>45874</v>
      </c>
      <c r="O289" s="782" t="s">
        <v>1243</v>
      </c>
      <c r="P289" s="782" t="s">
        <v>103</v>
      </c>
      <c r="Q289" s="509"/>
      <c r="R289" s="784">
        <v>45834</v>
      </c>
      <c r="S289" s="784" t="s">
        <v>66</v>
      </c>
      <c r="T289" s="784" t="s">
        <v>66</v>
      </c>
      <c r="U289" s="784"/>
      <c r="V289" s="784"/>
      <c r="W289" s="776" t="s">
        <v>315</v>
      </c>
      <c r="X289" s="781" t="s">
        <v>316</v>
      </c>
      <c r="Y289" s="785">
        <v>2.58</v>
      </c>
      <c r="Z289" s="786">
        <f t="shared" si="83"/>
        <v>1661.52</v>
      </c>
      <c r="AA289" s="509" t="s">
        <v>1244</v>
      </c>
      <c r="AB289" s="509" t="s">
        <v>93</v>
      </c>
      <c r="AC289" s="509" t="s">
        <v>76</v>
      </c>
      <c r="AD289" s="509"/>
      <c r="AE289" s="635"/>
      <c r="AF289" s="635"/>
      <c r="AG289" s="788">
        <v>644</v>
      </c>
      <c r="AH289" s="782">
        <f t="shared" si="86"/>
        <v>0</v>
      </c>
      <c r="AI289" s="509"/>
      <c r="AJ289" s="509"/>
      <c r="AK289" s="509"/>
      <c r="AL289" s="777">
        <f t="shared" si="84"/>
        <v>644</v>
      </c>
      <c r="AM289" s="656"/>
      <c r="AN289" s="656"/>
      <c r="AO289" s="656"/>
      <c r="AP289" s="777">
        <f t="shared" si="87"/>
        <v>644</v>
      </c>
      <c r="AQ289" s="656"/>
      <c r="AR289" s="777">
        <f t="shared" si="81"/>
        <v>644</v>
      </c>
      <c r="AS289" s="777"/>
      <c r="AT289" s="777">
        <f t="shared" si="85"/>
        <v>644</v>
      </c>
      <c r="AU289" s="777"/>
      <c r="AV289" s="778"/>
      <c r="AW289" s="778"/>
      <c r="AX289" s="778"/>
      <c r="AY289" s="778"/>
      <c r="AZ289" s="778"/>
      <c r="BA289" s="778"/>
      <c r="BB289" s="778"/>
      <c r="BC289" s="778"/>
      <c r="BD289" s="777">
        <f>I289/4</f>
        <v>161</v>
      </c>
      <c r="BE289" s="777"/>
      <c r="BF289" s="778"/>
      <c r="BG289" s="778"/>
      <c r="BH289" s="778"/>
      <c r="BI289" s="778"/>
      <c r="BJ289" s="778"/>
      <c r="BK289" s="778"/>
      <c r="BL289" s="778"/>
      <c r="BM289" s="778"/>
    </row>
    <row r="290" s="771" customFormat="1" ht="31" hidden="1" customHeight="1" spans="1:65">
      <c r="A290" s="775">
        <v>45834</v>
      </c>
      <c r="B290" s="776" t="s">
        <v>312</v>
      </c>
      <c r="C290" s="509" t="s">
        <v>90</v>
      </c>
      <c r="D290" s="777">
        <v>4500171377</v>
      </c>
      <c r="E290" s="509" t="s">
        <v>1245</v>
      </c>
      <c r="F290" s="778" t="s">
        <v>1246</v>
      </c>
      <c r="G290" s="779" t="s">
        <v>93</v>
      </c>
      <c r="H290" s="509" t="s">
        <v>94</v>
      </c>
      <c r="I290" s="509">
        <v>692</v>
      </c>
      <c r="J290" s="509">
        <v>0</v>
      </c>
      <c r="K290" s="509">
        <v>4</v>
      </c>
      <c r="L290" s="780">
        <f t="shared" si="76"/>
        <v>173</v>
      </c>
      <c r="M290" s="781">
        <v>45878</v>
      </c>
      <c r="N290" s="781">
        <v>45874</v>
      </c>
      <c r="O290" s="782" t="s">
        <v>1243</v>
      </c>
      <c r="P290" s="782" t="s">
        <v>103</v>
      </c>
      <c r="Q290" s="509"/>
      <c r="R290" s="784">
        <v>45834</v>
      </c>
      <c r="S290" s="784" t="s">
        <v>66</v>
      </c>
      <c r="T290" s="784" t="s">
        <v>66</v>
      </c>
      <c r="U290" s="784"/>
      <c r="V290" s="784"/>
      <c r="W290" s="776" t="s">
        <v>315</v>
      </c>
      <c r="X290" s="781" t="s">
        <v>316</v>
      </c>
      <c r="Y290" s="785">
        <v>2.58</v>
      </c>
      <c r="Z290" s="786">
        <f t="shared" si="83"/>
        <v>1785.36</v>
      </c>
      <c r="AA290" s="509" t="s">
        <v>1247</v>
      </c>
      <c r="AB290" s="509" t="s">
        <v>93</v>
      </c>
      <c r="AC290" s="509" t="s">
        <v>76</v>
      </c>
      <c r="AD290" s="509"/>
      <c r="AE290" s="635"/>
      <c r="AF290" s="635"/>
      <c r="AG290" s="788">
        <v>692</v>
      </c>
      <c r="AH290" s="782">
        <f t="shared" si="86"/>
        <v>0</v>
      </c>
      <c r="AI290" s="509"/>
      <c r="AJ290" s="509"/>
      <c r="AK290" s="509"/>
      <c r="AL290" s="777">
        <f t="shared" si="84"/>
        <v>692</v>
      </c>
      <c r="AM290" s="656"/>
      <c r="AN290" s="656"/>
      <c r="AO290" s="656"/>
      <c r="AP290" s="777">
        <f t="shared" si="87"/>
        <v>692</v>
      </c>
      <c r="AQ290" s="656"/>
      <c r="AR290" s="777">
        <f t="shared" si="81"/>
        <v>692</v>
      </c>
      <c r="AS290" s="777"/>
      <c r="AT290" s="777">
        <f t="shared" si="85"/>
        <v>692</v>
      </c>
      <c r="AU290" s="777"/>
      <c r="AV290" s="778"/>
      <c r="AW290" s="778"/>
      <c r="AX290" s="778"/>
      <c r="AY290" s="778"/>
      <c r="AZ290" s="778"/>
      <c r="BA290" s="778"/>
      <c r="BB290" s="778"/>
      <c r="BC290" s="778"/>
      <c r="BD290" s="777">
        <f>I290/4</f>
        <v>173</v>
      </c>
      <c r="BE290" s="777"/>
      <c r="BF290" s="778"/>
      <c r="BG290" s="778"/>
      <c r="BH290" s="778"/>
      <c r="BI290" s="778"/>
      <c r="BJ290" s="778"/>
      <c r="BK290" s="778"/>
      <c r="BL290" s="778"/>
      <c r="BM290" s="778"/>
    </row>
    <row r="291" s="771" customFormat="1" ht="31" hidden="1" customHeight="1" spans="1:65">
      <c r="A291" s="775">
        <v>45834</v>
      </c>
      <c r="B291" s="776" t="s">
        <v>312</v>
      </c>
      <c r="C291" s="509" t="s">
        <v>90</v>
      </c>
      <c r="D291" s="777">
        <v>4500171377</v>
      </c>
      <c r="E291" s="509" t="s">
        <v>1248</v>
      </c>
      <c r="F291" s="778" t="s">
        <v>1249</v>
      </c>
      <c r="G291" s="779" t="s">
        <v>93</v>
      </c>
      <c r="H291" s="509" t="s">
        <v>94</v>
      </c>
      <c r="I291" s="509">
        <v>116</v>
      </c>
      <c r="J291" s="509">
        <v>0</v>
      </c>
      <c r="K291" s="509">
        <v>4</v>
      </c>
      <c r="L291" s="780">
        <f t="shared" si="76"/>
        <v>29</v>
      </c>
      <c r="M291" s="781">
        <v>45878</v>
      </c>
      <c r="N291" s="781">
        <v>45874</v>
      </c>
      <c r="O291" s="782" t="s">
        <v>1243</v>
      </c>
      <c r="P291" s="782" t="s">
        <v>103</v>
      </c>
      <c r="Q291" s="509"/>
      <c r="R291" s="784">
        <v>45834</v>
      </c>
      <c r="S291" s="784" t="s">
        <v>66</v>
      </c>
      <c r="T291" s="784" t="s">
        <v>66</v>
      </c>
      <c r="U291" s="784"/>
      <c r="V291" s="784"/>
      <c r="W291" s="776" t="s">
        <v>315</v>
      </c>
      <c r="X291" s="781" t="s">
        <v>316</v>
      </c>
      <c r="Y291" s="785">
        <v>4.3</v>
      </c>
      <c r="Z291" s="786">
        <f t="shared" si="83"/>
        <v>498.8</v>
      </c>
      <c r="AA291" s="509" t="s">
        <v>1250</v>
      </c>
      <c r="AB291" s="509" t="s">
        <v>93</v>
      </c>
      <c r="AC291" s="509" t="s">
        <v>76</v>
      </c>
      <c r="AD291" s="509"/>
      <c r="AE291" s="635"/>
      <c r="AF291" s="635"/>
      <c r="AG291" s="788">
        <v>116</v>
      </c>
      <c r="AH291" s="782">
        <f t="shared" si="86"/>
        <v>0</v>
      </c>
      <c r="AI291" s="509"/>
      <c r="AJ291" s="509"/>
      <c r="AK291" s="509"/>
      <c r="AL291" s="777">
        <f t="shared" si="84"/>
        <v>116</v>
      </c>
      <c r="AM291" s="656"/>
      <c r="AN291" s="656"/>
      <c r="AO291" s="656"/>
      <c r="AP291" s="777">
        <f t="shared" si="87"/>
        <v>116</v>
      </c>
      <c r="AQ291" s="656"/>
      <c r="AR291" s="777">
        <f t="shared" si="81"/>
        <v>116</v>
      </c>
      <c r="AS291" s="777"/>
      <c r="AT291" s="777">
        <f t="shared" si="85"/>
        <v>116</v>
      </c>
      <c r="AU291" s="777"/>
      <c r="AV291" s="778"/>
      <c r="AW291" s="778"/>
      <c r="AX291" s="778"/>
      <c r="AY291" s="778"/>
      <c r="AZ291" s="778"/>
      <c r="BA291" s="778"/>
      <c r="BB291" s="778"/>
      <c r="BC291" s="778"/>
      <c r="BD291" s="777">
        <f>I291/4</f>
        <v>29</v>
      </c>
      <c r="BE291" s="777"/>
      <c r="BF291" s="778"/>
      <c r="BG291" s="778"/>
      <c r="BH291" s="778"/>
      <c r="BI291" s="778"/>
      <c r="BJ291" s="778"/>
      <c r="BK291" s="778"/>
      <c r="BL291" s="778"/>
      <c r="BM291" s="778"/>
    </row>
    <row r="292" s="771" customFormat="1" ht="31" hidden="1" customHeight="1" spans="1:65">
      <c r="A292" s="775">
        <v>45853</v>
      </c>
      <c r="B292" s="776"/>
      <c r="C292" s="509"/>
      <c r="D292" s="777" t="s">
        <v>1251</v>
      </c>
      <c r="E292" s="509"/>
      <c r="F292" s="778"/>
      <c r="G292" s="779" t="s">
        <v>64</v>
      </c>
      <c r="H292" s="509" t="s">
        <v>65</v>
      </c>
      <c r="I292" s="509">
        <v>192</v>
      </c>
      <c r="J292" s="509">
        <v>0</v>
      </c>
      <c r="K292" s="509">
        <v>12</v>
      </c>
      <c r="L292" s="780">
        <f t="shared" si="76"/>
        <v>16</v>
      </c>
      <c r="M292" s="781">
        <v>45868</v>
      </c>
      <c r="N292" s="781">
        <v>45864</v>
      </c>
      <c r="O292" s="782"/>
      <c r="P292" s="782" t="s">
        <v>103</v>
      </c>
      <c r="Q292" s="509"/>
      <c r="R292" s="784" t="s">
        <v>1144</v>
      </c>
      <c r="S292" s="784" t="s">
        <v>66</v>
      </c>
      <c r="T292" s="784" t="s">
        <v>66</v>
      </c>
      <c r="U292" s="784"/>
      <c r="V292" s="784"/>
      <c r="W292" s="776" t="s">
        <v>78</v>
      </c>
      <c r="X292" s="781" t="s">
        <v>79</v>
      </c>
      <c r="Y292" s="785">
        <v>2.5432</v>
      </c>
      <c r="Z292" s="786">
        <f t="shared" si="83"/>
        <v>488.2944</v>
      </c>
      <c r="AA292" s="509"/>
      <c r="AB292" s="509" t="s">
        <v>64</v>
      </c>
      <c r="AC292" s="509" t="s">
        <v>76</v>
      </c>
      <c r="AD292" s="509"/>
      <c r="AE292" s="635"/>
      <c r="AF292" s="635"/>
      <c r="AG292" s="788">
        <v>192</v>
      </c>
      <c r="AH292" s="782">
        <f t="shared" si="86"/>
        <v>0</v>
      </c>
      <c r="AI292" s="509"/>
      <c r="AJ292" s="509"/>
      <c r="AK292" s="509"/>
      <c r="AL292" s="777">
        <f t="shared" si="84"/>
        <v>192</v>
      </c>
      <c r="AM292" s="656"/>
      <c r="AN292" s="656"/>
      <c r="AO292" s="656"/>
      <c r="AP292" s="777">
        <f t="shared" si="87"/>
        <v>192</v>
      </c>
      <c r="AQ292" s="656"/>
      <c r="AR292" s="777">
        <f t="shared" si="81"/>
        <v>192</v>
      </c>
      <c r="AS292" s="777"/>
      <c r="AT292" s="543">
        <f t="shared" si="85"/>
        <v>192</v>
      </c>
      <c r="AU292" s="777"/>
      <c r="AV292" s="778"/>
      <c r="AW292" s="778"/>
      <c r="AX292" s="778"/>
      <c r="AY292" s="778"/>
      <c r="AZ292" s="778"/>
      <c r="BA292" s="778"/>
      <c r="BB292" s="778"/>
      <c r="BC292" s="778"/>
      <c r="BD292" s="778"/>
      <c r="BE292" s="777"/>
      <c r="BF292" s="778"/>
      <c r="BG292" s="778"/>
      <c r="BH292" s="778"/>
      <c r="BI292" s="778"/>
      <c r="BJ292" s="778"/>
      <c r="BK292" s="778"/>
      <c r="BL292" s="778"/>
      <c r="BM292" s="778"/>
    </row>
    <row r="293" s="771" customFormat="1" ht="31" hidden="1" customHeight="1" spans="1:65">
      <c r="A293" s="775">
        <v>45813</v>
      </c>
      <c r="B293" s="776" t="s">
        <v>1172</v>
      </c>
      <c r="C293" s="509" t="s">
        <v>90</v>
      </c>
      <c r="D293" s="777">
        <v>4500169101</v>
      </c>
      <c r="E293" s="509">
        <v>15777186</v>
      </c>
      <c r="F293" s="778" t="s">
        <v>1252</v>
      </c>
      <c r="G293" s="779" t="s">
        <v>1253</v>
      </c>
      <c r="H293" s="509" t="s">
        <v>1254</v>
      </c>
      <c r="I293" s="509">
        <v>196</v>
      </c>
      <c r="J293" s="509">
        <v>0</v>
      </c>
      <c r="K293" s="509">
        <v>4</v>
      </c>
      <c r="L293" s="780">
        <f t="shared" si="76"/>
        <v>49</v>
      </c>
      <c r="M293" s="781">
        <v>45868</v>
      </c>
      <c r="N293" s="781">
        <v>45871</v>
      </c>
      <c r="O293" s="782"/>
      <c r="P293" s="782" t="s">
        <v>103</v>
      </c>
      <c r="Q293" s="509"/>
      <c r="R293" s="784" t="s">
        <v>1176</v>
      </c>
      <c r="S293" s="784" t="s">
        <v>96</v>
      </c>
      <c r="T293" s="784">
        <v>45825</v>
      </c>
      <c r="U293" s="784"/>
      <c r="V293" s="784"/>
      <c r="W293" s="776" t="s">
        <v>1255</v>
      </c>
      <c r="X293" s="781" t="s">
        <v>1178</v>
      </c>
      <c r="Y293" s="785">
        <v>4.1576</v>
      </c>
      <c r="Z293" s="786">
        <f t="shared" si="83"/>
        <v>814.8896</v>
      </c>
      <c r="AA293" s="509" t="s">
        <v>1256</v>
      </c>
      <c r="AB293" s="509" t="s">
        <v>1253</v>
      </c>
      <c r="AC293" s="509" t="s">
        <v>76</v>
      </c>
      <c r="AD293" s="509"/>
      <c r="AE293" s="635"/>
      <c r="AF293" s="635"/>
      <c r="AG293" s="788">
        <v>196</v>
      </c>
      <c r="AH293" s="782">
        <f t="shared" si="86"/>
        <v>0</v>
      </c>
      <c r="AI293" s="509"/>
      <c r="AJ293" s="509"/>
      <c r="AK293" s="509"/>
      <c r="AL293" s="777">
        <f t="shared" si="84"/>
        <v>196</v>
      </c>
      <c r="AM293" s="656"/>
      <c r="AN293" s="656"/>
      <c r="AO293" s="656"/>
      <c r="AP293" s="777">
        <f t="shared" si="87"/>
        <v>196</v>
      </c>
      <c r="AQ293" s="656"/>
      <c r="AR293" s="777">
        <f t="shared" si="81"/>
        <v>196</v>
      </c>
      <c r="AS293" s="777"/>
      <c r="AT293" s="777">
        <f t="shared" si="85"/>
        <v>196</v>
      </c>
      <c r="AU293" s="777"/>
      <c r="AV293" s="778"/>
      <c r="AW293" s="778"/>
      <c r="AX293" s="778"/>
      <c r="AY293" s="778"/>
      <c r="AZ293" s="778"/>
      <c r="BA293" s="778"/>
      <c r="BB293" s="778"/>
      <c r="BC293" s="778"/>
      <c r="BD293" s="778"/>
      <c r="BE293" s="777"/>
      <c r="BF293" s="778"/>
      <c r="BG293" s="778"/>
      <c r="BH293" s="778"/>
      <c r="BI293" s="778"/>
      <c r="BJ293" s="778"/>
      <c r="BK293" s="778"/>
      <c r="BL293" s="778"/>
      <c r="BM293" s="778"/>
    </row>
    <row r="294" s="771" customFormat="1" ht="31" hidden="1" customHeight="1" spans="1:65">
      <c r="A294" s="775">
        <v>45824</v>
      </c>
      <c r="B294" s="776" t="s">
        <v>1257</v>
      </c>
      <c r="C294" s="509" t="s">
        <v>90</v>
      </c>
      <c r="D294" s="777">
        <v>4500170076</v>
      </c>
      <c r="E294" s="509" t="s">
        <v>1258</v>
      </c>
      <c r="F294" s="778" t="s">
        <v>1259</v>
      </c>
      <c r="G294" s="779" t="s">
        <v>64</v>
      </c>
      <c r="H294" s="509" t="s">
        <v>65</v>
      </c>
      <c r="I294" s="509">
        <v>744</v>
      </c>
      <c r="J294" s="509">
        <v>0</v>
      </c>
      <c r="K294" s="509">
        <v>12</v>
      </c>
      <c r="L294" s="780">
        <f t="shared" si="76"/>
        <v>62</v>
      </c>
      <c r="M294" s="781">
        <v>45868</v>
      </c>
      <c r="N294" s="781">
        <v>45873</v>
      </c>
      <c r="O294" s="782"/>
      <c r="P294" s="782" t="s">
        <v>103</v>
      </c>
      <c r="Q294" s="509"/>
      <c r="R294" s="784">
        <v>45825</v>
      </c>
      <c r="S294" s="784" t="s">
        <v>66</v>
      </c>
      <c r="T294" s="784" t="s">
        <v>66</v>
      </c>
      <c r="U294" s="784"/>
      <c r="V294" s="784"/>
      <c r="W294" s="776" t="s">
        <v>1260</v>
      </c>
      <c r="X294" s="781" t="s">
        <v>1261</v>
      </c>
      <c r="Y294" s="785">
        <v>2.5432</v>
      </c>
      <c r="Z294" s="786">
        <f t="shared" si="83"/>
        <v>1892.1408</v>
      </c>
      <c r="AA294" s="509" t="s">
        <v>1262</v>
      </c>
      <c r="AB294" s="509" t="s">
        <v>64</v>
      </c>
      <c r="AC294" s="509" t="s">
        <v>76</v>
      </c>
      <c r="AD294" s="509"/>
      <c r="AE294" s="635"/>
      <c r="AF294" s="635"/>
      <c r="AG294" s="788">
        <v>744</v>
      </c>
      <c r="AH294" s="782">
        <f t="shared" si="86"/>
        <v>0</v>
      </c>
      <c r="AI294" s="509"/>
      <c r="AJ294" s="509"/>
      <c r="AK294" s="509"/>
      <c r="AL294" s="777">
        <f t="shared" si="84"/>
        <v>744</v>
      </c>
      <c r="AM294" s="656"/>
      <c r="AN294" s="656"/>
      <c r="AO294" s="656"/>
      <c r="AP294" s="777">
        <f t="shared" si="87"/>
        <v>744</v>
      </c>
      <c r="AQ294" s="656"/>
      <c r="AR294" s="777">
        <f t="shared" si="81"/>
        <v>744</v>
      </c>
      <c r="AS294" s="777"/>
      <c r="AT294" s="777">
        <f t="shared" si="85"/>
        <v>744</v>
      </c>
      <c r="AU294" s="777"/>
      <c r="AV294" s="778"/>
      <c r="AW294" s="778"/>
      <c r="AX294" s="778"/>
      <c r="AY294" s="778"/>
      <c r="AZ294" s="778"/>
      <c r="BA294" s="778"/>
      <c r="BB294" s="778"/>
      <c r="BC294" s="778"/>
      <c r="BD294" s="778"/>
      <c r="BE294" s="777"/>
      <c r="BF294" s="778"/>
      <c r="BG294" s="778"/>
      <c r="BH294" s="778"/>
      <c r="BI294" s="778"/>
      <c r="BJ294" s="778"/>
      <c r="BK294" s="778"/>
      <c r="BL294" s="778"/>
      <c r="BM294" s="778"/>
    </row>
    <row r="295" s="771" customFormat="1" ht="31" hidden="1" customHeight="1" spans="1:65">
      <c r="A295" s="775">
        <v>45826</v>
      </c>
      <c r="B295" s="776" t="s">
        <v>115</v>
      </c>
      <c r="C295" s="509" t="s">
        <v>116</v>
      </c>
      <c r="D295" s="777">
        <v>4500170489</v>
      </c>
      <c r="E295" s="509">
        <v>84439</v>
      </c>
      <c r="F295" s="778" t="s">
        <v>1263</v>
      </c>
      <c r="G295" s="779" t="s">
        <v>118</v>
      </c>
      <c r="H295" s="509" t="s">
        <v>119</v>
      </c>
      <c r="I295" s="509">
        <v>2400</v>
      </c>
      <c r="J295" s="509">
        <v>0</v>
      </c>
      <c r="K295" s="509">
        <v>6</v>
      </c>
      <c r="L295" s="780">
        <f t="shared" si="76"/>
        <v>400</v>
      </c>
      <c r="M295" s="781">
        <v>45874</v>
      </c>
      <c r="N295" s="781">
        <v>45874</v>
      </c>
      <c r="O295" s="782"/>
      <c r="P295" s="782" t="s">
        <v>103</v>
      </c>
      <c r="Q295" s="509"/>
      <c r="R295" s="784">
        <v>45831</v>
      </c>
      <c r="S295" s="784" t="s">
        <v>66</v>
      </c>
      <c r="T295" s="784" t="s">
        <v>1264</v>
      </c>
      <c r="U295" s="784"/>
      <c r="V295" s="784"/>
      <c r="W295" s="776" t="s">
        <v>1265</v>
      </c>
      <c r="X295" s="781" t="s">
        <v>196</v>
      </c>
      <c r="Y295" s="785">
        <v>4.2099</v>
      </c>
      <c r="Z295" s="786">
        <f t="shared" si="83"/>
        <v>10103.76</v>
      </c>
      <c r="AA295" s="509"/>
      <c r="AB295" s="509" t="s">
        <v>118</v>
      </c>
      <c r="AC295" s="509" t="s">
        <v>76</v>
      </c>
      <c r="AD295" s="509"/>
      <c r="AE295" s="635"/>
      <c r="AF295" s="635"/>
      <c r="AG295" s="788">
        <v>2400</v>
      </c>
      <c r="AH295" s="782">
        <f t="shared" si="86"/>
        <v>0</v>
      </c>
      <c r="AI295" s="509"/>
      <c r="AJ295" s="509"/>
      <c r="AK295" s="509"/>
      <c r="AL295" s="777">
        <f t="shared" si="84"/>
        <v>2400</v>
      </c>
      <c r="AM295" s="656"/>
      <c r="AN295" s="656"/>
      <c r="AO295" s="656"/>
      <c r="AP295" s="777">
        <f t="shared" si="87"/>
        <v>2400</v>
      </c>
      <c r="AQ295" s="656"/>
      <c r="AR295" s="777">
        <f t="shared" si="81"/>
        <v>2400</v>
      </c>
      <c r="AS295" s="777"/>
      <c r="AT295" s="777">
        <f t="shared" si="85"/>
        <v>2400</v>
      </c>
      <c r="AU295" s="777"/>
      <c r="AV295" s="778"/>
      <c r="AW295" s="778"/>
      <c r="AX295" s="778"/>
      <c r="AY295" s="778"/>
      <c r="AZ295" s="778"/>
      <c r="BA295" s="778"/>
      <c r="BB295" s="778"/>
      <c r="BC295" s="778"/>
      <c r="BD295" s="778"/>
      <c r="BE295" s="777"/>
      <c r="BF295" s="778"/>
      <c r="BG295" s="778"/>
      <c r="BH295" s="778"/>
      <c r="BI295" s="778"/>
      <c r="BJ295" s="778"/>
      <c r="BK295" s="778"/>
      <c r="BL295" s="778"/>
      <c r="BM295" s="778"/>
    </row>
    <row r="296" s="771" customFormat="1" ht="31" hidden="1" customHeight="1" spans="1:65">
      <c r="A296" s="775">
        <v>45769</v>
      </c>
      <c r="B296" s="776" t="s">
        <v>857</v>
      </c>
      <c r="C296" s="509" t="s">
        <v>249</v>
      </c>
      <c r="D296" s="777">
        <v>4500164549</v>
      </c>
      <c r="E296" s="509" t="s">
        <v>1266</v>
      </c>
      <c r="F296" s="778" t="s">
        <v>1267</v>
      </c>
      <c r="G296" s="779" t="s">
        <v>743</v>
      </c>
      <c r="H296" s="509" t="s">
        <v>744</v>
      </c>
      <c r="I296" s="509">
        <v>24</v>
      </c>
      <c r="J296" s="509">
        <v>0</v>
      </c>
      <c r="K296" s="509">
        <v>1</v>
      </c>
      <c r="L296" s="780">
        <f t="shared" si="76"/>
        <v>24</v>
      </c>
      <c r="M296" s="781">
        <v>45868</v>
      </c>
      <c r="N296" s="781">
        <v>45868</v>
      </c>
      <c r="O296" s="782"/>
      <c r="P296" s="782" t="s">
        <v>103</v>
      </c>
      <c r="Q296" s="509"/>
      <c r="R296" s="784">
        <v>45785</v>
      </c>
      <c r="S296" s="784" t="s">
        <v>66</v>
      </c>
      <c r="T296" s="784" t="s">
        <v>66</v>
      </c>
      <c r="U296" s="784"/>
      <c r="V296" s="784"/>
      <c r="W296" s="776" t="s">
        <v>1268</v>
      </c>
      <c r="X296" s="781" t="s">
        <v>219</v>
      </c>
      <c r="Y296" s="785">
        <v>0</v>
      </c>
      <c r="Z296" s="786">
        <f>Y296*L296</f>
        <v>0</v>
      </c>
      <c r="AA296" s="509"/>
      <c r="AB296" s="509" t="s">
        <v>743</v>
      </c>
      <c r="AC296" s="509" t="s">
        <v>76</v>
      </c>
      <c r="AD296" s="509"/>
      <c r="AE296" s="635"/>
      <c r="AF296" s="635"/>
      <c r="AG296" s="788">
        <v>1800</v>
      </c>
      <c r="AH296" s="782">
        <v>0</v>
      </c>
      <c r="AI296" s="509"/>
      <c r="AJ296" s="509"/>
      <c r="AK296" s="509"/>
      <c r="AL296" s="777"/>
      <c r="AM296" s="656"/>
      <c r="AN296" s="656"/>
      <c r="AO296" s="656"/>
      <c r="AP296" s="777"/>
      <c r="AQ296" s="656"/>
      <c r="AR296" s="777"/>
      <c r="AS296" s="777"/>
      <c r="AT296" s="777"/>
      <c r="AU296" s="777"/>
      <c r="AV296" s="778"/>
      <c r="AW296" s="778"/>
      <c r="AX296" s="778"/>
      <c r="AY296" s="778"/>
      <c r="AZ296" s="778"/>
      <c r="BA296" s="778"/>
      <c r="BB296" s="778"/>
      <c r="BC296" s="778"/>
      <c r="BD296" s="778"/>
      <c r="BE296" s="777"/>
      <c r="BF296" s="778"/>
      <c r="BG296" s="778"/>
      <c r="BH296" s="778"/>
      <c r="BI296" s="778"/>
      <c r="BJ296" s="778"/>
      <c r="BK296" s="778"/>
      <c r="BL296" s="778"/>
      <c r="BM296" s="778"/>
    </row>
    <row r="297" s="771" customFormat="1" ht="31" hidden="1" customHeight="1" spans="1:65">
      <c r="A297" s="775">
        <v>45827</v>
      </c>
      <c r="B297" s="776" t="s">
        <v>489</v>
      </c>
      <c r="C297" s="509" t="s">
        <v>249</v>
      </c>
      <c r="D297" s="777">
        <v>4500170602</v>
      </c>
      <c r="E297" s="509" t="s">
        <v>1269</v>
      </c>
      <c r="F297" s="778" t="s">
        <v>1270</v>
      </c>
      <c r="G297" s="779" t="s">
        <v>64</v>
      </c>
      <c r="H297" s="509" t="s">
        <v>65</v>
      </c>
      <c r="I297" s="509">
        <v>492</v>
      </c>
      <c r="J297" s="509">
        <v>0</v>
      </c>
      <c r="K297" s="509">
        <v>12</v>
      </c>
      <c r="L297" s="780">
        <f t="shared" si="76"/>
        <v>41</v>
      </c>
      <c r="M297" s="781">
        <v>45873</v>
      </c>
      <c r="N297" s="781">
        <v>45875</v>
      </c>
      <c r="O297" s="782"/>
      <c r="P297" s="782" t="s">
        <v>103</v>
      </c>
      <c r="Q297" s="509"/>
      <c r="R297" s="784" t="s">
        <v>411</v>
      </c>
      <c r="S297" s="784" t="s">
        <v>96</v>
      </c>
      <c r="T297" s="784">
        <v>45846</v>
      </c>
      <c r="U297" s="784"/>
      <c r="V297" s="784"/>
      <c r="W297" s="776" t="s">
        <v>1271</v>
      </c>
      <c r="X297" s="781" t="s">
        <v>414</v>
      </c>
      <c r="Y297" s="785">
        <v>4.1456</v>
      </c>
      <c r="Z297" s="786">
        <f t="shared" ref="Z297:Z309" si="88">Y297*I297</f>
        <v>2039.6352</v>
      </c>
      <c r="AA297" s="509"/>
      <c r="AB297" s="509" t="s">
        <v>165</v>
      </c>
      <c r="AC297" s="509" t="s">
        <v>76</v>
      </c>
      <c r="AD297" s="509"/>
      <c r="AE297" s="635"/>
      <c r="AF297" s="635"/>
      <c r="AG297" s="788">
        <v>492</v>
      </c>
      <c r="AH297" s="782">
        <f t="shared" ref="AH297:AH322" si="89">AG297-I297</f>
        <v>0</v>
      </c>
      <c r="AI297" s="509"/>
      <c r="AJ297" s="509"/>
      <c r="AK297" s="509"/>
      <c r="AL297" s="777">
        <f t="shared" ref="AL297:AL309" si="90">I297</f>
        <v>492</v>
      </c>
      <c r="AM297" s="656"/>
      <c r="AN297" s="656"/>
      <c r="AO297" s="656"/>
      <c r="AP297" s="777"/>
      <c r="AQ297" s="656">
        <f>I297</f>
        <v>492</v>
      </c>
      <c r="AR297" s="777">
        <f t="shared" ref="AR297:AR309" si="91">I297</f>
        <v>492</v>
      </c>
      <c r="AS297" s="777"/>
      <c r="AT297" s="777">
        <f t="shared" ref="AT297:AT309" si="92">I297</f>
        <v>492</v>
      </c>
      <c r="AU297" s="777"/>
      <c r="AV297" s="778"/>
      <c r="AW297" s="778"/>
      <c r="AX297" s="778"/>
      <c r="AY297" s="778"/>
      <c r="AZ297" s="778"/>
      <c r="BA297" s="778"/>
      <c r="BB297" s="778"/>
      <c r="BC297" s="778"/>
      <c r="BD297" s="778"/>
      <c r="BE297" s="777"/>
      <c r="BF297" s="778"/>
      <c r="BG297" s="778"/>
      <c r="BH297" s="778"/>
      <c r="BI297" s="778"/>
      <c r="BJ297" s="778"/>
      <c r="BK297" s="778"/>
      <c r="BL297" s="778"/>
      <c r="BM297" s="778"/>
    </row>
    <row r="298" s="771" customFormat="1" ht="31" hidden="1" customHeight="1" spans="1:65">
      <c r="A298" s="775">
        <v>45827</v>
      </c>
      <c r="B298" s="776" t="s">
        <v>489</v>
      </c>
      <c r="C298" s="509" t="s">
        <v>139</v>
      </c>
      <c r="D298" s="777">
        <v>4500170602</v>
      </c>
      <c r="E298" s="509" t="s">
        <v>1272</v>
      </c>
      <c r="F298" s="778" t="s">
        <v>1273</v>
      </c>
      <c r="G298" s="779" t="s">
        <v>64</v>
      </c>
      <c r="H298" s="509" t="s">
        <v>65</v>
      </c>
      <c r="I298" s="509">
        <v>492</v>
      </c>
      <c r="J298" s="509">
        <v>0</v>
      </c>
      <c r="K298" s="509">
        <v>12</v>
      </c>
      <c r="L298" s="780">
        <f t="shared" si="76"/>
        <v>41</v>
      </c>
      <c r="M298" s="781">
        <v>45873</v>
      </c>
      <c r="N298" s="781">
        <v>45875</v>
      </c>
      <c r="O298" s="782"/>
      <c r="P298" s="782" t="s">
        <v>103</v>
      </c>
      <c r="Q298" s="509"/>
      <c r="R298" s="784" t="s">
        <v>411</v>
      </c>
      <c r="S298" s="784" t="s">
        <v>96</v>
      </c>
      <c r="T298" s="784">
        <v>45846</v>
      </c>
      <c r="U298" s="784"/>
      <c r="V298" s="784"/>
      <c r="W298" s="776" t="s">
        <v>1271</v>
      </c>
      <c r="X298" s="781" t="s">
        <v>414</v>
      </c>
      <c r="Y298" s="785">
        <v>4.1456</v>
      </c>
      <c r="Z298" s="786">
        <f t="shared" si="88"/>
        <v>2039.6352</v>
      </c>
      <c r="AA298" s="509"/>
      <c r="AB298" s="509" t="s">
        <v>165</v>
      </c>
      <c r="AC298" s="509" t="s">
        <v>76</v>
      </c>
      <c r="AD298" s="509"/>
      <c r="AE298" s="635"/>
      <c r="AF298" s="635"/>
      <c r="AG298" s="788">
        <v>492</v>
      </c>
      <c r="AH298" s="782">
        <f t="shared" si="89"/>
        <v>0</v>
      </c>
      <c r="AI298" s="509"/>
      <c r="AJ298" s="509"/>
      <c r="AK298" s="509"/>
      <c r="AL298" s="777">
        <f t="shared" si="90"/>
        <v>492</v>
      </c>
      <c r="AM298" s="656"/>
      <c r="AN298" s="656"/>
      <c r="AO298" s="656"/>
      <c r="AP298" s="777"/>
      <c r="AQ298" s="656">
        <f>I298</f>
        <v>492</v>
      </c>
      <c r="AR298" s="777">
        <f t="shared" si="91"/>
        <v>492</v>
      </c>
      <c r="AS298" s="777"/>
      <c r="AT298" s="777">
        <f t="shared" si="92"/>
        <v>492</v>
      </c>
      <c r="AU298" s="777"/>
      <c r="AV298" s="778"/>
      <c r="AW298" s="778"/>
      <c r="AX298" s="778"/>
      <c r="AY298" s="778"/>
      <c r="AZ298" s="778"/>
      <c r="BA298" s="778"/>
      <c r="BB298" s="778"/>
      <c r="BC298" s="778"/>
      <c r="BD298" s="778"/>
      <c r="BE298" s="777"/>
      <c r="BF298" s="778"/>
      <c r="BG298" s="778"/>
      <c r="BH298" s="778"/>
      <c r="BI298" s="778"/>
      <c r="BJ298" s="778"/>
      <c r="BK298" s="778"/>
      <c r="BL298" s="778"/>
      <c r="BM298" s="778"/>
    </row>
    <row r="299" s="771" customFormat="1" ht="31" hidden="1" customHeight="1" spans="1:65">
      <c r="A299" s="775">
        <v>45827</v>
      </c>
      <c r="B299" s="776" t="s">
        <v>489</v>
      </c>
      <c r="C299" s="509" t="s">
        <v>271</v>
      </c>
      <c r="D299" s="777">
        <v>4500170602</v>
      </c>
      <c r="E299" s="509" t="s">
        <v>1274</v>
      </c>
      <c r="F299" s="778" t="s">
        <v>1275</v>
      </c>
      <c r="G299" s="779" t="s">
        <v>64</v>
      </c>
      <c r="H299" s="509" t="s">
        <v>65</v>
      </c>
      <c r="I299" s="509">
        <v>492</v>
      </c>
      <c r="J299" s="509">
        <v>0</v>
      </c>
      <c r="K299" s="509">
        <v>12</v>
      </c>
      <c r="L299" s="780">
        <f t="shared" si="76"/>
        <v>41</v>
      </c>
      <c r="M299" s="781">
        <v>45873</v>
      </c>
      <c r="N299" s="781">
        <v>45875</v>
      </c>
      <c r="O299" s="782"/>
      <c r="P299" s="782" t="s">
        <v>103</v>
      </c>
      <c r="Q299" s="509"/>
      <c r="R299" s="784" t="s">
        <v>411</v>
      </c>
      <c r="S299" s="784" t="s">
        <v>96</v>
      </c>
      <c r="T299" s="784">
        <v>45846</v>
      </c>
      <c r="U299" s="784"/>
      <c r="V299" s="784"/>
      <c r="W299" s="776" t="s">
        <v>1271</v>
      </c>
      <c r="X299" s="781" t="s">
        <v>414</v>
      </c>
      <c r="Y299" s="785">
        <v>4.1456</v>
      </c>
      <c r="Z299" s="786">
        <f t="shared" si="88"/>
        <v>2039.6352</v>
      </c>
      <c r="AA299" s="509"/>
      <c r="AB299" s="509" t="s">
        <v>165</v>
      </c>
      <c r="AC299" s="509" t="s">
        <v>76</v>
      </c>
      <c r="AD299" s="509"/>
      <c r="AE299" s="635"/>
      <c r="AF299" s="635"/>
      <c r="AG299" s="788">
        <v>492</v>
      </c>
      <c r="AH299" s="782">
        <f t="shared" si="89"/>
        <v>0</v>
      </c>
      <c r="AI299" s="509"/>
      <c r="AJ299" s="509"/>
      <c r="AK299" s="509"/>
      <c r="AL299" s="777">
        <f t="shared" si="90"/>
        <v>492</v>
      </c>
      <c r="AM299" s="656"/>
      <c r="AN299" s="656"/>
      <c r="AO299" s="656"/>
      <c r="AP299" s="777"/>
      <c r="AQ299" s="656">
        <f>I299</f>
        <v>492</v>
      </c>
      <c r="AR299" s="777">
        <f t="shared" si="91"/>
        <v>492</v>
      </c>
      <c r="AS299" s="777"/>
      <c r="AT299" s="777">
        <f t="shared" si="92"/>
        <v>492</v>
      </c>
      <c r="AU299" s="777"/>
      <c r="AV299" s="778"/>
      <c r="AW299" s="778"/>
      <c r="AX299" s="778"/>
      <c r="AY299" s="778"/>
      <c r="AZ299" s="778"/>
      <c r="BA299" s="778"/>
      <c r="BB299" s="778"/>
      <c r="BC299" s="778"/>
      <c r="BD299" s="778"/>
      <c r="BE299" s="777"/>
      <c r="BF299" s="778"/>
      <c r="BG299" s="778"/>
      <c r="BH299" s="778"/>
      <c r="BI299" s="778"/>
      <c r="BJ299" s="778"/>
      <c r="BK299" s="778"/>
      <c r="BL299" s="778"/>
      <c r="BM299" s="778"/>
    </row>
    <row r="300" s="771" customFormat="1" ht="31" hidden="1" customHeight="1" spans="1:65">
      <c r="A300" s="775">
        <v>45827</v>
      </c>
      <c r="B300" s="776" t="s">
        <v>128</v>
      </c>
      <c r="C300" s="509" t="s">
        <v>90</v>
      </c>
      <c r="D300" s="777">
        <v>4500170589</v>
      </c>
      <c r="E300" s="886" t="s">
        <v>1276</v>
      </c>
      <c r="F300" s="778" t="s">
        <v>1277</v>
      </c>
      <c r="G300" s="779" t="s">
        <v>93</v>
      </c>
      <c r="H300" s="509" t="s">
        <v>94</v>
      </c>
      <c r="I300" s="509">
        <v>1824</v>
      </c>
      <c r="J300" s="509">
        <v>0</v>
      </c>
      <c r="K300" s="509">
        <v>4</v>
      </c>
      <c r="L300" s="780">
        <f t="shared" si="76"/>
        <v>456</v>
      </c>
      <c r="M300" s="781">
        <v>45876</v>
      </c>
      <c r="N300" s="781">
        <v>45875</v>
      </c>
      <c r="O300" s="782" t="s">
        <v>1278</v>
      </c>
      <c r="P300" s="782" t="s">
        <v>103</v>
      </c>
      <c r="Q300" s="509"/>
      <c r="R300" s="784" t="s">
        <v>132</v>
      </c>
      <c r="S300" s="784" t="s">
        <v>66</v>
      </c>
      <c r="T300" s="784" t="s">
        <v>1279</v>
      </c>
      <c r="U300" s="683" t="s">
        <v>133</v>
      </c>
      <c r="V300" s="784" t="s">
        <v>1280</v>
      </c>
      <c r="W300" s="776" t="s">
        <v>1281</v>
      </c>
      <c r="X300" s="781" t="s">
        <v>98</v>
      </c>
      <c r="Y300" s="785">
        <v>2.58</v>
      </c>
      <c r="Z300" s="786">
        <f t="shared" si="88"/>
        <v>4705.92</v>
      </c>
      <c r="AA300" s="509" t="s">
        <v>1282</v>
      </c>
      <c r="AB300" s="509" t="s">
        <v>93</v>
      </c>
      <c r="AC300" s="509" t="s">
        <v>76</v>
      </c>
      <c r="AD300" s="509"/>
      <c r="AE300" s="635"/>
      <c r="AF300" s="635"/>
      <c r="AG300" s="788">
        <v>1824</v>
      </c>
      <c r="AH300" s="782">
        <f t="shared" si="89"/>
        <v>0</v>
      </c>
      <c r="AI300" s="509"/>
      <c r="AJ300" s="509"/>
      <c r="AK300" s="509"/>
      <c r="AL300" s="777">
        <f t="shared" si="90"/>
        <v>1824</v>
      </c>
      <c r="AM300" s="656"/>
      <c r="AN300" s="656"/>
      <c r="AO300" s="656"/>
      <c r="AP300" s="777">
        <f>I300</f>
        <v>1824</v>
      </c>
      <c r="AQ300" s="656"/>
      <c r="AR300" s="777">
        <f t="shared" si="91"/>
        <v>1824</v>
      </c>
      <c r="AS300" s="777"/>
      <c r="AT300" s="777">
        <f t="shared" si="92"/>
        <v>1824</v>
      </c>
      <c r="AU300" s="777"/>
      <c r="AV300" s="778"/>
      <c r="AW300" s="778"/>
      <c r="AX300" s="778"/>
      <c r="AY300" s="778"/>
      <c r="AZ300" s="778"/>
      <c r="BA300" s="778"/>
      <c r="BB300" s="778"/>
      <c r="BC300" s="778"/>
      <c r="BD300" s="777">
        <f>I300/4</f>
        <v>456</v>
      </c>
      <c r="BE300" s="777"/>
      <c r="BF300" s="778"/>
      <c r="BG300" s="778"/>
      <c r="BH300" s="778"/>
      <c r="BI300" s="778"/>
      <c r="BJ300" s="778"/>
      <c r="BK300" s="778"/>
      <c r="BL300" s="778"/>
      <c r="BM300" s="778"/>
    </row>
    <row r="301" s="771" customFormat="1" ht="31" hidden="1" customHeight="1" spans="1:65">
      <c r="A301" s="775">
        <v>45827</v>
      </c>
      <c r="B301" s="776" t="s">
        <v>128</v>
      </c>
      <c r="C301" s="509" t="s">
        <v>90</v>
      </c>
      <c r="D301" s="777">
        <v>4500170589</v>
      </c>
      <c r="E301" s="886" t="s">
        <v>1283</v>
      </c>
      <c r="F301" s="778" t="s">
        <v>1284</v>
      </c>
      <c r="G301" s="779" t="s">
        <v>93</v>
      </c>
      <c r="H301" s="509" t="s">
        <v>94</v>
      </c>
      <c r="I301" s="509">
        <v>2204</v>
      </c>
      <c r="J301" s="509">
        <v>0</v>
      </c>
      <c r="K301" s="509">
        <v>4</v>
      </c>
      <c r="L301" s="780">
        <f t="shared" si="76"/>
        <v>551</v>
      </c>
      <c r="M301" s="781">
        <v>45876</v>
      </c>
      <c r="N301" s="781">
        <v>45875</v>
      </c>
      <c r="O301" s="782" t="s">
        <v>1285</v>
      </c>
      <c r="P301" s="782" t="s">
        <v>103</v>
      </c>
      <c r="Q301" s="509"/>
      <c r="R301" s="784" t="s">
        <v>132</v>
      </c>
      <c r="S301" s="784" t="s">
        <v>66</v>
      </c>
      <c r="T301" s="784" t="s">
        <v>1279</v>
      </c>
      <c r="U301" s="683" t="s">
        <v>133</v>
      </c>
      <c r="V301" s="784" t="s">
        <v>1280</v>
      </c>
      <c r="W301" s="776" t="s">
        <v>1281</v>
      </c>
      <c r="X301" s="781" t="s">
        <v>98</v>
      </c>
      <c r="Y301" s="785">
        <v>2.58</v>
      </c>
      <c r="Z301" s="786">
        <f t="shared" si="88"/>
        <v>5686.32</v>
      </c>
      <c r="AA301" s="509" t="s">
        <v>1286</v>
      </c>
      <c r="AB301" s="509" t="s">
        <v>93</v>
      </c>
      <c r="AC301" s="509" t="s">
        <v>76</v>
      </c>
      <c r="AD301" s="509"/>
      <c r="AE301" s="635"/>
      <c r="AF301" s="635"/>
      <c r="AG301" s="788">
        <v>2204</v>
      </c>
      <c r="AH301" s="782">
        <f t="shared" si="89"/>
        <v>0</v>
      </c>
      <c r="AI301" s="509"/>
      <c r="AJ301" s="509"/>
      <c r="AK301" s="509"/>
      <c r="AL301" s="777">
        <f t="shared" si="90"/>
        <v>2204</v>
      </c>
      <c r="AM301" s="656"/>
      <c r="AN301" s="656"/>
      <c r="AO301" s="656"/>
      <c r="AP301" s="777">
        <f>I301</f>
        <v>2204</v>
      </c>
      <c r="AQ301" s="656"/>
      <c r="AR301" s="777">
        <f t="shared" si="91"/>
        <v>2204</v>
      </c>
      <c r="AS301" s="777"/>
      <c r="AT301" s="777">
        <f t="shared" si="92"/>
        <v>2204</v>
      </c>
      <c r="AU301" s="777"/>
      <c r="AV301" s="778"/>
      <c r="AW301" s="778"/>
      <c r="AX301" s="778"/>
      <c r="AY301" s="778"/>
      <c r="AZ301" s="778"/>
      <c r="BA301" s="778"/>
      <c r="BB301" s="778"/>
      <c r="BC301" s="778"/>
      <c r="BD301" s="777">
        <f>I301/4</f>
        <v>551</v>
      </c>
      <c r="BE301" s="777"/>
      <c r="BF301" s="778"/>
      <c r="BG301" s="778"/>
      <c r="BH301" s="778"/>
      <c r="BI301" s="778"/>
      <c r="BJ301" s="778"/>
      <c r="BK301" s="778"/>
      <c r="BL301" s="778"/>
      <c r="BM301" s="778"/>
    </row>
    <row r="302" s="771" customFormat="1" ht="31" hidden="1" customHeight="1" spans="1:65">
      <c r="A302" s="775">
        <v>45828</v>
      </c>
      <c r="B302" s="776" t="s">
        <v>1287</v>
      </c>
      <c r="C302" s="509" t="s">
        <v>366</v>
      </c>
      <c r="D302" s="777">
        <v>4500170761</v>
      </c>
      <c r="E302" s="509"/>
      <c r="F302" s="778" t="s">
        <v>1288</v>
      </c>
      <c r="G302" s="779" t="s">
        <v>93</v>
      </c>
      <c r="H302" s="509" t="s">
        <v>94</v>
      </c>
      <c r="I302" s="509">
        <v>504</v>
      </c>
      <c r="J302" s="509">
        <v>0</v>
      </c>
      <c r="K302" s="509">
        <v>4</v>
      </c>
      <c r="L302" s="780">
        <f t="shared" si="76"/>
        <v>126</v>
      </c>
      <c r="M302" s="781">
        <v>45877</v>
      </c>
      <c r="N302" s="781">
        <v>45875</v>
      </c>
      <c r="O302" s="782"/>
      <c r="P302" s="782" t="s">
        <v>103</v>
      </c>
      <c r="Q302" s="509"/>
      <c r="R302" s="784">
        <v>45828</v>
      </c>
      <c r="S302" s="784" t="s">
        <v>66</v>
      </c>
      <c r="T302" s="784" t="s">
        <v>1289</v>
      </c>
      <c r="U302" s="784"/>
      <c r="V302" s="784"/>
      <c r="W302" s="776" t="s">
        <v>1290</v>
      </c>
      <c r="X302" s="781" t="s">
        <v>370</v>
      </c>
      <c r="Y302" s="785">
        <v>4.3</v>
      </c>
      <c r="Z302" s="786">
        <f t="shared" si="88"/>
        <v>2167.2</v>
      </c>
      <c r="AA302" s="509"/>
      <c r="AB302" s="509" t="s">
        <v>141</v>
      </c>
      <c r="AC302" s="509" t="s">
        <v>76</v>
      </c>
      <c r="AD302" s="509"/>
      <c r="AE302" s="635"/>
      <c r="AF302" s="635"/>
      <c r="AG302" s="788">
        <v>504</v>
      </c>
      <c r="AH302" s="782">
        <f t="shared" si="89"/>
        <v>0</v>
      </c>
      <c r="AI302" s="509"/>
      <c r="AJ302" s="509"/>
      <c r="AK302" s="509"/>
      <c r="AL302" s="777">
        <f t="shared" si="90"/>
        <v>504</v>
      </c>
      <c r="AM302" s="656"/>
      <c r="AN302" s="656"/>
      <c r="AO302" s="656"/>
      <c r="AP302" s="777"/>
      <c r="AQ302" s="656">
        <f>I302</f>
        <v>504</v>
      </c>
      <c r="AR302" s="777">
        <f t="shared" si="91"/>
        <v>504</v>
      </c>
      <c r="AS302" s="777"/>
      <c r="AT302" s="777">
        <f t="shared" si="92"/>
        <v>504</v>
      </c>
      <c r="AU302" s="777"/>
      <c r="AV302" s="778"/>
      <c r="AW302" s="778"/>
      <c r="AX302" s="778"/>
      <c r="AY302" s="778"/>
      <c r="AZ302" s="778"/>
      <c r="BA302" s="778"/>
      <c r="BB302" s="778"/>
      <c r="BC302" s="778"/>
      <c r="BD302" s="778"/>
      <c r="BE302" s="777">
        <f>I302/4</f>
        <v>126</v>
      </c>
      <c r="BF302" s="778"/>
      <c r="BG302" s="778"/>
      <c r="BH302" s="778"/>
      <c r="BI302" s="778"/>
      <c r="BJ302" s="778"/>
      <c r="BK302" s="778"/>
      <c r="BL302" s="778"/>
      <c r="BM302" s="778"/>
    </row>
    <row r="303" s="771" customFormat="1" ht="31" hidden="1" customHeight="1" spans="1:65">
      <c r="A303" s="775">
        <v>45740</v>
      </c>
      <c r="B303" s="776" t="s">
        <v>152</v>
      </c>
      <c r="C303" s="509" t="s">
        <v>153</v>
      </c>
      <c r="D303" s="777">
        <v>4500160891</v>
      </c>
      <c r="E303" s="509">
        <v>9900924263</v>
      </c>
      <c r="F303" s="778" t="s">
        <v>1291</v>
      </c>
      <c r="G303" s="779" t="s">
        <v>155</v>
      </c>
      <c r="H303" s="509" t="s">
        <v>65</v>
      </c>
      <c r="I303" s="509">
        <v>2388</v>
      </c>
      <c r="J303" s="509">
        <v>0</v>
      </c>
      <c r="K303" s="509">
        <v>2</v>
      </c>
      <c r="L303" s="780">
        <f t="shared" si="76"/>
        <v>1194</v>
      </c>
      <c r="M303" s="781">
        <v>45877</v>
      </c>
      <c r="N303" s="781">
        <v>45878</v>
      </c>
      <c r="O303" s="782" t="s">
        <v>1292</v>
      </c>
      <c r="P303" s="782" t="s">
        <v>103</v>
      </c>
      <c r="Q303" s="509"/>
      <c r="R303" s="784">
        <v>45839</v>
      </c>
      <c r="S303" s="784" t="s">
        <v>66</v>
      </c>
      <c r="T303" s="784" t="s">
        <v>561</v>
      </c>
      <c r="U303" s="784"/>
      <c r="V303" s="784"/>
      <c r="W303" s="776" t="s">
        <v>1024</v>
      </c>
      <c r="X303" s="781" t="s">
        <v>158</v>
      </c>
      <c r="Y303" s="785">
        <v>4.1</v>
      </c>
      <c r="Z303" s="786">
        <f t="shared" si="88"/>
        <v>9790.8</v>
      </c>
      <c r="AA303" s="509" t="s">
        <v>1293</v>
      </c>
      <c r="AB303" s="509" t="s">
        <v>155</v>
      </c>
      <c r="AC303" s="509" t="s">
        <v>76</v>
      </c>
      <c r="AD303" s="509"/>
      <c r="AE303" s="635"/>
      <c r="AF303" s="635"/>
      <c r="AG303" s="788">
        <v>2388</v>
      </c>
      <c r="AH303" s="782">
        <f t="shared" si="89"/>
        <v>0</v>
      </c>
      <c r="AI303" s="509"/>
      <c r="AJ303" s="509"/>
      <c r="AK303" s="509"/>
      <c r="AL303" s="777">
        <f t="shared" si="90"/>
        <v>2388</v>
      </c>
      <c r="AM303" s="656"/>
      <c r="AN303" s="656"/>
      <c r="AO303" s="656"/>
      <c r="AP303" s="777"/>
      <c r="AQ303" s="656">
        <f>I303</f>
        <v>2388</v>
      </c>
      <c r="AR303" s="777">
        <f t="shared" si="91"/>
        <v>2388</v>
      </c>
      <c r="AS303" s="777"/>
      <c r="AT303" s="777">
        <f t="shared" si="92"/>
        <v>2388</v>
      </c>
      <c r="AU303" s="777"/>
      <c r="AV303" s="778"/>
      <c r="AW303" s="778"/>
      <c r="AX303" s="778"/>
      <c r="AY303" s="778"/>
      <c r="AZ303" s="778"/>
      <c r="BA303" s="778"/>
      <c r="BB303" s="778"/>
      <c r="BC303" s="778"/>
      <c r="BD303" s="778"/>
      <c r="BE303" s="777"/>
      <c r="BF303" s="778"/>
      <c r="BG303" s="778"/>
      <c r="BH303" s="778"/>
      <c r="BI303" s="778"/>
      <c r="BJ303" s="778"/>
      <c r="BK303" s="778"/>
      <c r="BL303" s="778"/>
      <c r="BM303" s="778"/>
    </row>
    <row r="304" s="771" customFormat="1" ht="31" hidden="1" customHeight="1" spans="1:65">
      <c r="A304" s="775">
        <v>45828</v>
      </c>
      <c r="B304" s="776" t="s">
        <v>1294</v>
      </c>
      <c r="C304" s="509" t="s">
        <v>468</v>
      </c>
      <c r="D304" s="777">
        <v>4500170750</v>
      </c>
      <c r="E304" s="509"/>
      <c r="F304" s="778" t="s">
        <v>1295</v>
      </c>
      <c r="G304" s="779" t="s">
        <v>64</v>
      </c>
      <c r="H304" s="509" t="s">
        <v>65</v>
      </c>
      <c r="I304" s="509">
        <v>300</v>
      </c>
      <c r="J304" s="509">
        <v>0</v>
      </c>
      <c r="K304" s="509">
        <v>12</v>
      </c>
      <c r="L304" s="780">
        <f t="shared" si="76"/>
        <v>25</v>
      </c>
      <c r="M304" s="781">
        <v>45877</v>
      </c>
      <c r="N304" s="781">
        <v>45874</v>
      </c>
      <c r="O304" s="782"/>
      <c r="P304" s="782" t="s">
        <v>103</v>
      </c>
      <c r="Q304" s="509" t="s">
        <v>1296</v>
      </c>
      <c r="R304" s="784">
        <v>45841</v>
      </c>
      <c r="S304" s="784" t="s">
        <v>66</v>
      </c>
      <c r="T304" s="784">
        <v>45849</v>
      </c>
      <c r="U304" s="784"/>
      <c r="V304" s="784"/>
      <c r="W304" s="776" t="s">
        <v>1297</v>
      </c>
      <c r="X304" s="781" t="s">
        <v>304</v>
      </c>
      <c r="Y304" s="785">
        <v>4.1456</v>
      </c>
      <c r="Z304" s="786">
        <f t="shared" si="88"/>
        <v>1243.68</v>
      </c>
      <c r="AA304" s="509" t="s">
        <v>1298</v>
      </c>
      <c r="AB304" s="509" t="s">
        <v>165</v>
      </c>
      <c r="AC304" s="509" t="s">
        <v>76</v>
      </c>
      <c r="AD304" s="509"/>
      <c r="AE304" s="635"/>
      <c r="AF304" s="635"/>
      <c r="AG304" s="788">
        <v>300</v>
      </c>
      <c r="AH304" s="782">
        <f t="shared" si="89"/>
        <v>0</v>
      </c>
      <c r="AI304" s="509"/>
      <c r="AJ304" s="509"/>
      <c r="AK304" s="509"/>
      <c r="AL304" s="777">
        <f t="shared" si="90"/>
        <v>300</v>
      </c>
      <c r="AM304" s="656"/>
      <c r="AN304" s="656"/>
      <c r="AO304" s="656"/>
      <c r="AP304" s="777"/>
      <c r="AQ304" s="656">
        <f>I304</f>
        <v>300</v>
      </c>
      <c r="AR304" s="777">
        <f t="shared" si="91"/>
        <v>300</v>
      </c>
      <c r="AS304" s="777"/>
      <c r="AT304" s="777">
        <f t="shared" si="92"/>
        <v>300</v>
      </c>
      <c r="AU304" s="777"/>
      <c r="AV304" s="778"/>
      <c r="AW304" s="778"/>
      <c r="AX304" s="778"/>
      <c r="AY304" s="778"/>
      <c r="AZ304" s="778"/>
      <c r="BA304" s="778"/>
      <c r="BB304" s="778"/>
      <c r="BC304" s="778"/>
      <c r="BD304" s="778"/>
      <c r="BE304" s="777"/>
      <c r="BF304" s="778"/>
      <c r="BG304" s="778"/>
      <c r="BH304" s="778"/>
      <c r="BI304" s="778"/>
      <c r="BJ304" s="778"/>
      <c r="BK304" s="778"/>
      <c r="BL304" s="778"/>
      <c r="BM304" s="778"/>
    </row>
    <row r="305" s="771" customFormat="1" ht="31" hidden="1" customHeight="1" spans="1:65">
      <c r="A305" s="775">
        <v>45824</v>
      </c>
      <c r="B305" s="776" t="s">
        <v>184</v>
      </c>
      <c r="C305" s="509" t="s">
        <v>1299</v>
      </c>
      <c r="D305" s="777">
        <v>4500170119</v>
      </c>
      <c r="E305" s="509">
        <v>217405827</v>
      </c>
      <c r="F305" s="778" t="s">
        <v>1300</v>
      </c>
      <c r="G305" s="779" t="s">
        <v>186</v>
      </c>
      <c r="H305" s="509" t="s">
        <v>94</v>
      </c>
      <c r="I305" s="509">
        <v>1172</v>
      </c>
      <c r="J305" s="509">
        <v>0</v>
      </c>
      <c r="K305" s="509">
        <v>4</v>
      </c>
      <c r="L305" s="780">
        <f t="shared" si="76"/>
        <v>293</v>
      </c>
      <c r="M305" s="781">
        <v>45878</v>
      </c>
      <c r="N305" s="781">
        <v>45876</v>
      </c>
      <c r="O305" s="782"/>
      <c r="P305" s="782" t="s">
        <v>103</v>
      </c>
      <c r="Q305" s="509"/>
      <c r="R305" s="784">
        <v>45839</v>
      </c>
      <c r="S305" s="784" t="s">
        <v>66</v>
      </c>
      <c r="T305" s="784" t="s">
        <v>66</v>
      </c>
      <c r="U305" s="784"/>
      <c r="V305" s="784"/>
      <c r="W305" s="776" t="s">
        <v>187</v>
      </c>
      <c r="X305" s="781" t="s">
        <v>188</v>
      </c>
      <c r="Y305" s="785">
        <v>2.5075</v>
      </c>
      <c r="Z305" s="786">
        <f t="shared" si="88"/>
        <v>2938.79</v>
      </c>
      <c r="AA305" s="509"/>
      <c r="AB305" s="509" t="s">
        <v>186</v>
      </c>
      <c r="AC305" s="509" t="s">
        <v>76</v>
      </c>
      <c r="AD305" s="509"/>
      <c r="AE305" s="635"/>
      <c r="AF305" s="635"/>
      <c r="AG305" s="788">
        <v>1172</v>
      </c>
      <c r="AH305" s="782">
        <f t="shared" si="89"/>
        <v>0</v>
      </c>
      <c r="AI305" s="509"/>
      <c r="AJ305" s="509"/>
      <c r="AK305" s="509"/>
      <c r="AL305" s="777">
        <f t="shared" si="90"/>
        <v>1172</v>
      </c>
      <c r="AM305" s="656"/>
      <c r="AN305" s="656"/>
      <c r="AO305" s="656"/>
      <c r="AP305" s="777">
        <f>I305</f>
        <v>1172</v>
      </c>
      <c r="AQ305" s="656"/>
      <c r="AR305" s="777">
        <f t="shared" si="91"/>
        <v>1172</v>
      </c>
      <c r="AS305" s="777"/>
      <c r="AT305" s="777">
        <f t="shared" si="92"/>
        <v>1172</v>
      </c>
      <c r="AU305" s="777"/>
      <c r="AV305" s="778"/>
      <c r="AW305" s="778"/>
      <c r="AX305" s="778"/>
      <c r="AY305" s="778"/>
      <c r="AZ305" s="778"/>
      <c r="BA305" s="778"/>
      <c r="BB305" s="778"/>
      <c r="BC305" s="778"/>
      <c r="BD305" s="778"/>
      <c r="BE305" s="777"/>
      <c r="BF305" s="778"/>
      <c r="BG305" s="778"/>
      <c r="BH305" s="778"/>
      <c r="BI305" s="778"/>
      <c r="BJ305" s="778"/>
      <c r="BK305" s="778"/>
      <c r="BL305" s="778"/>
      <c r="BM305" s="778"/>
    </row>
    <row r="306" s="771" customFormat="1" ht="31" hidden="1" customHeight="1" spans="1:65">
      <c r="A306" s="775">
        <v>45824</v>
      </c>
      <c r="B306" s="776" t="s">
        <v>184</v>
      </c>
      <c r="C306" s="509" t="s">
        <v>1299</v>
      </c>
      <c r="D306" s="777">
        <v>4500170092</v>
      </c>
      <c r="E306" s="509">
        <v>217405708</v>
      </c>
      <c r="F306" s="778" t="s">
        <v>1301</v>
      </c>
      <c r="G306" s="779" t="s">
        <v>186</v>
      </c>
      <c r="H306" s="509" t="s">
        <v>94</v>
      </c>
      <c r="I306" s="509">
        <v>1172</v>
      </c>
      <c r="J306" s="509">
        <v>0</v>
      </c>
      <c r="K306" s="509">
        <v>4</v>
      </c>
      <c r="L306" s="780">
        <f t="shared" si="76"/>
        <v>293</v>
      </c>
      <c r="M306" s="781">
        <v>45878</v>
      </c>
      <c r="N306" s="781">
        <v>45876</v>
      </c>
      <c r="O306" s="782"/>
      <c r="P306" s="782" t="s">
        <v>103</v>
      </c>
      <c r="Q306" s="509"/>
      <c r="R306" s="784">
        <v>45839</v>
      </c>
      <c r="S306" s="784" t="s">
        <v>66</v>
      </c>
      <c r="T306" s="784" t="s">
        <v>66</v>
      </c>
      <c r="U306" s="784"/>
      <c r="V306" s="784"/>
      <c r="W306" s="776" t="s">
        <v>187</v>
      </c>
      <c r="X306" s="781" t="s">
        <v>188</v>
      </c>
      <c r="Y306" s="785">
        <v>2.6096</v>
      </c>
      <c r="Z306" s="786">
        <f t="shared" si="88"/>
        <v>3058.4512</v>
      </c>
      <c r="AA306" s="509" t="s">
        <v>1302</v>
      </c>
      <c r="AB306" s="509" t="s">
        <v>186</v>
      </c>
      <c r="AC306" s="509" t="s">
        <v>76</v>
      </c>
      <c r="AD306" s="509"/>
      <c r="AE306" s="635"/>
      <c r="AF306" s="635"/>
      <c r="AG306" s="788">
        <v>1172</v>
      </c>
      <c r="AH306" s="782">
        <f t="shared" si="89"/>
        <v>0</v>
      </c>
      <c r="AI306" s="509"/>
      <c r="AJ306" s="509"/>
      <c r="AK306" s="509"/>
      <c r="AL306" s="777">
        <f t="shared" si="90"/>
        <v>1172</v>
      </c>
      <c r="AM306" s="656"/>
      <c r="AN306" s="656"/>
      <c r="AO306" s="656"/>
      <c r="AP306" s="777">
        <f>I306</f>
        <v>1172</v>
      </c>
      <c r="AQ306" s="656"/>
      <c r="AR306" s="777">
        <f t="shared" si="91"/>
        <v>1172</v>
      </c>
      <c r="AS306" s="777"/>
      <c r="AT306" s="777">
        <f t="shared" si="92"/>
        <v>1172</v>
      </c>
      <c r="AU306" s="777"/>
      <c r="AV306" s="778"/>
      <c r="AW306" s="778"/>
      <c r="AX306" s="778"/>
      <c r="AY306" s="778"/>
      <c r="AZ306" s="778"/>
      <c r="BA306" s="778"/>
      <c r="BB306" s="778"/>
      <c r="BC306" s="778"/>
      <c r="BD306" s="778"/>
      <c r="BE306" s="777"/>
      <c r="BF306" s="778"/>
      <c r="BG306" s="778"/>
      <c r="BH306" s="778"/>
      <c r="BI306" s="778"/>
      <c r="BJ306" s="778"/>
      <c r="BK306" s="778"/>
      <c r="BL306" s="778"/>
      <c r="BM306" s="778"/>
    </row>
    <row r="307" s="771" customFormat="1" ht="31" hidden="1" customHeight="1" spans="1:65">
      <c r="A307" s="775">
        <v>45827</v>
      </c>
      <c r="B307" s="776" t="s">
        <v>184</v>
      </c>
      <c r="C307" s="509" t="s">
        <v>90</v>
      </c>
      <c r="D307" s="777">
        <v>4500170515</v>
      </c>
      <c r="E307" s="509" t="s">
        <v>1303</v>
      </c>
      <c r="F307" s="778" t="s">
        <v>1304</v>
      </c>
      <c r="G307" s="779" t="s">
        <v>186</v>
      </c>
      <c r="H307" s="509" t="s">
        <v>94</v>
      </c>
      <c r="I307" s="509">
        <v>1952</v>
      </c>
      <c r="J307" s="509">
        <v>0</v>
      </c>
      <c r="K307" s="509">
        <v>4</v>
      </c>
      <c r="L307" s="780">
        <f t="shared" si="76"/>
        <v>488</v>
      </c>
      <c r="M307" s="781">
        <v>45880</v>
      </c>
      <c r="N307" s="781">
        <v>45878</v>
      </c>
      <c r="O307" s="782"/>
      <c r="P307" s="782" t="s">
        <v>103</v>
      </c>
      <c r="Q307" s="509"/>
      <c r="R307" s="784">
        <v>45842</v>
      </c>
      <c r="S307" s="784" t="s">
        <v>66</v>
      </c>
      <c r="T307" s="784" t="s">
        <v>66</v>
      </c>
      <c r="U307" s="784"/>
      <c r="V307" s="784"/>
      <c r="W307" s="776" t="s">
        <v>1305</v>
      </c>
      <c r="X307" s="781" t="s">
        <v>188</v>
      </c>
      <c r="Y307" s="785">
        <v>2.6096</v>
      </c>
      <c r="Z307" s="786">
        <f t="shared" si="88"/>
        <v>5093.9392</v>
      </c>
      <c r="AA307" s="509" t="s">
        <v>1306</v>
      </c>
      <c r="AB307" s="509" t="s">
        <v>186</v>
      </c>
      <c r="AC307" s="509" t="s">
        <v>76</v>
      </c>
      <c r="AD307" s="509"/>
      <c r="AE307" s="635"/>
      <c r="AF307" s="635"/>
      <c r="AG307" s="788">
        <v>1952</v>
      </c>
      <c r="AH307" s="782">
        <f t="shared" si="89"/>
        <v>0</v>
      </c>
      <c r="AI307" s="509"/>
      <c r="AJ307" s="509"/>
      <c r="AK307" s="509"/>
      <c r="AL307" s="777">
        <f t="shared" si="90"/>
        <v>1952</v>
      </c>
      <c r="AM307" s="656"/>
      <c r="AN307" s="656"/>
      <c r="AO307" s="656"/>
      <c r="AP307" s="777">
        <f>I307</f>
        <v>1952</v>
      </c>
      <c r="AQ307" s="656"/>
      <c r="AR307" s="777">
        <f t="shared" si="91"/>
        <v>1952</v>
      </c>
      <c r="AS307" s="777"/>
      <c r="AT307" s="777">
        <f t="shared" si="92"/>
        <v>1952</v>
      </c>
      <c r="AU307" s="777"/>
      <c r="AV307" s="778"/>
      <c r="AW307" s="778"/>
      <c r="AX307" s="778"/>
      <c r="AY307" s="778"/>
      <c r="AZ307" s="778"/>
      <c r="BA307" s="778"/>
      <c r="BB307" s="778"/>
      <c r="BC307" s="778"/>
      <c r="BD307" s="778"/>
      <c r="BE307" s="777"/>
      <c r="BF307" s="778"/>
      <c r="BG307" s="778"/>
      <c r="BH307" s="778"/>
      <c r="BI307" s="778"/>
      <c r="BJ307" s="778"/>
      <c r="BK307" s="778"/>
      <c r="BL307" s="778"/>
      <c r="BM307" s="778"/>
    </row>
    <row r="308" s="771" customFormat="1" ht="31" hidden="1" customHeight="1" spans="1:65">
      <c r="A308" s="775">
        <v>45827</v>
      </c>
      <c r="B308" s="776" t="s">
        <v>184</v>
      </c>
      <c r="C308" s="509" t="s">
        <v>90</v>
      </c>
      <c r="D308" s="777">
        <v>4500170515</v>
      </c>
      <c r="E308" s="509" t="s">
        <v>1307</v>
      </c>
      <c r="F308" s="778" t="s">
        <v>1308</v>
      </c>
      <c r="G308" s="779" t="s">
        <v>186</v>
      </c>
      <c r="H308" s="509" t="s">
        <v>94</v>
      </c>
      <c r="I308" s="509">
        <v>1052</v>
      </c>
      <c r="J308" s="509">
        <v>0</v>
      </c>
      <c r="K308" s="509">
        <v>4</v>
      </c>
      <c r="L308" s="780">
        <f t="shared" si="76"/>
        <v>263</v>
      </c>
      <c r="M308" s="781">
        <v>45880</v>
      </c>
      <c r="N308" s="781">
        <v>45878</v>
      </c>
      <c r="O308" s="782"/>
      <c r="P308" s="782" t="s">
        <v>103</v>
      </c>
      <c r="Q308" s="509"/>
      <c r="R308" s="784">
        <v>45842</v>
      </c>
      <c r="S308" s="784" t="s">
        <v>66</v>
      </c>
      <c r="T308" s="784" t="s">
        <v>66</v>
      </c>
      <c r="U308" s="784"/>
      <c r="V308" s="784"/>
      <c r="W308" s="776" t="s">
        <v>1305</v>
      </c>
      <c r="X308" s="781" t="s">
        <v>188</v>
      </c>
      <c r="Y308" s="785">
        <v>2.6096</v>
      </c>
      <c r="Z308" s="786">
        <f t="shared" si="88"/>
        <v>2745.2992</v>
      </c>
      <c r="AA308" s="509" t="s">
        <v>1309</v>
      </c>
      <c r="AB308" s="509" t="s">
        <v>186</v>
      </c>
      <c r="AC308" s="509" t="s">
        <v>76</v>
      </c>
      <c r="AD308" s="509"/>
      <c r="AE308" s="635"/>
      <c r="AF308" s="635"/>
      <c r="AG308" s="788">
        <v>1052</v>
      </c>
      <c r="AH308" s="782">
        <f t="shared" si="89"/>
        <v>0</v>
      </c>
      <c r="AI308" s="509"/>
      <c r="AJ308" s="509"/>
      <c r="AK308" s="509"/>
      <c r="AL308" s="777">
        <f t="shared" si="90"/>
        <v>1052</v>
      </c>
      <c r="AM308" s="656"/>
      <c r="AN308" s="656"/>
      <c r="AO308" s="656"/>
      <c r="AP308" s="777">
        <f>I308</f>
        <v>1052</v>
      </c>
      <c r="AQ308" s="656"/>
      <c r="AR308" s="777">
        <f t="shared" si="91"/>
        <v>1052</v>
      </c>
      <c r="AS308" s="777"/>
      <c r="AT308" s="777">
        <f t="shared" si="92"/>
        <v>1052</v>
      </c>
      <c r="AU308" s="777"/>
      <c r="AV308" s="778"/>
      <c r="AW308" s="778"/>
      <c r="AX308" s="778"/>
      <c r="AY308" s="778"/>
      <c r="AZ308" s="778"/>
      <c r="BA308" s="778"/>
      <c r="BB308" s="778"/>
      <c r="BC308" s="778"/>
      <c r="BD308" s="778"/>
      <c r="BE308" s="777"/>
      <c r="BF308" s="778"/>
      <c r="BG308" s="778"/>
      <c r="BH308" s="778"/>
      <c r="BI308" s="778"/>
      <c r="BJ308" s="778"/>
      <c r="BK308" s="778"/>
      <c r="BL308" s="778"/>
      <c r="BM308" s="778"/>
    </row>
    <row r="309" s="771" customFormat="1" ht="31" hidden="1" customHeight="1" spans="1:65">
      <c r="A309" s="775">
        <v>45820</v>
      </c>
      <c r="B309" s="776" t="s">
        <v>128</v>
      </c>
      <c r="C309" s="509" t="s">
        <v>90</v>
      </c>
      <c r="D309" s="777">
        <v>4500169834</v>
      </c>
      <c r="E309" s="886" t="s">
        <v>1310</v>
      </c>
      <c r="F309" s="778" t="s">
        <v>1311</v>
      </c>
      <c r="G309" s="779" t="s">
        <v>93</v>
      </c>
      <c r="H309" s="509" t="s">
        <v>94</v>
      </c>
      <c r="I309" s="509">
        <v>1484</v>
      </c>
      <c r="J309" s="509">
        <v>0</v>
      </c>
      <c r="K309" s="509">
        <v>4</v>
      </c>
      <c r="L309" s="780">
        <f t="shared" si="76"/>
        <v>371</v>
      </c>
      <c r="M309" s="781">
        <v>45867</v>
      </c>
      <c r="N309" s="781">
        <v>45873</v>
      </c>
      <c r="O309" s="782" t="s">
        <v>1312</v>
      </c>
      <c r="P309" s="782" t="s">
        <v>103</v>
      </c>
      <c r="Q309" s="509"/>
      <c r="R309" s="784" t="s">
        <v>132</v>
      </c>
      <c r="S309" s="784" t="s">
        <v>66</v>
      </c>
      <c r="T309" s="784" t="s">
        <v>133</v>
      </c>
      <c r="U309" s="683" t="s">
        <v>133</v>
      </c>
      <c r="V309" s="784"/>
      <c r="W309" s="776" t="s">
        <v>1076</v>
      </c>
      <c r="X309" s="781" t="s">
        <v>98</v>
      </c>
      <c r="Y309" s="785">
        <v>2.58</v>
      </c>
      <c r="Z309" s="786">
        <f t="shared" si="88"/>
        <v>3828.72</v>
      </c>
      <c r="AA309" s="509" t="s">
        <v>1313</v>
      </c>
      <c r="AB309" s="509" t="s">
        <v>93</v>
      </c>
      <c r="AC309" s="509" t="s">
        <v>76</v>
      </c>
      <c r="AD309" s="509"/>
      <c r="AE309" s="635"/>
      <c r="AF309" s="635"/>
      <c r="AG309" s="788">
        <f>1480</f>
        <v>1480</v>
      </c>
      <c r="AH309" s="782">
        <f t="shared" si="89"/>
        <v>-4</v>
      </c>
      <c r="AI309" s="509"/>
      <c r="AJ309" s="509"/>
      <c r="AK309" s="509"/>
      <c r="AL309" s="777">
        <f t="shared" si="90"/>
        <v>1484</v>
      </c>
      <c r="AM309" s="656"/>
      <c r="AN309" s="656"/>
      <c r="AO309" s="656"/>
      <c r="AP309" s="777">
        <f>I309</f>
        <v>1484</v>
      </c>
      <c r="AQ309" s="656"/>
      <c r="AR309" s="777">
        <f t="shared" si="91"/>
        <v>1484</v>
      </c>
      <c r="AS309" s="777"/>
      <c r="AT309" s="543">
        <f t="shared" si="92"/>
        <v>1484</v>
      </c>
      <c r="AU309" s="777"/>
      <c r="AV309" s="778"/>
      <c r="AW309" s="778"/>
      <c r="AX309" s="778"/>
      <c r="AY309" s="778"/>
      <c r="AZ309" s="778"/>
      <c r="BA309" s="778"/>
      <c r="BB309" s="778"/>
      <c r="BC309" s="778"/>
      <c r="BD309" s="777">
        <f>I309/4</f>
        <v>371</v>
      </c>
      <c r="BE309" s="777"/>
      <c r="BF309" s="778"/>
      <c r="BG309" s="778"/>
      <c r="BH309" s="778"/>
      <c r="BI309" s="778"/>
      <c r="BJ309" s="778"/>
      <c r="BK309" s="778"/>
      <c r="BL309" s="778"/>
      <c r="BM309" s="778"/>
    </row>
    <row r="310" s="771" customFormat="1" ht="31" hidden="1" customHeight="1" spans="1:65">
      <c r="A310" s="775">
        <v>45769</v>
      </c>
      <c r="B310" s="776" t="s">
        <v>857</v>
      </c>
      <c r="C310" s="509" t="s">
        <v>249</v>
      </c>
      <c r="D310" s="777">
        <v>4500164549</v>
      </c>
      <c r="E310" s="509" t="s">
        <v>1266</v>
      </c>
      <c r="F310" s="778" t="s">
        <v>1267</v>
      </c>
      <c r="G310" s="779" t="s">
        <v>460</v>
      </c>
      <c r="H310" s="509" t="s">
        <v>65</v>
      </c>
      <c r="I310" s="509">
        <v>1800</v>
      </c>
      <c r="J310" s="509">
        <v>0</v>
      </c>
      <c r="K310" s="509">
        <v>75</v>
      </c>
      <c r="L310" s="780">
        <f t="shared" si="76"/>
        <v>24</v>
      </c>
      <c r="M310" s="781">
        <v>45868</v>
      </c>
      <c r="N310" s="781">
        <v>45868</v>
      </c>
      <c r="O310" s="782"/>
      <c r="P310" s="782" t="s">
        <v>103</v>
      </c>
      <c r="Q310" s="509"/>
      <c r="R310" s="784">
        <v>45785</v>
      </c>
      <c r="S310" s="784" t="s">
        <v>66</v>
      </c>
      <c r="T310" s="784" t="s">
        <v>66</v>
      </c>
      <c r="U310" s="784"/>
      <c r="V310" s="784"/>
      <c r="W310" s="776"/>
      <c r="X310" s="781" t="s">
        <v>219</v>
      </c>
      <c r="Y310" s="785">
        <v>762.5</v>
      </c>
      <c r="Z310" s="786">
        <f>Y310*L310</f>
        <v>18300</v>
      </c>
      <c r="AA310" s="509"/>
      <c r="AB310" s="509" t="s">
        <v>743</v>
      </c>
      <c r="AC310" s="509" t="s">
        <v>76</v>
      </c>
      <c r="AD310" s="509"/>
      <c r="AE310" s="635"/>
      <c r="AF310" s="635"/>
      <c r="AG310" s="788">
        <v>0</v>
      </c>
      <c r="AH310" s="782">
        <f t="shared" si="89"/>
        <v>-1800</v>
      </c>
      <c r="AI310" s="509"/>
      <c r="AJ310" s="509"/>
      <c r="AK310" s="509"/>
      <c r="AL310" s="777"/>
      <c r="AM310" s="656"/>
      <c r="AN310" s="656"/>
      <c r="AO310" s="656">
        <f>I310</f>
        <v>1800</v>
      </c>
      <c r="AP310" s="777"/>
      <c r="AQ310" s="656"/>
      <c r="AR310" s="777"/>
      <c r="AS310" s="777"/>
      <c r="AT310" s="777"/>
      <c r="AU310" s="777"/>
      <c r="AV310" s="778"/>
      <c r="AW310" s="778">
        <f>I310</f>
        <v>1800</v>
      </c>
      <c r="AX310" s="778">
        <f>I310</f>
        <v>1800</v>
      </c>
      <c r="AY310" s="778">
        <f>I310</f>
        <v>1800</v>
      </c>
      <c r="AZ310" s="778"/>
      <c r="BA310" s="778"/>
      <c r="BB310" s="778"/>
      <c r="BC310" s="778"/>
      <c r="BD310" s="778"/>
      <c r="BE310" s="777"/>
      <c r="BF310" s="778"/>
      <c r="BG310" s="778">
        <f>I310</f>
        <v>1800</v>
      </c>
      <c r="BH310" s="778">
        <f>I310/5</f>
        <v>360</v>
      </c>
      <c r="BI310" s="778"/>
      <c r="BJ310" s="778"/>
      <c r="BK310" s="778"/>
      <c r="BL310" s="778"/>
      <c r="BM310" s="778"/>
    </row>
    <row r="311" s="771" customFormat="1" ht="31" hidden="1" customHeight="1" spans="1:65">
      <c r="A311" s="775">
        <v>45869</v>
      </c>
      <c r="B311" s="776" t="s">
        <v>1314</v>
      </c>
      <c r="C311" s="509" t="s">
        <v>366</v>
      </c>
      <c r="D311" s="777">
        <v>4500175657</v>
      </c>
      <c r="E311" s="509">
        <v>5200007336</v>
      </c>
      <c r="F311" s="778" t="s">
        <v>1315</v>
      </c>
      <c r="G311" s="779" t="s">
        <v>1316</v>
      </c>
      <c r="H311" s="509" t="s">
        <v>1317</v>
      </c>
      <c r="I311" s="509">
        <v>100</v>
      </c>
      <c r="J311" s="509">
        <v>0</v>
      </c>
      <c r="K311" s="509">
        <v>50</v>
      </c>
      <c r="L311" s="780">
        <f t="shared" si="76"/>
        <v>2</v>
      </c>
      <c r="M311" s="781">
        <v>45871</v>
      </c>
      <c r="N311" s="781">
        <f>M311-4</f>
        <v>45867</v>
      </c>
      <c r="O311" s="782"/>
      <c r="P311" s="782" t="s">
        <v>103</v>
      </c>
      <c r="Q311" s="509"/>
      <c r="R311" s="784">
        <v>45861</v>
      </c>
      <c r="S311" s="784" t="s">
        <v>66</v>
      </c>
      <c r="T311" s="784" t="s">
        <v>66</v>
      </c>
      <c r="U311" s="784"/>
      <c r="V311" s="784"/>
      <c r="W311" s="776" t="s">
        <v>1318</v>
      </c>
      <c r="X311" s="781" t="s">
        <v>370</v>
      </c>
      <c r="Y311" s="785">
        <v>0.1221</v>
      </c>
      <c r="Z311" s="786">
        <f>Y311*I311</f>
        <v>12.21</v>
      </c>
      <c r="AA311" s="509"/>
      <c r="AB311" s="509" t="s">
        <v>68</v>
      </c>
      <c r="AC311" s="509" t="s">
        <v>68</v>
      </c>
      <c r="AD311" s="509"/>
      <c r="AE311" s="635"/>
      <c r="AF311" s="635"/>
      <c r="AG311" s="788">
        <f>I311</f>
        <v>100</v>
      </c>
      <c r="AH311" s="782">
        <f t="shared" si="89"/>
        <v>0</v>
      </c>
      <c r="AI311" s="509"/>
      <c r="AJ311" s="509"/>
      <c r="AK311" s="509"/>
      <c r="AL311" s="777">
        <f>I311</f>
        <v>100</v>
      </c>
      <c r="AM311" s="656"/>
      <c r="AN311" s="656"/>
      <c r="AO311" s="656"/>
      <c r="AP311" s="777">
        <f>I311</f>
        <v>100</v>
      </c>
      <c r="AQ311" s="656"/>
      <c r="AR311" s="777">
        <f t="shared" ref="AR311:AR319" si="93">I311</f>
        <v>100</v>
      </c>
      <c r="AS311" s="777"/>
      <c r="AT311" s="777">
        <f>I311</f>
        <v>100</v>
      </c>
      <c r="AU311" s="777"/>
      <c r="AV311" s="778"/>
      <c r="AW311" s="778"/>
      <c r="AX311" s="778"/>
      <c r="AY311" s="778"/>
      <c r="AZ311" s="778"/>
      <c r="BA311" s="778"/>
      <c r="BB311" s="778"/>
      <c r="BC311" s="778"/>
      <c r="BD311" s="777">
        <f>I311/4</f>
        <v>25</v>
      </c>
      <c r="BE311" s="777"/>
      <c r="BF311" s="778"/>
      <c r="BG311" s="778"/>
      <c r="BH311" s="778"/>
      <c r="BI311" s="778"/>
      <c r="BJ311" s="778"/>
      <c r="BK311" s="778"/>
      <c r="BL311" s="778"/>
      <c r="BM311" s="778"/>
    </row>
    <row r="312" s="771" customFormat="1" ht="31" hidden="1" customHeight="1" spans="1:65">
      <c r="A312" s="775">
        <v>45834</v>
      </c>
      <c r="B312" s="776" t="s">
        <v>1228</v>
      </c>
      <c r="C312" s="509" t="s">
        <v>841</v>
      </c>
      <c r="D312" s="777">
        <v>4500171286</v>
      </c>
      <c r="E312" s="509"/>
      <c r="F312" s="778" t="s">
        <v>1319</v>
      </c>
      <c r="G312" s="779" t="s">
        <v>64</v>
      </c>
      <c r="H312" s="509" t="s">
        <v>65</v>
      </c>
      <c r="I312" s="509">
        <v>120</v>
      </c>
      <c r="J312" s="509">
        <v>0</v>
      </c>
      <c r="K312" s="509">
        <v>12</v>
      </c>
      <c r="L312" s="780">
        <f t="shared" si="76"/>
        <v>10</v>
      </c>
      <c r="M312" s="781">
        <v>45870</v>
      </c>
      <c r="N312" s="781">
        <v>45875</v>
      </c>
      <c r="O312" s="782"/>
      <c r="P312" s="782" t="s">
        <v>103</v>
      </c>
      <c r="Q312" s="509"/>
      <c r="R312" s="784">
        <v>45846</v>
      </c>
      <c r="S312" s="784" t="s">
        <v>66</v>
      </c>
      <c r="T312" s="784" t="s">
        <v>403</v>
      </c>
      <c r="U312" s="784"/>
      <c r="V312" s="784"/>
      <c r="W312" s="776" t="s">
        <v>1320</v>
      </c>
      <c r="X312" s="781" t="s">
        <v>853</v>
      </c>
      <c r="Y312" s="785">
        <v>4.1456</v>
      </c>
      <c r="Z312" s="786">
        <f>Y312*I312</f>
        <v>497.472</v>
      </c>
      <c r="AA312" s="509" t="s">
        <v>1321</v>
      </c>
      <c r="AB312" s="509" t="s">
        <v>165</v>
      </c>
      <c r="AC312" s="509" t="s">
        <v>76</v>
      </c>
      <c r="AD312" s="509"/>
      <c r="AE312" s="635"/>
      <c r="AF312" s="635"/>
      <c r="AG312" s="788">
        <v>120</v>
      </c>
      <c r="AH312" s="782">
        <f t="shared" si="89"/>
        <v>0</v>
      </c>
      <c r="AI312" s="509"/>
      <c r="AJ312" s="509"/>
      <c r="AK312" s="509"/>
      <c r="AL312" s="777">
        <f>I312</f>
        <v>120</v>
      </c>
      <c r="AM312" s="656"/>
      <c r="AN312" s="656"/>
      <c r="AO312" s="656"/>
      <c r="AP312" s="777"/>
      <c r="AQ312" s="656">
        <f>I312</f>
        <v>120</v>
      </c>
      <c r="AR312" s="777">
        <f t="shared" si="93"/>
        <v>120</v>
      </c>
      <c r="AS312" s="777"/>
      <c r="AT312" s="777">
        <f>I312</f>
        <v>120</v>
      </c>
      <c r="AU312" s="777"/>
      <c r="AV312" s="778"/>
      <c r="AW312" s="778"/>
      <c r="AX312" s="778"/>
      <c r="AY312" s="778"/>
      <c r="AZ312" s="778"/>
      <c r="BA312" s="778"/>
      <c r="BB312" s="778"/>
      <c r="BC312" s="778"/>
      <c r="BD312" s="778"/>
      <c r="BE312" s="777"/>
      <c r="BF312" s="778"/>
      <c r="BG312" s="778"/>
      <c r="BH312" s="778"/>
      <c r="BI312" s="778"/>
      <c r="BJ312" s="778"/>
      <c r="BK312" s="778"/>
      <c r="BL312" s="778"/>
      <c r="BM312" s="778"/>
    </row>
    <row r="313" s="771" customFormat="1" ht="31" hidden="1" customHeight="1" spans="1:65">
      <c r="A313" s="775">
        <v>45826</v>
      </c>
      <c r="B313" s="776" t="s">
        <v>190</v>
      </c>
      <c r="C313" s="509" t="s">
        <v>191</v>
      </c>
      <c r="D313" s="777">
        <v>4500170405</v>
      </c>
      <c r="E313" s="509" t="s">
        <v>1322</v>
      </c>
      <c r="F313" s="778" t="s">
        <v>1323</v>
      </c>
      <c r="G313" s="779" t="s">
        <v>102</v>
      </c>
      <c r="H313" s="509" t="s">
        <v>65</v>
      </c>
      <c r="I313" s="509">
        <v>368</v>
      </c>
      <c r="J313" s="509">
        <v>0</v>
      </c>
      <c r="K313" s="509">
        <v>16</v>
      </c>
      <c r="L313" s="780">
        <f t="shared" si="76"/>
        <v>23</v>
      </c>
      <c r="M313" s="781">
        <v>45881</v>
      </c>
      <c r="N313" s="781">
        <v>45880</v>
      </c>
      <c r="O313" s="782"/>
      <c r="P313" s="782" t="s">
        <v>103</v>
      </c>
      <c r="Q313" s="509"/>
      <c r="R313" s="784">
        <v>45827</v>
      </c>
      <c r="S313" s="784" t="s">
        <v>66</v>
      </c>
      <c r="T313" s="784">
        <v>45841</v>
      </c>
      <c r="U313" s="784"/>
      <c r="V313" s="784"/>
      <c r="W313" s="776" t="s">
        <v>1324</v>
      </c>
      <c r="X313" s="781" t="s">
        <v>196</v>
      </c>
      <c r="Y313" s="785">
        <v>4.2114</v>
      </c>
      <c r="Z313" s="786">
        <f t="shared" ref="Z313:Z322" si="94">Y313*I313</f>
        <v>1549.7952</v>
      </c>
      <c r="AA313" s="509"/>
      <c r="AB313" s="509" t="s">
        <v>102</v>
      </c>
      <c r="AC313" s="509" t="s">
        <v>76</v>
      </c>
      <c r="AD313" s="509"/>
      <c r="AE313" s="635"/>
      <c r="AF313" s="635"/>
      <c r="AG313" s="788">
        <v>368</v>
      </c>
      <c r="AH313" s="782">
        <f t="shared" si="89"/>
        <v>0</v>
      </c>
      <c r="AI313" s="509"/>
      <c r="AJ313" s="509"/>
      <c r="AK313" s="509"/>
      <c r="AL313" s="777">
        <f t="shared" ref="AL313:AL319" si="95">I313</f>
        <v>368</v>
      </c>
      <c r="AM313" s="656"/>
      <c r="AN313" s="656"/>
      <c r="AO313" s="656"/>
      <c r="AP313" s="777">
        <f t="shared" ref="AP313:AP319" si="96">I313</f>
        <v>368</v>
      </c>
      <c r="AQ313" s="656"/>
      <c r="AR313" s="777">
        <f t="shared" si="93"/>
        <v>368</v>
      </c>
      <c r="AS313" s="777"/>
      <c r="AT313" s="777">
        <f t="shared" ref="AT313:AT323" si="97">I313</f>
        <v>368</v>
      </c>
      <c r="AU313" s="777"/>
      <c r="AV313" s="778"/>
      <c r="AW313" s="778"/>
      <c r="AX313" s="778"/>
      <c r="AY313" s="778"/>
      <c r="AZ313" s="778"/>
      <c r="BA313" s="778"/>
      <c r="BB313" s="778"/>
      <c r="BC313" s="778"/>
      <c r="BD313" s="777">
        <f>I313/4</f>
        <v>92</v>
      </c>
      <c r="BE313" s="777"/>
      <c r="BF313" s="778"/>
      <c r="BG313" s="778"/>
      <c r="BH313" s="778"/>
      <c r="BI313" s="778"/>
      <c r="BJ313" s="778"/>
      <c r="BK313" s="778"/>
      <c r="BL313" s="778"/>
      <c r="BM313" s="778"/>
    </row>
    <row r="314" s="771" customFormat="1" ht="31" hidden="1" customHeight="1" spans="1:65">
      <c r="A314" s="775">
        <v>45832</v>
      </c>
      <c r="B314" s="776" t="s">
        <v>788</v>
      </c>
      <c r="C314" s="509" t="s">
        <v>90</v>
      </c>
      <c r="D314" s="777">
        <v>4500169184</v>
      </c>
      <c r="E314" s="509" t="s">
        <v>1325</v>
      </c>
      <c r="F314" s="778" t="s">
        <v>1326</v>
      </c>
      <c r="G314" s="779" t="s">
        <v>186</v>
      </c>
      <c r="H314" s="509" t="s">
        <v>94</v>
      </c>
      <c r="I314" s="509">
        <v>692</v>
      </c>
      <c r="J314" s="509">
        <v>0</v>
      </c>
      <c r="K314" s="509">
        <v>4</v>
      </c>
      <c r="L314" s="780">
        <f t="shared" si="76"/>
        <v>173</v>
      </c>
      <c r="M314" s="781">
        <v>45881</v>
      </c>
      <c r="N314" s="781">
        <v>45881</v>
      </c>
      <c r="O314" s="782" t="s">
        <v>1327</v>
      </c>
      <c r="P314" s="782" t="s">
        <v>103</v>
      </c>
      <c r="Q314" s="509"/>
      <c r="R314" s="784">
        <v>45832</v>
      </c>
      <c r="S314" s="784" t="s">
        <v>66</v>
      </c>
      <c r="T314" s="784" t="s">
        <v>66</v>
      </c>
      <c r="U314" s="784"/>
      <c r="V314" s="784"/>
      <c r="W314" s="776" t="s">
        <v>1328</v>
      </c>
      <c r="X314" s="781" t="s">
        <v>1329</v>
      </c>
      <c r="Y314" s="785">
        <v>2.5402</v>
      </c>
      <c r="Z314" s="786">
        <f t="shared" si="94"/>
        <v>1757.8184</v>
      </c>
      <c r="AA314" s="509" t="s">
        <v>1330</v>
      </c>
      <c r="AB314" s="509" t="s">
        <v>186</v>
      </c>
      <c r="AC314" s="635" t="s">
        <v>76</v>
      </c>
      <c r="AD314" s="509"/>
      <c r="AE314" s="635"/>
      <c r="AF314" s="635"/>
      <c r="AG314" s="788">
        <v>692</v>
      </c>
      <c r="AH314" s="782">
        <f t="shared" si="89"/>
        <v>0</v>
      </c>
      <c r="AI314" s="509"/>
      <c r="AJ314" s="509"/>
      <c r="AK314" s="509"/>
      <c r="AL314" s="777">
        <f t="shared" si="95"/>
        <v>692</v>
      </c>
      <c r="AM314" s="656"/>
      <c r="AN314" s="656"/>
      <c r="AO314" s="656"/>
      <c r="AP314" s="777">
        <f t="shared" si="96"/>
        <v>692</v>
      </c>
      <c r="AQ314" s="656"/>
      <c r="AR314" s="777">
        <f t="shared" si="93"/>
        <v>692</v>
      </c>
      <c r="AS314" s="777"/>
      <c r="AT314" s="777">
        <f t="shared" si="97"/>
        <v>692</v>
      </c>
      <c r="AU314" s="777"/>
      <c r="AV314" s="778"/>
      <c r="AW314" s="778"/>
      <c r="AX314" s="778"/>
      <c r="AY314" s="778"/>
      <c r="AZ314" s="778"/>
      <c r="BA314" s="778"/>
      <c r="BB314" s="778"/>
      <c r="BC314" s="778"/>
      <c r="BD314" s="778"/>
      <c r="BE314" s="777"/>
      <c r="BF314" s="778"/>
      <c r="BG314" s="778"/>
      <c r="BH314" s="778"/>
      <c r="BI314" s="778"/>
      <c r="BJ314" s="778"/>
      <c r="BK314" s="778"/>
      <c r="BL314" s="778"/>
      <c r="BM314" s="778"/>
    </row>
    <row r="315" s="771" customFormat="1" ht="31" hidden="1" customHeight="1" spans="1:65">
      <c r="A315" s="775">
        <v>45827</v>
      </c>
      <c r="B315" s="776" t="s">
        <v>128</v>
      </c>
      <c r="C315" s="509" t="s">
        <v>90</v>
      </c>
      <c r="D315" s="777">
        <v>4500170593</v>
      </c>
      <c r="E315" s="886" t="s">
        <v>1331</v>
      </c>
      <c r="F315" s="778" t="s">
        <v>1332</v>
      </c>
      <c r="G315" s="779" t="s">
        <v>93</v>
      </c>
      <c r="H315" s="509" t="s">
        <v>94</v>
      </c>
      <c r="I315" s="509">
        <v>1468</v>
      </c>
      <c r="J315" s="509">
        <v>0</v>
      </c>
      <c r="K315" s="509">
        <v>4</v>
      </c>
      <c r="L315" s="780">
        <f t="shared" si="76"/>
        <v>367</v>
      </c>
      <c r="M315" s="781">
        <v>45881</v>
      </c>
      <c r="N315" s="781">
        <v>45885</v>
      </c>
      <c r="O315" s="782"/>
      <c r="P315" s="782" t="s">
        <v>103</v>
      </c>
      <c r="Q315" s="509"/>
      <c r="R315" s="784" t="s">
        <v>132</v>
      </c>
      <c r="S315" s="784" t="s">
        <v>66</v>
      </c>
      <c r="T315" s="784" t="s">
        <v>1279</v>
      </c>
      <c r="U315" s="683" t="s">
        <v>133</v>
      </c>
      <c r="V315" s="784"/>
      <c r="W315" s="776" t="s">
        <v>1333</v>
      </c>
      <c r="X315" s="781" t="s">
        <v>98</v>
      </c>
      <c r="Y315" s="785">
        <v>2.58</v>
      </c>
      <c r="Z315" s="786">
        <f t="shared" si="94"/>
        <v>3787.44</v>
      </c>
      <c r="AA315" s="509" t="s">
        <v>1334</v>
      </c>
      <c r="AB315" s="509" t="s">
        <v>93</v>
      </c>
      <c r="AC315" s="509" t="s">
        <v>76</v>
      </c>
      <c r="AD315" s="509"/>
      <c r="AE315" s="635"/>
      <c r="AF315" s="635"/>
      <c r="AG315" s="788">
        <v>1468</v>
      </c>
      <c r="AH315" s="782">
        <f t="shared" si="89"/>
        <v>0</v>
      </c>
      <c r="AI315" s="509"/>
      <c r="AJ315" s="509"/>
      <c r="AK315" s="509"/>
      <c r="AL315" s="777">
        <f t="shared" si="95"/>
        <v>1468</v>
      </c>
      <c r="AM315" s="656"/>
      <c r="AN315" s="656"/>
      <c r="AO315" s="656"/>
      <c r="AP315" s="777">
        <f t="shared" si="96"/>
        <v>1468</v>
      </c>
      <c r="AQ315" s="656"/>
      <c r="AR315" s="777">
        <f t="shared" si="93"/>
        <v>1468</v>
      </c>
      <c r="AS315" s="777"/>
      <c r="AT315" s="777">
        <f t="shared" si="97"/>
        <v>1468</v>
      </c>
      <c r="AU315" s="777"/>
      <c r="AV315" s="778"/>
      <c r="AW315" s="778"/>
      <c r="AX315" s="778"/>
      <c r="AY315" s="778"/>
      <c r="AZ315" s="778"/>
      <c r="BA315" s="778"/>
      <c r="BB315" s="778"/>
      <c r="BC315" s="778"/>
      <c r="BD315" s="777">
        <f t="shared" ref="BD315:BD321" si="98">I315/4</f>
        <v>367</v>
      </c>
      <c r="BE315" s="777"/>
      <c r="BF315" s="778"/>
      <c r="BG315" s="778"/>
      <c r="BH315" s="778"/>
      <c r="BI315" s="778"/>
      <c r="BJ315" s="778"/>
      <c r="BK315" s="778"/>
      <c r="BL315" s="778"/>
      <c r="BM315" s="778"/>
    </row>
    <row r="316" s="771" customFormat="1" ht="31" hidden="1" customHeight="1" spans="1:65">
      <c r="A316" s="775">
        <v>45827</v>
      </c>
      <c r="B316" s="776" t="s">
        <v>128</v>
      </c>
      <c r="C316" s="509" t="s">
        <v>90</v>
      </c>
      <c r="D316" s="777">
        <v>4500170593</v>
      </c>
      <c r="E316" s="886" t="s">
        <v>1335</v>
      </c>
      <c r="F316" s="778" t="s">
        <v>1336</v>
      </c>
      <c r="G316" s="779" t="s">
        <v>93</v>
      </c>
      <c r="H316" s="509" t="s">
        <v>94</v>
      </c>
      <c r="I316" s="509">
        <v>1476</v>
      </c>
      <c r="J316" s="509">
        <v>0</v>
      </c>
      <c r="K316" s="509">
        <v>4</v>
      </c>
      <c r="L316" s="780">
        <f t="shared" si="76"/>
        <v>369</v>
      </c>
      <c r="M316" s="781">
        <v>45881</v>
      </c>
      <c r="N316" s="781">
        <v>45885</v>
      </c>
      <c r="O316" s="782"/>
      <c r="P316" s="782" t="s">
        <v>103</v>
      </c>
      <c r="Q316" s="509"/>
      <c r="R316" s="784" t="s">
        <v>132</v>
      </c>
      <c r="S316" s="784" t="s">
        <v>66</v>
      </c>
      <c r="T316" s="784" t="s">
        <v>1279</v>
      </c>
      <c r="U316" s="683" t="s">
        <v>133</v>
      </c>
      <c r="V316" s="784"/>
      <c r="W316" s="776" t="s">
        <v>1333</v>
      </c>
      <c r="X316" s="781" t="s">
        <v>98</v>
      </c>
      <c r="Y316" s="785">
        <v>2.58</v>
      </c>
      <c r="Z316" s="786">
        <f t="shared" si="94"/>
        <v>3808.08</v>
      </c>
      <c r="AA316" s="509" t="s">
        <v>1337</v>
      </c>
      <c r="AB316" s="509" t="s">
        <v>93</v>
      </c>
      <c r="AC316" s="509" t="s">
        <v>76</v>
      </c>
      <c r="AD316" s="509"/>
      <c r="AE316" s="635"/>
      <c r="AF316" s="635"/>
      <c r="AG316" s="788">
        <v>1476</v>
      </c>
      <c r="AH316" s="782">
        <f t="shared" si="89"/>
        <v>0</v>
      </c>
      <c r="AI316" s="509"/>
      <c r="AJ316" s="509"/>
      <c r="AK316" s="509"/>
      <c r="AL316" s="777">
        <f t="shared" si="95"/>
        <v>1476</v>
      </c>
      <c r="AM316" s="656"/>
      <c r="AN316" s="656"/>
      <c r="AO316" s="656"/>
      <c r="AP316" s="777">
        <f t="shared" si="96"/>
        <v>1476</v>
      </c>
      <c r="AQ316" s="656"/>
      <c r="AR316" s="777">
        <f t="shared" si="93"/>
        <v>1476</v>
      </c>
      <c r="AS316" s="777"/>
      <c r="AT316" s="777">
        <f t="shared" si="97"/>
        <v>1476</v>
      </c>
      <c r="AU316" s="777"/>
      <c r="AV316" s="778"/>
      <c r="AW316" s="778"/>
      <c r="AX316" s="778"/>
      <c r="AY316" s="778"/>
      <c r="AZ316" s="778"/>
      <c r="BA316" s="778"/>
      <c r="BB316" s="778"/>
      <c r="BC316" s="778"/>
      <c r="BD316" s="777">
        <f t="shared" si="98"/>
        <v>369</v>
      </c>
      <c r="BE316" s="777"/>
      <c r="BF316" s="778"/>
      <c r="BG316" s="778"/>
      <c r="BH316" s="778"/>
      <c r="BI316" s="778"/>
      <c r="BJ316" s="778"/>
      <c r="BK316" s="778"/>
      <c r="BL316" s="778"/>
      <c r="BM316" s="778"/>
    </row>
    <row r="317" s="771" customFormat="1" ht="31" hidden="1" customHeight="1" spans="1:65">
      <c r="A317" s="775">
        <v>45827</v>
      </c>
      <c r="B317" s="776" t="s">
        <v>128</v>
      </c>
      <c r="C317" s="509" t="s">
        <v>90</v>
      </c>
      <c r="D317" s="777">
        <v>4500170593</v>
      </c>
      <c r="E317" s="886" t="s">
        <v>1338</v>
      </c>
      <c r="F317" s="778" t="s">
        <v>1339</v>
      </c>
      <c r="G317" s="779" t="s">
        <v>93</v>
      </c>
      <c r="H317" s="509" t="s">
        <v>94</v>
      </c>
      <c r="I317" s="509">
        <v>992</v>
      </c>
      <c r="J317" s="509">
        <v>0</v>
      </c>
      <c r="K317" s="509">
        <v>4</v>
      </c>
      <c r="L317" s="780">
        <f t="shared" si="76"/>
        <v>248</v>
      </c>
      <c r="M317" s="781">
        <v>45881</v>
      </c>
      <c r="N317" s="781">
        <v>45885</v>
      </c>
      <c r="O317" s="782"/>
      <c r="P317" s="782" t="s">
        <v>103</v>
      </c>
      <c r="Q317" s="509"/>
      <c r="R317" s="784" t="s">
        <v>132</v>
      </c>
      <c r="S317" s="784" t="s">
        <v>66</v>
      </c>
      <c r="T317" s="784" t="s">
        <v>1279</v>
      </c>
      <c r="U317" s="683" t="s">
        <v>133</v>
      </c>
      <c r="V317" s="784"/>
      <c r="W317" s="776" t="s">
        <v>1333</v>
      </c>
      <c r="X317" s="781" t="s">
        <v>98</v>
      </c>
      <c r="Y317" s="785">
        <v>2.58</v>
      </c>
      <c r="Z317" s="786">
        <f t="shared" si="94"/>
        <v>2559.36</v>
      </c>
      <c r="AA317" s="509" t="s">
        <v>1340</v>
      </c>
      <c r="AB317" s="509" t="s">
        <v>93</v>
      </c>
      <c r="AC317" s="509" t="s">
        <v>76</v>
      </c>
      <c r="AD317" s="509"/>
      <c r="AE317" s="635"/>
      <c r="AF317" s="635"/>
      <c r="AG317" s="788">
        <v>992</v>
      </c>
      <c r="AH317" s="782">
        <f t="shared" si="89"/>
        <v>0</v>
      </c>
      <c r="AI317" s="509"/>
      <c r="AJ317" s="509"/>
      <c r="AK317" s="509"/>
      <c r="AL317" s="777">
        <f t="shared" si="95"/>
        <v>992</v>
      </c>
      <c r="AM317" s="656"/>
      <c r="AN317" s="656"/>
      <c r="AO317" s="656"/>
      <c r="AP317" s="777">
        <f t="shared" si="96"/>
        <v>992</v>
      </c>
      <c r="AQ317" s="656"/>
      <c r="AR317" s="777">
        <f t="shared" si="93"/>
        <v>992</v>
      </c>
      <c r="AS317" s="777"/>
      <c r="AT317" s="777">
        <f t="shared" si="97"/>
        <v>992</v>
      </c>
      <c r="AU317" s="777"/>
      <c r="AV317" s="778"/>
      <c r="AW317" s="778"/>
      <c r="AX317" s="778"/>
      <c r="AY317" s="778"/>
      <c r="AZ317" s="778"/>
      <c r="BA317" s="778"/>
      <c r="BB317" s="778"/>
      <c r="BC317" s="778"/>
      <c r="BD317" s="777">
        <f t="shared" si="98"/>
        <v>248</v>
      </c>
      <c r="BE317" s="777"/>
      <c r="BF317" s="778"/>
      <c r="BG317" s="778"/>
      <c r="BH317" s="778"/>
      <c r="BI317" s="778"/>
      <c r="BJ317" s="778"/>
      <c r="BK317" s="778"/>
      <c r="BL317" s="778"/>
      <c r="BM317" s="778"/>
    </row>
    <row r="318" s="771" customFormat="1" ht="31" hidden="1" customHeight="1" spans="1:65">
      <c r="A318" s="775">
        <v>45827</v>
      </c>
      <c r="B318" s="776" t="s">
        <v>128</v>
      </c>
      <c r="C318" s="509" t="s">
        <v>90</v>
      </c>
      <c r="D318" s="777">
        <v>4500170593</v>
      </c>
      <c r="E318" s="886" t="s">
        <v>1341</v>
      </c>
      <c r="F318" s="778" t="s">
        <v>1342</v>
      </c>
      <c r="G318" s="779" t="s">
        <v>93</v>
      </c>
      <c r="H318" s="509" t="s">
        <v>94</v>
      </c>
      <c r="I318" s="509">
        <v>1276</v>
      </c>
      <c r="J318" s="509">
        <v>0</v>
      </c>
      <c r="K318" s="509">
        <v>4</v>
      </c>
      <c r="L318" s="780">
        <f t="shared" si="76"/>
        <v>319</v>
      </c>
      <c r="M318" s="781">
        <v>45881</v>
      </c>
      <c r="N318" s="781">
        <v>45885</v>
      </c>
      <c r="O318" s="782"/>
      <c r="P318" s="782" t="s">
        <v>103</v>
      </c>
      <c r="Q318" s="509"/>
      <c r="R318" s="784" t="s">
        <v>132</v>
      </c>
      <c r="S318" s="784" t="s">
        <v>66</v>
      </c>
      <c r="T318" s="784" t="s">
        <v>1279</v>
      </c>
      <c r="U318" s="683" t="s">
        <v>133</v>
      </c>
      <c r="V318" s="784"/>
      <c r="W318" s="776" t="s">
        <v>1333</v>
      </c>
      <c r="X318" s="781" t="s">
        <v>98</v>
      </c>
      <c r="Y318" s="785">
        <v>2.58</v>
      </c>
      <c r="Z318" s="786">
        <f t="shared" si="94"/>
        <v>3292.08</v>
      </c>
      <c r="AA318" s="509" t="s">
        <v>1343</v>
      </c>
      <c r="AB318" s="509" t="s">
        <v>93</v>
      </c>
      <c r="AC318" s="509" t="s">
        <v>76</v>
      </c>
      <c r="AD318" s="509"/>
      <c r="AE318" s="635"/>
      <c r="AF318" s="635"/>
      <c r="AG318" s="788">
        <v>1276</v>
      </c>
      <c r="AH318" s="782">
        <f t="shared" si="89"/>
        <v>0</v>
      </c>
      <c r="AI318" s="509"/>
      <c r="AJ318" s="509"/>
      <c r="AK318" s="509"/>
      <c r="AL318" s="777">
        <f t="shared" si="95"/>
        <v>1276</v>
      </c>
      <c r="AM318" s="656"/>
      <c r="AN318" s="656"/>
      <c r="AO318" s="656"/>
      <c r="AP318" s="777">
        <f t="shared" si="96"/>
        <v>1276</v>
      </c>
      <c r="AQ318" s="656"/>
      <c r="AR318" s="777">
        <f t="shared" si="93"/>
        <v>1276</v>
      </c>
      <c r="AS318" s="777"/>
      <c r="AT318" s="777">
        <f t="shared" si="97"/>
        <v>1276</v>
      </c>
      <c r="AU318" s="777"/>
      <c r="AV318" s="778"/>
      <c r="AW318" s="778"/>
      <c r="AX318" s="778"/>
      <c r="AY318" s="778"/>
      <c r="AZ318" s="778"/>
      <c r="BA318" s="778"/>
      <c r="BB318" s="778"/>
      <c r="BC318" s="778"/>
      <c r="BD318" s="777">
        <f t="shared" si="98"/>
        <v>319</v>
      </c>
      <c r="BE318" s="777"/>
      <c r="BF318" s="778"/>
      <c r="BG318" s="778"/>
      <c r="BH318" s="778"/>
      <c r="BI318" s="778"/>
      <c r="BJ318" s="778"/>
      <c r="BK318" s="778"/>
      <c r="BL318" s="778"/>
      <c r="BM318" s="778"/>
    </row>
    <row r="319" s="771" customFormat="1" ht="31" hidden="1" customHeight="1" spans="1:65">
      <c r="A319" s="775">
        <v>45827</v>
      </c>
      <c r="B319" s="776" t="s">
        <v>128</v>
      </c>
      <c r="C319" s="509" t="s">
        <v>90</v>
      </c>
      <c r="D319" s="777">
        <v>4500170593</v>
      </c>
      <c r="E319" s="886" t="s">
        <v>1344</v>
      </c>
      <c r="F319" s="778" t="s">
        <v>1345</v>
      </c>
      <c r="G319" s="779" t="s">
        <v>93</v>
      </c>
      <c r="H319" s="509" t="s">
        <v>94</v>
      </c>
      <c r="I319" s="509">
        <v>1200</v>
      </c>
      <c r="J319" s="509">
        <v>0</v>
      </c>
      <c r="K319" s="509">
        <v>4</v>
      </c>
      <c r="L319" s="780">
        <f t="shared" si="76"/>
        <v>300</v>
      </c>
      <c r="M319" s="781">
        <v>45881</v>
      </c>
      <c r="N319" s="781">
        <v>45885</v>
      </c>
      <c r="O319" s="782"/>
      <c r="P319" s="782" t="s">
        <v>103</v>
      </c>
      <c r="Q319" s="509"/>
      <c r="R319" s="784" t="s">
        <v>132</v>
      </c>
      <c r="S319" s="784" t="s">
        <v>66</v>
      </c>
      <c r="T319" s="784" t="s">
        <v>1279</v>
      </c>
      <c r="U319" s="683" t="s">
        <v>133</v>
      </c>
      <c r="V319" s="784"/>
      <c r="W319" s="776" t="s">
        <v>1333</v>
      </c>
      <c r="X319" s="781" t="s">
        <v>98</v>
      </c>
      <c r="Y319" s="785">
        <v>2.58</v>
      </c>
      <c r="Z319" s="786">
        <f t="shared" si="94"/>
        <v>3096</v>
      </c>
      <c r="AA319" s="509" t="s">
        <v>1346</v>
      </c>
      <c r="AB319" s="509" t="s">
        <v>93</v>
      </c>
      <c r="AC319" s="509" t="s">
        <v>76</v>
      </c>
      <c r="AD319" s="509"/>
      <c r="AE319" s="635"/>
      <c r="AF319" s="635"/>
      <c r="AG319" s="788">
        <v>1200</v>
      </c>
      <c r="AH319" s="782">
        <f t="shared" si="89"/>
        <v>0</v>
      </c>
      <c r="AI319" s="509"/>
      <c r="AJ319" s="509"/>
      <c r="AK319" s="509"/>
      <c r="AL319" s="777">
        <f t="shared" si="95"/>
        <v>1200</v>
      </c>
      <c r="AM319" s="656"/>
      <c r="AN319" s="656"/>
      <c r="AO319" s="656"/>
      <c r="AP319" s="777">
        <f t="shared" si="96"/>
        <v>1200</v>
      </c>
      <c r="AQ319" s="656"/>
      <c r="AR319" s="777">
        <f t="shared" si="93"/>
        <v>1200</v>
      </c>
      <c r="AS319" s="777"/>
      <c r="AT319" s="777">
        <f t="shared" si="97"/>
        <v>1200</v>
      </c>
      <c r="AU319" s="777"/>
      <c r="AV319" s="778"/>
      <c r="AW319" s="778"/>
      <c r="AX319" s="778"/>
      <c r="AY319" s="778"/>
      <c r="AZ319" s="778"/>
      <c r="BA319" s="778"/>
      <c r="BB319" s="778"/>
      <c r="BC319" s="778"/>
      <c r="BD319" s="777">
        <f t="shared" si="98"/>
        <v>300</v>
      </c>
      <c r="BE319" s="777"/>
      <c r="BF319" s="778"/>
      <c r="BG319" s="778"/>
      <c r="BH319" s="778"/>
      <c r="BI319" s="778"/>
      <c r="BJ319" s="778"/>
      <c r="BK319" s="778"/>
      <c r="BL319" s="778"/>
      <c r="BM319" s="778"/>
    </row>
    <row r="320" s="771" customFormat="1" ht="31" hidden="1" customHeight="1" spans="1:65">
      <c r="A320" s="775">
        <v>45828</v>
      </c>
      <c r="B320" s="776" t="s">
        <v>220</v>
      </c>
      <c r="C320" s="509" t="s">
        <v>90</v>
      </c>
      <c r="D320" s="777">
        <v>4500170675</v>
      </c>
      <c r="E320" s="509" t="s">
        <v>1347</v>
      </c>
      <c r="F320" s="778" t="s">
        <v>1348</v>
      </c>
      <c r="G320" s="779" t="s">
        <v>223</v>
      </c>
      <c r="H320" s="509" t="s">
        <v>224</v>
      </c>
      <c r="I320" s="509">
        <v>1264</v>
      </c>
      <c r="J320" s="509">
        <v>0</v>
      </c>
      <c r="K320" s="509">
        <v>4</v>
      </c>
      <c r="L320" s="780">
        <f t="shared" si="76"/>
        <v>316</v>
      </c>
      <c r="M320" s="781">
        <v>45880</v>
      </c>
      <c r="N320" s="781">
        <v>45878</v>
      </c>
      <c r="O320" s="782"/>
      <c r="P320" s="782" t="s">
        <v>103</v>
      </c>
      <c r="Q320" s="509"/>
      <c r="R320" s="784">
        <v>45846</v>
      </c>
      <c r="S320" s="784" t="s">
        <v>96</v>
      </c>
      <c r="T320" s="784">
        <v>45862</v>
      </c>
      <c r="U320" s="784"/>
      <c r="V320" s="784"/>
      <c r="W320" s="776" t="s">
        <v>1349</v>
      </c>
      <c r="X320" s="781" t="s">
        <v>226</v>
      </c>
      <c r="Y320" s="785">
        <v>2.8063</v>
      </c>
      <c r="Z320" s="786">
        <f t="shared" si="94"/>
        <v>3547.1632</v>
      </c>
      <c r="AA320" s="509" t="s">
        <v>1350</v>
      </c>
      <c r="AB320" s="509" t="s">
        <v>223</v>
      </c>
      <c r="AC320" s="509" t="s">
        <v>76</v>
      </c>
      <c r="AD320" s="509"/>
      <c r="AE320" s="635" t="s">
        <v>69</v>
      </c>
      <c r="AF320" s="635"/>
      <c r="AG320" s="788">
        <v>1264</v>
      </c>
      <c r="AH320" s="782">
        <f t="shared" si="89"/>
        <v>0</v>
      </c>
      <c r="AI320" s="509"/>
      <c r="AJ320" s="509"/>
      <c r="AK320" s="509"/>
      <c r="AL320" s="777"/>
      <c r="AM320" s="656"/>
      <c r="AN320" s="656">
        <f>I320</f>
        <v>1264</v>
      </c>
      <c r="AO320" s="656"/>
      <c r="AP320" s="777"/>
      <c r="AQ320" s="656"/>
      <c r="AR320" s="777"/>
      <c r="AS320" s="777"/>
      <c r="AT320" s="777">
        <f t="shared" si="97"/>
        <v>1264</v>
      </c>
      <c r="AU320" s="777"/>
      <c r="AV320" s="778"/>
      <c r="AW320" s="778"/>
      <c r="AX320" s="778"/>
      <c r="AY320" s="778"/>
      <c r="AZ320" s="778"/>
      <c r="BA320" s="778"/>
      <c r="BB320" s="778">
        <f>I320</f>
        <v>1264</v>
      </c>
      <c r="BC320" s="778">
        <f>I320</f>
        <v>1264</v>
      </c>
      <c r="BD320" s="777">
        <f t="shared" si="98"/>
        <v>316</v>
      </c>
      <c r="BE320" s="777"/>
      <c r="BF320" s="778"/>
      <c r="BG320" s="778"/>
      <c r="BH320" s="778"/>
      <c r="BI320" s="778"/>
      <c r="BJ320" s="778"/>
      <c r="BK320" s="778"/>
      <c r="BL320" s="778"/>
      <c r="BM320" s="778"/>
    </row>
    <row r="321" s="771" customFormat="1" ht="31" hidden="1" customHeight="1" spans="1:65">
      <c r="A321" s="775">
        <v>45827</v>
      </c>
      <c r="B321" s="776" t="s">
        <v>220</v>
      </c>
      <c r="C321" s="509" t="s">
        <v>90</v>
      </c>
      <c r="D321" s="777">
        <v>4500170533</v>
      </c>
      <c r="E321" s="509" t="s">
        <v>1351</v>
      </c>
      <c r="F321" s="778" t="s">
        <v>1352</v>
      </c>
      <c r="G321" s="779" t="s">
        <v>223</v>
      </c>
      <c r="H321" s="509" t="s">
        <v>224</v>
      </c>
      <c r="I321" s="509">
        <v>1692</v>
      </c>
      <c r="J321" s="509">
        <v>0</v>
      </c>
      <c r="K321" s="509">
        <v>4</v>
      </c>
      <c r="L321" s="780">
        <f t="shared" ref="L311:L379" si="99">I321/K321</f>
        <v>423</v>
      </c>
      <c r="M321" s="781">
        <v>45880</v>
      </c>
      <c r="N321" s="781">
        <v>45878</v>
      </c>
      <c r="O321" s="782"/>
      <c r="P321" s="782" t="s">
        <v>103</v>
      </c>
      <c r="Q321" s="509"/>
      <c r="R321" s="784">
        <v>45838</v>
      </c>
      <c r="S321" s="784" t="s">
        <v>96</v>
      </c>
      <c r="T321" s="784">
        <v>45862</v>
      </c>
      <c r="U321" s="784"/>
      <c r="V321" s="784"/>
      <c r="W321" s="776" t="s">
        <v>1353</v>
      </c>
      <c r="X321" s="781" t="s">
        <v>226</v>
      </c>
      <c r="Y321" s="785">
        <v>2.8095</v>
      </c>
      <c r="Z321" s="786">
        <f t="shared" si="94"/>
        <v>4753.674</v>
      </c>
      <c r="AA321" s="509" t="s">
        <v>1354</v>
      </c>
      <c r="AB321" s="509" t="s">
        <v>223</v>
      </c>
      <c r="AC321" s="509" t="s">
        <v>76</v>
      </c>
      <c r="AD321" s="509"/>
      <c r="AE321" s="635" t="s">
        <v>69</v>
      </c>
      <c r="AF321" s="635"/>
      <c r="AG321" s="788">
        <v>1692</v>
      </c>
      <c r="AH321" s="782">
        <f t="shared" si="89"/>
        <v>0</v>
      </c>
      <c r="AI321" s="509"/>
      <c r="AJ321" s="509"/>
      <c r="AK321" s="509"/>
      <c r="AL321" s="777"/>
      <c r="AM321" s="656"/>
      <c r="AN321" s="656">
        <f>I321</f>
        <v>1692</v>
      </c>
      <c r="AO321" s="656"/>
      <c r="AP321" s="777"/>
      <c r="AQ321" s="656"/>
      <c r="AR321" s="777"/>
      <c r="AS321" s="777"/>
      <c r="AT321" s="777">
        <f t="shared" si="97"/>
        <v>1692</v>
      </c>
      <c r="AU321" s="777"/>
      <c r="AV321" s="778"/>
      <c r="AW321" s="778"/>
      <c r="AX321" s="778"/>
      <c r="AY321" s="778"/>
      <c r="AZ321" s="778"/>
      <c r="BA321" s="778"/>
      <c r="BB321" s="778">
        <f>I321</f>
        <v>1692</v>
      </c>
      <c r="BC321" s="778">
        <f>I321</f>
        <v>1692</v>
      </c>
      <c r="BD321" s="777">
        <f t="shared" si="98"/>
        <v>423</v>
      </c>
      <c r="BE321" s="777"/>
      <c r="BF321" s="778"/>
      <c r="BG321" s="778"/>
      <c r="BH321" s="778"/>
      <c r="BI321" s="778"/>
      <c r="BJ321" s="778"/>
      <c r="BK321" s="778"/>
      <c r="BL321" s="778"/>
      <c r="BM321" s="778"/>
    </row>
    <row r="322" s="771" customFormat="1" ht="31" hidden="1" customHeight="1" spans="1:65">
      <c r="A322" s="775">
        <v>45768</v>
      </c>
      <c r="B322" s="776" t="s">
        <v>1355</v>
      </c>
      <c r="C322" s="509" t="s">
        <v>468</v>
      </c>
      <c r="D322" s="777">
        <v>4500167348</v>
      </c>
      <c r="E322" s="509">
        <v>5251217122</v>
      </c>
      <c r="F322" s="778" t="s">
        <v>1356</v>
      </c>
      <c r="G322" s="779" t="s">
        <v>64</v>
      </c>
      <c r="H322" s="509" t="s">
        <v>65</v>
      </c>
      <c r="I322" s="509">
        <v>3900</v>
      </c>
      <c r="J322" s="509">
        <v>0</v>
      </c>
      <c r="K322" s="509">
        <v>12</v>
      </c>
      <c r="L322" s="780">
        <f t="shared" si="99"/>
        <v>325</v>
      </c>
      <c r="M322" s="781">
        <v>45887</v>
      </c>
      <c r="N322" s="781">
        <v>45883</v>
      </c>
      <c r="O322" s="782" t="s">
        <v>1357</v>
      </c>
      <c r="P322" s="782" t="s">
        <v>103</v>
      </c>
      <c r="Q322" s="509"/>
      <c r="R322" s="784">
        <v>45800</v>
      </c>
      <c r="S322" s="784" t="s">
        <v>66</v>
      </c>
      <c r="T322" s="784">
        <v>45861</v>
      </c>
      <c r="U322" s="784" t="s">
        <v>1358</v>
      </c>
      <c r="V322" s="784" t="s">
        <v>1359</v>
      </c>
      <c r="W322" s="776" t="s">
        <v>1360</v>
      </c>
      <c r="X322" s="781" t="s">
        <v>304</v>
      </c>
      <c r="Y322" s="785">
        <v>4.1403</v>
      </c>
      <c r="Z322" s="786">
        <f t="shared" si="94"/>
        <v>16147.17</v>
      </c>
      <c r="AA322" s="509"/>
      <c r="AB322" s="509" t="s">
        <v>165</v>
      </c>
      <c r="AC322" s="509" t="s">
        <v>76</v>
      </c>
      <c r="AD322" s="509"/>
      <c r="AE322" s="635"/>
      <c r="AF322" s="635"/>
      <c r="AG322" s="788">
        <f>3864+36</f>
        <v>3900</v>
      </c>
      <c r="AH322" s="782">
        <f t="shared" si="89"/>
        <v>0</v>
      </c>
      <c r="AI322" s="509"/>
      <c r="AJ322" s="509"/>
      <c r="AK322" s="509"/>
      <c r="AL322" s="777">
        <f>I322</f>
        <v>3900</v>
      </c>
      <c r="AM322" s="656"/>
      <c r="AN322" s="656"/>
      <c r="AO322" s="656"/>
      <c r="AP322" s="777"/>
      <c r="AQ322" s="656">
        <f>I322</f>
        <v>3900</v>
      </c>
      <c r="AR322" s="777">
        <f t="shared" ref="AR322:AR327" si="100">I322</f>
        <v>3900</v>
      </c>
      <c r="AS322" s="777"/>
      <c r="AT322" s="543">
        <f t="shared" si="97"/>
        <v>3900</v>
      </c>
      <c r="AU322" s="777"/>
      <c r="AV322" s="778"/>
      <c r="AW322" s="778"/>
      <c r="AX322" s="778"/>
      <c r="AY322" s="778"/>
      <c r="AZ322" s="778"/>
      <c r="BA322" s="778"/>
      <c r="BB322" s="778"/>
      <c r="BC322" s="778"/>
      <c r="BD322" s="778"/>
      <c r="BE322" s="777"/>
      <c r="BF322" s="778"/>
      <c r="BG322" s="778"/>
      <c r="BH322" s="778"/>
      <c r="BI322" s="778"/>
      <c r="BJ322" s="778"/>
      <c r="BK322" s="778"/>
      <c r="BL322" s="778"/>
      <c r="BM322" s="778"/>
    </row>
    <row r="323" s="771" customFormat="1" ht="31" hidden="1" customHeight="1" spans="1:65">
      <c r="A323" s="775">
        <v>45762</v>
      </c>
      <c r="B323" s="776" t="s">
        <v>1361</v>
      </c>
      <c r="C323" s="509" t="s">
        <v>366</v>
      </c>
      <c r="D323" s="777">
        <v>4500163718</v>
      </c>
      <c r="E323" s="509"/>
      <c r="F323" s="778" t="s">
        <v>1362</v>
      </c>
      <c r="G323" s="779" t="s">
        <v>62</v>
      </c>
      <c r="H323" s="509" t="s">
        <v>455</v>
      </c>
      <c r="I323" s="509">
        <v>8</v>
      </c>
      <c r="J323" s="509">
        <v>0</v>
      </c>
      <c r="K323" s="509">
        <v>1</v>
      </c>
      <c r="L323" s="780">
        <f t="shared" si="99"/>
        <v>8</v>
      </c>
      <c r="M323" s="781">
        <v>45884</v>
      </c>
      <c r="N323" s="781">
        <v>45880</v>
      </c>
      <c r="O323" s="782"/>
      <c r="P323" s="782" t="s">
        <v>103</v>
      </c>
      <c r="Q323" s="509"/>
      <c r="R323" s="784" t="s">
        <v>1363</v>
      </c>
      <c r="S323" s="784" t="s">
        <v>66</v>
      </c>
      <c r="T323" s="784" t="s">
        <v>1364</v>
      </c>
      <c r="U323" s="784" t="s">
        <v>1365</v>
      </c>
      <c r="V323" s="784"/>
      <c r="W323" s="776" t="s">
        <v>1366</v>
      </c>
      <c r="X323" s="781" t="s">
        <v>458</v>
      </c>
      <c r="Y323" s="785">
        <v>0</v>
      </c>
      <c r="Z323" s="786">
        <f>Y323*L323</f>
        <v>0</v>
      </c>
      <c r="AA323" s="509"/>
      <c r="AB323" s="509" t="s">
        <v>459</v>
      </c>
      <c r="AC323" s="509" t="s">
        <v>76</v>
      </c>
      <c r="AD323" s="509"/>
      <c r="AE323" s="635"/>
      <c r="AF323" s="635"/>
      <c r="AG323" s="788">
        <v>144</v>
      </c>
      <c r="AH323" s="782">
        <v>0</v>
      </c>
      <c r="AI323" s="509"/>
      <c r="AJ323" s="509"/>
      <c r="AK323" s="509"/>
      <c r="AL323" s="777"/>
      <c r="AM323" s="656"/>
      <c r="AN323" s="656"/>
      <c r="AO323" s="656"/>
      <c r="AP323" s="777"/>
      <c r="AQ323" s="656">
        <f>I323</f>
        <v>8</v>
      </c>
      <c r="AR323" s="777">
        <f t="shared" si="100"/>
        <v>8</v>
      </c>
      <c r="AS323" s="777"/>
      <c r="AT323" s="777">
        <f t="shared" ref="AT323:AT327" si="101">I323</f>
        <v>8</v>
      </c>
      <c r="AU323" s="777"/>
      <c r="AV323" s="778"/>
      <c r="AW323" s="778"/>
      <c r="AX323" s="778"/>
      <c r="AY323" s="778"/>
      <c r="AZ323" s="778"/>
      <c r="BA323" s="778"/>
      <c r="BB323" s="778"/>
      <c r="BC323" s="778"/>
      <c r="BD323" s="778"/>
      <c r="BE323" s="777"/>
      <c r="BF323" s="778"/>
      <c r="BG323" s="778"/>
      <c r="BH323" s="778"/>
      <c r="BI323" s="778"/>
      <c r="BJ323" s="778"/>
      <c r="BK323" s="778"/>
      <c r="BL323" s="778"/>
      <c r="BM323" s="778"/>
    </row>
    <row r="324" s="771" customFormat="1" ht="31" hidden="1" customHeight="1" spans="1:65">
      <c r="A324" s="775">
        <v>45762</v>
      </c>
      <c r="B324" s="776" t="s">
        <v>1361</v>
      </c>
      <c r="C324" s="509" t="s">
        <v>366</v>
      </c>
      <c r="D324" s="777">
        <v>4500163718</v>
      </c>
      <c r="E324" s="509"/>
      <c r="F324" s="778" t="s">
        <v>1362</v>
      </c>
      <c r="G324" s="779" t="s">
        <v>460</v>
      </c>
      <c r="H324" s="509" t="s">
        <v>65</v>
      </c>
      <c r="I324" s="509">
        <v>144</v>
      </c>
      <c r="J324" s="509">
        <v>0</v>
      </c>
      <c r="K324" s="509">
        <v>18</v>
      </c>
      <c r="L324" s="780">
        <f t="shared" si="99"/>
        <v>8</v>
      </c>
      <c r="M324" s="781">
        <v>45884</v>
      </c>
      <c r="N324" s="781">
        <v>45880</v>
      </c>
      <c r="O324" s="782"/>
      <c r="P324" s="782" t="s">
        <v>103</v>
      </c>
      <c r="Q324" s="509"/>
      <c r="R324" s="784" t="s">
        <v>1363</v>
      </c>
      <c r="S324" s="784" t="s">
        <v>66</v>
      </c>
      <c r="T324" s="784" t="s">
        <v>1364</v>
      </c>
      <c r="U324" s="784" t="s">
        <v>1365</v>
      </c>
      <c r="V324" s="784"/>
      <c r="W324" s="776" t="s">
        <v>1366</v>
      </c>
      <c r="X324" s="781" t="s">
        <v>458</v>
      </c>
      <c r="Y324" s="785">
        <v>172.3098</v>
      </c>
      <c r="Z324" s="786">
        <f>Y324*L324</f>
        <v>1378.4784</v>
      </c>
      <c r="AA324" s="509"/>
      <c r="AB324" s="509" t="s">
        <v>459</v>
      </c>
      <c r="AC324" s="509" t="s">
        <v>76</v>
      </c>
      <c r="AD324" s="509"/>
      <c r="AE324" s="635"/>
      <c r="AF324" s="635"/>
      <c r="AG324" s="788">
        <v>0</v>
      </c>
      <c r="AH324" s="782">
        <v>0</v>
      </c>
      <c r="AI324" s="509"/>
      <c r="AJ324" s="509"/>
      <c r="AK324" s="509"/>
      <c r="AL324" s="777">
        <f>I324</f>
        <v>144</v>
      </c>
      <c r="AM324" s="656"/>
      <c r="AN324" s="656"/>
      <c r="AO324" s="656"/>
      <c r="AP324" s="777"/>
      <c r="AQ324" s="656">
        <f>I324</f>
        <v>144</v>
      </c>
      <c r="AR324" s="777">
        <f t="shared" si="100"/>
        <v>144</v>
      </c>
      <c r="AS324" s="777"/>
      <c r="AT324" s="777">
        <f t="shared" si="101"/>
        <v>144</v>
      </c>
      <c r="AU324" s="777"/>
      <c r="AV324" s="778"/>
      <c r="AW324" s="778"/>
      <c r="AX324" s="778"/>
      <c r="AY324" s="778"/>
      <c r="AZ324" s="778"/>
      <c r="BA324" s="778"/>
      <c r="BB324" s="778"/>
      <c r="BC324" s="778"/>
      <c r="BD324" s="778"/>
      <c r="BE324" s="777"/>
      <c r="BF324" s="778"/>
      <c r="BG324" s="778"/>
      <c r="BH324" s="778"/>
      <c r="BI324" s="778"/>
      <c r="BJ324" s="778"/>
      <c r="BK324" s="778"/>
      <c r="BL324" s="778"/>
      <c r="BM324" s="778"/>
    </row>
    <row r="325" s="771" customFormat="1" ht="31" hidden="1" customHeight="1" spans="1:65">
      <c r="A325" s="775">
        <v>45762</v>
      </c>
      <c r="B325" s="776" t="s">
        <v>1361</v>
      </c>
      <c r="C325" s="509" t="s">
        <v>366</v>
      </c>
      <c r="D325" s="777">
        <v>4500163648</v>
      </c>
      <c r="E325" s="509"/>
      <c r="F325" s="778" t="s">
        <v>1367</v>
      </c>
      <c r="G325" s="779" t="s">
        <v>62</v>
      </c>
      <c r="H325" s="509" t="s">
        <v>455</v>
      </c>
      <c r="I325" s="509">
        <v>30</v>
      </c>
      <c r="J325" s="509">
        <v>0</v>
      </c>
      <c r="K325" s="509">
        <v>1</v>
      </c>
      <c r="L325" s="780">
        <f t="shared" si="99"/>
        <v>30</v>
      </c>
      <c r="M325" s="781">
        <v>45884</v>
      </c>
      <c r="N325" s="781">
        <v>45880</v>
      </c>
      <c r="O325" s="782"/>
      <c r="P325" s="782" t="s">
        <v>103</v>
      </c>
      <c r="Q325" s="509"/>
      <c r="R325" s="784" t="s">
        <v>1363</v>
      </c>
      <c r="S325" s="784" t="s">
        <v>66</v>
      </c>
      <c r="T325" s="784" t="s">
        <v>1364</v>
      </c>
      <c r="U325" s="784" t="s">
        <v>1365</v>
      </c>
      <c r="V325" s="784"/>
      <c r="W325" s="776" t="s">
        <v>1366</v>
      </c>
      <c r="X325" s="781" t="s">
        <v>458</v>
      </c>
      <c r="Y325" s="785"/>
      <c r="Z325" s="786"/>
      <c r="AA325" s="509"/>
      <c r="AB325" s="509" t="s">
        <v>459</v>
      </c>
      <c r="AC325" s="509" t="s">
        <v>76</v>
      </c>
      <c r="AD325" s="509"/>
      <c r="AE325" s="635"/>
      <c r="AF325" s="635"/>
      <c r="AG325" s="788">
        <v>540</v>
      </c>
      <c r="AH325" s="782">
        <v>0</v>
      </c>
      <c r="AI325" s="509"/>
      <c r="AJ325" s="509"/>
      <c r="AK325" s="509"/>
      <c r="AL325" s="777"/>
      <c r="AM325" s="656"/>
      <c r="AN325" s="656"/>
      <c r="AO325" s="656"/>
      <c r="AP325" s="777"/>
      <c r="AQ325" s="656"/>
      <c r="AR325" s="777">
        <f t="shared" si="100"/>
        <v>30</v>
      </c>
      <c r="AS325" s="777"/>
      <c r="AT325" s="543">
        <f t="shared" si="101"/>
        <v>30</v>
      </c>
      <c r="AU325" s="777"/>
      <c r="AV325" s="778"/>
      <c r="AW325" s="778"/>
      <c r="AX325" s="778"/>
      <c r="AY325" s="778"/>
      <c r="AZ325" s="778"/>
      <c r="BA325" s="778"/>
      <c r="BB325" s="778"/>
      <c r="BC325" s="778"/>
      <c r="BD325" s="778"/>
      <c r="BE325" s="777"/>
      <c r="BF325" s="778"/>
      <c r="BG325" s="778"/>
      <c r="BH325" s="778"/>
      <c r="BI325" s="778"/>
      <c r="BJ325" s="778"/>
      <c r="BK325" s="778"/>
      <c r="BL325" s="778"/>
      <c r="BM325" s="778"/>
    </row>
    <row r="326" s="771" customFormat="1" ht="31" hidden="1" customHeight="1" spans="1:65">
      <c r="A326" s="775">
        <v>45762</v>
      </c>
      <c r="B326" s="776" t="s">
        <v>1361</v>
      </c>
      <c r="C326" s="509" t="s">
        <v>366</v>
      </c>
      <c r="D326" s="777">
        <v>4500163648</v>
      </c>
      <c r="E326" s="509"/>
      <c r="F326" s="778" t="s">
        <v>1367</v>
      </c>
      <c r="G326" s="779" t="s">
        <v>460</v>
      </c>
      <c r="H326" s="509" t="s">
        <v>65</v>
      </c>
      <c r="I326" s="509">
        <v>540</v>
      </c>
      <c r="J326" s="509">
        <v>0</v>
      </c>
      <c r="K326" s="509">
        <v>18</v>
      </c>
      <c r="L326" s="780">
        <f t="shared" si="99"/>
        <v>30</v>
      </c>
      <c r="M326" s="781">
        <v>45884</v>
      </c>
      <c r="N326" s="781">
        <v>45880</v>
      </c>
      <c r="O326" s="782"/>
      <c r="P326" s="782" t="s">
        <v>103</v>
      </c>
      <c r="Q326" s="509"/>
      <c r="R326" s="784" t="s">
        <v>1363</v>
      </c>
      <c r="S326" s="784" t="s">
        <v>66</v>
      </c>
      <c r="T326" s="784" t="s">
        <v>1364</v>
      </c>
      <c r="U326" s="784" t="s">
        <v>1365</v>
      </c>
      <c r="V326" s="784"/>
      <c r="W326" s="776" t="s">
        <v>1366</v>
      </c>
      <c r="X326" s="781" t="s">
        <v>458</v>
      </c>
      <c r="Y326" s="785">
        <v>172.3098</v>
      </c>
      <c r="Z326" s="786">
        <f>Y326*L326</f>
        <v>5169.294</v>
      </c>
      <c r="AA326" s="509"/>
      <c r="AB326" s="509" t="s">
        <v>459</v>
      </c>
      <c r="AC326" s="509" t="s">
        <v>76</v>
      </c>
      <c r="AD326" s="509"/>
      <c r="AE326" s="635"/>
      <c r="AF326" s="635"/>
      <c r="AG326" s="788">
        <v>0</v>
      </c>
      <c r="AH326" s="782">
        <v>0</v>
      </c>
      <c r="AI326" s="509"/>
      <c r="AJ326" s="509"/>
      <c r="AK326" s="509"/>
      <c r="AL326" s="777">
        <f>I326</f>
        <v>540</v>
      </c>
      <c r="AM326" s="656"/>
      <c r="AN326" s="656"/>
      <c r="AO326" s="656"/>
      <c r="AP326" s="777"/>
      <c r="AQ326" s="656">
        <f>I326</f>
        <v>540</v>
      </c>
      <c r="AR326" s="777">
        <f t="shared" si="100"/>
        <v>540</v>
      </c>
      <c r="AS326" s="777"/>
      <c r="AT326" s="777">
        <f t="shared" si="101"/>
        <v>540</v>
      </c>
      <c r="AU326" s="777"/>
      <c r="AV326" s="778"/>
      <c r="AW326" s="778"/>
      <c r="AX326" s="778"/>
      <c r="AY326" s="778"/>
      <c r="AZ326" s="778"/>
      <c r="BA326" s="778"/>
      <c r="BB326" s="778"/>
      <c r="BC326" s="778"/>
      <c r="BD326" s="778"/>
      <c r="BE326" s="777"/>
      <c r="BF326" s="778"/>
      <c r="BG326" s="778"/>
      <c r="BH326" s="778"/>
      <c r="BI326" s="778"/>
      <c r="BJ326" s="778"/>
      <c r="BK326" s="778">
        <f>I326/18</f>
        <v>30</v>
      </c>
      <c r="BL326" s="778"/>
      <c r="BM326" s="778"/>
    </row>
    <row r="327" s="771" customFormat="1" ht="31" hidden="1" customHeight="1" spans="1:65">
      <c r="A327" s="775">
        <v>45827</v>
      </c>
      <c r="B327" s="776" t="s">
        <v>70</v>
      </c>
      <c r="C327" s="509" t="s">
        <v>71</v>
      </c>
      <c r="D327" s="777">
        <v>4500170550</v>
      </c>
      <c r="E327" s="509" t="s">
        <v>1368</v>
      </c>
      <c r="F327" s="778" t="s">
        <v>1369</v>
      </c>
      <c r="G327" s="779" t="s">
        <v>102</v>
      </c>
      <c r="H327" s="509" t="s">
        <v>65</v>
      </c>
      <c r="I327" s="509">
        <v>192</v>
      </c>
      <c r="J327" s="509">
        <v>0</v>
      </c>
      <c r="K327" s="509">
        <v>16</v>
      </c>
      <c r="L327" s="780">
        <f t="shared" si="99"/>
        <v>12</v>
      </c>
      <c r="M327" s="781">
        <v>45886</v>
      </c>
      <c r="N327" s="781">
        <v>45884</v>
      </c>
      <c r="O327" s="782"/>
      <c r="P327" s="782" t="s">
        <v>103</v>
      </c>
      <c r="Q327" s="509"/>
      <c r="R327" s="784">
        <v>45827</v>
      </c>
      <c r="S327" s="784" t="s">
        <v>66</v>
      </c>
      <c r="T327" s="784">
        <v>45827</v>
      </c>
      <c r="U327" s="784"/>
      <c r="V327" s="784"/>
      <c r="W327" s="776" t="s">
        <v>1370</v>
      </c>
      <c r="X327" s="781" t="s">
        <v>75</v>
      </c>
      <c r="Y327" s="785">
        <v>4.2114</v>
      </c>
      <c r="Z327" s="786">
        <f>Y327*I327</f>
        <v>808.5888</v>
      </c>
      <c r="AA327" s="509" t="s">
        <v>1371</v>
      </c>
      <c r="AB327" s="509" t="s">
        <v>102</v>
      </c>
      <c r="AC327" s="509" t="s">
        <v>76</v>
      </c>
      <c r="AD327" s="509"/>
      <c r="AE327" s="635"/>
      <c r="AF327" s="635"/>
      <c r="AG327" s="788">
        <v>192</v>
      </c>
      <c r="AH327" s="782">
        <f>AG327-I327</f>
        <v>0</v>
      </c>
      <c r="AI327" s="509"/>
      <c r="AJ327" s="509"/>
      <c r="AK327" s="509"/>
      <c r="AL327" s="777">
        <f>I327</f>
        <v>192</v>
      </c>
      <c r="AM327" s="656"/>
      <c r="AN327" s="656"/>
      <c r="AO327" s="656"/>
      <c r="AP327" s="777">
        <f>I327</f>
        <v>192</v>
      </c>
      <c r="AQ327" s="656"/>
      <c r="AR327" s="777">
        <f t="shared" si="100"/>
        <v>192</v>
      </c>
      <c r="AS327" s="777"/>
      <c r="AT327" s="777">
        <f t="shared" si="101"/>
        <v>192</v>
      </c>
      <c r="AU327" s="777"/>
      <c r="AV327" s="778"/>
      <c r="AW327" s="778"/>
      <c r="AX327" s="778"/>
      <c r="AY327" s="778"/>
      <c r="AZ327" s="778"/>
      <c r="BA327" s="778"/>
      <c r="BB327" s="778"/>
      <c r="BC327" s="778"/>
      <c r="BD327" s="777">
        <f>I327/4</f>
        <v>48</v>
      </c>
      <c r="BE327" s="777"/>
      <c r="BF327" s="778"/>
      <c r="BG327" s="778"/>
      <c r="BH327" s="778"/>
      <c r="BI327" s="778"/>
      <c r="BJ327" s="778"/>
      <c r="BK327" s="778"/>
      <c r="BL327" s="778"/>
      <c r="BM327" s="778"/>
    </row>
    <row r="328" s="771" customFormat="1" ht="31" hidden="1" customHeight="1" spans="1:65">
      <c r="A328" s="775">
        <v>45678</v>
      </c>
      <c r="B328" s="776" t="s">
        <v>1372</v>
      </c>
      <c r="C328" s="509" t="s">
        <v>90</v>
      </c>
      <c r="D328" s="777">
        <v>4500156322</v>
      </c>
      <c r="E328" s="886" t="s">
        <v>1373</v>
      </c>
      <c r="F328" s="778" t="s">
        <v>1374</v>
      </c>
      <c r="G328" s="779" t="s">
        <v>819</v>
      </c>
      <c r="H328" s="509" t="s">
        <v>744</v>
      </c>
      <c r="I328" s="509">
        <v>72</v>
      </c>
      <c r="J328" s="509">
        <v>0</v>
      </c>
      <c r="K328" s="509">
        <v>1</v>
      </c>
      <c r="L328" s="780">
        <f t="shared" si="99"/>
        <v>72</v>
      </c>
      <c r="M328" s="781">
        <v>45888</v>
      </c>
      <c r="N328" s="781">
        <v>45885</v>
      </c>
      <c r="O328" s="782" t="s">
        <v>1375</v>
      </c>
      <c r="P328" s="782" t="s">
        <v>103</v>
      </c>
      <c r="Q328" s="509"/>
      <c r="R328" s="784">
        <v>45832</v>
      </c>
      <c r="S328" s="784" t="s">
        <v>66</v>
      </c>
      <c r="T328" s="784" t="s">
        <v>66</v>
      </c>
      <c r="U328" s="784"/>
      <c r="V328" s="784"/>
      <c r="W328" s="776" t="s">
        <v>1376</v>
      </c>
      <c r="X328" s="781" t="s">
        <v>821</v>
      </c>
      <c r="Y328" s="785">
        <v>0</v>
      </c>
      <c r="Z328" s="786">
        <f>Y328*L328</f>
        <v>0</v>
      </c>
      <c r="AA328" s="509" t="s">
        <v>1377</v>
      </c>
      <c r="AB328" s="509" t="s">
        <v>1378</v>
      </c>
      <c r="AC328" s="509" t="s">
        <v>76</v>
      </c>
      <c r="AD328" s="509"/>
      <c r="AE328" s="635"/>
      <c r="AF328" s="635"/>
      <c r="AG328" s="788">
        <f>640+1960+2800</f>
        <v>5400</v>
      </c>
      <c r="AH328" s="782">
        <f>AG328-I329</f>
        <v>0</v>
      </c>
      <c r="AI328" s="509"/>
      <c r="AJ328" s="509"/>
      <c r="AK328" s="509"/>
      <c r="AL328" s="777"/>
      <c r="AM328" s="656">
        <v>0</v>
      </c>
      <c r="AN328" s="656"/>
      <c r="AO328" s="656"/>
      <c r="AP328" s="777"/>
      <c r="AQ328" s="656"/>
      <c r="AR328" s="777"/>
      <c r="AS328" s="777"/>
      <c r="AT328" s="777"/>
      <c r="AU328" s="777"/>
      <c r="AV328" s="778"/>
      <c r="AW328" s="778"/>
      <c r="AX328" s="778"/>
      <c r="AY328" s="778"/>
      <c r="AZ328" s="778"/>
      <c r="BA328" s="778"/>
      <c r="BB328" s="778"/>
      <c r="BC328" s="778"/>
      <c r="BD328" s="778"/>
      <c r="BE328" s="777"/>
      <c r="BF328" s="778"/>
      <c r="BG328" s="778"/>
      <c r="BH328" s="778"/>
      <c r="BI328" s="778"/>
      <c r="BJ328" s="778"/>
      <c r="BK328" s="778"/>
      <c r="BL328" s="778"/>
      <c r="BM328" s="778"/>
    </row>
    <row r="329" s="771" customFormat="1" ht="31" hidden="1" customHeight="1" spans="1:65">
      <c r="A329" s="775">
        <v>45678</v>
      </c>
      <c r="B329" s="776" t="s">
        <v>1372</v>
      </c>
      <c r="C329" s="509" t="s">
        <v>90</v>
      </c>
      <c r="D329" s="777">
        <v>4500156322</v>
      </c>
      <c r="E329" s="886" t="s">
        <v>1373</v>
      </c>
      <c r="F329" s="778" t="s">
        <v>1374</v>
      </c>
      <c r="G329" s="779">
        <v>77673</v>
      </c>
      <c r="H329" s="509" t="s">
        <v>65</v>
      </c>
      <c r="I329" s="509">
        <v>5400</v>
      </c>
      <c r="J329" s="509">
        <v>0</v>
      </c>
      <c r="K329" s="509">
        <v>75</v>
      </c>
      <c r="L329" s="780">
        <f t="shared" si="99"/>
        <v>72</v>
      </c>
      <c r="M329" s="781">
        <v>45888</v>
      </c>
      <c r="N329" s="781">
        <v>45885</v>
      </c>
      <c r="O329" s="782" t="s">
        <v>1375</v>
      </c>
      <c r="P329" s="782" t="s">
        <v>103</v>
      </c>
      <c r="Q329" s="509"/>
      <c r="R329" s="784">
        <v>45832</v>
      </c>
      <c r="S329" s="784" t="s">
        <v>66</v>
      </c>
      <c r="T329" s="784" t="s">
        <v>66</v>
      </c>
      <c r="U329" s="784"/>
      <c r="V329" s="784"/>
      <c r="W329" s="776"/>
      <c r="X329" s="781" t="s">
        <v>821</v>
      </c>
      <c r="Y329" s="785">
        <v>762.5</v>
      </c>
      <c r="Z329" s="786">
        <f>Y329*L329</f>
        <v>54900</v>
      </c>
      <c r="AA329" s="509" t="s">
        <v>1377</v>
      </c>
      <c r="AB329" s="509" t="s">
        <v>1378</v>
      </c>
      <c r="AC329" s="509" t="s">
        <v>76</v>
      </c>
      <c r="AD329" s="509"/>
      <c r="AE329" s="635"/>
      <c r="AF329" s="635"/>
      <c r="AG329" s="788">
        <v>0</v>
      </c>
      <c r="AH329" s="782">
        <v>0</v>
      </c>
      <c r="AI329" s="509"/>
      <c r="AJ329" s="509"/>
      <c r="AK329" s="509"/>
      <c r="AL329" s="777"/>
      <c r="AM329" s="656">
        <f>I329</f>
        <v>5400</v>
      </c>
      <c r="AN329" s="656"/>
      <c r="AO329" s="656"/>
      <c r="AP329" s="777"/>
      <c r="AQ329" s="656"/>
      <c r="AR329" s="777"/>
      <c r="AS329" s="777"/>
      <c r="AT329" s="777"/>
      <c r="AU329" s="777"/>
      <c r="AV329" s="778"/>
      <c r="AW329" s="778">
        <f>I329</f>
        <v>5400</v>
      </c>
      <c r="AX329" s="778">
        <f>I329</f>
        <v>5400</v>
      </c>
      <c r="AY329" s="778">
        <f>I329</f>
        <v>5400</v>
      </c>
      <c r="AZ329" s="778"/>
      <c r="BA329" s="778"/>
      <c r="BB329" s="778"/>
      <c r="BC329" s="778"/>
      <c r="BD329" s="778"/>
      <c r="BE329" s="777"/>
      <c r="BF329" s="778"/>
      <c r="BG329" s="778">
        <f>I329</f>
        <v>5400</v>
      </c>
      <c r="BH329" s="778">
        <f>I329/5</f>
        <v>1080</v>
      </c>
      <c r="BI329" s="778"/>
      <c r="BJ329" s="778"/>
      <c r="BK329" s="778"/>
      <c r="BL329" s="778"/>
      <c r="BM329" s="778"/>
    </row>
    <row r="330" s="771" customFormat="1" ht="31" hidden="1" customHeight="1" spans="1:65">
      <c r="A330" s="775">
        <v>45828</v>
      </c>
      <c r="B330" s="776" t="s">
        <v>220</v>
      </c>
      <c r="C330" s="509" t="s">
        <v>90</v>
      </c>
      <c r="D330" s="777">
        <v>4500170676</v>
      </c>
      <c r="E330" s="509" t="s">
        <v>1379</v>
      </c>
      <c r="F330" s="778" t="s">
        <v>1380</v>
      </c>
      <c r="G330" s="779" t="s">
        <v>223</v>
      </c>
      <c r="H330" s="509" t="s">
        <v>224</v>
      </c>
      <c r="I330" s="509">
        <v>1736</v>
      </c>
      <c r="J330" s="509">
        <v>0</v>
      </c>
      <c r="K330" s="509">
        <v>4</v>
      </c>
      <c r="L330" s="780">
        <f t="shared" si="99"/>
        <v>434</v>
      </c>
      <c r="M330" s="781">
        <v>45883</v>
      </c>
      <c r="N330" s="781">
        <v>45880</v>
      </c>
      <c r="O330" s="782"/>
      <c r="P330" s="782" t="s">
        <v>103</v>
      </c>
      <c r="Q330" s="509"/>
      <c r="R330" s="784">
        <v>45854</v>
      </c>
      <c r="S330" s="784" t="s">
        <v>96</v>
      </c>
      <c r="T330" s="784">
        <v>45854</v>
      </c>
      <c r="U330" s="784"/>
      <c r="V330" s="784"/>
      <c r="W330" s="776" t="s">
        <v>1381</v>
      </c>
      <c r="X330" s="781" t="s">
        <v>226</v>
      </c>
      <c r="Y330" s="785">
        <v>2.8095</v>
      </c>
      <c r="Z330" s="786">
        <f t="shared" ref="Z330:Z335" si="102">Y330*I330</f>
        <v>4877.292</v>
      </c>
      <c r="AA330" s="509" t="s">
        <v>1382</v>
      </c>
      <c r="AB330" s="509" t="s">
        <v>223</v>
      </c>
      <c r="AC330" s="509" t="s">
        <v>76</v>
      </c>
      <c r="AD330" s="509"/>
      <c r="AE330" s="635" t="s">
        <v>69</v>
      </c>
      <c r="AF330" s="635"/>
      <c r="AG330" s="788">
        <v>1736</v>
      </c>
      <c r="AH330" s="782">
        <f t="shared" ref="AH330:AH353" si="103">AG330-I330</f>
        <v>0</v>
      </c>
      <c r="AI330" s="509"/>
      <c r="AJ330" s="509"/>
      <c r="AK330" s="509"/>
      <c r="AL330" s="777"/>
      <c r="AM330" s="656"/>
      <c r="AN330" s="656">
        <f>I330</f>
        <v>1736</v>
      </c>
      <c r="AO330" s="656"/>
      <c r="AP330" s="777"/>
      <c r="AQ330" s="656"/>
      <c r="AR330" s="777"/>
      <c r="AS330" s="777"/>
      <c r="AT330" s="777">
        <f t="shared" ref="AT330:AT335" si="104">I330</f>
        <v>1736</v>
      </c>
      <c r="AU330" s="777"/>
      <c r="AV330" s="778"/>
      <c r="AW330" s="778"/>
      <c r="AX330" s="778"/>
      <c r="AY330" s="778"/>
      <c r="AZ330" s="778"/>
      <c r="BA330" s="778"/>
      <c r="BB330" s="778">
        <f>I330</f>
        <v>1736</v>
      </c>
      <c r="BC330" s="778">
        <f>I330</f>
        <v>1736</v>
      </c>
      <c r="BD330" s="777">
        <f>I330/4</f>
        <v>434</v>
      </c>
      <c r="BE330" s="777"/>
      <c r="BF330" s="778"/>
      <c r="BG330" s="778"/>
      <c r="BH330" s="778"/>
      <c r="BI330" s="778"/>
      <c r="BJ330" s="778"/>
      <c r="BK330" s="778"/>
      <c r="BL330" s="778"/>
      <c r="BM330" s="778"/>
    </row>
    <row r="331" s="771" customFormat="1" ht="31" hidden="1" customHeight="1" spans="1:65">
      <c r="A331" s="775">
        <v>45841</v>
      </c>
      <c r="B331" s="776" t="s">
        <v>1383</v>
      </c>
      <c r="C331" s="509" t="s">
        <v>90</v>
      </c>
      <c r="D331" s="777">
        <v>4500172566</v>
      </c>
      <c r="E331" s="509" t="s">
        <v>1384</v>
      </c>
      <c r="F331" s="778" t="s">
        <v>1385</v>
      </c>
      <c r="G331" s="779" t="s">
        <v>64</v>
      </c>
      <c r="H331" s="509" t="s">
        <v>65</v>
      </c>
      <c r="I331" s="509">
        <v>24360</v>
      </c>
      <c r="J331" s="509">
        <v>0</v>
      </c>
      <c r="K331" s="509">
        <v>12</v>
      </c>
      <c r="L331" s="780">
        <f t="shared" si="99"/>
        <v>2030</v>
      </c>
      <c r="M331" s="781">
        <v>45887</v>
      </c>
      <c r="N331" s="781">
        <v>45883</v>
      </c>
      <c r="O331" s="782"/>
      <c r="P331" s="782" t="s">
        <v>103</v>
      </c>
      <c r="Q331" s="509"/>
      <c r="R331" s="784">
        <v>45841</v>
      </c>
      <c r="S331" s="784" t="s">
        <v>96</v>
      </c>
      <c r="T331" s="784">
        <v>45868</v>
      </c>
      <c r="U331" s="784"/>
      <c r="V331" s="784"/>
      <c r="W331" s="776" t="s">
        <v>1386</v>
      </c>
      <c r="X331" s="781" t="s">
        <v>1387</v>
      </c>
      <c r="Y331" s="785">
        <v>2.4778</v>
      </c>
      <c r="Z331" s="786">
        <f t="shared" si="102"/>
        <v>60359.208</v>
      </c>
      <c r="AA331" s="509" t="s">
        <v>1388</v>
      </c>
      <c r="AB331" s="509" t="s">
        <v>64</v>
      </c>
      <c r="AC331" s="509" t="s">
        <v>76</v>
      </c>
      <c r="AD331" s="509"/>
      <c r="AE331" s="635"/>
      <c r="AF331" s="635"/>
      <c r="AG331" s="788">
        <f>84+24276</f>
        <v>24360</v>
      </c>
      <c r="AH331" s="782">
        <f t="shared" si="103"/>
        <v>0</v>
      </c>
      <c r="AI331" s="509"/>
      <c r="AJ331" s="509"/>
      <c r="AK331" s="509"/>
      <c r="AL331" s="777">
        <f>I331</f>
        <v>24360</v>
      </c>
      <c r="AM331" s="656"/>
      <c r="AN331" s="656"/>
      <c r="AO331" s="656"/>
      <c r="AP331" s="777">
        <f>I331</f>
        <v>24360</v>
      </c>
      <c r="AQ331" s="656"/>
      <c r="AR331" s="777">
        <f>I331</f>
        <v>24360</v>
      </c>
      <c r="AS331" s="777"/>
      <c r="AT331" s="777">
        <f t="shared" si="104"/>
        <v>24360</v>
      </c>
      <c r="AU331" s="777"/>
      <c r="AV331" s="778"/>
      <c r="AW331" s="778"/>
      <c r="AX331" s="778"/>
      <c r="AY331" s="778"/>
      <c r="AZ331" s="778"/>
      <c r="BA331" s="778"/>
      <c r="BB331" s="778"/>
      <c r="BC331" s="778"/>
      <c r="BD331" s="778"/>
      <c r="BE331" s="777"/>
      <c r="BF331" s="778"/>
      <c r="BG331" s="778"/>
      <c r="BH331" s="778"/>
      <c r="BI331" s="778"/>
      <c r="BJ331" s="778"/>
      <c r="BK331" s="778"/>
      <c r="BL331" s="778"/>
      <c r="BM331" s="778"/>
    </row>
    <row r="332" s="771" customFormat="1" ht="31" hidden="1" customHeight="1" spans="1:65">
      <c r="A332" s="775">
        <v>45826</v>
      </c>
      <c r="B332" s="776" t="s">
        <v>152</v>
      </c>
      <c r="C332" s="509" t="s">
        <v>153</v>
      </c>
      <c r="D332" s="777">
        <v>4500170471</v>
      </c>
      <c r="E332" s="509">
        <v>2700951954</v>
      </c>
      <c r="F332" s="778" t="s">
        <v>1389</v>
      </c>
      <c r="G332" s="779" t="s">
        <v>155</v>
      </c>
      <c r="H332" s="509" t="s">
        <v>65</v>
      </c>
      <c r="I332" s="509">
        <v>1300</v>
      </c>
      <c r="J332" s="509">
        <v>0</v>
      </c>
      <c r="K332" s="509">
        <v>2</v>
      </c>
      <c r="L332" s="780">
        <f t="shared" si="99"/>
        <v>650</v>
      </c>
      <c r="M332" s="781">
        <v>45889</v>
      </c>
      <c r="N332" s="781">
        <v>45887</v>
      </c>
      <c r="O332" s="782" t="s">
        <v>1390</v>
      </c>
      <c r="P332" s="782" t="s">
        <v>103</v>
      </c>
      <c r="Q332" s="509"/>
      <c r="R332" s="784">
        <v>45845</v>
      </c>
      <c r="S332" s="784" t="s">
        <v>66</v>
      </c>
      <c r="T332" s="784" t="s">
        <v>1391</v>
      </c>
      <c r="U332" s="784"/>
      <c r="V332" s="784"/>
      <c r="W332" s="776" t="s">
        <v>1392</v>
      </c>
      <c r="X332" s="781" t="s">
        <v>158</v>
      </c>
      <c r="Y332" s="785">
        <v>4.2018</v>
      </c>
      <c r="Z332" s="786">
        <f t="shared" si="102"/>
        <v>5462.34</v>
      </c>
      <c r="AA332" s="517" t="s">
        <v>1393</v>
      </c>
      <c r="AB332" s="509" t="s">
        <v>155</v>
      </c>
      <c r="AC332" s="509" t="s">
        <v>76</v>
      </c>
      <c r="AD332" s="509"/>
      <c r="AE332" s="635"/>
      <c r="AF332" s="635"/>
      <c r="AG332" s="788">
        <v>1300</v>
      </c>
      <c r="AH332" s="782">
        <f t="shared" si="103"/>
        <v>0</v>
      </c>
      <c r="AI332" s="509"/>
      <c r="AJ332" s="509"/>
      <c r="AK332" s="509"/>
      <c r="AL332" s="777">
        <f>I332</f>
        <v>1300</v>
      </c>
      <c r="AM332" s="656"/>
      <c r="AN332" s="656"/>
      <c r="AO332" s="656"/>
      <c r="AP332" s="777"/>
      <c r="AQ332" s="656">
        <f>I332</f>
        <v>1300</v>
      </c>
      <c r="AR332" s="777">
        <f>I332</f>
        <v>1300</v>
      </c>
      <c r="AS332" s="777"/>
      <c r="AT332" s="777">
        <f t="shared" si="104"/>
        <v>1300</v>
      </c>
      <c r="AU332" s="777"/>
      <c r="AV332" s="778"/>
      <c r="AW332" s="778"/>
      <c r="AX332" s="778"/>
      <c r="AY332" s="778"/>
      <c r="AZ332" s="778"/>
      <c r="BA332" s="778"/>
      <c r="BB332" s="778"/>
      <c r="BC332" s="778"/>
      <c r="BD332" s="778"/>
      <c r="BE332" s="777"/>
      <c r="BF332" s="778"/>
      <c r="BG332" s="778"/>
      <c r="BH332" s="778"/>
      <c r="BI332" s="778"/>
      <c r="BJ332" s="778"/>
      <c r="BK332" s="778"/>
      <c r="BL332" s="778"/>
      <c r="BM332" s="778"/>
    </row>
    <row r="333" s="771" customFormat="1" ht="31" hidden="1" customHeight="1" spans="1:65">
      <c r="A333" s="775">
        <v>45828</v>
      </c>
      <c r="B333" s="776" t="s">
        <v>128</v>
      </c>
      <c r="C333" s="509" t="s">
        <v>90</v>
      </c>
      <c r="D333" s="777">
        <v>4500170698</v>
      </c>
      <c r="E333" s="886" t="s">
        <v>1394</v>
      </c>
      <c r="F333" s="778" t="s">
        <v>1395</v>
      </c>
      <c r="G333" s="779" t="s">
        <v>93</v>
      </c>
      <c r="H333" s="509" t="s">
        <v>94</v>
      </c>
      <c r="I333" s="509">
        <v>1780</v>
      </c>
      <c r="J333" s="509">
        <v>0</v>
      </c>
      <c r="K333" s="509">
        <v>4</v>
      </c>
      <c r="L333" s="780">
        <f t="shared" si="99"/>
        <v>445</v>
      </c>
      <c r="M333" s="781">
        <v>45890</v>
      </c>
      <c r="N333" s="781">
        <v>45887</v>
      </c>
      <c r="O333" s="782"/>
      <c r="P333" s="782" t="s">
        <v>103</v>
      </c>
      <c r="Q333" s="509"/>
      <c r="R333" s="784" t="s">
        <v>132</v>
      </c>
      <c r="S333" s="784" t="s">
        <v>66</v>
      </c>
      <c r="T333" s="784" t="s">
        <v>1396</v>
      </c>
      <c r="U333" s="683" t="s">
        <v>133</v>
      </c>
      <c r="V333" s="784"/>
      <c r="W333" s="776" t="s">
        <v>1281</v>
      </c>
      <c r="X333" s="781" t="s">
        <v>98</v>
      </c>
      <c r="Y333" s="785">
        <v>2.58</v>
      </c>
      <c r="Z333" s="786">
        <f t="shared" si="102"/>
        <v>4592.4</v>
      </c>
      <c r="AA333" s="509" t="s">
        <v>1397</v>
      </c>
      <c r="AB333" s="509" t="s">
        <v>93</v>
      </c>
      <c r="AC333" s="509" t="s">
        <v>76</v>
      </c>
      <c r="AD333" s="509"/>
      <c r="AE333" s="635"/>
      <c r="AF333" s="635"/>
      <c r="AG333" s="788">
        <v>1780</v>
      </c>
      <c r="AH333" s="782">
        <f t="shared" si="103"/>
        <v>0</v>
      </c>
      <c r="AI333" s="509"/>
      <c r="AJ333" s="509"/>
      <c r="AK333" s="509"/>
      <c r="AL333" s="777">
        <f>I333</f>
        <v>1780</v>
      </c>
      <c r="AM333" s="656"/>
      <c r="AN333" s="656"/>
      <c r="AO333" s="656"/>
      <c r="AP333" s="777">
        <f>I333</f>
        <v>1780</v>
      </c>
      <c r="AQ333" s="656"/>
      <c r="AR333" s="777">
        <f>I333</f>
        <v>1780</v>
      </c>
      <c r="AS333" s="777"/>
      <c r="AT333" s="777">
        <f t="shared" si="104"/>
        <v>1780</v>
      </c>
      <c r="AU333" s="777"/>
      <c r="AV333" s="778"/>
      <c r="AW333" s="778"/>
      <c r="AX333" s="778"/>
      <c r="AY333" s="778"/>
      <c r="AZ333" s="778"/>
      <c r="BA333" s="778"/>
      <c r="BB333" s="778"/>
      <c r="BC333" s="778"/>
      <c r="BD333" s="777">
        <f>I333/4</f>
        <v>445</v>
      </c>
      <c r="BE333" s="777"/>
      <c r="BF333" s="778"/>
      <c r="BG333" s="778"/>
      <c r="BH333" s="778"/>
      <c r="BI333" s="778"/>
      <c r="BJ333" s="778"/>
      <c r="BK333" s="778"/>
      <c r="BL333" s="778"/>
      <c r="BM333" s="778"/>
    </row>
    <row r="334" s="771" customFormat="1" ht="31" hidden="1" customHeight="1" spans="1:65">
      <c r="A334" s="775">
        <v>45828</v>
      </c>
      <c r="B334" s="776" t="s">
        <v>128</v>
      </c>
      <c r="C334" s="509" t="s">
        <v>90</v>
      </c>
      <c r="D334" s="777">
        <v>4500170698</v>
      </c>
      <c r="E334" s="886" t="s">
        <v>1398</v>
      </c>
      <c r="F334" s="778" t="s">
        <v>1399</v>
      </c>
      <c r="G334" s="779" t="s">
        <v>93</v>
      </c>
      <c r="H334" s="509" t="s">
        <v>94</v>
      </c>
      <c r="I334" s="509">
        <v>1472</v>
      </c>
      <c r="J334" s="509">
        <v>0</v>
      </c>
      <c r="K334" s="509">
        <v>4</v>
      </c>
      <c r="L334" s="780">
        <f t="shared" si="99"/>
        <v>368</v>
      </c>
      <c r="M334" s="781">
        <v>45890</v>
      </c>
      <c r="N334" s="781">
        <v>45887</v>
      </c>
      <c r="O334" s="782"/>
      <c r="P334" s="782" t="s">
        <v>103</v>
      </c>
      <c r="Q334" s="509"/>
      <c r="R334" s="784" t="s">
        <v>132</v>
      </c>
      <c r="S334" s="784" t="s">
        <v>66</v>
      </c>
      <c r="T334" s="784" t="s">
        <v>1396</v>
      </c>
      <c r="U334" s="683" t="s">
        <v>133</v>
      </c>
      <c r="V334" s="784"/>
      <c r="W334" s="776" t="s">
        <v>1281</v>
      </c>
      <c r="X334" s="781" t="s">
        <v>98</v>
      </c>
      <c r="Y334" s="785">
        <v>2.58</v>
      </c>
      <c r="Z334" s="786">
        <f t="shared" si="102"/>
        <v>3797.76</v>
      </c>
      <c r="AA334" s="509" t="s">
        <v>1400</v>
      </c>
      <c r="AB334" s="509" t="s">
        <v>93</v>
      </c>
      <c r="AC334" s="509" t="s">
        <v>76</v>
      </c>
      <c r="AD334" s="509"/>
      <c r="AE334" s="635"/>
      <c r="AF334" s="635"/>
      <c r="AG334" s="788">
        <v>1472</v>
      </c>
      <c r="AH334" s="782">
        <f t="shared" si="103"/>
        <v>0</v>
      </c>
      <c r="AI334" s="509"/>
      <c r="AJ334" s="509"/>
      <c r="AK334" s="509"/>
      <c r="AL334" s="777">
        <f>I334</f>
        <v>1472</v>
      </c>
      <c r="AM334" s="656"/>
      <c r="AN334" s="656"/>
      <c r="AO334" s="656"/>
      <c r="AP334" s="777">
        <f>I334</f>
        <v>1472</v>
      </c>
      <c r="AQ334" s="656"/>
      <c r="AR334" s="777">
        <f>I334</f>
        <v>1472</v>
      </c>
      <c r="AS334" s="777"/>
      <c r="AT334" s="777">
        <f t="shared" si="104"/>
        <v>1472</v>
      </c>
      <c r="AU334" s="777"/>
      <c r="AV334" s="778"/>
      <c r="AW334" s="778"/>
      <c r="AX334" s="778"/>
      <c r="AY334" s="778"/>
      <c r="AZ334" s="778"/>
      <c r="BA334" s="778"/>
      <c r="BB334" s="778"/>
      <c r="BC334" s="778"/>
      <c r="BD334" s="777">
        <f>I334/4</f>
        <v>368</v>
      </c>
      <c r="BE334" s="777"/>
      <c r="BF334" s="778"/>
      <c r="BG334" s="778"/>
      <c r="BH334" s="778"/>
      <c r="BI334" s="778"/>
      <c r="BJ334" s="778"/>
      <c r="BK334" s="778"/>
      <c r="BL334" s="778"/>
      <c r="BM334" s="778"/>
    </row>
    <row r="335" s="771" customFormat="1" ht="31" hidden="1" customHeight="1" spans="1:65">
      <c r="A335" s="775">
        <v>45838</v>
      </c>
      <c r="B335" s="776" t="s">
        <v>360</v>
      </c>
      <c r="C335" s="509" t="s">
        <v>249</v>
      </c>
      <c r="D335" s="777">
        <v>4500164293</v>
      </c>
      <c r="E335" s="509">
        <v>240199</v>
      </c>
      <c r="F335" s="778" t="s">
        <v>1401</v>
      </c>
      <c r="G335" s="779" t="s">
        <v>64</v>
      </c>
      <c r="H335" s="509" t="s">
        <v>65</v>
      </c>
      <c r="I335" s="509">
        <v>108</v>
      </c>
      <c r="J335" s="509">
        <v>0</v>
      </c>
      <c r="K335" s="509">
        <v>12</v>
      </c>
      <c r="L335" s="780">
        <f t="shared" si="99"/>
        <v>9</v>
      </c>
      <c r="M335" s="781">
        <v>45891</v>
      </c>
      <c r="N335" s="781">
        <v>45887</v>
      </c>
      <c r="O335" s="782"/>
      <c r="P335" s="782" t="s">
        <v>103</v>
      </c>
      <c r="Q335" s="509"/>
      <c r="R335" s="784">
        <v>45838</v>
      </c>
      <c r="S335" s="784" t="s">
        <v>66</v>
      </c>
      <c r="T335" s="784">
        <v>45838</v>
      </c>
      <c r="U335" s="784"/>
      <c r="V335" s="784"/>
      <c r="W335" s="776" t="s">
        <v>1402</v>
      </c>
      <c r="X335" s="781" t="s">
        <v>879</v>
      </c>
      <c r="Y335" s="785">
        <v>4.1456</v>
      </c>
      <c r="Z335" s="786">
        <f t="shared" si="102"/>
        <v>447.7248</v>
      </c>
      <c r="AA335" s="509"/>
      <c r="AB335" s="509" t="s">
        <v>64</v>
      </c>
      <c r="AC335" s="509" t="s">
        <v>76</v>
      </c>
      <c r="AD335" s="509"/>
      <c r="AE335" s="635"/>
      <c r="AF335" s="635"/>
      <c r="AG335" s="788">
        <v>108</v>
      </c>
      <c r="AH335" s="782">
        <f t="shared" si="103"/>
        <v>0</v>
      </c>
      <c r="AI335" s="509"/>
      <c r="AJ335" s="509"/>
      <c r="AK335" s="509"/>
      <c r="AL335" s="777">
        <f>I335</f>
        <v>108</v>
      </c>
      <c r="AM335" s="656"/>
      <c r="AN335" s="656"/>
      <c r="AO335" s="656"/>
      <c r="AP335" s="777">
        <f>I335</f>
        <v>108</v>
      </c>
      <c r="AQ335" s="656"/>
      <c r="AR335" s="777">
        <f>I335</f>
        <v>108</v>
      </c>
      <c r="AS335" s="777"/>
      <c r="AT335" s="777">
        <f t="shared" si="104"/>
        <v>108</v>
      </c>
      <c r="AU335" s="777"/>
      <c r="AV335" s="778"/>
      <c r="AW335" s="778"/>
      <c r="AX335" s="778"/>
      <c r="AY335" s="778"/>
      <c r="AZ335" s="778"/>
      <c r="BA335" s="778"/>
      <c r="BB335" s="778"/>
      <c r="BC335" s="778"/>
      <c r="BD335" s="778"/>
      <c r="BE335" s="777"/>
      <c r="BF335" s="778"/>
      <c r="BG335" s="778"/>
      <c r="BH335" s="778"/>
      <c r="BI335" s="778"/>
      <c r="BJ335" s="778"/>
      <c r="BK335" s="778"/>
      <c r="BL335" s="778"/>
      <c r="BM335" s="778"/>
    </row>
    <row r="336" s="771" customFormat="1" ht="31" hidden="1" customHeight="1" spans="1:65">
      <c r="A336" s="775">
        <v>45827</v>
      </c>
      <c r="B336" s="776" t="s">
        <v>220</v>
      </c>
      <c r="C336" s="509" t="s">
        <v>90</v>
      </c>
      <c r="D336" s="777">
        <v>4500170547</v>
      </c>
      <c r="E336" s="509" t="s">
        <v>1403</v>
      </c>
      <c r="F336" s="778" t="s">
        <v>1404</v>
      </c>
      <c r="G336" s="779" t="s">
        <v>223</v>
      </c>
      <c r="H336" s="509" t="s">
        <v>224</v>
      </c>
      <c r="I336" s="509">
        <v>6432</v>
      </c>
      <c r="J336" s="509">
        <v>0</v>
      </c>
      <c r="K336" s="509">
        <v>4</v>
      </c>
      <c r="L336" s="780">
        <f t="shared" si="99"/>
        <v>1608</v>
      </c>
      <c r="M336" s="781">
        <v>45889</v>
      </c>
      <c r="N336" s="781">
        <v>45887</v>
      </c>
      <c r="O336" s="782"/>
      <c r="P336" s="782" t="s">
        <v>103</v>
      </c>
      <c r="Q336" s="509"/>
      <c r="R336" s="784">
        <v>45838</v>
      </c>
      <c r="S336" s="784" t="s">
        <v>96</v>
      </c>
      <c r="T336" s="784">
        <v>45881</v>
      </c>
      <c r="U336" s="784"/>
      <c r="V336" s="784"/>
      <c r="W336" s="776" t="s">
        <v>1160</v>
      </c>
      <c r="X336" s="781" t="s">
        <v>226</v>
      </c>
      <c r="Y336" s="785">
        <v>2.7951</v>
      </c>
      <c r="Z336" s="786">
        <f t="shared" ref="Z336:Z352" si="105">Y336*I336</f>
        <v>17978.0832</v>
      </c>
      <c r="AA336" s="509" t="s">
        <v>1405</v>
      </c>
      <c r="AB336" s="509" t="s">
        <v>223</v>
      </c>
      <c r="AC336" s="509" t="s">
        <v>76</v>
      </c>
      <c r="AD336" s="509"/>
      <c r="AE336" s="635" t="s">
        <v>69</v>
      </c>
      <c r="AF336" s="635"/>
      <c r="AG336" s="788">
        <f>4320+2112</f>
        <v>6432</v>
      </c>
      <c r="AH336" s="782">
        <f t="shared" si="103"/>
        <v>0</v>
      </c>
      <c r="AI336" s="509"/>
      <c r="AJ336" s="509"/>
      <c r="AK336" s="509"/>
      <c r="AL336" s="777"/>
      <c r="AM336" s="656"/>
      <c r="AN336" s="656">
        <f>I336</f>
        <v>6432</v>
      </c>
      <c r="AO336" s="656"/>
      <c r="AP336" s="777"/>
      <c r="AQ336" s="656"/>
      <c r="AR336" s="777"/>
      <c r="AS336" s="777"/>
      <c r="AT336" s="777">
        <f t="shared" ref="AT336:AT354" si="106">I336</f>
        <v>6432</v>
      </c>
      <c r="AU336" s="777"/>
      <c r="AV336" s="778"/>
      <c r="AW336" s="778"/>
      <c r="AX336" s="778"/>
      <c r="AY336" s="778"/>
      <c r="AZ336" s="778"/>
      <c r="BA336" s="778"/>
      <c r="BB336" s="778">
        <f>I336</f>
        <v>6432</v>
      </c>
      <c r="BC336" s="778">
        <f>I336</f>
        <v>6432</v>
      </c>
      <c r="BD336" s="777">
        <f>I336/4</f>
        <v>1608</v>
      </c>
      <c r="BE336" s="777"/>
      <c r="BF336" s="778"/>
      <c r="BG336" s="778"/>
      <c r="BH336" s="778"/>
      <c r="BI336" s="778"/>
      <c r="BJ336" s="778"/>
      <c r="BK336" s="778"/>
      <c r="BL336" s="778"/>
      <c r="BM336" s="778"/>
    </row>
    <row r="337" s="771" customFormat="1" ht="31" hidden="1" customHeight="1" spans="1:65">
      <c r="A337" s="775">
        <v>45831</v>
      </c>
      <c r="B337" s="776" t="s">
        <v>122</v>
      </c>
      <c r="C337" s="509" t="s">
        <v>116</v>
      </c>
      <c r="D337" s="777">
        <v>4500170993</v>
      </c>
      <c r="E337" s="509">
        <v>20862334</v>
      </c>
      <c r="F337" s="778" t="s">
        <v>1406</v>
      </c>
      <c r="G337" s="779" t="s">
        <v>463</v>
      </c>
      <c r="H337" s="509" t="s">
        <v>424</v>
      </c>
      <c r="I337" s="509">
        <v>1350</v>
      </c>
      <c r="J337" s="509">
        <v>0</v>
      </c>
      <c r="K337" s="509">
        <v>6</v>
      </c>
      <c r="L337" s="780">
        <f t="shared" si="99"/>
        <v>225</v>
      </c>
      <c r="M337" s="781">
        <v>45891</v>
      </c>
      <c r="N337" s="781">
        <v>45887</v>
      </c>
      <c r="O337" s="782"/>
      <c r="P337" s="782" t="s">
        <v>103</v>
      </c>
      <c r="Q337" s="509"/>
      <c r="R337" s="784">
        <v>45828</v>
      </c>
      <c r="S337" s="784" t="s">
        <v>96</v>
      </c>
      <c r="T337" s="784" t="s">
        <v>1201</v>
      </c>
      <c r="U337" s="784"/>
      <c r="V337" s="784"/>
      <c r="W337" s="776" t="s">
        <v>1407</v>
      </c>
      <c r="X337" s="781" t="s">
        <v>121</v>
      </c>
      <c r="Y337" s="785">
        <v>7.0773</v>
      </c>
      <c r="Z337" s="786">
        <f t="shared" si="105"/>
        <v>9554.355</v>
      </c>
      <c r="AA337" s="509"/>
      <c r="AB337" s="509" t="s">
        <v>1203</v>
      </c>
      <c r="AC337" s="509" t="s">
        <v>76</v>
      </c>
      <c r="AD337" s="509"/>
      <c r="AE337" s="635"/>
      <c r="AF337" s="635"/>
      <c r="AG337" s="788">
        <v>1350</v>
      </c>
      <c r="AH337" s="782">
        <f t="shared" si="103"/>
        <v>0</v>
      </c>
      <c r="AI337" s="509"/>
      <c r="AJ337" s="509"/>
      <c r="AK337" s="509"/>
      <c r="AL337" s="777">
        <f t="shared" ref="AL337:AL349" si="107">I337</f>
        <v>1350</v>
      </c>
      <c r="AM337" s="656"/>
      <c r="AN337" s="656"/>
      <c r="AO337" s="656"/>
      <c r="AP337" s="777">
        <f>I337</f>
        <v>1350</v>
      </c>
      <c r="AQ337" s="656"/>
      <c r="AR337" s="777">
        <f>I337</f>
        <v>1350</v>
      </c>
      <c r="AS337" s="777"/>
      <c r="AT337" s="777">
        <f t="shared" si="106"/>
        <v>1350</v>
      </c>
      <c r="AU337" s="777"/>
      <c r="AV337" s="778"/>
      <c r="AW337" s="778"/>
      <c r="AX337" s="778"/>
      <c r="AY337" s="778"/>
      <c r="AZ337" s="778"/>
      <c r="BA337" s="778"/>
      <c r="BB337" s="778"/>
      <c r="BC337" s="778"/>
      <c r="BD337" s="778"/>
      <c r="BE337" s="777"/>
      <c r="BF337" s="778"/>
      <c r="BG337" s="778"/>
      <c r="BH337" s="778"/>
      <c r="BI337" s="777"/>
      <c r="BJ337" s="778">
        <f>I337</f>
        <v>1350</v>
      </c>
      <c r="BK337" s="778"/>
      <c r="BL337" s="778"/>
      <c r="BM337" s="778"/>
    </row>
    <row r="338" s="771" customFormat="1" ht="31" hidden="1" customHeight="1" spans="1:65">
      <c r="A338" s="775">
        <v>45831</v>
      </c>
      <c r="B338" s="776" t="s">
        <v>122</v>
      </c>
      <c r="C338" s="509" t="s">
        <v>116</v>
      </c>
      <c r="D338" s="777">
        <v>4500170993</v>
      </c>
      <c r="E338" s="509">
        <v>20862335</v>
      </c>
      <c r="F338" s="778" t="s">
        <v>1408</v>
      </c>
      <c r="G338" s="779" t="s">
        <v>463</v>
      </c>
      <c r="H338" s="509" t="s">
        <v>424</v>
      </c>
      <c r="I338" s="509">
        <v>1350</v>
      </c>
      <c r="J338" s="509">
        <v>0</v>
      </c>
      <c r="K338" s="509">
        <v>6</v>
      </c>
      <c r="L338" s="780">
        <f t="shared" si="99"/>
        <v>225</v>
      </c>
      <c r="M338" s="781">
        <v>45891</v>
      </c>
      <c r="N338" s="781">
        <v>45887</v>
      </c>
      <c r="O338" s="782"/>
      <c r="P338" s="782" t="s">
        <v>103</v>
      </c>
      <c r="Q338" s="509"/>
      <c r="R338" s="784">
        <v>45828</v>
      </c>
      <c r="S338" s="784" t="s">
        <v>96</v>
      </c>
      <c r="T338" s="784" t="s">
        <v>1201</v>
      </c>
      <c r="U338" s="784"/>
      <c r="V338" s="784"/>
      <c r="W338" s="776" t="s">
        <v>1407</v>
      </c>
      <c r="X338" s="781" t="s">
        <v>121</v>
      </c>
      <c r="Y338" s="785">
        <v>7.0773</v>
      </c>
      <c r="Z338" s="786">
        <f t="shared" si="105"/>
        <v>9554.355</v>
      </c>
      <c r="AA338" s="509"/>
      <c r="AB338" s="509" t="s">
        <v>1203</v>
      </c>
      <c r="AC338" s="509" t="s">
        <v>76</v>
      </c>
      <c r="AD338" s="509"/>
      <c r="AE338" s="635"/>
      <c r="AF338" s="635"/>
      <c r="AG338" s="788">
        <v>1350</v>
      </c>
      <c r="AH338" s="782">
        <f t="shared" si="103"/>
        <v>0</v>
      </c>
      <c r="AI338" s="509"/>
      <c r="AJ338" s="509"/>
      <c r="AK338" s="509"/>
      <c r="AL338" s="777">
        <f t="shared" si="107"/>
        <v>1350</v>
      </c>
      <c r="AM338" s="656"/>
      <c r="AN338" s="656"/>
      <c r="AO338" s="656"/>
      <c r="AP338" s="777">
        <f>I338</f>
        <v>1350</v>
      </c>
      <c r="AQ338" s="656"/>
      <c r="AR338" s="777">
        <f>I338</f>
        <v>1350</v>
      </c>
      <c r="AS338" s="777"/>
      <c r="AT338" s="777">
        <f t="shared" si="106"/>
        <v>1350</v>
      </c>
      <c r="AU338" s="777"/>
      <c r="AV338" s="778"/>
      <c r="AW338" s="778"/>
      <c r="AX338" s="778"/>
      <c r="AY338" s="778"/>
      <c r="AZ338" s="778"/>
      <c r="BA338" s="778"/>
      <c r="BB338" s="778"/>
      <c r="BC338" s="778"/>
      <c r="BD338" s="778"/>
      <c r="BE338" s="777"/>
      <c r="BF338" s="778"/>
      <c r="BG338" s="778"/>
      <c r="BH338" s="778"/>
      <c r="BI338" s="777"/>
      <c r="BJ338" s="778">
        <f>I338</f>
        <v>1350</v>
      </c>
      <c r="BK338" s="778"/>
      <c r="BL338" s="778"/>
      <c r="BM338" s="778"/>
    </row>
    <row r="339" s="771" customFormat="1" ht="31" hidden="1" customHeight="1" spans="1:65">
      <c r="A339" s="775">
        <v>45831</v>
      </c>
      <c r="B339" s="776" t="s">
        <v>125</v>
      </c>
      <c r="C339" s="509" t="s">
        <v>71</v>
      </c>
      <c r="D339" s="777">
        <v>4500170994</v>
      </c>
      <c r="E339" s="509">
        <v>20862340</v>
      </c>
      <c r="F339" s="778" t="s">
        <v>1409</v>
      </c>
      <c r="G339" s="779" t="s">
        <v>463</v>
      </c>
      <c r="H339" s="509" t="s">
        <v>424</v>
      </c>
      <c r="I339" s="509">
        <v>150</v>
      </c>
      <c r="J339" s="509">
        <v>0</v>
      </c>
      <c r="K339" s="509">
        <v>6</v>
      </c>
      <c r="L339" s="780">
        <f t="shared" si="99"/>
        <v>25</v>
      </c>
      <c r="M339" s="781">
        <v>45891</v>
      </c>
      <c r="N339" s="781">
        <v>45887</v>
      </c>
      <c r="O339" s="782"/>
      <c r="P339" s="782" t="s">
        <v>103</v>
      </c>
      <c r="Q339" s="509"/>
      <c r="R339" s="784">
        <v>45828</v>
      </c>
      <c r="S339" s="784" t="s">
        <v>96</v>
      </c>
      <c r="T339" s="784" t="s">
        <v>1201</v>
      </c>
      <c r="U339" s="784"/>
      <c r="V339" s="784"/>
      <c r="W339" s="776" t="s">
        <v>1202</v>
      </c>
      <c r="X339" s="781" t="s">
        <v>121</v>
      </c>
      <c r="Y339" s="785">
        <v>7.4117</v>
      </c>
      <c r="Z339" s="786">
        <f t="shared" si="105"/>
        <v>1111.755</v>
      </c>
      <c r="AA339" s="509"/>
      <c r="AB339" s="509" t="s">
        <v>1203</v>
      </c>
      <c r="AC339" s="509" t="s">
        <v>76</v>
      </c>
      <c r="AD339" s="509"/>
      <c r="AE339" s="635"/>
      <c r="AF339" s="635"/>
      <c r="AG339" s="788">
        <v>150</v>
      </c>
      <c r="AH339" s="782">
        <f t="shared" si="103"/>
        <v>0</v>
      </c>
      <c r="AI339" s="509"/>
      <c r="AJ339" s="509"/>
      <c r="AK339" s="509"/>
      <c r="AL339" s="777">
        <f t="shared" si="107"/>
        <v>150</v>
      </c>
      <c r="AM339" s="656"/>
      <c r="AN339" s="656"/>
      <c r="AO339" s="656"/>
      <c r="AP339" s="777">
        <f>I339</f>
        <v>150</v>
      </c>
      <c r="AQ339" s="656"/>
      <c r="AR339" s="777">
        <f>I339</f>
        <v>150</v>
      </c>
      <c r="AS339" s="777"/>
      <c r="AT339" s="777">
        <f t="shared" si="106"/>
        <v>150</v>
      </c>
      <c r="AU339" s="777"/>
      <c r="AV339" s="778"/>
      <c r="AW339" s="778"/>
      <c r="AX339" s="778"/>
      <c r="AY339" s="778"/>
      <c r="AZ339" s="778"/>
      <c r="BA339" s="778"/>
      <c r="BB339" s="778"/>
      <c r="BC339" s="778"/>
      <c r="BD339" s="778"/>
      <c r="BE339" s="777"/>
      <c r="BF339" s="778"/>
      <c r="BG339" s="778"/>
      <c r="BH339" s="778"/>
      <c r="BI339" s="777"/>
      <c r="BJ339" s="778">
        <f>I339</f>
        <v>150</v>
      </c>
      <c r="BK339" s="778"/>
      <c r="BL339" s="778"/>
      <c r="BM339" s="778"/>
    </row>
    <row r="340" s="771" customFormat="1" ht="31" hidden="1" customHeight="1" spans="1:65">
      <c r="A340" s="775">
        <v>45831</v>
      </c>
      <c r="B340" s="776" t="s">
        <v>125</v>
      </c>
      <c r="C340" s="509" t="s">
        <v>71</v>
      </c>
      <c r="D340" s="777">
        <v>4500170994</v>
      </c>
      <c r="E340" s="509">
        <v>20862341</v>
      </c>
      <c r="F340" s="778" t="s">
        <v>1410</v>
      </c>
      <c r="G340" s="779" t="s">
        <v>463</v>
      </c>
      <c r="H340" s="509" t="s">
        <v>424</v>
      </c>
      <c r="I340" s="509">
        <v>150</v>
      </c>
      <c r="J340" s="509">
        <v>0</v>
      </c>
      <c r="K340" s="509">
        <v>6</v>
      </c>
      <c r="L340" s="780">
        <f t="shared" si="99"/>
        <v>25</v>
      </c>
      <c r="M340" s="781">
        <v>45891</v>
      </c>
      <c r="N340" s="781">
        <v>45887</v>
      </c>
      <c r="O340" s="782"/>
      <c r="P340" s="782" t="s">
        <v>103</v>
      </c>
      <c r="Q340" s="509"/>
      <c r="R340" s="784">
        <v>45828</v>
      </c>
      <c r="S340" s="784" t="s">
        <v>96</v>
      </c>
      <c r="T340" s="784" t="s">
        <v>1201</v>
      </c>
      <c r="U340" s="784"/>
      <c r="V340" s="784"/>
      <c r="W340" s="776" t="s">
        <v>1202</v>
      </c>
      <c r="X340" s="781" t="s">
        <v>121</v>
      </c>
      <c r="Y340" s="785">
        <v>7.4117</v>
      </c>
      <c r="Z340" s="786">
        <f t="shared" si="105"/>
        <v>1111.755</v>
      </c>
      <c r="AA340" s="509"/>
      <c r="AB340" s="509" t="s">
        <v>1203</v>
      </c>
      <c r="AC340" s="509" t="s">
        <v>76</v>
      </c>
      <c r="AD340" s="509"/>
      <c r="AE340" s="635"/>
      <c r="AF340" s="635"/>
      <c r="AG340" s="788">
        <v>150</v>
      </c>
      <c r="AH340" s="782">
        <f t="shared" si="103"/>
        <v>0</v>
      </c>
      <c r="AI340" s="509"/>
      <c r="AJ340" s="509"/>
      <c r="AK340" s="509"/>
      <c r="AL340" s="777">
        <f t="shared" si="107"/>
        <v>150</v>
      </c>
      <c r="AM340" s="656"/>
      <c r="AN340" s="656"/>
      <c r="AO340" s="656"/>
      <c r="AP340" s="777">
        <f>I340</f>
        <v>150</v>
      </c>
      <c r="AQ340" s="656"/>
      <c r="AR340" s="777">
        <f>I340</f>
        <v>150</v>
      </c>
      <c r="AS340" s="777"/>
      <c r="AT340" s="777">
        <f t="shared" si="106"/>
        <v>150</v>
      </c>
      <c r="AU340" s="777"/>
      <c r="AV340" s="778"/>
      <c r="AW340" s="778"/>
      <c r="AX340" s="778"/>
      <c r="AY340" s="778"/>
      <c r="AZ340" s="778"/>
      <c r="BA340" s="778"/>
      <c r="BB340" s="778"/>
      <c r="BC340" s="778"/>
      <c r="BD340" s="778"/>
      <c r="BE340" s="777"/>
      <c r="BF340" s="778"/>
      <c r="BG340" s="778"/>
      <c r="BH340" s="778"/>
      <c r="BI340" s="777"/>
      <c r="BJ340" s="778">
        <f>I340</f>
        <v>150</v>
      </c>
      <c r="BK340" s="778"/>
      <c r="BL340" s="778"/>
      <c r="BM340" s="778"/>
    </row>
    <row r="341" s="771" customFormat="1" ht="31" hidden="1" customHeight="1" spans="1:65">
      <c r="A341" s="775">
        <v>45833</v>
      </c>
      <c r="B341" s="776" t="s">
        <v>1411</v>
      </c>
      <c r="C341" s="509" t="s">
        <v>468</v>
      </c>
      <c r="D341" s="777">
        <v>4500167877</v>
      </c>
      <c r="E341" s="509">
        <v>24727</v>
      </c>
      <c r="F341" s="778" t="s">
        <v>1412</v>
      </c>
      <c r="G341" s="779" t="s">
        <v>64</v>
      </c>
      <c r="H341" s="509" t="s">
        <v>65</v>
      </c>
      <c r="I341" s="509">
        <v>1032</v>
      </c>
      <c r="J341" s="509">
        <v>0</v>
      </c>
      <c r="K341" s="509">
        <v>12</v>
      </c>
      <c r="L341" s="780">
        <f t="shared" si="99"/>
        <v>86</v>
      </c>
      <c r="M341" s="781">
        <v>45883</v>
      </c>
      <c r="N341" s="781">
        <v>45888</v>
      </c>
      <c r="O341" s="782"/>
      <c r="P341" s="782" t="s">
        <v>103</v>
      </c>
      <c r="Q341" s="509"/>
      <c r="R341" s="784">
        <v>45860</v>
      </c>
      <c r="S341" s="784" t="s">
        <v>66</v>
      </c>
      <c r="T341" s="784">
        <v>45856</v>
      </c>
      <c r="U341" s="784"/>
      <c r="V341" s="784"/>
      <c r="W341" s="776" t="s">
        <v>1413</v>
      </c>
      <c r="X341" s="781" t="s">
        <v>304</v>
      </c>
      <c r="Y341" s="785">
        <v>4.1456</v>
      </c>
      <c r="Z341" s="786">
        <f t="shared" si="105"/>
        <v>4278.2592</v>
      </c>
      <c r="AA341" s="509"/>
      <c r="AB341" s="509" t="s">
        <v>165</v>
      </c>
      <c r="AC341" s="509" t="s">
        <v>76</v>
      </c>
      <c r="AD341" s="509"/>
      <c r="AE341" s="635"/>
      <c r="AF341" s="635"/>
      <c r="AG341" s="788">
        <v>1032</v>
      </c>
      <c r="AH341" s="782">
        <f t="shared" si="103"/>
        <v>0</v>
      </c>
      <c r="AI341" s="509"/>
      <c r="AJ341" s="509"/>
      <c r="AK341" s="509"/>
      <c r="AL341" s="777">
        <f t="shared" si="107"/>
        <v>1032</v>
      </c>
      <c r="AM341" s="656"/>
      <c r="AN341" s="656"/>
      <c r="AO341" s="656"/>
      <c r="AP341" s="777"/>
      <c r="AQ341" s="656">
        <f>I341</f>
        <v>1032</v>
      </c>
      <c r="AR341" s="777">
        <f>I341</f>
        <v>1032</v>
      </c>
      <c r="AS341" s="777"/>
      <c r="AT341" s="777">
        <f t="shared" si="106"/>
        <v>1032</v>
      </c>
      <c r="AU341" s="777"/>
      <c r="AV341" s="778"/>
      <c r="AW341" s="778"/>
      <c r="AX341" s="778"/>
      <c r="AY341" s="778"/>
      <c r="AZ341" s="778"/>
      <c r="BA341" s="778"/>
      <c r="BB341" s="778"/>
      <c r="BC341" s="778"/>
      <c r="BD341" s="778"/>
      <c r="BE341" s="777"/>
      <c r="BF341" s="778"/>
      <c r="BG341" s="778"/>
      <c r="BH341" s="778"/>
      <c r="BI341" s="778"/>
      <c r="BJ341" s="778"/>
      <c r="BK341" s="778"/>
      <c r="BL341" s="778"/>
      <c r="BM341" s="778"/>
    </row>
    <row r="342" s="771" customFormat="1" ht="31" hidden="1" customHeight="1" spans="1:65">
      <c r="A342" s="775">
        <v>45833</v>
      </c>
      <c r="B342" s="776" t="s">
        <v>845</v>
      </c>
      <c r="C342" s="509" t="s">
        <v>271</v>
      </c>
      <c r="D342" s="777">
        <v>4500171158</v>
      </c>
      <c r="E342" s="509">
        <v>4400494477</v>
      </c>
      <c r="F342" s="778" t="s">
        <v>1414</v>
      </c>
      <c r="G342" s="779" t="s">
        <v>148</v>
      </c>
      <c r="H342" s="509" t="s">
        <v>847</v>
      </c>
      <c r="I342" s="509">
        <v>2104</v>
      </c>
      <c r="J342" s="509">
        <v>0</v>
      </c>
      <c r="K342" s="509">
        <v>8</v>
      </c>
      <c r="L342" s="780">
        <f t="shared" si="99"/>
        <v>263</v>
      </c>
      <c r="M342" s="781">
        <v>45894</v>
      </c>
      <c r="N342" s="781">
        <v>45890</v>
      </c>
      <c r="O342" s="782"/>
      <c r="P342" s="782" t="s">
        <v>103</v>
      </c>
      <c r="Q342" s="509"/>
      <c r="R342" s="784">
        <v>45833</v>
      </c>
      <c r="S342" s="784" t="s">
        <v>66</v>
      </c>
      <c r="T342" s="784" t="s">
        <v>149</v>
      </c>
      <c r="U342" s="784"/>
      <c r="V342" s="784"/>
      <c r="W342" s="776" t="s">
        <v>1415</v>
      </c>
      <c r="X342" s="781" t="s">
        <v>849</v>
      </c>
      <c r="Y342" s="785">
        <v>4.2714</v>
      </c>
      <c r="Z342" s="786">
        <f t="shared" si="105"/>
        <v>8987.0256</v>
      </c>
      <c r="AA342" s="509" t="s">
        <v>1416</v>
      </c>
      <c r="AB342" s="509" t="s">
        <v>148</v>
      </c>
      <c r="AC342" s="509" t="s">
        <v>76</v>
      </c>
      <c r="AD342" s="509"/>
      <c r="AE342" s="635"/>
      <c r="AF342" s="635"/>
      <c r="AG342" s="788">
        <v>2104</v>
      </c>
      <c r="AH342" s="782">
        <f t="shared" si="103"/>
        <v>0</v>
      </c>
      <c r="AI342" s="509"/>
      <c r="AJ342" s="509"/>
      <c r="AK342" s="509"/>
      <c r="AL342" s="777">
        <f t="shared" si="107"/>
        <v>2104</v>
      </c>
      <c r="AM342" s="656"/>
      <c r="AN342" s="656"/>
      <c r="AO342" s="656"/>
      <c r="AP342" s="777"/>
      <c r="AQ342" s="656"/>
      <c r="AR342" s="777"/>
      <c r="AS342" s="777"/>
      <c r="AT342" s="777">
        <f t="shared" si="106"/>
        <v>2104</v>
      </c>
      <c r="AU342" s="777"/>
      <c r="AV342" s="778"/>
      <c r="AW342" s="778"/>
      <c r="AX342" s="778"/>
      <c r="AY342" s="778"/>
      <c r="AZ342" s="778">
        <f>I342</f>
        <v>2104</v>
      </c>
      <c r="BA342" s="778">
        <f>I342</f>
        <v>2104</v>
      </c>
      <c r="BB342" s="778"/>
      <c r="BC342" s="778"/>
      <c r="BD342" s="778"/>
      <c r="BE342" s="777">
        <f>I342/4</f>
        <v>526</v>
      </c>
      <c r="BF342" s="778"/>
      <c r="BG342" s="778"/>
      <c r="BH342" s="778"/>
      <c r="BI342" s="778"/>
      <c r="BJ342" s="778"/>
      <c r="BK342" s="778"/>
      <c r="BL342" s="778"/>
      <c r="BM342" s="778"/>
    </row>
    <row r="343" s="771" customFormat="1" ht="31" hidden="1" customHeight="1" spans="1:65">
      <c r="A343" s="775">
        <v>45827</v>
      </c>
      <c r="B343" s="776" t="s">
        <v>70</v>
      </c>
      <c r="C343" s="509" t="s">
        <v>71</v>
      </c>
      <c r="D343" s="777">
        <v>4500170549</v>
      </c>
      <c r="E343" s="509" t="s">
        <v>1417</v>
      </c>
      <c r="F343" s="778" t="s">
        <v>1418</v>
      </c>
      <c r="G343" s="779" t="s">
        <v>102</v>
      </c>
      <c r="H343" s="509" t="s">
        <v>65</v>
      </c>
      <c r="I343" s="509">
        <v>608</v>
      </c>
      <c r="J343" s="509">
        <v>0</v>
      </c>
      <c r="K343" s="509">
        <v>16</v>
      </c>
      <c r="L343" s="780">
        <f t="shared" si="99"/>
        <v>38</v>
      </c>
      <c r="M343" s="781">
        <v>45894</v>
      </c>
      <c r="N343" s="781">
        <v>45891</v>
      </c>
      <c r="O343" s="782"/>
      <c r="P343" s="782" t="s">
        <v>103</v>
      </c>
      <c r="Q343" s="509"/>
      <c r="R343" s="784">
        <v>45827</v>
      </c>
      <c r="S343" s="784" t="s">
        <v>66</v>
      </c>
      <c r="T343" s="784">
        <v>45827</v>
      </c>
      <c r="U343" s="784"/>
      <c r="V343" s="784"/>
      <c r="W343" s="776" t="s">
        <v>1370</v>
      </c>
      <c r="X343" s="781" t="s">
        <v>75</v>
      </c>
      <c r="Y343" s="785">
        <v>4.2114</v>
      </c>
      <c r="Z343" s="786">
        <f t="shared" si="105"/>
        <v>2560.5312</v>
      </c>
      <c r="AA343" s="509"/>
      <c r="AB343" s="509" t="s">
        <v>102</v>
      </c>
      <c r="AC343" s="509" t="s">
        <v>76</v>
      </c>
      <c r="AD343" s="509"/>
      <c r="AE343" s="635"/>
      <c r="AF343" s="635"/>
      <c r="AG343" s="788">
        <v>608</v>
      </c>
      <c r="AH343" s="782">
        <f t="shared" si="103"/>
        <v>0</v>
      </c>
      <c r="AI343" s="509"/>
      <c r="AJ343" s="509"/>
      <c r="AK343" s="509"/>
      <c r="AL343" s="777">
        <f t="shared" si="107"/>
        <v>608</v>
      </c>
      <c r="AM343" s="656"/>
      <c r="AN343" s="656"/>
      <c r="AO343" s="656"/>
      <c r="AP343" s="777">
        <f>I343</f>
        <v>608</v>
      </c>
      <c r="AQ343" s="656"/>
      <c r="AR343" s="777">
        <f>I343</f>
        <v>608</v>
      </c>
      <c r="AS343" s="777"/>
      <c r="AT343" s="777">
        <f t="shared" si="106"/>
        <v>608</v>
      </c>
      <c r="AU343" s="777"/>
      <c r="AV343" s="778"/>
      <c r="AW343" s="778"/>
      <c r="AX343" s="778"/>
      <c r="AY343" s="778"/>
      <c r="AZ343" s="778"/>
      <c r="BA343" s="778"/>
      <c r="BB343" s="778"/>
      <c r="BC343" s="778"/>
      <c r="BD343" s="777">
        <f>I343/4</f>
        <v>152</v>
      </c>
      <c r="BE343" s="777"/>
      <c r="BF343" s="778"/>
      <c r="BG343" s="778"/>
      <c r="BH343" s="778"/>
      <c r="BI343" s="778"/>
      <c r="BJ343" s="778"/>
      <c r="BK343" s="778"/>
      <c r="BL343" s="778"/>
      <c r="BM343" s="778"/>
    </row>
    <row r="344" s="771" customFormat="1" ht="31" hidden="1" customHeight="1" spans="1:65">
      <c r="A344" s="775">
        <v>45847</v>
      </c>
      <c r="B344" s="776" t="s">
        <v>1419</v>
      </c>
      <c r="C344" s="509" t="s">
        <v>231</v>
      </c>
      <c r="D344" s="777">
        <v>4500173265</v>
      </c>
      <c r="E344" s="509" t="s">
        <v>1420</v>
      </c>
      <c r="F344" s="778" t="s">
        <v>1421</v>
      </c>
      <c r="G344" s="779" t="s">
        <v>148</v>
      </c>
      <c r="H344" s="509" t="s">
        <v>65</v>
      </c>
      <c r="I344" s="509">
        <v>2000</v>
      </c>
      <c r="J344" s="509">
        <v>0</v>
      </c>
      <c r="K344" s="509">
        <v>8</v>
      </c>
      <c r="L344" s="780">
        <f t="shared" si="99"/>
        <v>250</v>
      </c>
      <c r="M344" s="781">
        <v>45895</v>
      </c>
      <c r="N344" s="781">
        <v>45891</v>
      </c>
      <c r="O344" s="782"/>
      <c r="P344" s="782" t="s">
        <v>103</v>
      </c>
      <c r="Q344" s="509"/>
      <c r="R344" s="784">
        <v>45847</v>
      </c>
      <c r="S344" s="784" t="s">
        <v>66</v>
      </c>
      <c r="T344" s="784" t="s">
        <v>1422</v>
      </c>
      <c r="U344" s="784"/>
      <c r="V344" s="784"/>
      <c r="W344" s="776" t="s">
        <v>1423</v>
      </c>
      <c r="X344" s="781" t="s">
        <v>1424</v>
      </c>
      <c r="Y344" s="785">
        <v>4.2714</v>
      </c>
      <c r="Z344" s="786">
        <f t="shared" si="105"/>
        <v>8542.8</v>
      </c>
      <c r="AA344" s="509"/>
      <c r="AB344" s="509" t="s">
        <v>148</v>
      </c>
      <c r="AC344" s="509" t="s">
        <v>76</v>
      </c>
      <c r="AD344" s="509"/>
      <c r="AE344" s="635"/>
      <c r="AF344" s="635"/>
      <c r="AG344" s="788">
        <v>2000</v>
      </c>
      <c r="AH344" s="782">
        <f t="shared" si="103"/>
        <v>0</v>
      </c>
      <c r="AI344" s="509"/>
      <c r="AJ344" s="509"/>
      <c r="AK344" s="509"/>
      <c r="AL344" s="777">
        <f t="shared" si="107"/>
        <v>2000</v>
      </c>
      <c r="AM344" s="656"/>
      <c r="AN344" s="656"/>
      <c r="AO344" s="656"/>
      <c r="AP344" s="777"/>
      <c r="AQ344" s="656"/>
      <c r="AR344" s="777"/>
      <c r="AS344" s="777"/>
      <c r="AT344" s="777">
        <f t="shared" si="106"/>
        <v>2000</v>
      </c>
      <c r="AU344" s="777"/>
      <c r="AV344" s="778"/>
      <c r="AW344" s="778"/>
      <c r="AX344" s="778"/>
      <c r="AY344" s="778"/>
      <c r="AZ344" s="778">
        <f>I344</f>
        <v>2000</v>
      </c>
      <c r="BA344" s="778">
        <f>I344</f>
        <v>2000</v>
      </c>
      <c r="BB344" s="778"/>
      <c r="BC344" s="778"/>
      <c r="BD344" s="778"/>
      <c r="BE344" s="777">
        <f>I344/4</f>
        <v>500</v>
      </c>
      <c r="BF344" s="778"/>
      <c r="BG344" s="778"/>
      <c r="BH344" s="778"/>
      <c r="BI344" s="778"/>
      <c r="BJ344" s="778"/>
      <c r="BK344" s="778"/>
      <c r="BL344" s="778"/>
      <c r="BM344" s="778"/>
    </row>
    <row r="345" s="771" customFormat="1" ht="31" hidden="1" customHeight="1" spans="1:65">
      <c r="A345" s="775">
        <v>45828</v>
      </c>
      <c r="B345" s="776" t="s">
        <v>128</v>
      </c>
      <c r="C345" s="509" t="s">
        <v>90</v>
      </c>
      <c r="D345" s="777">
        <v>4500170706</v>
      </c>
      <c r="E345" s="886" t="s">
        <v>1425</v>
      </c>
      <c r="F345" s="778" t="s">
        <v>1426</v>
      </c>
      <c r="G345" s="779" t="s">
        <v>93</v>
      </c>
      <c r="H345" s="509" t="s">
        <v>94</v>
      </c>
      <c r="I345" s="509">
        <v>1184</v>
      </c>
      <c r="J345" s="509">
        <v>0</v>
      </c>
      <c r="K345" s="509">
        <v>4</v>
      </c>
      <c r="L345" s="780">
        <f t="shared" si="99"/>
        <v>296</v>
      </c>
      <c r="M345" s="781">
        <v>45896</v>
      </c>
      <c r="N345" s="781">
        <v>45892</v>
      </c>
      <c r="O345" s="782"/>
      <c r="P345" s="782" t="s">
        <v>103</v>
      </c>
      <c r="Q345" s="799">
        <v>45909</v>
      </c>
      <c r="R345" s="784" t="s">
        <v>132</v>
      </c>
      <c r="S345" s="784" t="s">
        <v>66</v>
      </c>
      <c r="T345" s="784" t="s">
        <v>1396</v>
      </c>
      <c r="U345" s="683" t="s">
        <v>133</v>
      </c>
      <c r="V345" s="784"/>
      <c r="W345" s="776" t="s">
        <v>1281</v>
      </c>
      <c r="X345" s="781" t="s">
        <v>98</v>
      </c>
      <c r="Y345" s="785">
        <v>2.58</v>
      </c>
      <c r="Z345" s="786">
        <f t="shared" si="105"/>
        <v>3054.72</v>
      </c>
      <c r="AA345" s="509" t="s">
        <v>1427</v>
      </c>
      <c r="AB345" s="509" t="s">
        <v>93</v>
      </c>
      <c r="AC345" s="509" t="s">
        <v>76</v>
      </c>
      <c r="AD345" s="509"/>
      <c r="AE345" s="635"/>
      <c r="AF345" s="635"/>
      <c r="AG345" s="788">
        <v>1184</v>
      </c>
      <c r="AH345" s="782">
        <f t="shared" si="103"/>
        <v>0</v>
      </c>
      <c r="AI345" s="509"/>
      <c r="AJ345" s="509"/>
      <c r="AK345" s="509"/>
      <c r="AL345" s="777">
        <f t="shared" si="107"/>
        <v>1184</v>
      </c>
      <c r="AM345" s="656"/>
      <c r="AN345" s="656"/>
      <c r="AO345" s="656"/>
      <c r="AP345" s="777">
        <f>I345</f>
        <v>1184</v>
      </c>
      <c r="AQ345" s="656"/>
      <c r="AR345" s="777">
        <f>I345</f>
        <v>1184</v>
      </c>
      <c r="AS345" s="777"/>
      <c r="AT345" s="777">
        <f t="shared" si="106"/>
        <v>1184</v>
      </c>
      <c r="AU345" s="777"/>
      <c r="AV345" s="778"/>
      <c r="AW345" s="778"/>
      <c r="AX345" s="778"/>
      <c r="AY345" s="778"/>
      <c r="AZ345" s="778"/>
      <c r="BA345" s="778"/>
      <c r="BB345" s="778"/>
      <c r="BC345" s="778"/>
      <c r="BD345" s="777">
        <f t="shared" ref="BD345:BD350" si="108">I345/4</f>
        <v>296</v>
      </c>
      <c r="BE345" s="777"/>
      <c r="BF345" s="778"/>
      <c r="BG345" s="778"/>
      <c r="BH345" s="778"/>
      <c r="BI345" s="778"/>
      <c r="BJ345" s="778"/>
      <c r="BK345" s="778"/>
      <c r="BL345" s="778"/>
      <c r="BM345" s="778"/>
    </row>
    <row r="346" s="771" customFormat="1" ht="31" hidden="1" customHeight="1" spans="1:65">
      <c r="A346" s="775">
        <v>45828</v>
      </c>
      <c r="B346" s="776" t="s">
        <v>128</v>
      </c>
      <c r="C346" s="509" t="s">
        <v>90</v>
      </c>
      <c r="D346" s="777">
        <v>4500170706</v>
      </c>
      <c r="E346" s="886" t="s">
        <v>1428</v>
      </c>
      <c r="F346" s="778" t="s">
        <v>1429</v>
      </c>
      <c r="G346" s="779" t="s">
        <v>93</v>
      </c>
      <c r="H346" s="509" t="s">
        <v>94</v>
      </c>
      <c r="I346" s="509">
        <v>1192</v>
      </c>
      <c r="J346" s="509">
        <v>0</v>
      </c>
      <c r="K346" s="509">
        <v>4</v>
      </c>
      <c r="L346" s="780">
        <f t="shared" si="99"/>
        <v>298</v>
      </c>
      <c r="M346" s="781">
        <v>45896</v>
      </c>
      <c r="N346" s="781">
        <v>45892</v>
      </c>
      <c r="O346" s="782"/>
      <c r="P346" s="782" t="s">
        <v>103</v>
      </c>
      <c r="Q346" s="799">
        <v>45909</v>
      </c>
      <c r="R346" s="784" t="s">
        <v>132</v>
      </c>
      <c r="S346" s="784" t="s">
        <v>66</v>
      </c>
      <c r="T346" s="784" t="s">
        <v>1396</v>
      </c>
      <c r="U346" s="683" t="s">
        <v>133</v>
      </c>
      <c r="V346" s="784"/>
      <c r="W346" s="776" t="s">
        <v>1281</v>
      </c>
      <c r="X346" s="781" t="s">
        <v>98</v>
      </c>
      <c r="Y346" s="785">
        <v>2.58</v>
      </c>
      <c r="Z346" s="786">
        <f t="shared" si="105"/>
        <v>3075.36</v>
      </c>
      <c r="AA346" s="509" t="s">
        <v>1430</v>
      </c>
      <c r="AB346" s="509" t="s">
        <v>93</v>
      </c>
      <c r="AC346" s="509" t="s">
        <v>76</v>
      </c>
      <c r="AD346" s="509"/>
      <c r="AE346" s="635"/>
      <c r="AF346" s="635"/>
      <c r="AG346" s="788">
        <v>1192</v>
      </c>
      <c r="AH346" s="782">
        <f t="shared" si="103"/>
        <v>0</v>
      </c>
      <c r="AI346" s="509"/>
      <c r="AJ346" s="509"/>
      <c r="AK346" s="509"/>
      <c r="AL346" s="777">
        <f t="shared" si="107"/>
        <v>1192</v>
      </c>
      <c r="AM346" s="656"/>
      <c r="AN346" s="656"/>
      <c r="AO346" s="656"/>
      <c r="AP346" s="777">
        <f>I346</f>
        <v>1192</v>
      </c>
      <c r="AQ346" s="656"/>
      <c r="AR346" s="777">
        <f>I346</f>
        <v>1192</v>
      </c>
      <c r="AS346" s="777"/>
      <c r="AT346" s="777">
        <f t="shared" si="106"/>
        <v>1192</v>
      </c>
      <c r="AU346" s="777"/>
      <c r="AV346" s="778"/>
      <c r="AW346" s="778"/>
      <c r="AX346" s="778"/>
      <c r="AY346" s="778"/>
      <c r="AZ346" s="778"/>
      <c r="BA346" s="778"/>
      <c r="BB346" s="778"/>
      <c r="BC346" s="778"/>
      <c r="BD346" s="777">
        <f t="shared" si="108"/>
        <v>298</v>
      </c>
      <c r="BE346" s="777"/>
      <c r="BF346" s="778"/>
      <c r="BG346" s="778"/>
      <c r="BH346" s="778"/>
      <c r="BI346" s="778"/>
      <c r="BJ346" s="778"/>
      <c r="BK346" s="778"/>
      <c r="BL346" s="778"/>
      <c r="BM346" s="778"/>
    </row>
    <row r="347" s="771" customFormat="1" ht="31" hidden="1" customHeight="1" spans="1:65">
      <c r="A347" s="775">
        <v>45828</v>
      </c>
      <c r="B347" s="776" t="s">
        <v>128</v>
      </c>
      <c r="C347" s="509" t="s">
        <v>90</v>
      </c>
      <c r="D347" s="777">
        <v>4500170706</v>
      </c>
      <c r="E347" s="886" t="s">
        <v>1431</v>
      </c>
      <c r="F347" s="778" t="s">
        <v>1432</v>
      </c>
      <c r="G347" s="779" t="s">
        <v>93</v>
      </c>
      <c r="H347" s="509" t="s">
        <v>94</v>
      </c>
      <c r="I347" s="509">
        <v>500</v>
      </c>
      <c r="J347" s="509">
        <v>0</v>
      </c>
      <c r="K347" s="509">
        <v>4</v>
      </c>
      <c r="L347" s="780">
        <f t="shared" si="99"/>
        <v>125</v>
      </c>
      <c r="M347" s="781">
        <v>45896</v>
      </c>
      <c r="N347" s="781">
        <v>45892</v>
      </c>
      <c r="O347" s="782"/>
      <c r="P347" s="782" t="s">
        <v>103</v>
      </c>
      <c r="Q347" s="799">
        <v>45909</v>
      </c>
      <c r="R347" s="784" t="s">
        <v>132</v>
      </c>
      <c r="S347" s="784" t="s">
        <v>66</v>
      </c>
      <c r="T347" s="784" t="s">
        <v>1396</v>
      </c>
      <c r="U347" s="683" t="s">
        <v>133</v>
      </c>
      <c r="V347" s="784"/>
      <c r="W347" s="776" t="s">
        <v>1281</v>
      </c>
      <c r="X347" s="781" t="s">
        <v>98</v>
      </c>
      <c r="Y347" s="785">
        <v>2.58</v>
      </c>
      <c r="Z347" s="786">
        <f t="shared" si="105"/>
        <v>1290</v>
      </c>
      <c r="AA347" s="509" t="s">
        <v>1433</v>
      </c>
      <c r="AB347" s="509" t="s">
        <v>93</v>
      </c>
      <c r="AC347" s="509" t="s">
        <v>76</v>
      </c>
      <c r="AD347" s="509"/>
      <c r="AE347" s="635"/>
      <c r="AF347" s="635"/>
      <c r="AG347" s="788">
        <v>500</v>
      </c>
      <c r="AH347" s="782">
        <f t="shared" si="103"/>
        <v>0</v>
      </c>
      <c r="AI347" s="509"/>
      <c r="AJ347" s="509"/>
      <c r="AK347" s="509"/>
      <c r="AL347" s="777">
        <f t="shared" si="107"/>
        <v>500</v>
      </c>
      <c r="AM347" s="656"/>
      <c r="AN347" s="656"/>
      <c r="AO347" s="656"/>
      <c r="AP347" s="777">
        <f>I347</f>
        <v>500</v>
      </c>
      <c r="AQ347" s="656"/>
      <c r="AR347" s="777">
        <f>I347</f>
        <v>500</v>
      </c>
      <c r="AS347" s="777"/>
      <c r="AT347" s="777">
        <f t="shared" si="106"/>
        <v>500</v>
      </c>
      <c r="AU347" s="777"/>
      <c r="AV347" s="778"/>
      <c r="AW347" s="778"/>
      <c r="AX347" s="778"/>
      <c r="AY347" s="778"/>
      <c r="AZ347" s="778"/>
      <c r="BA347" s="778"/>
      <c r="BB347" s="778"/>
      <c r="BC347" s="778"/>
      <c r="BD347" s="777">
        <f t="shared" si="108"/>
        <v>125</v>
      </c>
      <c r="BE347" s="777"/>
      <c r="BF347" s="778"/>
      <c r="BG347" s="778"/>
      <c r="BH347" s="778"/>
      <c r="BI347" s="778"/>
      <c r="BJ347" s="778"/>
      <c r="BK347" s="778"/>
      <c r="BL347" s="778"/>
      <c r="BM347" s="778"/>
    </row>
    <row r="348" s="771" customFormat="1" ht="31" hidden="1" customHeight="1" spans="1:65">
      <c r="A348" s="775">
        <v>45828</v>
      </c>
      <c r="B348" s="776" t="s">
        <v>128</v>
      </c>
      <c r="C348" s="509" t="s">
        <v>90</v>
      </c>
      <c r="D348" s="777">
        <v>4500170706</v>
      </c>
      <c r="E348" s="886" t="s">
        <v>1434</v>
      </c>
      <c r="F348" s="778" t="s">
        <v>1435</v>
      </c>
      <c r="G348" s="779" t="s">
        <v>93</v>
      </c>
      <c r="H348" s="509" t="s">
        <v>94</v>
      </c>
      <c r="I348" s="509">
        <v>500</v>
      </c>
      <c r="J348" s="509">
        <v>0</v>
      </c>
      <c r="K348" s="509">
        <v>4</v>
      </c>
      <c r="L348" s="780">
        <f t="shared" si="99"/>
        <v>125</v>
      </c>
      <c r="M348" s="781">
        <v>45896</v>
      </c>
      <c r="N348" s="781">
        <v>45892</v>
      </c>
      <c r="O348" s="782"/>
      <c r="P348" s="782" t="s">
        <v>103</v>
      </c>
      <c r="Q348" s="799">
        <v>45909</v>
      </c>
      <c r="R348" s="784" t="s">
        <v>132</v>
      </c>
      <c r="S348" s="784" t="s">
        <v>66</v>
      </c>
      <c r="T348" s="784" t="s">
        <v>1396</v>
      </c>
      <c r="U348" s="683" t="s">
        <v>133</v>
      </c>
      <c r="V348" s="784"/>
      <c r="W348" s="776" t="s">
        <v>1281</v>
      </c>
      <c r="X348" s="781" t="s">
        <v>98</v>
      </c>
      <c r="Y348" s="785">
        <v>2.58</v>
      </c>
      <c r="Z348" s="786">
        <f t="shared" si="105"/>
        <v>1290</v>
      </c>
      <c r="AA348" s="509" t="s">
        <v>1436</v>
      </c>
      <c r="AB348" s="509" t="s">
        <v>93</v>
      </c>
      <c r="AC348" s="509" t="s">
        <v>76</v>
      </c>
      <c r="AD348" s="509"/>
      <c r="AE348" s="635"/>
      <c r="AF348" s="635"/>
      <c r="AG348" s="788">
        <v>500</v>
      </c>
      <c r="AH348" s="782">
        <f t="shared" si="103"/>
        <v>0</v>
      </c>
      <c r="AI348" s="509"/>
      <c r="AJ348" s="509"/>
      <c r="AK348" s="509"/>
      <c r="AL348" s="777">
        <f t="shared" si="107"/>
        <v>500</v>
      </c>
      <c r="AM348" s="656"/>
      <c r="AN348" s="656"/>
      <c r="AO348" s="656"/>
      <c r="AP348" s="777">
        <f>I348</f>
        <v>500</v>
      </c>
      <c r="AQ348" s="656"/>
      <c r="AR348" s="777">
        <f>I348</f>
        <v>500</v>
      </c>
      <c r="AS348" s="777"/>
      <c r="AT348" s="777">
        <f t="shared" si="106"/>
        <v>500</v>
      </c>
      <c r="AU348" s="777"/>
      <c r="AV348" s="778"/>
      <c r="AW348" s="778"/>
      <c r="AX348" s="778"/>
      <c r="AY348" s="778"/>
      <c r="AZ348" s="778"/>
      <c r="BA348" s="778"/>
      <c r="BB348" s="778"/>
      <c r="BC348" s="778"/>
      <c r="BD348" s="777">
        <f t="shared" si="108"/>
        <v>125</v>
      </c>
      <c r="BE348" s="777"/>
      <c r="BF348" s="778"/>
      <c r="BG348" s="778"/>
      <c r="BH348" s="778"/>
      <c r="BI348" s="778"/>
      <c r="BJ348" s="778"/>
      <c r="BK348" s="778"/>
      <c r="BL348" s="778"/>
      <c r="BM348" s="778"/>
    </row>
    <row r="349" s="771" customFormat="1" ht="31" hidden="1" customHeight="1" spans="1:65">
      <c r="A349" s="775">
        <v>45828</v>
      </c>
      <c r="B349" s="776" t="s">
        <v>128</v>
      </c>
      <c r="C349" s="509" t="s">
        <v>90</v>
      </c>
      <c r="D349" s="777">
        <v>4500170706</v>
      </c>
      <c r="E349" s="886" t="s">
        <v>1437</v>
      </c>
      <c r="F349" s="778" t="s">
        <v>1438</v>
      </c>
      <c r="G349" s="779" t="s">
        <v>93</v>
      </c>
      <c r="H349" s="509" t="s">
        <v>94</v>
      </c>
      <c r="I349" s="509">
        <v>500</v>
      </c>
      <c r="J349" s="509">
        <v>0</v>
      </c>
      <c r="K349" s="509">
        <v>4</v>
      </c>
      <c r="L349" s="780">
        <f t="shared" si="99"/>
        <v>125</v>
      </c>
      <c r="M349" s="781">
        <v>45896</v>
      </c>
      <c r="N349" s="781">
        <v>45892</v>
      </c>
      <c r="O349" s="782"/>
      <c r="P349" s="782" t="s">
        <v>103</v>
      </c>
      <c r="Q349" s="799">
        <v>45909</v>
      </c>
      <c r="R349" s="784" t="s">
        <v>132</v>
      </c>
      <c r="S349" s="784" t="s">
        <v>66</v>
      </c>
      <c r="T349" s="784" t="s">
        <v>1396</v>
      </c>
      <c r="U349" s="683" t="s">
        <v>133</v>
      </c>
      <c r="V349" s="784"/>
      <c r="W349" s="776" t="s">
        <v>1281</v>
      </c>
      <c r="X349" s="781" t="s">
        <v>98</v>
      </c>
      <c r="Y349" s="785">
        <v>2.58</v>
      </c>
      <c r="Z349" s="786">
        <f t="shared" si="105"/>
        <v>1290</v>
      </c>
      <c r="AA349" s="509" t="s">
        <v>1439</v>
      </c>
      <c r="AB349" s="509" t="s">
        <v>93</v>
      </c>
      <c r="AC349" s="509" t="s">
        <v>76</v>
      </c>
      <c r="AD349" s="509"/>
      <c r="AE349" s="635"/>
      <c r="AF349" s="635"/>
      <c r="AG349" s="788">
        <v>500</v>
      </c>
      <c r="AH349" s="782">
        <f t="shared" si="103"/>
        <v>0</v>
      </c>
      <c r="AI349" s="509"/>
      <c r="AJ349" s="509"/>
      <c r="AK349" s="509"/>
      <c r="AL349" s="777">
        <f t="shared" si="107"/>
        <v>500</v>
      </c>
      <c r="AM349" s="656"/>
      <c r="AN349" s="656"/>
      <c r="AO349" s="656"/>
      <c r="AP349" s="777">
        <f>I349</f>
        <v>500</v>
      </c>
      <c r="AQ349" s="656"/>
      <c r="AR349" s="777">
        <f>I349</f>
        <v>500</v>
      </c>
      <c r="AS349" s="777"/>
      <c r="AT349" s="777">
        <f t="shared" si="106"/>
        <v>500</v>
      </c>
      <c r="AU349" s="777"/>
      <c r="AV349" s="778"/>
      <c r="AW349" s="778"/>
      <c r="AX349" s="778"/>
      <c r="AY349" s="778"/>
      <c r="AZ349" s="778"/>
      <c r="BA349" s="778"/>
      <c r="BB349" s="778"/>
      <c r="BC349" s="778"/>
      <c r="BD349" s="777">
        <f t="shared" si="108"/>
        <v>125</v>
      </c>
      <c r="BE349" s="777"/>
      <c r="BF349" s="778"/>
      <c r="BG349" s="778"/>
      <c r="BH349" s="778"/>
      <c r="BI349" s="778"/>
      <c r="BJ349" s="778"/>
      <c r="BK349" s="778"/>
      <c r="BL349" s="778"/>
      <c r="BM349" s="778"/>
    </row>
    <row r="350" s="771" customFormat="1" ht="31" hidden="1" customHeight="1" spans="1:65">
      <c r="A350" s="775">
        <v>45828</v>
      </c>
      <c r="B350" s="776" t="s">
        <v>220</v>
      </c>
      <c r="C350" s="509" t="s">
        <v>90</v>
      </c>
      <c r="D350" s="777">
        <v>4500170678</v>
      </c>
      <c r="E350" s="509" t="s">
        <v>1440</v>
      </c>
      <c r="F350" s="778" t="s">
        <v>1441</v>
      </c>
      <c r="G350" s="779" t="s">
        <v>223</v>
      </c>
      <c r="H350" s="509" t="s">
        <v>224</v>
      </c>
      <c r="I350" s="509">
        <v>3368</v>
      </c>
      <c r="J350" s="509">
        <v>0</v>
      </c>
      <c r="K350" s="509">
        <v>4</v>
      </c>
      <c r="L350" s="780">
        <f t="shared" si="99"/>
        <v>842</v>
      </c>
      <c r="M350" s="781">
        <v>45890</v>
      </c>
      <c r="N350" s="781">
        <v>45888</v>
      </c>
      <c r="O350" s="782"/>
      <c r="P350" s="782" t="s">
        <v>103</v>
      </c>
      <c r="Q350" s="509"/>
      <c r="R350" s="784">
        <v>45853</v>
      </c>
      <c r="S350" s="784" t="s">
        <v>96</v>
      </c>
      <c r="T350" s="784">
        <v>45853</v>
      </c>
      <c r="U350" s="784"/>
      <c r="V350" s="784"/>
      <c r="W350" s="776" t="s">
        <v>1442</v>
      </c>
      <c r="X350" s="781" t="s">
        <v>226</v>
      </c>
      <c r="Y350" s="785">
        <v>2.8095</v>
      </c>
      <c r="Z350" s="786">
        <f t="shared" si="105"/>
        <v>9462.396</v>
      </c>
      <c r="AA350" s="509" t="s">
        <v>1443</v>
      </c>
      <c r="AB350" s="509" t="s">
        <v>223</v>
      </c>
      <c r="AC350" s="509" t="s">
        <v>76</v>
      </c>
      <c r="AD350" s="509"/>
      <c r="AE350" s="635"/>
      <c r="AF350" s="635"/>
      <c r="AG350" s="788">
        <f>1440+1928</f>
        <v>3368</v>
      </c>
      <c r="AH350" s="782">
        <f t="shared" si="103"/>
        <v>0</v>
      </c>
      <c r="AI350" s="509"/>
      <c r="AJ350" s="509"/>
      <c r="AK350" s="509"/>
      <c r="AL350" s="777"/>
      <c r="AM350" s="656"/>
      <c r="AN350" s="656">
        <f>I350</f>
        <v>3368</v>
      </c>
      <c r="AO350" s="656"/>
      <c r="AP350" s="777"/>
      <c r="AQ350" s="656"/>
      <c r="AR350" s="777"/>
      <c r="AS350" s="777"/>
      <c r="AT350" s="777">
        <f t="shared" si="106"/>
        <v>3368</v>
      </c>
      <c r="AU350" s="777"/>
      <c r="AV350" s="778"/>
      <c r="AW350" s="778"/>
      <c r="AX350" s="778"/>
      <c r="AY350" s="778"/>
      <c r="AZ350" s="778"/>
      <c r="BA350" s="778"/>
      <c r="BB350" s="778">
        <f>I350</f>
        <v>3368</v>
      </c>
      <c r="BC350" s="778">
        <f>I350</f>
        <v>3368</v>
      </c>
      <c r="BD350" s="777">
        <f t="shared" si="108"/>
        <v>842</v>
      </c>
      <c r="BE350" s="777"/>
      <c r="BF350" s="778"/>
      <c r="BG350" s="778"/>
      <c r="BH350" s="778"/>
      <c r="BI350" s="778"/>
      <c r="BJ350" s="778"/>
      <c r="BK350" s="778"/>
      <c r="BL350" s="778"/>
      <c r="BM350" s="778"/>
    </row>
    <row r="351" s="771" customFormat="1" ht="31" hidden="1" customHeight="1" spans="1:65">
      <c r="A351" s="775">
        <v>45840</v>
      </c>
      <c r="B351" s="776" t="s">
        <v>122</v>
      </c>
      <c r="C351" s="509" t="s">
        <v>116</v>
      </c>
      <c r="D351" s="777">
        <v>4500172403</v>
      </c>
      <c r="E351" s="509">
        <v>20862336</v>
      </c>
      <c r="F351" s="778" t="s">
        <v>1444</v>
      </c>
      <c r="G351" s="779" t="s">
        <v>463</v>
      </c>
      <c r="H351" s="509" t="s">
        <v>424</v>
      </c>
      <c r="I351" s="509">
        <v>1350</v>
      </c>
      <c r="J351" s="509">
        <v>0</v>
      </c>
      <c r="K351" s="509">
        <v>6</v>
      </c>
      <c r="L351" s="780">
        <f t="shared" si="99"/>
        <v>225</v>
      </c>
      <c r="M351" s="781">
        <v>45901</v>
      </c>
      <c r="N351" s="781">
        <v>45891</v>
      </c>
      <c r="O351" s="782"/>
      <c r="P351" s="782" t="s">
        <v>103</v>
      </c>
      <c r="Q351" s="509" t="s">
        <v>1445</v>
      </c>
      <c r="R351" s="784">
        <v>45870</v>
      </c>
      <c r="S351" s="784" t="s">
        <v>96</v>
      </c>
      <c r="T351" s="784">
        <v>45877</v>
      </c>
      <c r="U351" s="784"/>
      <c r="V351" s="784"/>
      <c r="W351" s="776" t="s">
        <v>1407</v>
      </c>
      <c r="X351" s="781" t="s">
        <v>121</v>
      </c>
      <c r="Y351" s="785">
        <v>7.0773</v>
      </c>
      <c r="Z351" s="786">
        <f t="shared" si="105"/>
        <v>9554.355</v>
      </c>
      <c r="AA351" s="509"/>
      <c r="AB351" s="509" t="s">
        <v>1203</v>
      </c>
      <c r="AC351" s="509" t="s">
        <v>76</v>
      </c>
      <c r="AD351" s="509"/>
      <c r="AE351" s="635"/>
      <c r="AF351" s="635"/>
      <c r="AG351" s="788">
        <v>1350</v>
      </c>
      <c r="AH351" s="782">
        <f t="shared" si="103"/>
        <v>0</v>
      </c>
      <c r="AI351" s="509"/>
      <c r="AJ351" s="509"/>
      <c r="AK351" s="509"/>
      <c r="AL351" s="777">
        <f>I351</f>
        <v>1350</v>
      </c>
      <c r="AM351" s="656"/>
      <c r="AN351" s="656"/>
      <c r="AO351" s="656"/>
      <c r="AP351" s="777">
        <f>I351</f>
        <v>1350</v>
      </c>
      <c r="AQ351" s="656"/>
      <c r="AR351" s="777">
        <f>I351</f>
        <v>1350</v>
      </c>
      <c r="AS351" s="777"/>
      <c r="AT351" s="777">
        <f t="shared" si="106"/>
        <v>1350</v>
      </c>
      <c r="AU351" s="777"/>
      <c r="AV351" s="778"/>
      <c r="AW351" s="778"/>
      <c r="AX351" s="778"/>
      <c r="AY351" s="778"/>
      <c r="AZ351" s="778"/>
      <c r="BA351" s="778"/>
      <c r="BB351" s="778"/>
      <c r="BC351" s="778"/>
      <c r="BD351" s="778"/>
      <c r="BE351" s="777"/>
      <c r="BF351" s="778"/>
      <c r="BG351" s="778"/>
      <c r="BH351" s="778"/>
      <c r="BI351" s="777"/>
      <c r="BJ351" s="778">
        <f>I351</f>
        <v>1350</v>
      </c>
      <c r="BK351" s="778"/>
      <c r="BL351" s="778"/>
      <c r="BM351" s="778"/>
    </row>
    <row r="352" s="771" customFormat="1" ht="31" hidden="1" customHeight="1" spans="1:65">
      <c r="A352" s="775">
        <v>45840</v>
      </c>
      <c r="B352" s="776" t="s">
        <v>125</v>
      </c>
      <c r="C352" s="509" t="s">
        <v>71</v>
      </c>
      <c r="D352" s="777">
        <v>4500172405</v>
      </c>
      <c r="E352" s="509">
        <v>20862342</v>
      </c>
      <c r="F352" s="778" t="s">
        <v>1446</v>
      </c>
      <c r="G352" s="779" t="s">
        <v>463</v>
      </c>
      <c r="H352" s="509" t="s">
        <v>424</v>
      </c>
      <c r="I352" s="509">
        <v>150</v>
      </c>
      <c r="J352" s="509">
        <v>0</v>
      </c>
      <c r="K352" s="509">
        <v>6</v>
      </c>
      <c r="L352" s="780">
        <f t="shared" si="99"/>
        <v>25</v>
      </c>
      <c r="M352" s="781">
        <v>45901</v>
      </c>
      <c r="N352" s="781">
        <v>45891</v>
      </c>
      <c r="O352" s="782"/>
      <c r="P352" s="782" t="s">
        <v>103</v>
      </c>
      <c r="Q352" s="509" t="s">
        <v>1445</v>
      </c>
      <c r="R352" s="784">
        <v>45869</v>
      </c>
      <c r="S352" s="784" t="s">
        <v>96</v>
      </c>
      <c r="T352" s="784">
        <v>45880</v>
      </c>
      <c r="U352" s="784"/>
      <c r="V352" s="784"/>
      <c r="W352" s="776" t="s">
        <v>1202</v>
      </c>
      <c r="X352" s="781" t="s">
        <v>121</v>
      </c>
      <c r="Y352" s="785">
        <v>7.4117</v>
      </c>
      <c r="Z352" s="786">
        <f t="shared" si="105"/>
        <v>1111.755</v>
      </c>
      <c r="AA352" s="509"/>
      <c r="AB352" s="509" t="s">
        <v>1203</v>
      </c>
      <c r="AC352" s="509" t="s">
        <v>76</v>
      </c>
      <c r="AD352" s="509"/>
      <c r="AE352" s="635"/>
      <c r="AF352" s="635"/>
      <c r="AG352" s="788">
        <v>150</v>
      </c>
      <c r="AH352" s="782">
        <f t="shared" si="103"/>
        <v>0</v>
      </c>
      <c r="AI352" s="509"/>
      <c r="AJ352" s="509"/>
      <c r="AK352" s="509"/>
      <c r="AL352" s="777">
        <f>I352</f>
        <v>150</v>
      </c>
      <c r="AM352" s="656"/>
      <c r="AN352" s="656"/>
      <c r="AO352" s="656"/>
      <c r="AP352" s="777">
        <f>I352</f>
        <v>150</v>
      </c>
      <c r="AQ352" s="656"/>
      <c r="AR352" s="777">
        <f>I352</f>
        <v>150</v>
      </c>
      <c r="AS352" s="777"/>
      <c r="AT352" s="777">
        <f t="shared" si="106"/>
        <v>150</v>
      </c>
      <c r="AU352" s="777"/>
      <c r="AV352" s="778"/>
      <c r="AW352" s="778"/>
      <c r="AX352" s="778"/>
      <c r="AY352" s="778"/>
      <c r="AZ352" s="778"/>
      <c r="BA352" s="778"/>
      <c r="BB352" s="778"/>
      <c r="BC352" s="778"/>
      <c r="BD352" s="778"/>
      <c r="BE352" s="777"/>
      <c r="BF352" s="778"/>
      <c r="BG352" s="778"/>
      <c r="BH352" s="778"/>
      <c r="BI352" s="777"/>
      <c r="BJ352" s="778">
        <f>I352</f>
        <v>150</v>
      </c>
      <c r="BK352" s="778"/>
      <c r="BL352" s="778"/>
      <c r="BM352" s="778"/>
    </row>
    <row r="353" s="771" customFormat="1" ht="31" hidden="1" customHeight="1" spans="1:65">
      <c r="A353" s="775">
        <v>45678</v>
      </c>
      <c r="B353" s="776" t="s">
        <v>1372</v>
      </c>
      <c r="C353" s="509" t="s">
        <v>90</v>
      </c>
      <c r="D353" s="777">
        <v>4500156313</v>
      </c>
      <c r="E353" s="886" t="s">
        <v>1447</v>
      </c>
      <c r="F353" s="778" t="s">
        <v>1448</v>
      </c>
      <c r="G353" s="779" t="s">
        <v>819</v>
      </c>
      <c r="H353" s="509" t="s">
        <v>744</v>
      </c>
      <c r="I353" s="509">
        <v>72</v>
      </c>
      <c r="J353" s="509">
        <v>0</v>
      </c>
      <c r="K353" s="509">
        <v>1</v>
      </c>
      <c r="L353" s="780">
        <f t="shared" si="99"/>
        <v>72</v>
      </c>
      <c r="M353" s="781">
        <v>45890</v>
      </c>
      <c r="N353" s="781">
        <v>45887</v>
      </c>
      <c r="O353" s="782"/>
      <c r="P353" s="782" t="s">
        <v>103</v>
      </c>
      <c r="Q353" s="509"/>
      <c r="R353" s="784">
        <v>45832</v>
      </c>
      <c r="S353" s="784" t="s">
        <v>66</v>
      </c>
      <c r="T353" s="784" t="s">
        <v>66</v>
      </c>
      <c r="U353" s="784"/>
      <c r="V353" s="784"/>
      <c r="W353" s="776" t="s">
        <v>1449</v>
      </c>
      <c r="X353" s="781" t="s">
        <v>821</v>
      </c>
      <c r="Y353" s="785">
        <v>0</v>
      </c>
      <c r="Z353" s="786">
        <f>Y353*L353</f>
        <v>0</v>
      </c>
      <c r="AA353" s="458" t="s">
        <v>1450</v>
      </c>
      <c r="AB353" s="509" t="s">
        <v>1378</v>
      </c>
      <c r="AC353" s="509" t="s">
        <v>76</v>
      </c>
      <c r="AD353" s="509"/>
      <c r="AE353" s="635"/>
      <c r="AF353" s="635"/>
      <c r="AG353" s="788">
        <f>2840+2560</f>
        <v>5400</v>
      </c>
      <c r="AH353" s="782">
        <v>0</v>
      </c>
      <c r="AI353" s="509"/>
      <c r="AJ353" s="509"/>
      <c r="AK353" s="509"/>
      <c r="AL353" s="777"/>
      <c r="AM353" s="656">
        <v>0</v>
      </c>
      <c r="AN353" s="656"/>
      <c r="AO353" s="656"/>
      <c r="AP353" s="777"/>
      <c r="AQ353" s="656"/>
      <c r="AR353" s="777"/>
      <c r="AS353" s="777"/>
      <c r="AT353" s="777"/>
      <c r="AU353" s="777"/>
      <c r="AV353" s="778"/>
      <c r="AW353" s="778"/>
      <c r="AX353" s="778"/>
      <c r="AY353" s="778"/>
      <c r="AZ353" s="778"/>
      <c r="BA353" s="778"/>
      <c r="BB353" s="778"/>
      <c r="BC353" s="778"/>
      <c r="BD353" s="778"/>
      <c r="BE353" s="777"/>
      <c r="BF353" s="778"/>
      <c r="BG353" s="778"/>
      <c r="BH353" s="778"/>
      <c r="BI353" s="778"/>
      <c r="BJ353" s="778"/>
      <c r="BK353" s="778"/>
      <c r="BL353" s="778"/>
      <c r="BM353" s="778"/>
    </row>
    <row r="354" s="771" customFormat="1" ht="31" hidden="1" customHeight="1" spans="1:65">
      <c r="A354" s="775">
        <v>45678</v>
      </c>
      <c r="B354" s="776" t="s">
        <v>1372</v>
      </c>
      <c r="C354" s="509" t="s">
        <v>90</v>
      </c>
      <c r="D354" s="777">
        <v>4500156313</v>
      </c>
      <c r="E354" s="886" t="s">
        <v>1447</v>
      </c>
      <c r="F354" s="778" t="s">
        <v>1448</v>
      </c>
      <c r="G354" s="779">
        <v>77673</v>
      </c>
      <c r="H354" s="509" t="s">
        <v>65</v>
      </c>
      <c r="I354" s="509">
        <v>5400</v>
      </c>
      <c r="J354" s="509">
        <v>0</v>
      </c>
      <c r="K354" s="509">
        <v>75</v>
      </c>
      <c r="L354" s="780">
        <f t="shared" si="99"/>
        <v>72</v>
      </c>
      <c r="M354" s="781">
        <v>45890</v>
      </c>
      <c r="N354" s="781">
        <v>45887</v>
      </c>
      <c r="O354" s="782"/>
      <c r="P354" s="782" t="s">
        <v>103</v>
      </c>
      <c r="Q354" s="509"/>
      <c r="R354" s="784">
        <v>45832</v>
      </c>
      <c r="S354" s="784" t="s">
        <v>66</v>
      </c>
      <c r="T354" s="784" t="s">
        <v>66</v>
      </c>
      <c r="U354" s="784"/>
      <c r="V354" s="784"/>
      <c r="W354" s="776"/>
      <c r="X354" s="781" t="s">
        <v>821</v>
      </c>
      <c r="Y354" s="785">
        <v>762.5</v>
      </c>
      <c r="Z354" s="786">
        <f>Y354*L354</f>
        <v>54900</v>
      </c>
      <c r="AA354" s="458" t="s">
        <v>1450</v>
      </c>
      <c r="AB354" s="509" t="s">
        <v>1378</v>
      </c>
      <c r="AC354" s="509" t="s">
        <v>76</v>
      </c>
      <c r="AD354" s="509"/>
      <c r="AE354" s="635"/>
      <c r="AF354" s="635"/>
      <c r="AG354" s="788">
        <v>0</v>
      </c>
      <c r="AH354" s="782">
        <v>0</v>
      </c>
      <c r="AI354" s="509"/>
      <c r="AJ354" s="509"/>
      <c r="AK354" s="509"/>
      <c r="AL354" s="777"/>
      <c r="AM354" s="656">
        <f>I354</f>
        <v>5400</v>
      </c>
      <c r="AN354" s="656"/>
      <c r="AO354" s="656"/>
      <c r="AP354" s="777"/>
      <c r="AQ354" s="656"/>
      <c r="AR354" s="777"/>
      <c r="AS354" s="777"/>
      <c r="AT354" s="777"/>
      <c r="AU354" s="777"/>
      <c r="AV354" s="778"/>
      <c r="AW354" s="778">
        <f>I354</f>
        <v>5400</v>
      </c>
      <c r="AX354" s="778">
        <f>I354</f>
        <v>5400</v>
      </c>
      <c r="AY354" s="778">
        <f>I354</f>
        <v>5400</v>
      </c>
      <c r="AZ354" s="778"/>
      <c r="BA354" s="778"/>
      <c r="BB354" s="778"/>
      <c r="BC354" s="778"/>
      <c r="BD354" s="778"/>
      <c r="BE354" s="777"/>
      <c r="BF354" s="778"/>
      <c r="BG354" s="778">
        <f>I354</f>
        <v>5400</v>
      </c>
      <c r="BH354" s="778">
        <f>I354/5</f>
        <v>1080</v>
      </c>
      <c r="BI354" s="778"/>
      <c r="BJ354" s="778"/>
      <c r="BK354" s="778"/>
      <c r="BL354" s="778"/>
      <c r="BM354" s="778"/>
    </row>
    <row r="355" s="771" customFormat="1" ht="31" hidden="1" customHeight="1" spans="1:65">
      <c r="A355" s="775">
        <v>45775</v>
      </c>
      <c r="B355" s="776" t="s">
        <v>1451</v>
      </c>
      <c r="C355" s="509" t="s">
        <v>356</v>
      </c>
      <c r="D355" s="777">
        <v>4500167721</v>
      </c>
      <c r="E355" s="509">
        <v>5510041521</v>
      </c>
      <c r="F355" s="778" t="s">
        <v>1452</v>
      </c>
      <c r="G355" s="779">
        <v>77673</v>
      </c>
      <c r="H355" s="509" t="s">
        <v>1453</v>
      </c>
      <c r="I355" s="509">
        <v>1350</v>
      </c>
      <c r="J355" s="509">
        <v>0</v>
      </c>
      <c r="K355" s="509">
        <v>75</v>
      </c>
      <c r="L355" s="780">
        <f t="shared" si="99"/>
        <v>18</v>
      </c>
      <c r="M355" s="781">
        <v>45889</v>
      </c>
      <c r="N355" s="781">
        <v>45885</v>
      </c>
      <c r="O355" s="782" t="s">
        <v>860</v>
      </c>
      <c r="P355" s="782" t="s">
        <v>103</v>
      </c>
      <c r="Q355" s="509"/>
      <c r="R355" s="784">
        <v>45786</v>
      </c>
      <c r="S355" s="784" t="s">
        <v>66</v>
      </c>
      <c r="T355" s="784" t="s">
        <v>66</v>
      </c>
      <c r="U355" s="784"/>
      <c r="V355" s="784"/>
      <c r="W355" s="776" t="s">
        <v>1454</v>
      </c>
      <c r="X355" s="781" t="s">
        <v>1455</v>
      </c>
      <c r="Y355" s="785">
        <v>787.0306</v>
      </c>
      <c r="Z355" s="786">
        <f>Y355*L356</f>
        <v>14166.5508</v>
      </c>
      <c r="AA355" s="458" t="s">
        <v>1456</v>
      </c>
      <c r="AB355" s="509" t="s">
        <v>743</v>
      </c>
      <c r="AC355" s="509" t="s">
        <v>76</v>
      </c>
      <c r="AD355" s="509"/>
      <c r="AE355" s="635"/>
      <c r="AF355" s="635"/>
      <c r="AG355" s="788">
        <f>1200+150</f>
        <v>1350</v>
      </c>
      <c r="AH355" s="782">
        <f>AG355-I355</f>
        <v>0</v>
      </c>
      <c r="AI355" s="509"/>
      <c r="AJ355" s="509"/>
      <c r="AK355" s="509"/>
      <c r="AL355" s="777"/>
      <c r="AM355" s="656"/>
      <c r="AN355" s="656"/>
      <c r="AO355" s="656">
        <f>I355</f>
        <v>1350</v>
      </c>
      <c r="AP355" s="777"/>
      <c r="AQ355" s="656"/>
      <c r="AR355" s="777"/>
      <c r="AS355" s="777"/>
      <c r="AT355" s="777">
        <f>I355</f>
        <v>1350</v>
      </c>
      <c r="AU355" s="777"/>
      <c r="AV355" s="778"/>
      <c r="AW355" s="778">
        <f>I355</f>
        <v>1350</v>
      </c>
      <c r="AX355" s="778">
        <f>I355</f>
        <v>1350</v>
      </c>
      <c r="AY355" s="778">
        <f>I355</f>
        <v>1350</v>
      </c>
      <c r="AZ355" s="778"/>
      <c r="BA355" s="778"/>
      <c r="BB355" s="778"/>
      <c r="BC355" s="778"/>
      <c r="BD355" s="778"/>
      <c r="BE355" s="777"/>
      <c r="BF355" s="778"/>
      <c r="BG355" s="778"/>
      <c r="BH355" s="778"/>
      <c r="BI355" s="778"/>
      <c r="BJ355" s="778"/>
      <c r="BK355" s="778"/>
      <c r="BL355" s="778"/>
      <c r="BM355" s="778"/>
    </row>
    <row r="356" s="771" customFormat="1" ht="31" hidden="1" customHeight="1" spans="1:65">
      <c r="A356" s="775">
        <v>45791</v>
      </c>
      <c r="B356" s="776" t="s">
        <v>1451</v>
      </c>
      <c r="C356" s="509" t="s">
        <v>356</v>
      </c>
      <c r="D356" s="777">
        <v>4500167721</v>
      </c>
      <c r="E356" s="509">
        <v>5510041521</v>
      </c>
      <c r="F356" s="778" t="s">
        <v>1452</v>
      </c>
      <c r="G356" s="779" t="s">
        <v>743</v>
      </c>
      <c r="H356" s="509" t="s">
        <v>744</v>
      </c>
      <c r="I356" s="509">
        <v>18</v>
      </c>
      <c r="J356" s="509">
        <v>0</v>
      </c>
      <c r="K356" s="509">
        <v>1</v>
      </c>
      <c r="L356" s="780">
        <f t="shared" si="99"/>
        <v>18</v>
      </c>
      <c r="M356" s="781">
        <v>45889</v>
      </c>
      <c r="N356" s="781">
        <v>45885</v>
      </c>
      <c r="O356" s="782" t="s">
        <v>860</v>
      </c>
      <c r="P356" s="782" t="s">
        <v>103</v>
      </c>
      <c r="Q356" s="509"/>
      <c r="R356" s="784">
        <v>45786</v>
      </c>
      <c r="S356" s="784" t="s">
        <v>66</v>
      </c>
      <c r="T356" s="784" t="s">
        <v>66</v>
      </c>
      <c r="U356" s="784"/>
      <c r="V356" s="784"/>
      <c r="W356" s="776" t="s">
        <v>1454</v>
      </c>
      <c r="X356" s="781" t="s">
        <v>1455</v>
      </c>
      <c r="Y356" s="785">
        <v>0</v>
      </c>
      <c r="Z356" s="786">
        <f t="shared" ref="Z356:Z364" si="109">Y356*L356</f>
        <v>0</v>
      </c>
      <c r="AA356" s="458" t="s">
        <v>1456</v>
      </c>
      <c r="AB356" s="509" t="s">
        <v>743</v>
      </c>
      <c r="AC356" s="509" t="s">
        <v>76</v>
      </c>
      <c r="AD356" s="509"/>
      <c r="AE356" s="635"/>
      <c r="AF356" s="635"/>
      <c r="AG356" s="788">
        <v>0</v>
      </c>
      <c r="AH356" s="782">
        <v>0</v>
      </c>
      <c r="AI356" s="509"/>
      <c r="AJ356" s="509"/>
      <c r="AK356" s="509"/>
      <c r="AL356" s="777"/>
      <c r="AM356" s="656"/>
      <c r="AN356" s="656"/>
      <c r="AO356" s="656"/>
      <c r="AP356" s="777"/>
      <c r="AQ356" s="656"/>
      <c r="AR356" s="777"/>
      <c r="AS356" s="777"/>
      <c r="AT356" s="777"/>
      <c r="AU356" s="777"/>
      <c r="AV356" s="778"/>
      <c r="AW356" s="778"/>
      <c r="AX356" s="778"/>
      <c r="AY356" s="778"/>
      <c r="AZ356" s="778"/>
      <c r="BA356" s="778"/>
      <c r="BB356" s="778"/>
      <c r="BC356" s="778"/>
      <c r="BD356" s="778"/>
      <c r="BE356" s="777"/>
      <c r="BF356" s="778"/>
      <c r="BG356" s="778"/>
      <c r="BH356" s="778"/>
      <c r="BI356" s="778"/>
      <c r="BJ356" s="778"/>
      <c r="BK356" s="778"/>
      <c r="BL356" s="778"/>
      <c r="BM356" s="778"/>
    </row>
    <row r="357" s="771" customFormat="1" ht="31" hidden="1" customHeight="1" spans="1:65">
      <c r="A357" s="775">
        <v>45678</v>
      </c>
      <c r="B357" s="776" t="s">
        <v>1372</v>
      </c>
      <c r="C357" s="509" t="s">
        <v>90</v>
      </c>
      <c r="D357" s="777">
        <v>4500156314</v>
      </c>
      <c r="E357" s="886" t="s">
        <v>1457</v>
      </c>
      <c r="F357" s="778" t="s">
        <v>1458</v>
      </c>
      <c r="G357" s="779" t="s">
        <v>819</v>
      </c>
      <c r="H357" s="509" t="s">
        <v>744</v>
      </c>
      <c r="I357" s="509">
        <v>72</v>
      </c>
      <c r="J357" s="509">
        <v>0</v>
      </c>
      <c r="K357" s="509">
        <v>1</v>
      </c>
      <c r="L357" s="780">
        <f t="shared" si="99"/>
        <v>72</v>
      </c>
      <c r="M357" s="781">
        <v>45891</v>
      </c>
      <c r="N357" s="781">
        <v>45887</v>
      </c>
      <c r="O357" s="782"/>
      <c r="P357" s="782" t="s">
        <v>103</v>
      </c>
      <c r="Q357" s="509"/>
      <c r="R357" s="784">
        <v>45832</v>
      </c>
      <c r="S357" s="784" t="s">
        <v>66</v>
      </c>
      <c r="T357" s="784" t="s">
        <v>66</v>
      </c>
      <c r="U357" s="784"/>
      <c r="V357" s="784"/>
      <c r="W357" s="776" t="s">
        <v>1459</v>
      </c>
      <c r="X357" s="781" t="s">
        <v>821</v>
      </c>
      <c r="Y357" s="785">
        <v>0</v>
      </c>
      <c r="Z357" s="786">
        <f t="shared" si="109"/>
        <v>0</v>
      </c>
      <c r="AA357" s="509" t="s">
        <v>1460</v>
      </c>
      <c r="AB357" s="509" t="s">
        <v>1378</v>
      </c>
      <c r="AC357" s="509" t="s">
        <v>76</v>
      </c>
      <c r="AD357" s="509"/>
      <c r="AE357" s="635"/>
      <c r="AF357" s="635"/>
      <c r="AG357" s="788">
        <f>1920+3160+320</f>
        <v>5400</v>
      </c>
      <c r="AH357" s="782">
        <v>0</v>
      </c>
      <c r="AI357" s="509"/>
      <c r="AJ357" s="509"/>
      <c r="AK357" s="509"/>
      <c r="AL357" s="777"/>
      <c r="AM357" s="656">
        <v>0</v>
      </c>
      <c r="AN357" s="656"/>
      <c r="AO357" s="656"/>
      <c r="AP357" s="777"/>
      <c r="AQ357" s="656"/>
      <c r="AR357" s="777"/>
      <c r="AS357" s="777"/>
      <c r="AT357" s="777"/>
      <c r="AU357" s="777"/>
      <c r="AV357" s="778"/>
      <c r="AW357" s="778"/>
      <c r="AX357" s="778"/>
      <c r="AY357" s="778"/>
      <c r="AZ357" s="778"/>
      <c r="BA357" s="778"/>
      <c r="BB357" s="778"/>
      <c r="BC357" s="778"/>
      <c r="BD357" s="778"/>
      <c r="BE357" s="777"/>
      <c r="BF357" s="778"/>
      <c r="BG357" s="778"/>
      <c r="BH357" s="778"/>
      <c r="BI357" s="778"/>
      <c r="BJ357" s="778"/>
      <c r="BK357" s="778"/>
      <c r="BL357" s="778"/>
      <c r="BM357" s="778"/>
    </row>
    <row r="358" s="771" customFormat="1" ht="31" hidden="1" customHeight="1" spans="1:65">
      <c r="A358" s="775">
        <v>45678</v>
      </c>
      <c r="B358" s="776" t="s">
        <v>1372</v>
      </c>
      <c r="C358" s="509" t="s">
        <v>90</v>
      </c>
      <c r="D358" s="777">
        <v>4500156314</v>
      </c>
      <c r="E358" s="886" t="s">
        <v>1457</v>
      </c>
      <c r="F358" s="778" t="s">
        <v>1458</v>
      </c>
      <c r="G358" s="779">
        <v>77673</v>
      </c>
      <c r="H358" s="509" t="s">
        <v>65</v>
      </c>
      <c r="I358" s="509">
        <v>5400</v>
      </c>
      <c r="J358" s="509">
        <v>0</v>
      </c>
      <c r="K358" s="509">
        <v>75</v>
      </c>
      <c r="L358" s="780">
        <f t="shared" si="99"/>
        <v>72</v>
      </c>
      <c r="M358" s="781">
        <v>45891</v>
      </c>
      <c r="N358" s="781">
        <v>45887</v>
      </c>
      <c r="O358" s="782"/>
      <c r="P358" s="782" t="s">
        <v>103</v>
      </c>
      <c r="Q358" s="509"/>
      <c r="R358" s="784">
        <v>45832</v>
      </c>
      <c r="S358" s="784" t="s">
        <v>66</v>
      </c>
      <c r="T358" s="784" t="s">
        <v>66</v>
      </c>
      <c r="U358" s="784"/>
      <c r="V358" s="784"/>
      <c r="W358" s="776"/>
      <c r="X358" s="781" t="s">
        <v>821</v>
      </c>
      <c r="Y358" s="785">
        <v>762.5</v>
      </c>
      <c r="Z358" s="786">
        <f t="shared" si="109"/>
        <v>54900</v>
      </c>
      <c r="AA358" s="509" t="s">
        <v>1460</v>
      </c>
      <c r="AB358" s="509" t="s">
        <v>1378</v>
      </c>
      <c r="AC358" s="509" t="s">
        <v>76</v>
      </c>
      <c r="AD358" s="509"/>
      <c r="AE358" s="635"/>
      <c r="AF358" s="635"/>
      <c r="AG358" s="788">
        <v>0</v>
      </c>
      <c r="AH358" s="782">
        <v>0</v>
      </c>
      <c r="AI358" s="509"/>
      <c r="AJ358" s="509"/>
      <c r="AK358" s="509"/>
      <c r="AL358" s="777"/>
      <c r="AM358" s="656">
        <f>I358</f>
        <v>5400</v>
      </c>
      <c r="AN358" s="656"/>
      <c r="AO358" s="656"/>
      <c r="AP358" s="777"/>
      <c r="AQ358" s="656"/>
      <c r="AR358" s="777"/>
      <c r="AS358" s="777"/>
      <c r="AT358" s="777"/>
      <c r="AU358" s="777"/>
      <c r="AV358" s="778"/>
      <c r="AW358" s="778">
        <f>I358</f>
        <v>5400</v>
      </c>
      <c r="AX358" s="778">
        <f>I358</f>
        <v>5400</v>
      </c>
      <c r="AY358" s="778">
        <f>I358</f>
        <v>5400</v>
      </c>
      <c r="AZ358" s="778"/>
      <c r="BA358" s="778"/>
      <c r="BB358" s="778"/>
      <c r="BC358" s="778"/>
      <c r="BD358" s="778"/>
      <c r="BE358" s="777"/>
      <c r="BF358" s="778"/>
      <c r="BG358" s="778">
        <f>I358</f>
        <v>5400</v>
      </c>
      <c r="BH358" s="778">
        <f>I358/5</f>
        <v>1080</v>
      </c>
      <c r="BI358" s="778"/>
      <c r="BJ358" s="778"/>
      <c r="BK358" s="778"/>
      <c r="BL358" s="778"/>
      <c r="BM358" s="778"/>
    </row>
    <row r="359" s="771" customFormat="1" ht="31" hidden="1" customHeight="1" spans="1:65">
      <c r="A359" s="775">
        <v>45678</v>
      </c>
      <c r="B359" s="776" t="s">
        <v>1372</v>
      </c>
      <c r="C359" s="509" t="s">
        <v>90</v>
      </c>
      <c r="D359" s="777">
        <v>4500156323</v>
      </c>
      <c r="E359" s="886" t="s">
        <v>1461</v>
      </c>
      <c r="F359" s="778" t="s">
        <v>1462</v>
      </c>
      <c r="G359" s="779" t="s">
        <v>819</v>
      </c>
      <c r="H359" s="509" t="s">
        <v>744</v>
      </c>
      <c r="I359" s="509">
        <v>72</v>
      </c>
      <c r="J359" s="509">
        <v>0</v>
      </c>
      <c r="K359" s="509">
        <v>1</v>
      </c>
      <c r="L359" s="780">
        <f t="shared" si="99"/>
        <v>72</v>
      </c>
      <c r="M359" s="781">
        <v>45896</v>
      </c>
      <c r="N359" s="781">
        <v>45892</v>
      </c>
      <c r="O359" s="782"/>
      <c r="P359" s="782" t="s">
        <v>103</v>
      </c>
      <c r="Q359" s="509"/>
      <c r="R359" s="784">
        <v>45832</v>
      </c>
      <c r="S359" s="784" t="s">
        <v>66</v>
      </c>
      <c r="T359" s="784" t="s">
        <v>66</v>
      </c>
      <c r="U359" s="784"/>
      <c r="V359" s="784"/>
      <c r="W359" s="776" t="s">
        <v>1463</v>
      </c>
      <c r="X359" s="781" t="s">
        <v>821</v>
      </c>
      <c r="Y359" s="785">
        <v>0</v>
      </c>
      <c r="Z359" s="786">
        <f t="shared" si="109"/>
        <v>0</v>
      </c>
      <c r="AA359" s="509" t="s">
        <v>1464</v>
      </c>
      <c r="AB359" s="509" t="s">
        <v>1378</v>
      </c>
      <c r="AC359" s="509" t="s">
        <v>76</v>
      </c>
      <c r="AD359" s="509"/>
      <c r="AE359" s="635"/>
      <c r="AF359" s="635"/>
      <c r="AG359" s="788">
        <f>1280+2240+1740+140</f>
        <v>5400</v>
      </c>
      <c r="AH359" s="782">
        <v>0</v>
      </c>
      <c r="AI359" s="509"/>
      <c r="AJ359" s="509"/>
      <c r="AK359" s="509"/>
      <c r="AL359" s="777"/>
      <c r="AM359" s="656">
        <v>0</v>
      </c>
      <c r="AN359" s="656"/>
      <c r="AO359" s="656"/>
      <c r="AP359" s="777"/>
      <c r="AQ359" s="656"/>
      <c r="AR359" s="777"/>
      <c r="AS359" s="777"/>
      <c r="AT359" s="777"/>
      <c r="AU359" s="777"/>
      <c r="AV359" s="778"/>
      <c r="AW359" s="778"/>
      <c r="AX359" s="778"/>
      <c r="AY359" s="778"/>
      <c r="AZ359" s="778"/>
      <c r="BA359" s="778"/>
      <c r="BB359" s="778"/>
      <c r="BC359" s="778"/>
      <c r="BD359" s="778"/>
      <c r="BE359" s="777"/>
      <c r="BF359" s="778"/>
      <c r="BG359" s="778"/>
      <c r="BH359" s="778"/>
      <c r="BI359" s="778"/>
      <c r="BJ359" s="778"/>
      <c r="BK359" s="778"/>
      <c r="BL359" s="778"/>
      <c r="BM359" s="778"/>
    </row>
    <row r="360" s="771" customFormat="1" ht="31" hidden="1" customHeight="1" spans="1:65">
      <c r="A360" s="775">
        <v>45678</v>
      </c>
      <c r="B360" s="776" t="s">
        <v>1372</v>
      </c>
      <c r="C360" s="509" t="s">
        <v>90</v>
      </c>
      <c r="D360" s="777">
        <v>4500156323</v>
      </c>
      <c r="E360" s="886" t="s">
        <v>1461</v>
      </c>
      <c r="F360" s="778" t="s">
        <v>1462</v>
      </c>
      <c r="G360" s="779">
        <v>77673</v>
      </c>
      <c r="H360" s="509" t="s">
        <v>65</v>
      </c>
      <c r="I360" s="509">
        <v>5400</v>
      </c>
      <c r="J360" s="509">
        <v>0</v>
      </c>
      <c r="K360" s="509">
        <v>75</v>
      </c>
      <c r="L360" s="780">
        <f t="shared" si="99"/>
        <v>72</v>
      </c>
      <c r="M360" s="781">
        <v>45896</v>
      </c>
      <c r="N360" s="781">
        <v>45892</v>
      </c>
      <c r="O360" s="782"/>
      <c r="P360" s="782" t="s">
        <v>103</v>
      </c>
      <c r="Q360" s="509"/>
      <c r="R360" s="784">
        <v>45832</v>
      </c>
      <c r="S360" s="784" t="s">
        <v>66</v>
      </c>
      <c r="T360" s="784" t="s">
        <v>66</v>
      </c>
      <c r="U360" s="784"/>
      <c r="V360" s="784"/>
      <c r="W360" s="776"/>
      <c r="X360" s="781" t="s">
        <v>821</v>
      </c>
      <c r="Y360" s="785">
        <v>762.5</v>
      </c>
      <c r="Z360" s="786">
        <f t="shared" si="109"/>
        <v>54900</v>
      </c>
      <c r="AA360" s="509" t="s">
        <v>1464</v>
      </c>
      <c r="AB360" s="509" t="s">
        <v>1378</v>
      </c>
      <c r="AC360" s="509" t="s">
        <v>76</v>
      </c>
      <c r="AD360" s="509"/>
      <c r="AE360" s="635"/>
      <c r="AF360" s="635"/>
      <c r="AG360" s="788">
        <v>0</v>
      </c>
      <c r="AH360" s="782">
        <v>0</v>
      </c>
      <c r="AI360" s="509"/>
      <c r="AJ360" s="509"/>
      <c r="AK360" s="509"/>
      <c r="AL360" s="777"/>
      <c r="AM360" s="656">
        <f>I360</f>
        <v>5400</v>
      </c>
      <c r="AN360" s="656"/>
      <c r="AO360" s="656"/>
      <c r="AP360" s="777"/>
      <c r="AQ360" s="656"/>
      <c r="AR360" s="777"/>
      <c r="AS360" s="777"/>
      <c r="AT360" s="777"/>
      <c r="AU360" s="777"/>
      <c r="AV360" s="778"/>
      <c r="AW360" s="778">
        <f>I360</f>
        <v>5400</v>
      </c>
      <c r="AX360" s="778">
        <f>I360</f>
        <v>5400</v>
      </c>
      <c r="AY360" s="778">
        <f>I360</f>
        <v>5400</v>
      </c>
      <c r="AZ360" s="778"/>
      <c r="BA360" s="778"/>
      <c r="BB360" s="778"/>
      <c r="BC360" s="778"/>
      <c r="BD360" s="778"/>
      <c r="BE360" s="777"/>
      <c r="BF360" s="778"/>
      <c r="BG360" s="778">
        <f>I360</f>
        <v>5400</v>
      </c>
      <c r="BH360" s="778">
        <f>I360/5</f>
        <v>1080</v>
      </c>
      <c r="BI360" s="778"/>
      <c r="BJ360" s="778"/>
      <c r="BK360" s="778"/>
      <c r="BL360" s="778"/>
      <c r="BM360" s="778"/>
    </row>
    <row r="361" s="771" customFormat="1" ht="31" hidden="1" customHeight="1" spans="1:65">
      <c r="A361" s="775">
        <v>45678</v>
      </c>
      <c r="B361" s="776" t="s">
        <v>1372</v>
      </c>
      <c r="C361" s="509" t="s">
        <v>90</v>
      </c>
      <c r="D361" s="777">
        <v>4500156326</v>
      </c>
      <c r="E361" s="886" t="s">
        <v>1465</v>
      </c>
      <c r="F361" s="778" t="s">
        <v>1466</v>
      </c>
      <c r="G361" s="779" t="s">
        <v>819</v>
      </c>
      <c r="H361" s="509" t="s">
        <v>744</v>
      </c>
      <c r="I361" s="509">
        <v>72</v>
      </c>
      <c r="J361" s="509">
        <v>0</v>
      </c>
      <c r="K361" s="509">
        <v>1</v>
      </c>
      <c r="L361" s="780">
        <f t="shared" si="99"/>
        <v>72</v>
      </c>
      <c r="M361" s="781">
        <v>45896</v>
      </c>
      <c r="N361" s="781">
        <v>45894</v>
      </c>
      <c r="O361" s="782"/>
      <c r="P361" s="782" t="s">
        <v>103</v>
      </c>
      <c r="Q361" s="509"/>
      <c r="R361" s="784">
        <v>45832</v>
      </c>
      <c r="S361" s="784" t="s">
        <v>66</v>
      </c>
      <c r="T361" s="784" t="s">
        <v>66</v>
      </c>
      <c r="U361" s="784"/>
      <c r="V361" s="784"/>
      <c r="W361" s="776" t="s">
        <v>1467</v>
      </c>
      <c r="X361" s="781" t="s">
        <v>821</v>
      </c>
      <c r="Y361" s="785">
        <v>0</v>
      </c>
      <c r="Z361" s="786">
        <f t="shared" si="109"/>
        <v>0</v>
      </c>
      <c r="AA361" s="458" t="s">
        <v>1468</v>
      </c>
      <c r="AB361" s="509" t="s">
        <v>1378</v>
      </c>
      <c r="AC361" s="509" t="s">
        <v>76</v>
      </c>
      <c r="AD361" s="509"/>
      <c r="AE361" s="635"/>
      <c r="AF361" s="635"/>
      <c r="AG361" s="788">
        <f>2280+3120</f>
        <v>5400</v>
      </c>
      <c r="AH361" s="782">
        <v>0</v>
      </c>
      <c r="AI361" s="509"/>
      <c r="AJ361" s="509"/>
      <c r="AK361" s="509"/>
      <c r="AL361" s="777"/>
      <c r="AM361" s="656">
        <v>0</v>
      </c>
      <c r="AN361" s="656"/>
      <c r="AO361" s="656"/>
      <c r="AP361" s="777"/>
      <c r="AQ361" s="656"/>
      <c r="AR361" s="777"/>
      <c r="AS361" s="777"/>
      <c r="AT361" s="777"/>
      <c r="AU361" s="777"/>
      <c r="AV361" s="778"/>
      <c r="AW361" s="778"/>
      <c r="AX361" s="778"/>
      <c r="AY361" s="778"/>
      <c r="AZ361" s="778"/>
      <c r="BA361" s="778"/>
      <c r="BB361" s="778"/>
      <c r="BC361" s="778"/>
      <c r="BD361" s="778"/>
      <c r="BE361" s="777"/>
      <c r="BF361" s="778"/>
      <c r="BG361" s="778"/>
      <c r="BH361" s="778"/>
      <c r="BI361" s="778"/>
      <c r="BJ361" s="778"/>
      <c r="BK361" s="778"/>
      <c r="BL361" s="778"/>
      <c r="BM361" s="778"/>
    </row>
    <row r="362" s="771" customFormat="1" ht="31" hidden="1" customHeight="1" spans="1:65">
      <c r="A362" s="775">
        <v>45678</v>
      </c>
      <c r="B362" s="776" t="s">
        <v>1372</v>
      </c>
      <c r="C362" s="509" t="s">
        <v>90</v>
      </c>
      <c r="D362" s="777">
        <v>4500156326</v>
      </c>
      <c r="E362" s="886" t="s">
        <v>1465</v>
      </c>
      <c r="F362" s="778" t="s">
        <v>1466</v>
      </c>
      <c r="G362" s="779">
        <v>77673</v>
      </c>
      <c r="H362" s="509" t="s">
        <v>65</v>
      </c>
      <c r="I362" s="509">
        <v>5400</v>
      </c>
      <c r="J362" s="509">
        <v>0</v>
      </c>
      <c r="K362" s="509">
        <v>75</v>
      </c>
      <c r="L362" s="780">
        <f t="shared" si="99"/>
        <v>72</v>
      </c>
      <c r="M362" s="781">
        <v>45896</v>
      </c>
      <c r="N362" s="781">
        <v>45894</v>
      </c>
      <c r="O362" s="782"/>
      <c r="P362" s="782" t="s">
        <v>103</v>
      </c>
      <c r="Q362" s="509"/>
      <c r="R362" s="784">
        <v>45832</v>
      </c>
      <c r="S362" s="784" t="s">
        <v>66</v>
      </c>
      <c r="T362" s="784" t="s">
        <v>66</v>
      </c>
      <c r="U362" s="784"/>
      <c r="V362" s="784"/>
      <c r="W362" s="776"/>
      <c r="X362" s="781" t="s">
        <v>821</v>
      </c>
      <c r="Y362" s="785">
        <v>762.5</v>
      </c>
      <c r="Z362" s="786">
        <f t="shared" si="109"/>
        <v>54900</v>
      </c>
      <c r="AA362" s="458" t="s">
        <v>1468</v>
      </c>
      <c r="AB362" s="509" t="s">
        <v>1378</v>
      </c>
      <c r="AC362" s="509" t="s">
        <v>76</v>
      </c>
      <c r="AD362" s="509"/>
      <c r="AE362" s="635"/>
      <c r="AF362" s="635"/>
      <c r="AG362" s="788">
        <v>0</v>
      </c>
      <c r="AH362" s="782">
        <v>0</v>
      </c>
      <c r="AI362" s="509"/>
      <c r="AJ362" s="509"/>
      <c r="AK362" s="509"/>
      <c r="AL362" s="777"/>
      <c r="AM362" s="656">
        <f>I362</f>
        <v>5400</v>
      </c>
      <c r="AN362" s="656"/>
      <c r="AO362" s="656"/>
      <c r="AP362" s="777"/>
      <c r="AQ362" s="656"/>
      <c r="AR362" s="777"/>
      <c r="AS362" s="777"/>
      <c r="AT362" s="777"/>
      <c r="AU362" s="777"/>
      <c r="AV362" s="778"/>
      <c r="AW362" s="778">
        <f>I362</f>
        <v>5400</v>
      </c>
      <c r="AX362" s="778">
        <f>I362</f>
        <v>5400</v>
      </c>
      <c r="AY362" s="778">
        <f>I362</f>
        <v>5400</v>
      </c>
      <c r="AZ362" s="778"/>
      <c r="BA362" s="778"/>
      <c r="BB362" s="778"/>
      <c r="BC362" s="778"/>
      <c r="BD362" s="778"/>
      <c r="BE362" s="777"/>
      <c r="BF362" s="778"/>
      <c r="BG362" s="778">
        <f>I362</f>
        <v>5400</v>
      </c>
      <c r="BH362" s="778">
        <f>I362/5</f>
        <v>1080</v>
      </c>
      <c r="BI362" s="778"/>
      <c r="BJ362" s="778"/>
      <c r="BK362" s="778"/>
      <c r="BL362" s="778"/>
      <c r="BM362" s="778"/>
    </row>
    <row r="363" s="568" customFormat="1" ht="31" hidden="1" customHeight="1" spans="1:66">
      <c r="A363" s="547">
        <v>45678</v>
      </c>
      <c r="B363" s="548" t="s">
        <v>1372</v>
      </c>
      <c r="C363" s="539" t="s">
        <v>90</v>
      </c>
      <c r="D363" s="568">
        <v>4500156301</v>
      </c>
      <c r="E363" s="887" t="s">
        <v>1469</v>
      </c>
      <c r="F363" s="568" t="s">
        <v>1470</v>
      </c>
      <c r="G363" s="551" t="s">
        <v>819</v>
      </c>
      <c r="H363" s="539" t="s">
        <v>744</v>
      </c>
      <c r="I363" s="539">
        <v>72</v>
      </c>
      <c r="J363" s="539">
        <v>0</v>
      </c>
      <c r="K363" s="539">
        <v>1</v>
      </c>
      <c r="L363" s="795">
        <f t="shared" si="99"/>
        <v>72</v>
      </c>
      <c r="M363" s="555">
        <v>45891</v>
      </c>
      <c r="N363" s="555">
        <v>45887</v>
      </c>
      <c r="O363" s="584"/>
      <c r="P363" s="796" t="s">
        <v>103</v>
      </c>
      <c r="Q363" s="539"/>
      <c r="R363" s="570">
        <v>45832</v>
      </c>
      <c r="S363" s="570" t="s">
        <v>66</v>
      </c>
      <c r="T363" s="570" t="s">
        <v>66</v>
      </c>
      <c r="U363" s="570"/>
      <c r="V363" s="570"/>
      <c r="W363" s="564" t="s">
        <v>1471</v>
      </c>
      <c r="X363" s="797" t="s">
        <v>821</v>
      </c>
      <c r="Y363" s="800">
        <v>0</v>
      </c>
      <c r="Z363" s="801">
        <f t="shared" si="109"/>
        <v>0</v>
      </c>
      <c r="AA363" s="458" t="s">
        <v>1472</v>
      </c>
      <c r="AB363" s="802" t="s">
        <v>1378</v>
      </c>
      <c r="AC363" s="539" t="s">
        <v>76</v>
      </c>
      <c r="AD363" s="539"/>
      <c r="AE363" s="539"/>
      <c r="AF363" s="539"/>
      <c r="AG363" s="584">
        <f>3200+2200</f>
        <v>5400</v>
      </c>
      <c r="AH363" s="584">
        <v>0</v>
      </c>
      <c r="AI363" s="539"/>
      <c r="AJ363" s="539"/>
      <c r="AK363" s="539"/>
      <c r="AS363" s="777"/>
      <c r="BN363" s="803"/>
    </row>
    <row r="364" s="568" customFormat="1" ht="31" hidden="1" customHeight="1" spans="1:66">
      <c r="A364" s="547">
        <v>45678</v>
      </c>
      <c r="B364" s="548" t="s">
        <v>1372</v>
      </c>
      <c r="C364" s="539" t="s">
        <v>90</v>
      </c>
      <c r="D364" s="568">
        <v>4500156301</v>
      </c>
      <c r="E364" s="887" t="s">
        <v>1469</v>
      </c>
      <c r="F364" s="568" t="s">
        <v>1470</v>
      </c>
      <c r="G364" s="551">
        <v>77673</v>
      </c>
      <c r="H364" s="539" t="s">
        <v>65</v>
      </c>
      <c r="I364" s="539">
        <v>5400</v>
      </c>
      <c r="J364" s="539">
        <v>0</v>
      </c>
      <c r="K364" s="539">
        <v>75</v>
      </c>
      <c r="L364" s="795">
        <f t="shared" si="99"/>
        <v>72</v>
      </c>
      <c r="M364" s="555">
        <v>45891</v>
      </c>
      <c r="N364" s="555">
        <v>45887</v>
      </c>
      <c r="O364" s="584"/>
      <c r="P364" s="796" t="s">
        <v>103</v>
      </c>
      <c r="Q364" s="539"/>
      <c r="R364" s="570">
        <v>45832</v>
      </c>
      <c r="S364" s="570" t="s">
        <v>66</v>
      </c>
      <c r="T364" s="570" t="s">
        <v>66</v>
      </c>
      <c r="U364" s="570"/>
      <c r="V364" s="570"/>
      <c r="W364" s="564"/>
      <c r="X364" s="797" t="s">
        <v>821</v>
      </c>
      <c r="Y364" s="800">
        <v>762.5</v>
      </c>
      <c r="Z364" s="801">
        <f t="shared" si="109"/>
        <v>54900</v>
      </c>
      <c r="AA364" s="458" t="s">
        <v>1472</v>
      </c>
      <c r="AB364" s="802" t="s">
        <v>1378</v>
      </c>
      <c r="AC364" s="539" t="s">
        <v>76</v>
      </c>
      <c r="AD364" s="539"/>
      <c r="AE364" s="539"/>
      <c r="AF364" s="539"/>
      <c r="AG364" s="584">
        <v>0</v>
      </c>
      <c r="AH364" s="584">
        <v>0</v>
      </c>
      <c r="AI364" s="539"/>
      <c r="AJ364" s="539"/>
      <c r="AK364" s="539"/>
      <c r="AM364" s="568">
        <f>I364</f>
        <v>5400</v>
      </c>
      <c r="AS364" s="777"/>
      <c r="AW364" s="568">
        <f>I364</f>
        <v>5400</v>
      </c>
      <c r="AX364" s="568">
        <f>I364</f>
        <v>5400</v>
      </c>
      <c r="AY364" s="589">
        <f>I364</f>
        <v>5400</v>
      </c>
      <c r="BG364" s="589">
        <f>I364</f>
        <v>5400</v>
      </c>
      <c r="BH364" s="589">
        <f>I364/5</f>
        <v>1080</v>
      </c>
      <c r="BN364" s="803"/>
    </row>
    <row r="365" s="568" customFormat="1" ht="31" hidden="1" customHeight="1" spans="1:66">
      <c r="A365" s="547">
        <v>45827</v>
      </c>
      <c r="B365" s="548" t="s">
        <v>70</v>
      </c>
      <c r="C365" s="539" t="s">
        <v>71</v>
      </c>
      <c r="D365" s="568">
        <v>4500170560</v>
      </c>
      <c r="E365" s="539">
        <v>29028752</v>
      </c>
      <c r="F365" s="568" t="s">
        <v>1473</v>
      </c>
      <c r="G365" s="551" t="s">
        <v>102</v>
      </c>
      <c r="H365" s="539" t="s">
        <v>65</v>
      </c>
      <c r="I365" s="539">
        <v>608</v>
      </c>
      <c r="J365" s="539">
        <v>0</v>
      </c>
      <c r="K365" s="539">
        <v>16</v>
      </c>
      <c r="L365" s="795">
        <f t="shared" si="99"/>
        <v>38</v>
      </c>
      <c r="M365" s="797">
        <v>45903</v>
      </c>
      <c r="N365" s="797">
        <v>45899</v>
      </c>
      <c r="O365" s="584"/>
      <c r="P365" s="796" t="s">
        <v>103</v>
      </c>
      <c r="Q365" s="539" t="s">
        <v>1474</v>
      </c>
      <c r="R365" s="570">
        <v>45827</v>
      </c>
      <c r="S365" s="570" t="s">
        <v>66</v>
      </c>
      <c r="T365" s="570">
        <v>45827</v>
      </c>
      <c r="U365" s="570"/>
      <c r="V365" s="570"/>
      <c r="W365" s="548" t="s">
        <v>1475</v>
      </c>
      <c r="X365" s="797" t="s">
        <v>75</v>
      </c>
      <c r="Y365" s="800">
        <v>4.2114</v>
      </c>
      <c r="Z365" s="801">
        <f t="shared" ref="Z365:Z377" si="110">Y365*I365</f>
        <v>2560.5312</v>
      </c>
      <c r="AA365" s="539" t="s">
        <v>1476</v>
      </c>
      <c r="AB365" s="568" t="s">
        <v>102</v>
      </c>
      <c r="AC365" s="539" t="s">
        <v>76</v>
      </c>
      <c r="AD365" s="539"/>
      <c r="AE365" s="539"/>
      <c r="AF365" s="539"/>
      <c r="AG365" s="584">
        <f>560+32+16</f>
        <v>608</v>
      </c>
      <c r="AH365" s="584">
        <f t="shared" ref="AH365:AH377" si="111">AG365-I365</f>
        <v>0</v>
      </c>
      <c r="AI365" s="539"/>
      <c r="AJ365" s="539"/>
      <c r="AK365" s="539"/>
      <c r="AL365" s="568">
        <f>I365</f>
        <v>608</v>
      </c>
      <c r="AP365" s="568">
        <f>I365</f>
        <v>608</v>
      </c>
      <c r="AR365" s="777">
        <f>I365</f>
        <v>608</v>
      </c>
      <c r="AS365" s="777"/>
      <c r="AT365" s="568">
        <f t="shared" ref="AT365:AT377" si="112">I365</f>
        <v>608</v>
      </c>
      <c r="BD365" s="777">
        <f>I365/4</f>
        <v>152</v>
      </c>
      <c r="BN365" s="803"/>
    </row>
    <row r="366" s="568" customFormat="1" ht="31" hidden="1" customHeight="1" spans="1:66">
      <c r="A366" s="547">
        <v>45827</v>
      </c>
      <c r="B366" s="548" t="s">
        <v>70</v>
      </c>
      <c r="C366" s="539" t="s">
        <v>71</v>
      </c>
      <c r="D366" s="568">
        <v>4500170563</v>
      </c>
      <c r="E366" s="539">
        <v>29028755</v>
      </c>
      <c r="F366" s="568" t="s">
        <v>1477</v>
      </c>
      <c r="G366" s="551" t="s">
        <v>102</v>
      </c>
      <c r="H366" s="539" t="s">
        <v>65</v>
      </c>
      <c r="I366" s="539">
        <v>192</v>
      </c>
      <c r="J366" s="539">
        <v>0</v>
      </c>
      <c r="K366" s="539">
        <v>16</v>
      </c>
      <c r="L366" s="795">
        <f t="shared" si="99"/>
        <v>12</v>
      </c>
      <c r="M366" s="797">
        <v>45903</v>
      </c>
      <c r="N366" s="797">
        <v>45899</v>
      </c>
      <c r="O366" s="584"/>
      <c r="P366" s="796" t="s">
        <v>103</v>
      </c>
      <c r="Q366" s="539"/>
      <c r="R366" s="570">
        <v>45827</v>
      </c>
      <c r="S366" s="570" t="s">
        <v>66</v>
      </c>
      <c r="T366" s="570">
        <v>45827</v>
      </c>
      <c r="U366" s="570"/>
      <c r="V366" s="570"/>
      <c r="W366" s="548" t="s">
        <v>1475</v>
      </c>
      <c r="X366" s="797" t="s">
        <v>75</v>
      </c>
      <c r="Y366" s="800">
        <v>4.2114</v>
      </c>
      <c r="Z366" s="801">
        <f t="shared" si="110"/>
        <v>808.5888</v>
      </c>
      <c r="AA366" s="539" t="s">
        <v>1478</v>
      </c>
      <c r="AB366" s="568" t="s">
        <v>102</v>
      </c>
      <c r="AC366" s="539" t="s">
        <v>76</v>
      </c>
      <c r="AD366" s="539"/>
      <c r="AE366" s="539"/>
      <c r="AF366" s="539"/>
      <c r="AG366" s="584">
        <f>176+16</f>
        <v>192</v>
      </c>
      <c r="AH366" s="584">
        <f t="shared" si="111"/>
        <v>0</v>
      </c>
      <c r="AI366" s="539"/>
      <c r="AJ366" s="539"/>
      <c r="AK366" s="539"/>
      <c r="AL366" s="568">
        <f>I366</f>
        <v>192</v>
      </c>
      <c r="AP366" s="568">
        <f>I366</f>
        <v>192</v>
      </c>
      <c r="AR366" s="777">
        <f>I366</f>
        <v>192</v>
      </c>
      <c r="AS366" s="777"/>
      <c r="AT366" s="568">
        <f t="shared" si="112"/>
        <v>192</v>
      </c>
      <c r="BD366" s="777">
        <f>I366/4</f>
        <v>48</v>
      </c>
      <c r="BN366" s="803"/>
    </row>
    <row r="367" s="568" customFormat="1" ht="31" hidden="1" customHeight="1" spans="1:66">
      <c r="A367" s="547">
        <v>45854</v>
      </c>
      <c r="B367" s="548" t="s">
        <v>220</v>
      </c>
      <c r="C367" s="539" t="s">
        <v>90</v>
      </c>
      <c r="D367" s="568">
        <v>4500174008</v>
      </c>
      <c r="E367" s="539" t="s">
        <v>1479</v>
      </c>
      <c r="F367" s="568" t="s">
        <v>1480</v>
      </c>
      <c r="G367" s="551" t="s">
        <v>223</v>
      </c>
      <c r="H367" s="539" t="s">
        <v>224</v>
      </c>
      <c r="I367" s="539">
        <v>10000</v>
      </c>
      <c r="J367" s="539">
        <v>0</v>
      </c>
      <c r="K367" s="539">
        <v>4</v>
      </c>
      <c r="L367" s="795">
        <f t="shared" si="99"/>
        <v>2500</v>
      </c>
      <c r="M367" s="798">
        <v>45903</v>
      </c>
      <c r="N367" s="798">
        <f>M367-4</f>
        <v>45899</v>
      </c>
      <c r="O367" s="584"/>
      <c r="P367" s="796" t="s">
        <v>103</v>
      </c>
      <c r="Q367" s="539"/>
      <c r="R367" s="570">
        <v>45877</v>
      </c>
      <c r="S367" s="570" t="s">
        <v>96</v>
      </c>
      <c r="T367" s="570">
        <v>45861</v>
      </c>
      <c r="U367" s="570" t="s">
        <v>1481</v>
      </c>
      <c r="V367" s="570"/>
      <c r="W367" s="563" t="s">
        <v>1482</v>
      </c>
      <c r="X367" s="797" t="s">
        <v>226</v>
      </c>
      <c r="Y367" s="800">
        <v>2.7832</v>
      </c>
      <c r="Z367" s="801">
        <f t="shared" si="110"/>
        <v>27832</v>
      </c>
      <c r="AA367" s="539" t="s">
        <v>1483</v>
      </c>
      <c r="AB367" s="568" t="s">
        <v>223</v>
      </c>
      <c r="AC367" s="539" t="s">
        <v>76</v>
      </c>
      <c r="AD367" s="539"/>
      <c r="AE367" s="539"/>
      <c r="AF367" s="539"/>
      <c r="AG367" s="584">
        <f>1400+4200+4376+24</f>
        <v>10000</v>
      </c>
      <c r="AH367" s="584">
        <f t="shared" si="111"/>
        <v>0</v>
      </c>
      <c r="AI367" s="539"/>
      <c r="AJ367" s="539"/>
      <c r="AK367" s="539"/>
      <c r="AN367" s="568">
        <f>I367</f>
        <v>10000</v>
      </c>
      <c r="AS367" s="777"/>
      <c r="AT367" s="568">
        <f t="shared" si="112"/>
        <v>10000</v>
      </c>
      <c r="BB367" s="568">
        <f>I367</f>
        <v>10000</v>
      </c>
      <c r="BC367" s="568">
        <f>I367</f>
        <v>10000</v>
      </c>
      <c r="BD367" s="777">
        <f>I367/4</f>
        <v>2500</v>
      </c>
      <c r="BN367" s="803"/>
    </row>
    <row r="368" s="568" customFormat="1" ht="31" hidden="1" customHeight="1" spans="1:66">
      <c r="A368" s="547">
        <v>45862</v>
      </c>
      <c r="B368" s="548" t="s">
        <v>128</v>
      </c>
      <c r="C368" s="539" t="s">
        <v>90</v>
      </c>
      <c r="D368" s="568">
        <v>4500174958</v>
      </c>
      <c r="E368" s="887" t="s">
        <v>1484</v>
      </c>
      <c r="F368" s="568" t="s">
        <v>1485</v>
      </c>
      <c r="G368" s="551" t="s">
        <v>93</v>
      </c>
      <c r="H368" s="539" t="s">
        <v>94</v>
      </c>
      <c r="I368" s="539">
        <v>500</v>
      </c>
      <c r="J368" s="539">
        <v>0</v>
      </c>
      <c r="K368" s="539">
        <v>4</v>
      </c>
      <c r="L368" s="795">
        <f t="shared" si="99"/>
        <v>125</v>
      </c>
      <c r="M368" s="797">
        <v>45904</v>
      </c>
      <c r="N368" s="797">
        <v>45901</v>
      </c>
      <c r="O368" s="584" t="s">
        <v>1486</v>
      </c>
      <c r="P368" s="796" t="s">
        <v>103</v>
      </c>
      <c r="Q368" s="539"/>
      <c r="R368" s="570" t="s">
        <v>132</v>
      </c>
      <c r="S368" s="570" t="s">
        <v>66</v>
      </c>
      <c r="T368" s="570" t="s">
        <v>1487</v>
      </c>
      <c r="U368" s="570" t="s">
        <v>133</v>
      </c>
      <c r="V368" s="570"/>
      <c r="W368" s="548" t="s">
        <v>1281</v>
      </c>
      <c r="X368" s="797" t="s">
        <v>98</v>
      </c>
      <c r="Y368" s="800">
        <v>2.58</v>
      </c>
      <c r="Z368" s="801">
        <f t="shared" si="110"/>
        <v>1290</v>
      </c>
      <c r="AA368" s="539" t="s">
        <v>1488</v>
      </c>
      <c r="AB368" s="568" t="s">
        <v>93</v>
      </c>
      <c r="AC368" s="539" t="s">
        <v>76</v>
      </c>
      <c r="AD368" s="539"/>
      <c r="AE368" s="539"/>
      <c r="AF368" s="539"/>
      <c r="AG368" s="584">
        <v>500</v>
      </c>
      <c r="AH368" s="584">
        <f t="shared" si="111"/>
        <v>0</v>
      </c>
      <c r="AI368" s="539"/>
      <c r="AJ368" s="539"/>
      <c r="AK368" s="539"/>
      <c r="AL368" s="568">
        <f t="shared" ref="AL368:AL377" si="113">I368</f>
        <v>500</v>
      </c>
      <c r="AP368" s="568">
        <f>I368</f>
        <v>500</v>
      </c>
      <c r="AR368" s="777">
        <f>I368</f>
        <v>500</v>
      </c>
      <c r="AS368" s="777"/>
      <c r="AT368" s="568">
        <f t="shared" si="112"/>
        <v>500</v>
      </c>
      <c r="BD368" s="777">
        <f>I368/4</f>
        <v>125</v>
      </c>
      <c r="BN368" s="803"/>
    </row>
    <row r="369" s="568" customFormat="1" ht="31" hidden="1" customHeight="1" spans="1:66">
      <c r="A369" s="547">
        <v>45862</v>
      </c>
      <c r="B369" s="548" t="s">
        <v>128</v>
      </c>
      <c r="C369" s="539" t="s">
        <v>90</v>
      </c>
      <c r="D369" s="568">
        <v>4500174958</v>
      </c>
      <c r="E369" s="887" t="s">
        <v>1489</v>
      </c>
      <c r="F369" s="568" t="s">
        <v>1490</v>
      </c>
      <c r="G369" s="551" t="s">
        <v>93</v>
      </c>
      <c r="H369" s="539" t="s">
        <v>94</v>
      </c>
      <c r="I369" s="539">
        <v>500</v>
      </c>
      <c r="J369" s="539">
        <v>0</v>
      </c>
      <c r="K369" s="539">
        <v>4</v>
      </c>
      <c r="L369" s="795">
        <f t="shared" si="99"/>
        <v>125</v>
      </c>
      <c r="M369" s="797">
        <v>45904</v>
      </c>
      <c r="N369" s="797">
        <v>45901</v>
      </c>
      <c r="O369" s="584" t="s">
        <v>1486</v>
      </c>
      <c r="P369" s="796" t="s">
        <v>103</v>
      </c>
      <c r="Q369" s="539"/>
      <c r="R369" s="570" t="s">
        <v>132</v>
      </c>
      <c r="S369" s="570" t="s">
        <v>66</v>
      </c>
      <c r="T369" s="570" t="s">
        <v>1487</v>
      </c>
      <c r="U369" s="570" t="s">
        <v>133</v>
      </c>
      <c r="V369" s="570"/>
      <c r="W369" s="548" t="s">
        <v>1281</v>
      </c>
      <c r="X369" s="797" t="s">
        <v>98</v>
      </c>
      <c r="Y369" s="800">
        <v>2.58</v>
      </c>
      <c r="Z369" s="801">
        <f t="shared" si="110"/>
        <v>1290</v>
      </c>
      <c r="AA369" s="539" t="s">
        <v>1491</v>
      </c>
      <c r="AB369" s="568" t="s">
        <v>93</v>
      </c>
      <c r="AC369" s="539" t="s">
        <v>76</v>
      </c>
      <c r="AD369" s="539"/>
      <c r="AE369" s="539"/>
      <c r="AF369" s="539"/>
      <c r="AG369" s="584">
        <v>500</v>
      </c>
      <c r="AH369" s="584">
        <f t="shared" si="111"/>
        <v>0</v>
      </c>
      <c r="AI369" s="539"/>
      <c r="AJ369" s="539"/>
      <c r="AK369" s="539"/>
      <c r="AL369" s="568">
        <f t="shared" si="113"/>
        <v>500</v>
      </c>
      <c r="AP369" s="568">
        <f>I369</f>
        <v>500</v>
      </c>
      <c r="AR369" s="777">
        <f>I369</f>
        <v>500</v>
      </c>
      <c r="AS369" s="777"/>
      <c r="AT369" s="568">
        <f t="shared" si="112"/>
        <v>500</v>
      </c>
      <c r="BD369" s="777">
        <f>I369/4</f>
        <v>125</v>
      </c>
      <c r="BN369" s="803"/>
    </row>
    <row r="370" s="568" customFormat="1" ht="31" hidden="1" customHeight="1" spans="1:66">
      <c r="A370" s="547">
        <v>45868</v>
      </c>
      <c r="B370" s="548" t="s">
        <v>1492</v>
      </c>
      <c r="C370" s="539" t="s">
        <v>249</v>
      </c>
      <c r="D370" s="568">
        <v>4500175570</v>
      </c>
      <c r="E370" s="539">
        <v>4400494419</v>
      </c>
      <c r="F370" s="568" t="s">
        <v>1493</v>
      </c>
      <c r="G370" s="551" t="s">
        <v>148</v>
      </c>
      <c r="H370" s="539" t="s">
        <v>65</v>
      </c>
      <c r="I370" s="539">
        <v>5000</v>
      </c>
      <c r="J370" s="539">
        <v>0</v>
      </c>
      <c r="K370" s="539">
        <v>8</v>
      </c>
      <c r="L370" s="795">
        <f t="shared" si="99"/>
        <v>625</v>
      </c>
      <c r="M370" s="797">
        <v>45905</v>
      </c>
      <c r="N370" s="797">
        <v>45901</v>
      </c>
      <c r="O370" s="584"/>
      <c r="P370" s="796" t="s">
        <v>103</v>
      </c>
      <c r="Q370" s="539"/>
      <c r="R370" s="570">
        <v>45876</v>
      </c>
      <c r="S370" s="570" t="s">
        <v>66</v>
      </c>
      <c r="T370" s="570" t="s">
        <v>149</v>
      </c>
      <c r="U370" s="570"/>
      <c r="V370" s="570"/>
      <c r="W370" s="548" t="s">
        <v>1494</v>
      </c>
      <c r="X370" s="797" t="s">
        <v>1424</v>
      </c>
      <c r="Y370" s="800">
        <v>4.1988</v>
      </c>
      <c r="Z370" s="801">
        <f t="shared" si="110"/>
        <v>20994</v>
      </c>
      <c r="AA370" s="539" t="s">
        <v>1495</v>
      </c>
      <c r="AB370" s="568" t="s">
        <v>148</v>
      </c>
      <c r="AC370" s="539" t="s">
        <v>76</v>
      </c>
      <c r="AD370" s="539"/>
      <c r="AE370" s="539"/>
      <c r="AF370" s="539"/>
      <c r="AG370" s="584">
        <f>4976+24</f>
        <v>5000</v>
      </c>
      <c r="AH370" s="584">
        <f t="shared" si="111"/>
        <v>0</v>
      </c>
      <c r="AI370" s="539"/>
      <c r="AJ370" s="539"/>
      <c r="AK370" s="539"/>
      <c r="AL370" s="568">
        <f t="shared" si="113"/>
        <v>5000</v>
      </c>
      <c r="AS370" s="777"/>
      <c r="AT370" s="568">
        <f t="shared" si="112"/>
        <v>5000</v>
      </c>
      <c r="AZ370" s="568">
        <f>I370</f>
        <v>5000</v>
      </c>
      <c r="BA370" s="568">
        <f>I370</f>
        <v>5000</v>
      </c>
      <c r="BE370" s="777">
        <f>I370/4</f>
        <v>1250</v>
      </c>
      <c r="BN370" s="803"/>
    </row>
    <row r="371" s="568" customFormat="1" ht="31" hidden="1" customHeight="1" spans="1:66">
      <c r="A371" s="547">
        <v>45839</v>
      </c>
      <c r="B371" s="548" t="s">
        <v>650</v>
      </c>
      <c r="C371" s="539" t="s">
        <v>249</v>
      </c>
      <c r="D371" s="568">
        <v>4500172155</v>
      </c>
      <c r="E371" s="539" t="s">
        <v>1496</v>
      </c>
      <c r="F371" s="568" t="s">
        <v>1497</v>
      </c>
      <c r="G371" s="551" t="s">
        <v>102</v>
      </c>
      <c r="H371" s="539" t="s">
        <v>65</v>
      </c>
      <c r="I371" s="539">
        <v>7200</v>
      </c>
      <c r="J371" s="539">
        <v>0</v>
      </c>
      <c r="K371" s="539">
        <v>16</v>
      </c>
      <c r="L371" s="795">
        <f t="shared" si="99"/>
        <v>450</v>
      </c>
      <c r="M371" s="797">
        <v>45905</v>
      </c>
      <c r="N371" s="797">
        <v>45901</v>
      </c>
      <c r="O371" s="584"/>
      <c r="P371" s="796" t="s">
        <v>103</v>
      </c>
      <c r="Q371" s="539"/>
      <c r="R371" s="570">
        <v>45839</v>
      </c>
      <c r="S371" s="570" t="s">
        <v>66</v>
      </c>
      <c r="T371" s="570" t="s">
        <v>66</v>
      </c>
      <c r="U371" s="570"/>
      <c r="V371" s="570"/>
      <c r="W371" s="548" t="s">
        <v>1498</v>
      </c>
      <c r="X371" s="797" t="s">
        <v>1499</v>
      </c>
      <c r="Y371" s="800">
        <v>4.2303</v>
      </c>
      <c r="Z371" s="801">
        <f t="shared" si="110"/>
        <v>30458.16</v>
      </c>
      <c r="AA371" s="539" t="s">
        <v>1500</v>
      </c>
      <c r="AB371" s="568" t="s">
        <v>102</v>
      </c>
      <c r="AC371" s="539" t="s">
        <v>76</v>
      </c>
      <c r="AD371" s="539"/>
      <c r="AE371" s="539"/>
      <c r="AF371" s="539"/>
      <c r="AG371" s="584">
        <f>6048+944+192+16</f>
        <v>7200</v>
      </c>
      <c r="AH371" s="584">
        <f t="shared" si="111"/>
        <v>0</v>
      </c>
      <c r="AI371" s="539"/>
      <c r="AJ371" s="539"/>
      <c r="AK371" s="539"/>
      <c r="AL371" s="568">
        <f t="shared" si="113"/>
        <v>7200</v>
      </c>
      <c r="AP371" s="568">
        <f t="shared" ref="AP371:AP376" si="114">I371</f>
        <v>7200</v>
      </c>
      <c r="AR371" s="777">
        <f t="shared" ref="AR371:AR376" si="115">I371</f>
        <v>7200</v>
      </c>
      <c r="AS371" s="777"/>
      <c r="AT371" s="568">
        <f t="shared" si="112"/>
        <v>7200</v>
      </c>
      <c r="BD371" s="777">
        <f>I371/4</f>
        <v>1800</v>
      </c>
      <c r="BN371" s="803"/>
    </row>
    <row r="372" s="568" customFormat="1" ht="31" hidden="1" customHeight="1" spans="1:66">
      <c r="A372" s="547">
        <v>45860</v>
      </c>
      <c r="B372" s="548" t="s">
        <v>202</v>
      </c>
      <c r="C372" s="539" t="s">
        <v>203</v>
      </c>
      <c r="D372" s="568">
        <v>4500174635</v>
      </c>
      <c r="E372" s="539" t="s">
        <v>1501</v>
      </c>
      <c r="F372" s="568" t="s">
        <v>1502</v>
      </c>
      <c r="G372" s="551" t="s">
        <v>64</v>
      </c>
      <c r="H372" s="539" t="s">
        <v>65</v>
      </c>
      <c r="I372" s="539">
        <v>840</v>
      </c>
      <c r="J372" s="539">
        <v>0</v>
      </c>
      <c r="K372" s="539">
        <v>12</v>
      </c>
      <c r="L372" s="795">
        <f t="shared" si="99"/>
        <v>70</v>
      </c>
      <c r="M372" s="797">
        <v>45905</v>
      </c>
      <c r="N372" s="797">
        <v>45901</v>
      </c>
      <c r="O372" s="584"/>
      <c r="P372" s="796" t="s">
        <v>103</v>
      </c>
      <c r="Q372" s="539"/>
      <c r="R372" s="570">
        <v>45860</v>
      </c>
      <c r="S372" s="570" t="s">
        <v>66</v>
      </c>
      <c r="T372" s="570">
        <v>45880</v>
      </c>
      <c r="U372" s="570"/>
      <c r="V372" s="570"/>
      <c r="W372" s="563" t="s">
        <v>1503</v>
      </c>
      <c r="X372" s="797" t="s">
        <v>207</v>
      </c>
      <c r="Y372" s="800">
        <v>4.1456</v>
      </c>
      <c r="Z372" s="801">
        <f t="shared" si="110"/>
        <v>3482.304</v>
      </c>
      <c r="AA372" s="539" t="s">
        <v>1504</v>
      </c>
      <c r="AB372" s="568" t="s">
        <v>64</v>
      </c>
      <c r="AC372" s="539" t="s">
        <v>76</v>
      </c>
      <c r="AD372" s="539"/>
      <c r="AE372" s="539"/>
      <c r="AF372" s="539"/>
      <c r="AG372" s="584">
        <v>840</v>
      </c>
      <c r="AH372" s="584">
        <f t="shared" si="111"/>
        <v>0</v>
      </c>
      <c r="AI372" s="539"/>
      <c r="AJ372" s="539"/>
      <c r="AK372" s="539"/>
      <c r="AL372" s="568">
        <f t="shared" si="113"/>
        <v>840</v>
      </c>
      <c r="AP372" s="568">
        <f t="shared" si="114"/>
        <v>840</v>
      </c>
      <c r="AR372" s="777">
        <f t="shared" si="115"/>
        <v>840</v>
      </c>
      <c r="AS372" s="777"/>
      <c r="AT372" s="568">
        <f t="shared" si="112"/>
        <v>840</v>
      </c>
      <c r="BN372" s="803"/>
    </row>
    <row r="373" s="568" customFormat="1" ht="31" hidden="1" customHeight="1" spans="1:66">
      <c r="A373" s="547">
        <v>45840</v>
      </c>
      <c r="B373" s="548" t="s">
        <v>125</v>
      </c>
      <c r="C373" s="539" t="s">
        <v>71</v>
      </c>
      <c r="D373" s="568">
        <v>4500172408</v>
      </c>
      <c r="E373" s="539">
        <v>20862343</v>
      </c>
      <c r="F373" s="568" t="s">
        <v>1505</v>
      </c>
      <c r="G373" s="551" t="s">
        <v>463</v>
      </c>
      <c r="H373" s="539" t="s">
        <v>424</v>
      </c>
      <c r="I373" s="539">
        <v>234</v>
      </c>
      <c r="J373" s="539">
        <v>0</v>
      </c>
      <c r="K373" s="539">
        <v>6</v>
      </c>
      <c r="L373" s="795">
        <f t="shared" si="99"/>
        <v>39</v>
      </c>
      <c r="M373" s="797">
        <v>45908</v>
      </c>
      <c r="N373" s="798">
        <v>45901</v>
      </c>
      <c r="O373" s="584"/>
      <c r="P373" s="796" t="s">
        <v>103</v>
      </c>
      <c r="Q373" s="549" t="s">
        <v>1445</v>
      </c>
      <c r="R373" s="570">
        <v>45877</v>
      </c>
      <c r="S373" s="570" t="s">
        <v>96</v>
      </c>
      <c r="T373" s="570">
        <v>45877</v>
      </c>
      <c r="U373" s="570"/>
      <c r="V373" s="570"/>
      <c r="W373" s="563" t="s">
        <v>1506</v>
      </c>
      <c r="X373" s="797" t="s">
        <v>121</v>
      </c>
      <c r="Y373" s="800">
        <v>7.4117</v>
      </c>
      <c r="Z373" s="801">
        <f t="shared" si="110"/>
        <v>1734.3378</v>
      </c>
      <c r="AA373" s="539" t="s">
        <v>1507</v>
      </c>
      <c r="AB373" s="568" t="s">
        <v>1203</v>
      </c>
      <c r="AC373" s="539" t="s">
        <v>76</v>
      </c>
      <c r="AD373" s="539"/>
      <c r="AE373" s="539"/>
      <c r="AF373" s="539"/>
      <c r="AG373" s="584">
        <v>234</v>
      </c>
      <c r="AH373" s="584">
        <f t="shared" si="111"/>
        <v>0</v>
      </c>
      <c r="AI373" s="539"/>
      <c r="AJ373" s="539"/>
      <c r="AK373" s="539"/>
      <c r="AL373" s="568">
        <f t="shared" si="113"/>
        <v>234</v>
      </c>
      <c r="AP373" s="568">
        <f t="shared" si="114"/>
        <v>234</v>
      </c>
      <c r="AR373" s="777">
        <f t="shared" si="115"/>
        <v>234</v>
      </c>
      <c r="AS373" s="777"/>
      <c r="AT373" s="568">
        <f t="shared" si="112"/>
        <v>234</v>
      </c>
      <c r="BJ373" s="568">
        <f>I373</f>
        <v>234</v>
      </c>
      <c r="BN373" s="803"/>
    </row>
    <row r="374" s="568" customFormat="1" ht="31" hidden="1" customHeight="1" spans="1:66">
      <c r="A374" s="547">
        <v>45840</v>
      </c>
      <c r="B374" s="548" t="s">
        <v>122</v>
      </c>
      <c r="C374" s="539" t="s">
        <v>116</v>
      </c>
      <c r="D374" s="568">
        <v>4500172407</v>
      </c>
      <c r="E374" s="539">
        <v>20862337</v>
      </c>
      <c r="F374" s="568" t="s">
        <v>1508</v>
      </c>
      <c r="G374" s="551" t="s">
        <v>463</v>
      </c>
      <c r="H374" s="539" t="s">
        <v>424</v>
      </c>
      <c r="I374" s="539">
        <v>2166</v>
      </c>
      <c r="J374" s="539">
        <v>0</v>
      </c>
      <c r="K374" s="539">
        <v>6</v>
      </c>
      <c r="L374" s="795">
        <f t="shared" si="99"/>
        <v>361</v>
      </c>
      <c r="M374" s="797">
        <v>45908</v>
      </c>
      <c r="N374" s="798">
        <v>45901</v>
      </c>
      <c r="O374" s="584"/>
      <c r="P374" s="796" t="s">
        <v>103</v>
      </c>
      <c r="Q374" s="549" t="s">
        <v>1445</v>
      </c>
      <c r="R374" s="570">
        <v>45877</v>
      </c>
      <c r="S374" s="570" t="s">
        <v>96</v>
      </c>
      <c r="T374" s="570">
        <v>45875</v>
      </c>
      <c r="U374" s="570"/>
      <c r="V374" s="570"/>
      <c r="W374" s="563" t="s">
        <v>1506</v>
      </c>
      <c r="X374" s="797" t="s">
        <v>121</v>
      </c>
      <c r="Y374" s="800">
        <v>7.0773</v>
      </c>
      <c r="Z374" s="801">
        <f t="shared" si="110"/>
        <v>15329.4318</v>
      </c>
      <c r="AA374" s="539" t="s">
        <v>1509</v>
      </c>
      <c r="AB374" s="568" t="s">
        <v>1203</v>
      </c>
      <c r="AC374" s="539" t="s">
        <v>76</v>
      </c>
      <c r="AD374" s="539"/>
      <c r="AE374" s="539"/>
      <c r="AF374" s="539"/>
      <c r="AG374" s="584">
        <v>2166</v>
      </c>
      <c r="AH374" s="584">
        <f t="shared" si="111"/>
        <v>0</v>
      </c>
      <c r="AI374" s="539"/>
      <c r="AJ374" s="539"/>
      <c r="AK374" s="539"/>
      <c r="AL374" s="568">
        <f t="shared" si="113"/>
        <v>2166</v>
      </c>
      <c r="AP374" s="568">
        <f t="shared" si="114"/>
        <v>2166</v>
      </c>
      <c r="AR374" s="777">
        <f t="shared" si="115"/>
        <v>2166</v>
      </c>
      <c r="AS374" s="777"/>
      <c r="AT374" s="568">
        <f t="shared" si="112"/>
        <v>2166</v>
      </c>
      <c r="BJ374" s="568">
        <f>I374</f>
        <v>2166</v>
      </c>
      <c r="BN374" s="803"/>
    </row>
    <row r="375" s="568" customFormat="1" ht="31" hidden="1" customHeight="1" spans="1:66">
      <c r="A375" s="547">
        <v>45842</v>
      </c>
      <c r="B375" s="548" t="s">
        <v>108</v>
      </c>
      <c r="C375" s="539" t="s">
        <v>90</v>
      </c>
      <c r="D375" s="568">
        <v>4500172730</v>
      </c>
      <c r="E375" s="539">
        <v>5200007204</v>
      </c>
      <c r="F375" s="568" t="s">
        <v>1510</v>
      </c>
      <c r="G375" s="551" t="s">
        <v>111</v>
      </c>
      <c r="H375" s="539" t="s">
        <v>65</v>
      </c>
      <c r="I375" s="539">
        <v>1992</v>
      </c>
      <c r="J375" s="539">
        <v>0</v>
      </c>
      <c r="K375" s="539">
        <v>12</v>
      </c>
      <c r="L375" s="795">
        <f t="shared" si="99"/>
        <v>166</v>
      </c>
      <c r="M375" s="797">
        <v>45908</v>
      </c>
      <c r="N375" s="797">
        <v>45904</v>
      </c>
      <c r="O375" s="584"/>
      <c r="P375" s="796" t="s">
        <v>103</v>
      </c>
      <c r="Q375" s="539"/>
      <c r="R375" s="570">
        <v>45842</v>
      </c>
      <c r="S375" s="570" t="s">
        <v>66</v>
      </c>
      <c r="T375" s="570" t="s">
        <v>66</v>
      </c>
      <c r="U375" s="570"/>
      <c r="V375" s="570"/>
      <c r="W375" s="548" t="s">
        <v>1511</v>
      </c>
      <c r="X375" s="797" t="s">
        <v>1512</v>
      </c>
      <c r="Y375" s="800">
        <v>2.4874</v>
      </c>
      <c r="Z375" s="801">
        <f t="shared" si="110"/>
        <v>4954.9008</v>
      </c>
      <c r="AA375" s="539" t="s">
        <v>1513</v>
      </c>
      <c r="AB375" s="539" t="s">
        <v>64</v>
      </c>
      <c r="AC375" s="539" t="s">
        <v>76</v>
      </c>
      <c r="AD375" s="539"/>
      <c r="AE375" s="539"/>
      <c r="AF375" s="539"/>
      <c r="AG375" s="584">
        <f>1944+48</f>
        <v>1992</v>
      </c>
      <c r="AH375" s="584">
        <f t="shared" si="111"/>
        <v>0</v>
      </c>
      <c r="AI375" s="539"/>
      <c r="AJ375" s="539"/>
      <c r="AK375" s="539"/>
      <c r="AL375" s="568">
        <f t="shared" si="113"/>
        <v>1992</v>
      </c>
      <c r="AP375" s="568">
        <f t="shared" si="114"/>
        <v>1992</v>
      </c>
      <c r="AR375" s="777">
        <f t="shared" si="115"/>
        <v>1992</v>
      </c>
      <c r="AS375" s="777"/>
      <c r="AT375" s="568">
        <f t="shared" si="112"/>
        <v>1992</v>
      </c>
      <c r="BN375" s="803"/>
    </row>
    <row r="376" s="568" customFormat="1" ht="31" hidden="1" customHeight="1" spans="1:66">
      <c r="A376" s="547">
        <v>45848</v>
      </c>
      <c r="B376" s="548" t="s">
        <v>1514</v>
      </c>
      <c r="C376" s="539" t="s">
        <v>645</v>
      </c>
      <c r="D376" s="568">
        <v>4500173266</v>
      </c>
      <c r="E376" s="539" t="s">
        <v>1515</v>
      </c>
      <c r="F376" s="568" t="s">
        <v>1516</v>
      </c>
      <c r="G376" s="551" t="s">
        <v>102</v>
      </c>
      <c r="H376" s="539" t="s">
        <v>65</v>
      </c>
      <c r="I376" s="539">
        <v>560</v>
      </c>
      <c r="J376" s="539">
        <v>0</v>
      </c>
      <c r="K376" s="539">
        <v>16</v>
      </c>
      <c r="L376" s="795">
        <f t="shared" si="99"/>
        <v>35</v>
      </c>
      <c r="M376" s="797">
        <v>45908</v>
      </c>
      <c r="N376" s="797">
        <v>45904</v>
      </c>
      <c r="O376" s="584"/>
      <c r="P376" s="796" t="s">
        <v>103</v>
      </c>
      <c r="Q376" s="539"/>
      <c r="R376" s="570">
        <v>45848</v>
      </c>
      <c r="S376" s="570" t="s">
        <v>66</v>
      </c>
      <c r="T376" s="570" t="s">
        <v>1517</v>
      </c>
      <c r="U376" s="570"/>
      <c r="V376" s="570"/>
      <c r="W376" s="548" t="s">
        <v>1518</v>
      </c>
      <c r="X376" s="797" t="s">
        <v>196</v>
      </c>
      <c r="Y376" s="800">
        <v>4.2114</v>
      </c>
      <c r="Z376" s="801">
        <f t="shared" si="110"/>
        <v>2358.384</v>
      </c>
      <c r="AA376" s="539" t="s">
        <v>1519</v>
      </c>
      <c r="AB376" s="568" t="s">
        <v>102</v>
      </c>
      <c r="AC376" s="539" t="s">
        <v>76</v>
      </c>
      <c r="AD376" s="539"/>
      <c r="AE376" s="539"/>
      <c r="AF376" s="539"/>
      <c r="AG376" s="584">
        <v>560</v>
      </c>
      <c r="AH376" s="584">
        <f t="shared" si="111"/>
        <v>0</v>
      </c>
      <c r="AI376" s="539"/>
      <c r="AJ376" s="539"/>
      <c r="AK376" s="539"/>
      <c r="AL376" s="568">
        <f t="shared" si="113"/>
        <v>560</v>
      </c>
      <c r="AP376" s="568">
        <f t="shared" si="114"/>
        <v>560</v>
      </c>
      <c r="AR376" s="777">
        <f t="shared" si="115"/>
        <v>560</v>
      </c>
      <c r="AS376" s="777"/>
      <c r="AT376" s="568">
        <f t="shared" si="112"/>
        <v>560</v>
      </c>
      <c r="BD376" s="777">
        <f>I376/4</f>
        <v>140</v>
      </c>
      <c r="BN376" s="803"/>
    </row>
    <row r="377" s="568" customFormat="1" ht="31" hidden="1" customHeight="1" spans="1:66">
      <c r="A377" s="547">
        <v>45678</v>
      </c>
      <c r="B377" s="548" t="s">
        <v>1372</v>
      </c>
      <c r="C377" s="539" t="s">
        <v>90</v>
      </c>
      <c r="D377" s="568">
        <v>4500156325</v>
      </c>
      <c r="E377" s="887" t="s">
        <v>1520</v>
      </c>
      <c r="F377" s="568" t="s">
        <v>1521</v>
      </c>
      <c r="G377" s="551" t="s">
        <v>819</v>
      </c>
      <c r="H377" s="539" t="s">
        <v>744</v>
      </c>
      <c r="I377" s="539">
        <v>72</v>
      </c>
      <c r="J377" s="539">
        <v>0</v>
      </c>
      <c r="K377" s="539">
        <v>1</v>
      </c>
      <c r="L377" s="795">
        <f t="shared" si="99"/>
        <v>72</v>
      </c>
      <c r="M377" s="797">
        <v>45897</v>
      </c>
      <c r="N377" s="797">
        <v>45894</v>
      </c>
      <c r="O377" s="584"/>
      <c r="P377" s="796" t="s">
        <v>103</v>
      </c>
      <c r="Q377" s="539"/>
      <c r="R377" s="570">
        <v>45832</v>
      </c>
      <c r="S377" s="570" t="s">
        <v>66</v>
      </c>
      <c r="T377" s="570" t="s">
        <v>66</v>
      </c>
      <c r="U377" s="570"/>
      <c r="V377" s="570"/>
      <c r="W377" s="548" t="s">
        <v>1471</v>
      </c>
      <c r="X377" s="797" t="s">
        <v>821</v>
      </c>
      <c r="Y377" s="800">
        <v>0</v>
      </c>
      <c r="Z377" s="801">
        <f t="shared" ref="Z377:Z382" si="116">Y377*L377</f>
        <v>0</v>
      </c>
      <c r="AA377" s="539" t="s">
        <v>1522</v>
      </c>
      <c r="AB377" s="568" t="s">
        <v>1378</v>
      </c>
      <c r="AC377" s="539" t="s">
        <v>76</v>
      </c>
      <c r="AD377" s="539"/>
      <c r="AE377" s="539"/>
      <c r="AF377" s="539"/>
      <c r="AG377" s="584">
        <f>3520+1880</f>
        <v>5400</v>
      </c>
      <c r="AH377" s="584">
        <v>0</v>
      </c>
      <c r="AI377" s="539"/>
      <c r="AJ377" s="539"/>
      <c r="AK377" s="539"/>
      <c r="AM377" s="568">
        <v>0</v>
      </c>
      <c r="AS377" s="777"/>
      <c r="BN377" s="803"/>
    </row>
    <row r="378" s="568" customFormat="1" ht="31" hidden="1" customHeight="1" spans="1:66">
      <c r="A378" s="547">
        <v>45678</v>
      </c>
      <c r="B378" s="548" t="s">
        <v>1372</v>
      </c>
      <c r="C378" s="539" t="s">
        <v>90</v>
      </c>
      <c r="D378" s="568">
        <v>4500156325</v>
      </c>
      <c r="E378" s="887" t="s">
        <v>1520</v>
      </c>
      <c r="F378" s="568" t="s">
        <v>1521</v>
      </c>
      <c r="G378" s="551">
        <v>77673</v>
      </c>
      <c r="H378" s="539" t="s">
        <v>65</v>
      </c>
      <c r="I378" s="539">
        <v>5400</v>
      </c>
      <c r="J378" s="539">
        <v>0</v>
      </c>
      <c r="K378" s="539">
        <v>75</v>
      </c>
      <c r="L378" s="795">
        <f t="shared" si="99"/>
        <v>72</v>
      </c>
      <c r="M378" s="797">
        <v>45897</v>
      </c>
      <c r="N378" s="797">
        <v>45894</v>
      </c>
      <c r="O378" s="584"/>
      <c r="P378" s="796" t="s">
        <v>103</v>
      </c>
      <c r="Q378" s="539"/>
      <c r="R378" s="570">
        <v>45832</v>
      </c>
      <c r="S378" s="570" t="s">
        <v>66</v>
      </c>
      <c r="T378" s="570" t="s">
        <v>66</v>
      </c>
      <c r="U378" s="570"/>
      <c r="V378" s="570"/>
      <c r="W378" s="548"/>
      <c r="X378" s="797" t="s">
        <v>821</v>
      </c>
      <c r="Y378" s="800">
        <v>762.5</v>
      </c>
      <c r="Z378" s="801">
        <f t="shared" si="116"/>
        <v>54900</v>
      </c>
      <c r="AA378" s="539" t="s">
        <v>1522</v>
      </c>
      <c r="AB378" s="568" t="s">
        <v>1378</v>
      </c>
      <c r="AC378" s="539" t="s">
        <v>76</v>
      </c>
      <c r="AD378" s="539"/>
      <c r="AE378" s="539"/>
      <c r="AF378" s="539"/>
      <c r="AG378" s="584">
        <v>0</v>
      </c>
      <c r="AH378" s="584">
        <v>0</v>
      </c>
      <c r="AI378" s="539"/>
      <c r="AJ378" s="539"/>
      <c r="AK378" s="539"/>
      <c r="AM378" s="568">
        <f>I378</f>
        <v>5400</v>
      </c>
      <c r="AS378" s="777"/>
      <c r="AW378" s="568">
        <f>I378</f>
        <v>5400</v>
      </c>
      <c r="AX378" s="568">
        <f>I378</f>
        <v>5400</v>
      </c>
      <c r="AY378" s="589">
        <f>I378</f>
        <v>5400</v>
      </c>
      <c r="BG378" s="589">
        <f>I378</f>
        <v>5400</v>
      </c>
      <c r="BH378" s="589">
        <f>I378/5</f>
        <v>1080</v>
      </c>
      <c r="BN378" s="803"/>
    </row>
    <row r="379" s="568" customFormat="1" ht="31" hidden="1" customHeight="1" spans="1:66">
      <c r="A379" s="547">
        <v>45678</v>
      </c>
      <c r="B379" s="548" t="s">
        <v>1372</v>
      </c>
      <c r="C379" s="539" t="s">
        <v>90</v>
      </c>
      <c r="D379" s="568">
        <v>4500156324</v>
      </c>
      <c r="E379" s="888" t="s">
        <v>1523</v>
      </c>
      <c r="F379" s="568" t="s">
        <v>1524</v>
      </c>
      <c r="G379" s="551" t="s">
        <v>819</v>
      </c>
      <c r="H379" s="539" t="s">
        <v>744</v>
      </c>
      <c r="I379" s="539">
        <v>72</v>
      </c>
      <c r="J379" s="539">
        <v>0</v>
      </c>
      <c r="K379" s="539">
        <v>1</v>
      </c>
      <c r="L379" s="795">
        <f t="shared" ref="L379:L442" si="117">I379/K379</f>
        <v>72</v>
      </c>
      <c r="M379" s="797">
        <v>45898</v>
      </c>
      <c r="N379" s="797">
        <f>M379-4</f>
        <v>45894</v>
      </c>
      <c r="O379" s="584"/>
      <c r="P379" s="796" t="s">
        <v>103</v>
      </c>
      <c r="Q379" s="539"/>
      <c r="R379" s="570">
        <v>45832</v>
      </c>
      <c r="S379" s="570" t="s">
        <v>66</v>
      </c>
      <c r="T379" s="570" t="s">
        <v>66</v>
      </c>
      <c r="U379" s="570"/>
      <c r="V379" s="570"/>
      <c r="W379" s="564" t="s">
        <v>1525</v>
      </c>
      <c r="X379" s="797" t="s">
        <v>821</v>
      </c>
      <c r="Y379" s="800">
        <v>0</v>
      </c>
      <c r="Z379" s="801">
        <f t="shared" si="116"/>
        <v>0</v>
      </c>
      <c r="AA379" s="521" t="s">
        <v>1526</v>
      </c>
      <c r="AB379" s="568" t="s">
        <v>1378</v>
      </c>
      <c r="AC379" s="539" t="s">
        <v>76</v>
      </c>
      <c r="AD379" s="539"/>
      <c r="AE379" s="539"/>
      <c r="AF379" s="539"/>
      <c r="AG379" s="584">
        <f>1920+3480</f>
        <v>5400</v>
      </c>
      <c r="AH379" s="584">
        <f>AG379-I380</f>
        <v>0</v>
      </c>
      <c r="AI379" s="539"/>
      <c r="AJ379" s="539"/>
      <c r="AK379" s="539"/>
      <c r="AM379" s="568">
        <v>0</v>
      </c>
      <c r="AS379" s="777"/>
      <c r="BN379" s="803"/>
    </row>
    <row r="380" s="568" customFormat="1" ht="31" hidden="1" customHeight="1" spans="1:66">
      <c r="A380" s="547">
        <v>45678</v>
      </c>
      <c r="B380" s="548" t="s">
        <v>1372</v>
      </c>
      <c r="C380" s="539" t="s">
        <v>90</v>
      </c>
      <c r="D380" s="568">
        <v>4500156324</v>
      </c>
      <c r="E380" s="888" t="s">
        <v>1523</v>
      </c>
      <c r="F380" s="568" t="s">
        <v>1524</v>
      </c>
      <c r="G380" s="551">
        <v>77673</v>
      </c>
      <c r="H380" s="539" t="s">
        <v>65</v>
      </c>
      <c r="I380" s="539">
        <v>5400</v>
      </c>
      <c r="J380" s="539">
        <v>0</v>
      </c>
      <c r="K380" s="539">
        <v>75</v>
      </c>
      <c r="L380" s="795">
        <f t="shared" si="117"/>
        <v>72</v>
      </c>
      <c r="M380" s="797">
        <v>45898</v>
      </c>
      <c r="N380" s="797">
        <f>M380-4</f>
        <v>45894</v>
      </c>
      <c r="O380" s="584"/>
      <c r="P380" s="796" t="s">
        <v>103</v>
      </c>
      <c r="Q380" s="539"/>
      <c r="R380" s="570">
        <v>45832</v>
      </c>
      <c r="S380" s="570" t="s">
        <v>66</v>
      </c>
      <c r="T380" s="570" t="s">
        <v>66</v>
      </c>
      <c r="U380" s="570"/>
      <c r="V380" s="570"/>
      <c r="W380" s="548"/>
      <c r="X380" s="797" t="s">
        <v>821</v>
      </c>
      <c r="Y380" s="800">
        <v>762.5</v>
      </c>
      <c r="Z380" s="801">
        <f t="shared" si="116"/>
        <v>54900</v>
      </c>
      <c r="AA380" s="521" t="s">
        <v>1526</v>
      </c>
      <c r="AB380" s="568" t="s">
        <v>1378</v>
      </c>
      <c r="AC380" s="539" t="s">
        <v>76</v>
      </c>
      <c r="AD380" s="539"/>
      <c r="AE380" s="539"/>
      <c r="AF380" s="539"/>
      <c r="AG380" s="584">
        <v>0</v>
      </c>
      <c r="AH380" s="584">
        <v>0</v>
      </c>
      <c r="AI380" s="539"/>
      <c r="AJ380" s="539"/>
      <c r="AK380" s="539"/>
      <c r="AM380" s="568">
        <f>I380</f>
        <v>5400</v>
      </c>
      <c r="AS380" s="777"/>
      <c r="AW380" s="568">
        <f>I380</f>
        <v>5400</v>
      </c>
      <c r="AX380" s="568">
        <f>I380</f>
        <v>5400</v>
      </c>
      <c r="AY380" s="589">
        <f>I380</f>
        <v>5400</v>
      </c>
      <c r="BG380" s="589">
        <f>I380</f>
        <v>5400</v>
      </c>
      <c r="BH380" s="589">
        <f>I380/5</f>
        <v>1080</v>
      </c>
      <c r="BN380" s="803"/>
    </row>
    <row r="381" s="568" customFormat="1" ht="31" hidden="1" customHeight="1" spans="1:66">
      <c r="A381" s="547">
        <v>45678</v>
      </c>
      <c r="B381" s="548" t="s">
        <v>1372</v>
      </c>
      <c r="C381" s="539" t="s">
        <v>90</v>
      </c>
      <c r="D381" s="568">
        <v>4500156328</v>
      </c>
      <c r="E381" s="888" t="s">
        <v>1527</v>
      </c>
      <c r="F381" s="568" t="s">
        <v>1528</v>
      </c>
      <c r="G381" s="551" t="s">
        <v>819</v>
      </c>
      <c r="H381" s="539" t="s">
        <v>744</v>
      </c>
      <c r="I381" s="539">
        <v>72</v>
      </c>
      <c r="J381" s="539">
        <v>0</v>
      </c>
      <c r="K381" s="539">
        <v>1</v>
      </c>
      <c r="L381" s="795">
        <f t="shared" si="117"/>
        <v>72</v>
      </c>
      <c r="M381" s="797">
        <v>45898</v>
      </c>
      <c r="N381" s="797">
        <v>45894</v>
      </c>
      <c r="O381" s="584"/>
      <c r="P381" s="796" t="s">
        <v>103</v>
      </c>
      <c r="Q381" s="539"/>
      <c r="R381" s="570">
        <v>45832</v>
      </c>
      <c r="S381" s="570" t="s">
        <v>66</v>
      </c>
      <c r="T381" s="570" t="s">
        <v>66</v>
      </c>
      <c r="U381" s="570"/>
      <c r="V381" s="570"/>
      <c r="W381" s="548" t="s">
        <v>1525</v>
      </c>
      <c r="X381" s="797" t="s">
        <v>821</v>
      </c>
      <c r="Y381" s="800">
        <v>0</v>
      </c>
      <c r="Z381" s="801">
        <f t="shared" si="116"/>
        <v>0</v>
      </c>
      <c r="AA381" s="539" t="s">
        <v>1529</v>
      </c>
      <c r="AB381" s="568" t="s">
        <v>1378</v>
      </c>
      <c r="AC381" s="539" t="s">
        <v>76</v>
      </c>
      <c r="AD381" s="539"/>
      <c r="AE381" s="539"/>
      <c r="AF381" s="539"/>
      <c r="AG381" s="584">
        <f>2880+2520</f>
        <v>5400</v>
      </c>
      <c r="AH381" s="584">
        <v>0</v>
      </c>
      <c r="AI381" s="539"/>
      <c r="AJ381" s="539"/>
      <c r="AK381" s="539"/>
      <c r="AM381" s="568">
        <v>0</v>
      </c>
      <c r="AS381" s="777"/>
      <c r="BN381" s="803"/>
    </row>
    <row r="382" s="568" customFormat="1" ht="31" hidden="1" customHeight="1" spans="1:66">
      <c r="A382" s="547">
        <v>45678</v>
      </c>
      <c r="B382" s="548" t="s">
        <v>1372</v>
      </c>
      <c r="C382" s="539" t="s">
        <v>90</v>
      </c>
      <c r="D382" s="568">
        <v>4500156328</v>
      </c>
      <c r="E382" s="888" t="s">
        <v>1527</v>
      </c>
      <c r="F382" s="568" t="s">
        <v>1528</v>
      </c>
      <c r="G382" s="551">
        <v>77673</v>
      </c>
      <c r="H382" s="539" t="s">
        <v>65</v>
      </c>
      <c r="I382" s="539">
        <v>5400</v>
      </c>
      <c r="J382" s="539">
        <v>0</v>
      </c>
      <c r="K382" s="539">
        <v>75</v>
      </c>
      <c r="L382" s="795">
        <f t="shared" si="117"/>
        <v>72</v>
      </c>
      <c r="M382" s="797">
        <v>45898</v>
      </c>
      <c r="N382" s="797">
        <v>45894</v>
      </c>
      <c r="O382" s="584"/>
      <c r="P382" s="796" t="s">
        <v>103</v>
      </c>
      <c r="Q382" s="539"/>
      <c r="R382" s="570">
        <v>45832</v>
      </c>
      <c r="S382" s="570" t="s">
        <v>66</v>
      </c>
      <c r="T382" s="570" t="s">
        <v>66</v>
      </c>
      <c r="U382" s="570"/>
      <c r="V382" s="570"/>
      <c r="W382" s="548"/>
      <c r="X382" s="797" t="s">
        <v>821</v>
      </c>
      <c r="Y382" s="800">
        <v>762.5</v>
      </c>
      <c r="Z382" s="801">
        <f t="shared" si="116"/>
        <v>54900</v>
      </c>
      <c r="AA382" s="539" t="s">
        <v>1529</v>
      </c>
      <c r="AB382" s="568" t="s">
        <v>1378</v>
      </c>
      <c r="AC382" s="539" t="s">
        <v>76</v>
      </c>
      <c r="AD382" s="539"/>
      <c r="AE382" s="539"/>
      <c r="AF382" s="539"/>
      <c r="AG382" s="584">
        <v>0</v>
      </c>
      <c r="AH382" s="584">
        <v>0</v>
      </c>
      <c r="AI382" s="539"/>
      <c r="AJ382" s="539"/>
      <c r="AK382" s="539"/>
      <c r="AM382" s="568">
        <f>I382</f>
        <v>5400</v>
      </c>
      <c r="AS382" s="777"/>
      <c r="AW382" s="568">
        <f>I382</f>
        <v>5400</v>
      </c>
      <c r="AX382" s="568">
        <f>I382</f>
        <v>5400</v>
      </c>
      <c r="AY382" s="589">
        <f>I382</f>
        <v>5400</v>
      </c>
      <c r="BG382" s="589">
        <f>I382</f>
        <v>5400</v>
      </c>
      <c r="BH382" s="589">
        <f>I382/5</f>
        <v>1080</v>
      </c>
      <c r="BN382" s="803"/>
    </row>
    <row r="383" s="568" customFormat="1" ht="31" hidden="1" customHeight="1" spans="1:66">
      <c r="A383" s="547">
        <v>45861</v>
      </c>
      <c r="B383" s="548" t="s">
        <v>220</v>
      </c>
      <c r="C383" s="539" t="s">
        <v>90</v>
      </c>
      <c r="D383" s="568">
        <v>4500174721</v>
      </c>
      <c r="E383" s="539" t="s">
        <v>1530</v>
      </c>
      <c r="F383" s="568" t="s">
        <v>1531</v>
      </c>
      <c r="G383" s="551" t="s">
        <v>223</v>
      </c>
      <c r="H383" s="539" t="s">
        <v>224</v>
      </c>
      <c r="I383" s="539">
        <v>2944</v>
      </c>
      <c r="J383" s="539">
        <v>0</v>
      </c>
      <c r="K383" s="539">
        <v>4</v>
      </c>
      <c r="L383" s="795">
        <f t="shared" si="117"/>
        <v>736</v>
      </c>
      <c r="M383" s="798">
        <v>45908</v>
      </c>
      <c r="N383" s="797">
        <v>45905</v>
      </c>
      <c r="O383" s="584"/>
      <c r="P383" s="796" t="s">
        <v>103</v>
      </c>
      <c r="Q383" s="539"/>
      <c r="R383" s="570">
        <v>45874</v>
      </c>
      <c r="S383" s="570" t="s">
        <v>96</v>
      </c>
      <c r="T383" s="570">
        <v>45881</v>
      </c>
      <c r="U383" s="570" t="s">
        <v>1481</v>
      </c>
      <c r="V383" s="570"/>
      <c r="W383" s="548" t="s">
        <v>1532</v>
      </c>
      <c r="X383" s="797" t="s">
        <v>226</v>
      </c>
      <c r="Y383" s="800">
        <v>2.8095</v>
      </c>
      <c r="Z383" s="801">
        <f t="shared" ref="Z383:Z389" si="118">Y383*I383</f>
        <v>8271.168</v>
      </c>
      <c r="AA383" s="539" t="s">
        <v>1533</v>
      </c>
      <c r="AB383" s="539" t="s">
        <v>223</v>
      </c>
      <c r="AC383" s="539" t="s">
        <v>76</v>
      </c>
      <c r="AD383" s="539"/>
      <c r="AE383" s="539"/>
      <c r="AF383" s="539"/>
      <c r="AG383" s="584">
        <f>2940+4</f>
        <v>2944</v>
      </c>
      <c r="AH383" s="584">
        <f t="shared" ref="AH383:AH390" si="119">AG383-I383</f>
        <v>0</v>
      </c>
      <c r="AI383" s="539"/>
      <c r="AJ383" s="539"/>
      <c r="AK383" s="539"/>
      <c r="AN383" s="568">
        <f>I383</f>
        <v>2944</v>
      </c>
      <c r="AS383" s="777"/>
      <c r="AT383" s="568">
        <f t="shared" ref="AT383:AT389" si="120">I383</f>
        <v>2944</v>
      </c>
      <c r="BB383" s="568">
        <f>I383</f>
        <v>2944</v>
      </c>
      <c r="BC383" s="568">
        <f>I383</f>
        <v>2944</v>
      </c>
      <c r="BD383" s="777">
        <f>I383/4</f>
        <v>736</v>
      </c>
      <c r="BN383" s="803"/>
    </row>
    <row r="384" s="568" customFormat="1" ht="31" hidden="1" customHeight="1" spans="1:66">
      <c r="A384" s="547">
        <v>45866</v>
      </c>
      <c r="B384" s="548" t="s">
        <v>220</v>
      </c>
      <c r="C384" s="539" t="s">
        <v>90</v>
      </c>
      <c r="D384" s="568">
        <v>4500175215</v>
      </c>
      <c r="E384" s="539" t="s">
        <v>1534</v>
      </c>
      <c r="F384" s="568" t="s">
        <v>1535</v>
      </c>
      <c r="G384" s="551" t="s">
        <v>223</v>
      </c>
      <c r="H384" s="539" t="s">
        <v>224</v>
      </c>
      <c r="I384" s="539">
        <v>4632</v>
      </c>
      <c r="J384" s="539">
        <v>0</v>
      </c>
      <c r="K384" s="539">
        <v>4</v>
      </c>
      <c r="L384" s="795">
        <f t="shared" si="117"/>
        <v>1158</v>
      </c>
      <c r="M384" s="798">
        <v>45908</v>
      </c>
      <c r="N384" s="797">
        <v>45905</v>
      </c>
      <c r="O384" s="584"/>
      <c r="P384" s="796" t="s">
        <v>103</v>
      </c>
      <c r="Q384" s="539"/>
      <c r="R384" s="570">
        <v>45877</v>
      </c>
      <c r="S384" s="570" t="s">
        <v>96</v>
      </c>
      <c r="T384" s="570">
        <v>45889</v>
      </c>
      <c r="U384" s="570" t="s">
        <v>1481</v>
      </c>
      <c r="V384" s="570"/>
      <c r="W384" s="548" t="s">
        <v>1536</v>
      </c>
      <c r="X384" s="797" t="s">
        <v>226</v>
      </c>
      <c r="Y384" s="800">
        <v>2.8063</v>
      </c>
      <c r="Z384" s="801">
        <f t="shared" si="118"/>
        <v>12998.7816</v>
      </c>
      <c r="AA384" s="539" t="s">
        <v>1537</v>
      </c>
      <c r="AB384" s="539" t="s">
        <v>223</v>
      </c>
      <c r="AC384" s="539" t="s">
        <v>76</v>
      </c>
      <c r="AD384" s="539"/>
      <c r="AE384" s="539"/>
      <c r="AF384" s="539"/>
      <c r="AG384" s="584">
        <f>4608+24</f>
        <v>4632</v>
      </c>
      <c r="AH384" s="584">
        <f t="shared" si="119"/>
        <v>0</v>
      </c>
      <c r="AI384" s="539"/>
      <c r="AJ384" s="539"/>
      <c r="AK384" s="539"/>
      <c r="AN384" s="568">
        <f>I384</f>
        <v>4632</v>
      </c>
      <c r="AS384" s="777"/>
      <c r="AT384" s="568">
        <f t="shared" si="120"/>
        <v>4632</v>
      </c>
      <c r="BB384" s="568">
        <f>I384</f>
        <v>4632</v>
      </c>
      <c r="BC384" s="568">
        <f>I384</f>
        <v>4632</v>
      </c>
      <c r="BD384" s="777">
        <f>I384/4</f>
        <v>1158</v>
      </c>
      <c r="BN384" s="803"/>
    </row>
    <row r="385" s="568" customFormat="1" ht="31" hidden="1" customHeight="1" spans="1:66">
      <c r="A385" s="547">
        <v>45862</v>
      </c>
      <c r="B385" s="548" t="s">
        <v>128</v>
      </c>
      <c r="C385" s="539" t="s">
        <v>90</v>
      </c>
      <c r="D385" s="568">
        <v>4500174959</v>
      </c>
      <c r="E385" s="887" t="s">
        <v>1538</v>
      </c>
      <c r="F385" s="568" t="s">
        <v>1539</v>
      </c>
      <c r="G385" s="551" t="s">
        <v>93</v>
      </c>
      <c r="H385" s="539" t="s">
        <v>94</v>
      </c>
      <c r="I385" s="539">
        <v>500</v>
      </c>
      <c r="J385" s="539">
        <v>0</v>
      </c>
      <c r="K385" s="539">
        <v>4</v>
      </c>
      <c r="L385" s="795">
        <f t="shared" si="117"/>
        <v>125</v>
      </c>
      <c r="M385" s="797">
        <v>45910</v>
      </c>
      <c r="N385" s="797">
        <v>45906</v>
      </c>
      <c r="O385" s="584" t="s">
        <v>1540</v>
      </c>
      <c r="P385" s="796" t="s">
        <v>103</v>
      </c>
      <c r="Q385" s="539"/>
      <c r="R385" s="570" t="s">
        <v>132</v>
      </c>
      <c r="S385" s="570" t="s">
        <v>66</v>
      </c>
      <c r="T385" s="570" t="s">
        <v>1487</v>
      </c>
      <c r="U385" s="570" t="s">
        <v>133</v>
      </c>
      <c r="V385" s="570"/>
      <c r="W385" s="548" t="s">
        <v>1281</v>
      </c>
      <c r="X385" s="797" t="s">
        <v>98</v>
      </c>
      <c r="Y385" s="800">
        <v>2.58</v>
      </c>
      <c r="Z385" s="801">
        <f t="shared" si="118"/>
        <v>1290</v>
      </c>
      <c r="AA385" s="539" t="s">
        <v>1541</v>
      </c>
      <c r="AB385" s="539" t="s">
        <v>93</v>
      </c>
      <c r="AC385" s="539" t="s">
        <v>76</v>
      </c>
      <c r="AD385" s="539"/>
      <c r="AE385" s="539"/>
      <c r="AF385" s="539"/>
      <c r="AG385" s="584">
        <v>500</v>
      </c>
      <c r="AH385" s="584">
        <f t="shared" si="119"/>
        <v>0</v>
      </c>
      <c r="AI385" s="539"/>
      <c r="AJ385" s="539"/>
      <c r="AK385" s="539"/>
      <c r="AL385" s="568">
        <f>I385</f>
        <v>500</v>
      </c>
      <c r="AP385" s="568">
        <f>I385</f>
        <v>500</v>
      </c>
      <c r="AR385" s="777">
        <f>I385</f>
        <v>500</v>
      </c>
      <c r="AS385" s="777"/>
      <c r="AT385" s="568">
        <f t="shared" si="120"/>
        <v>500</v>
      </c>
      <c r="BD385" s="777">
        <f>I385/4</f>
        <v>125</v>
      </c>
      <c r="BN385" s="803"/>
    </row>
    <row r="386" s="568" customFormat="1" ht="31" hidden="1" customHeight="1" spans="1:66">
      <c r="A386" s="547">
        <v>45862</v>
      </c>
      <c r="B386" s="548" t="s">
        <v>128</v>
      </c>
      <c r="C386" s="539" t="s">
        <v>90</v>
      </c>
      <c r="D386" s="568">
        <v>4500174959</v>
      </c>
      <c r="E386" s="887" t="s">
        <v>1542</v>
      </c>
      <c r="F386" s="568" t="s">
        <v>1543</v>
      </c>
      <c r="G386" s="551" t="s">
        <v>93</v>
      </c>
      <c r="H386" s="539" t="s">
        <v>94</v>
      </c>
      <c r="I386" s="539">
        <v>500</v>
      </c>
      <c r="J386" s="539">
        <v>0</v>
      </c>
      <c r="K386" s="539">
        <v>4</v>
      </c>
      <c r="L386" s="795">
        <f t="shared" si="117"/>
        <v>125</v>
      </c>
      <c r="M386" s="797">
        <v>45910</v>
      </c>
      <c r="N386" s="797">
        <v>45906</v>
      </c>
      <c r="O386" s="584" t="s">
        <v>1540</v>
      </c>
      <c r="P386" s="796" t="s">
        <v>103</v>
      </c>
      <c r="Q386" s="539"/>
      <c r="R386" s="570" t="s">
        <v>132</v>
      </c>
      <c r="S386" s="570" t="s">
        <v>66</v>
      </c>
      <c r="T386" s="570" t="s">
        <v>1487</v>
      </c>
      <c r="U386" s="570" t="s">
        <v>133</v>
      </c>
      <c r="V386" s="570"/>
      <c r="W386" s="548" t="s">
        <v>1281</v>
      </c>
      <c r="X386" s="797" t="s">
        <v>98</v>
      </c>
      <c r="Y386" s="800">
        <v>2.58</v>
      </c>
      <c r="Z386" s="801">
        <f t="shared" si="118"/>
        <v>1290</v>
      </c>
      <c r="AA386" s="539" t="s">
        <v>1544</v>
      </c>
      <c r="AB386" s="539" t="s">
        <v>93</v>
      </c>
      <c r="AC386" s="539" t="s">
        <v>76</v>
      </c>
      <c r="AD386" s="539"/>
      <c r="AE386" s="539"/>
      <c r="AF386" s="539"/>
      <c r="AG386" s="584">
        <v>500</v>
      </c>
      <c r="AH386" s="584">
        <f t="shared" si="119"/>
        <v>0</v>
      </c>
      <c r="AI386" s="539"/>
      <c r="AJ386" s="539"/>
      <c r="AK386" s="539"/>
      <c r="AL386" s="568">
        <f>I386</f>
        <v>500</v>
      </c>
      <c r="AP386" s="568">
        <f>I386</f>
        <v>500</v>
      </c>
      <c r="AR386" s="777">
        <f>I386</f>
        <v>500</v>
      </c>
      <c r="AS386" s="777"/>
      <c r="AT386" s="568">
        <f t="shared" si="120"/>
        <v>500</v>
      </c>
      <c r="BD386" s="777">
        <f>I386/4</f>
        <v>125</v>
      </c>
      <c r="BN386" s="803"/>
    </row>
    <row r="387" s="568" customFormat="1" ht="31" hidden="1" customHeight="1" spans="1:66">
      <c r="A387" s="547">
        <v>45861</v>
      </c>
      <c r="B387" s="548" t="s">
        <v>1545</v>
      </c>
      <c r="C387" s="539" t="s">
        <v>90</v>
      </c>
      <c r="D387" s="568">
        <v>4500174833</v>
      </c>
      <c r="E387" s="539" t="s">
        <v>1546</v>
      </c>
      <c r="F387" s="568" t="s">
        <v>1547</v>
      </c>
      <c r="G387" s="551" t="s">
        <v>64</v>
      </c>
      <c r="H387" s="539" t="s">
        <v>65</v>
      </c>
      <c r="I387" s="539">
        <v>2100</v>
      </c>
      <c r="J387" s="539">
        <v>0</v>
      </c>
      <c r="K387" s="539">
        <v>12</v>
      </c>
      <c r="L387" s="795">
        <f t="shared" si="117"/>
        <v>175</v>
      </c>
      <c r="M387" s="797">
        <v>45912</v>
      </c>
      <c r="N387" s="797">
        <v>45908</v>
      </c>
      <c r="O387" s="584"/>
      <c r="P387" s="796" t="s">
        <v>103</v>
      </c>
      <c r="Q387" s="539"/>
      <c r="R387" s="570">
        <v>45868</v>
      </c>
      <c r="S387" s="570" t="s">
        <v>96</v>
      </c>
      <c r="T387" s="570">
        <v>45876</v>
      </c>
      <c r="U387" s="570" t="s">
        <v>18</v>
      </c>
      <c r="V387" s="570"/>
      <c r="W387" s="807" t="s">
        <v>1548</v>
      </c>
      <c r="X387" s="797" t="s">
        <v>794</v>
      </c>
      <c r="Y387" s="800">
        <v>2.442</v>
      </c>
      <c r="Z387" s="801">
        <f t="shared" si="118"/>
        <v>5128.2</v>
      </c>
      <c r="AA387" s="539" t="s">
        <v>1549</v>
      </c>
      <c r="AB387" s="568" t="s">
        <v>64</v>
      </c>
      <c r="AC387" s="539" t="s">
        <v>76</v>
      </c>
      <c r="AD387" s="539"/>
      <c r="AE387" s="539"/>
      <c r="AF387" s="539"/>
      <c r="AG387" s="584">
        <f>792+1284+24</f>
        <v>2100</v>
      </c>
      <c r="AH387" s="584">
        <f t="shared" si="119"/>
        <v>0</v>
      </c>
      <c r="AI387" s="539"/>
      <c r="AJ387" s="539"/>
      <c r="AK387" s="539"/>
      <c r="AL387" s="568">
        <f>I387</f>
        <v>2100</v>
      </c>
      <c r="AP387" s="568">
        <f>I387</f>
        <v>2100</v>
      </c>
      <c r="AR387" s="777">
        <f>I387</f>
        <v>2100</v>
      </c>
      <c r="AS387" s="777"/>
      <c r="AT387" s="543">
        <f t="shared" si="120"/>
        <v>2100</v>
      </c>
      <c r="BN387" s="803"/>
    </row>
    <row r="388" s="568" customFormat="1" ht="31" hidden="1" customHeight="1" spans="1:66">
      <c r="A388" s="547">
        <v>45861</v>
      </c>
      <c r="B388" s="548" t="s">
        <v>1545</v>
      </c>
      <c r="C388" s="539" t="s">
        <v>90</v>
      </c>
      <c r="D388" s="568">
        <v>4500174833</v>
      </c>
      <c r="E388" s="539" t="s">
        <v>1550</v>
      </c>
      <c r="F388" s="568" t="s">
        <v>1551</v>
      </c>
      <c r="G388" s="551" t="s">
        <v>64</v>
      </c>
      <c r="H388" s="539" t="s">
        <v>65</v>
      </c>
      <c r="I388" s="539">
        <v>900</v>
      </c>
      <c r="J388" s="539">
        <v>0</v>
      </c>
      <c r="K388" s="539">
        <v>12</v>
      </c>
      <c r="L388" s="795">
        <f t="shared" si="117"/>
        <v>75</v>
      </c>
      <c r="M388" s="797">
        <v>45912</v>
      </c>
      <c r="N388" s="797">
        <v>45908</v>
      </c>
      <c r="O388" s="584"/>
      <c r="P388" s="796" t="s">
        <v>103</v>
      </c>
      <c r="Q388" s="539"/>
      <c r="R388" s="570">
        <v>45868</v>
      </c>
      <c r="S388" s="570" t="s">
        <v>96</v>
      </c>
      <c r="T388" s="570">
        <v>45876</v>
      </c>
      <c r="U388" s="570" t="s">
        <v>18</v>
      </c>
      <c r="V388" s="570"/>
      <c r="W388" s="497" t="s">
        <v>1552</v>
      </c>
      <c r="X388" s="797" t="s">
        <v>794</v>
      </c>
      <c r="Y388" s="800">
        <v>2.442</v>
      </c>
      <c r="Z388" s="801">
        <f t="shared" si="118"/>
        <v>2197.8</v>
      </c>
      <c r="AA388" s="539" t="s">
        <v>1553</v>
      </c>
      <c r="AB388" s="568" t="s">
        <v>64</v>
      </c>
      <c r="AC388" s="539" t="s">
        <v>76</v>
      </c>
      <c r="AD388" s="539"/>
      <c r="AE388" s="539"/>
      <c r="AF388" s="539"/>
      <c r="AG388" s="584">
        <v>900</v>
      </c>
      <c r="AH388" s="584">
        <f t="shared" si="119"/>
        <v>0</v>
      </c>
      <c r="AI388" s="539"/>
      <c r="AJ388" s="539"/>
      <c r="AK388" s="539"/>
      <c r="AL388" s="568">
        <f>I388</f>
        <v>900</v>
      </c>
      <c r="AP388" s="568">
        <f>I388</f>
        <v>900</v>
      </c>
      <c r="AR388" s="777">
        <f>I388</f>
        <v>900</v>
      </c>
      <c r="AS388" s="777"/>
      <c r="AT388" s="543">
        <f t="shared" si="120"/>
        <v>900</v>
      </c>
      <c r="BN388" s="803"/>
    </row>
    <row r="389" s="568" customFormat="1" ht="31" hidden="1" customHeight="1" spans="1:66">
      <c r="A389" s="547">
        <v>45870</v>
      </c>
      <c r="B389" s="548" t="s">
        <v>1294</v>
      </c>
      <c r="C389" s="539" t="s">
        <v>468</v>
      </c>
      <c r="D389" s="568">
        <v>4500175843</v>
      </c>
      <c r="E389" s="539"/>
      <c r="F389" s="568" t="s">
        <v>1554</v>
      </c>
      <c r="G389" s="551" t="s">
        <v>64</v>
      </c>
      <c r="H389" s="539" t="s">
        <v>65</v>
      </c>
      <c r="I389" s="539">
        <v>180</v>
      </c>
      <c r="J389" s="539">
        <v>0</v>
      </c>
      <c r="K389" s="539">
        <v>12</v>
      </c>
      <c r="L389" s="795">
        <f t="shared" si="117"/>
        <v>15</v>
      </c>
      <c r="M389" s="797">
        <v>45912</v>
      </c>
      <c r="N389" s="797">
        <v>45908</v>
      </c>
      <c r="O389" s="584"/>
      <c r="P389" s="796" t="s">
        <v>103</v>
      </c>
      <c r="Q389" s="539"/>
      <c r="R389" s="570">
        <v>45875</v>
      </c>
      <c r="S389" s="570" t="s">
        <v>66</v>
      </c>
      <c r="T389" s="570">
        <v>45881</v>
      </c>
      <c r="U389" s="570"/>
      <c r="V389" s="570"/>
      <c r="W389" s="548" t="s">
        <v>1555</v>
      </c>
      <c r="X389" s="797" t="s">
        <v>304</v>
      </c>
      <c r="Y389" s="800">
        <v>4.1456</v>
      </c>
      <c r="Z389" s="801">
        <f t="shared" si="118"/>
        <v>746.208</v>
      </c>
      <c r="AA389" s="539" t="s">
        <v>1556</v>
      </c>
      <c r="AB389" s="568" t="s">
        <v>165</v>
      </c>
      <c r="AC389" s="539" t="s">
        <v>76</v>
      </c>
      <c r="AD389" s="539"/>
      <c r="AE389" s="539"/>
      <c r="AF389" s="539"/>
      <c r="AG389" s="584">
        <f>168+12</f>
        <v>180</v>
      </c>
      <c r="AH389" s="584">
        <f t="shared" si="119"/>
        <v>0</v>
      </c>
      <c r="AI389" s="539"/>
      <c r="AJ389" s="539"/>
      <c r="AK389" s="539"/>
      <c r="AL389" s="568">
        <f>I389</f>
        <v>180</v>
      </c>
      <c r="AQ389" s="656">
        <f>I389</f>
        <v>180</v>
      </c>
      <c r="AR389" s="777">
        <f>I389</f>
        <v>180</v>
      </c>
      <c r="AS389" s="777"/>
      <c r="AT389" s="568">
        <f t="shared" si="120"/>
        <v>180</v>
      </c>
      <c r="BN389" s="803"/>
    </row>
    <row r="390" s="543" customFormat="1" ht="31" hidden="1" customHeight="1" spans="1:66">
      <c r="A390" s="518">
        <v>45678</v>
      </c>
      <c r="B390" s="519" t="s">
        <v>1372</v>
      </c>
      <c r="C390" s="520" t="s">
        <v>90</v>
      </c>
      <c r="D390" s="543">
        <v>4500156330</v>
      </c>
      <c r="E390" s="889" t="s">
        <v>1557</v>
      </c>
      <c r="F390" s="543" t="s">
        <v>1558</v>
      </c>
      <c r="G390" s="523" t="s">
        <v>819</v>
      </c>
      <c r="H390" s="520" t="s">
        <v>744</v>
      </c>
      <c r="I390" s="520">
        <v>72</v>
      </c>
      <c r="J390" s="520">
        <v>0</v>
      </c>
      <c r="K390" s="520">
        <v>1</v>
      </c>
      <c r="L390" s="804">
        <f t="shared" si="117"/>
        <v>72</v>
      </c>
      <c r="M390" s="537">
        <v>45906</v>
      </c>
      <c r="N390" s="537">
        <v>45902</v>
      </c>
      <c r="O390" s="522"/>
      <c r="P390" s="805" t="s">
        <v>103</v>
      </c>
      <c r="Q390" s="520"/>
      <c r="R390" s="533">
        <v>45832</v>
      </c>
      <c r="S390" s="533" t="s">
        <v>66</v>
      </c>
      <c r="T390" s="533" t="s">
        <v>66</v>
      </c>
      <c r="U390" s="533"/>
      <c r="V390" s="533"/>
      <c r="W390" s="519" t="s">
        <v>1525</v>
      </c>
      <c r="X390" s="537" t="s">
        <v>821</v>
      </c>
      <c r="Y390" s="538">
        <v>0</v>
      </c>
      <c r="Z390" s="808">
        <f>Y390*L390</f>
        <v>0</v>
      </c>
      <c r="AA390" s="520" t="s">
        <v>1559</v>
      </c>
      <c r="AB390" s="543" t="s">
        <v>1378</v>
      </c>
      <c r="AC390" s="520" t="s">
        <v>76</v>
      </c>
      <c r="AD390" s="520"/>
      <c r="AE390" s="520"/>
      <c r="AF390" s="520"/>
      <c r="AG390" s="522">
        <f>1560</f>
        <v>1560</v>
      </c>
      <c r="AH390" s="522">
        <f t="shared" si="119"/>
        <v>1488</v>
      </c>
      <c r="AI390" s="520"/>
      <c r="AJ390" s="520"/>
      <c r="AK390" s="520"/>
      <c r="AM390" s="543">
        <v>0</v>
      </c>
      <c r="AS390" s="777"/>
      <c r="BN390" s="811"/>
    </row>
    <row r="391" s="543" customFormat="1" ht="31" hidden="1" customHeight="1" spans="1:66">
      <c r="A391" s="518">
        <v>45678</v>
      </c>
      <c r="B391" s="519" t="s">
        <v>1372</v>
      </c>
      <c r="C391" s="520" t="s">
        <v>90</v>
      </c>
      <c r="D391" s="543">
        <v>4500156330</v>
      </c>
      <c r="E391" s="889" t="s">
        <v>1557</v>
      </c>
      <c r="F391" s="543" t="s">
        <v>1558</v>
      </c>
      <c r="G391" s="523">
        <v>77673</v>
      </c>
      <c r="H391" s="520" t="s">
        <v>65</v>
      </c>
      <c r="I391" s="520">
        <v>5400</v>
      </c>
      <c r="J391" s="520">
        <v>0</v>
      </c>
      <c r="K391" s="520">
        <v>75</v>
      </c>
      <c r="L391" s="804">
        <f t="shared" si="117"/>
        <v>72</v>
      </c>
      <c r="M391" s="537">
        <v>45906</v>
      </c>
      <c r="N391" s="537">
        <v>45902</v>
      </c>
      <c r="O391" s="522"/>
      <c r="P391" s="805" t="s">
        <v>103</v>
      </c>
      <c r="Q391" s="520"/>
      <c r="R391" s="533">
        <v>45832</v>
      </c>
      <c r="S391" s="533" t="s">
        <v>66</v>
      </c>
      <c r="T391" s="533" t="s">
        <v>66</v>
      </c>
      <c r="U391" s="533"/>
      <c r="V391" s="533"/>
      <c r="W391" s="519"/>
      <c r="X391" s="537" t="s">
        <v>821</v>
      </c>
      <c r="Y391" s="538">
        <v>762.5</v>
      </c>
      <c r="Z391" s="808">
        <f>Y391*L391</f>
        <v>54900</v>
      </c>
      <c r="AA391" s="520" t="s">
        <v>1559</v>
      </c>
      <c r="AB391" s="543" t="s">
        <v>1378</v>
      </c>
      <c r="AC391" s="520" t="s">
        <v>76</v>
      </c>
      <c r="AD391" s="520"/>
      <c r="AE391" s="520"/>
      <c r="AF391" s="520"/>
      <c r="AG391" s="522">
        <v>0</v>
      </c>
      <c r="AH391" s="522">
        <v>0</v>
      </c>
      <c r="AI391" s="520"/>
      <c r="AJ391" s="520"/>
      <c r="AK391" s="520"/>
      <c r="AM391" s="543">
        <f>I391</f>
        <v>5400</v>
      </c>
      <c r="AS391" s="777"/>
      <c r="AW391" s="543">
        <f>I391</f>
        <v>5400</v>
      </c>
      <c r="AX391" s="543">
        <f>I391</f>
        <v>5400</v>
      </c>
      <c r="AY391" s="601">
        <f>I391</f>
        <v>5400</v>
      </c>
      <c r="BG391" s="601">
        <f>I391</f>
        <v>5400</v>
      </c>
      <c r="BH391" s="601">
        <f>I391/5</f>
        <v>1080</v>
      </c>
      <c r="BN391" s="811"/>
    </row>
    <row r="392" s="543" customFormat="1" ht="31" hidden="1" customHeight="1" spans="1:66">
      <c r="A392" s="518">
        <v>45866</v>
      </c>
      <c r="B392" s="519" t="s">
        <v>220</v>
      </c>
      <c r="C392" s="520" t="s">
        <v>90</v>
      </c>
      <c r="D392" s="543">
        <v>4500175217</v>
      </c>
      <c r="E392" s="521" t="s">
        <v>1560</v>
      </c>
      <c r="F392" s="543" t="s">
        <v>1561</v>
      </c>
      <c r="G392" s="523" t="s">
        <v>223</v>
      </c>
      <c r="H392" s="520" t="s">
        <v>224</v>
      </c>
      <c r="I392" s="520">
        <v>7000</v>
      </c>
      <c r="J392" s="520">
        <v>0</v>
      </c>
      <c r="K392" s="520">
        <v>4</v>
      </c>
      <c r="L392" s="804">
        <f t="shared" si="117"/>
        <v>1750</v>
      </c>
      <c r="M392" s="806">
        <v>45910</v>
      </c>
      <c r="N392" s="537">
        <v>45908</v>
      </c>
      <c r="O392" s="522"/>
      <c r="P392" s="805" t="s">
        <v>103</v>
      </c>
      <c r="Q392" s="520"/>
      <c r="R392" s="533">
        <v>45877</v>
      </c>
      <c r="S392" s="533" t="s">
        <v>96</v>
      </c>
      <c r="T392" s="533">
        <v>45889</v>
      </c>
      <c r="U392" s="533" t="s">
        <v>1481</v>
      </c>
      <c r="V392" s="533"/>
      <c r="W392" s="519" t="s">
        <v>1536</v>
      </c>
      <c r="X392" s="537" t="s">
        <v>226</v>
      </c>
      <c r="Y392" s="538">
        <v>2.7951</v>
      </c>
      <c r="Z392" s="808">
        <f>Y392*I392</f>
        <v>19565.7</v>
      </c>
      <c r="AA392" s="520" t="s">
        <v>1562</v>
      </c>
      <c r="AB392" s="520" t="s">
        <v>223</v>
      </c>
      <c r="AC392" s="520" t="s">
        <v>76</v>
      </c>
      <c r="AD392" s="520"/>
      <c r="AE392" s="520"/>
      <c r="AF392" s="520"/>
      <c r="AG392" s="522">
        <v>7000</v>
      </c>
      <c r="AH392" s="522">
        <f>AG392-I392</f>
        <v>0</v>
      </c>
      <c r="AI392" s="520"/>
      <c r="AJ392" s="520"/>
      <c r="AK392" s="520"/>
      <c r="AN392" s="543">
        <f>I392</f>
        <v>7000</v>
      </c>
      <c r="AS392" s="777"/>
      <c r="AT392" s="543">
        <f>I392</f>
        <v>7000</v>
      </c>
      <c r="BB392" s="543">
        <f>I392</f>
        <v>7000</v>
      </c>
      <c r="BC392" s="543">
        <f>I392</f>
        <v>7000</v>
      </c>
      <c r="BD392" s="777">
        <f>I392/4</f>
        <v>1750</v>
      </c>
      <c r="BN392" s="811"/>
    </row>
    <row r="393" s="568" customFormat="1" ht="31" hidden="1" customHeight="1" spans="1:66">
      <c r="A393" s="547">
        <v>45678</v>
      </c>
      <c r="B393" s="548" t="s">
        <v>1372</v>
      </c>
      <c r="C393" s="539" t="s">
        <v>90</v>
      </c>
      <c r="D393" s="568">
        <v>4500156315</v>
      </c>
      <c r="E393" s="887" t="s">
        <v>1563</v>
      </c>
      <c r="F393" s="568" t="s">
        <v>1564</v>
      </c>
      <c r="G393" s="551" t="s">
        <v>819</v>
      </c>
      <c r="H393" s="539" t="s">
        <v>744</v>
      </c>
      <c r="I393" s="539">
        <v>72</v>
      </c>
      <c r="J393" s="539">
        <v>0</v>
      </c>
      <c r="K393" s="539">
        <v>1</v>
      </c>
      <c r="L393" s="795">
        <f t="shared" si="117"/>
        <v>72</v>
      </c>
      <c r="M393" s="797">
        <v>45896</v>
      </c>
      <c r="N393" s="797">
        <v>45892</v>
      </c>
      <c r="O393" s="584"/>
      <c r="P393" s="796" t="s">
        <v>103</v>
      </c>
      <c r="Q393" s="539"/>
      <c r="R393" s="570">
        <v>45832</v>
      </c>
      <c r="S393" s="570" t="s">
        <v>66</v>
      </c>
      <c r="T393" s="570" t="s">
        <v>66</v>
      </c>
      <c r="U393" s="570"/>
      <c r="V393" s="570"/>
      <c r="W393" s="548" t="s">
        <v>1471</v>
      </c>
      <c r="X393" s="797" t="s">
        <v>821</v>
      </c>
      <c r="Y393" s="800">
        <v>0</v>
      </c>
      <c r="Z393" s="801">
        <f>Y393*L393</f>
        <v>0</v>
      </c>
      <c r="AA393" s="539" t="s">
        <v>1565</v>
      </c>
      <c r="AB393" s="568" t="s">
        <v>1378</v>
      </c>
      <c r="AC393" s="539" t="s">
        <v>76</v>
      </c>
      <c r="AD393" s="539"/>
      <c r="AE393" s="539"/>
      <c r="AF393" s="539"/>
      <c r="AG393" s="584">
        <f>1200+2720+1480</f>
        <v>5400</v>
      </c>
      <c r="AH393" s="584">
        <v>0</v>
      </c>
      <c r="AI393" s="539"/>
      <c r="AJ393" s="539"/>
      <c r="AK393" s="539"/>
      <c r="AM393" s="568">
        <v>0</v>
      </c>
      <c r="AS393" s="777"/>
      <c r="BN393" s="803"/>
    </row>
    <row r="394" s="568" customFormat="1" ht="31" hidden="1" customHeight="1" spans="1:66">
      <c r="A394" s="547">
        <v>45678</v>
      </c>
      <c r="B394" s="548" t="s">
        <v>1372</v>
      </c>
      <c r="C394" s="539" t="s">
        <v>90</v>
      </c>
      <c r="D394" s="568">
        <v>4500156315</v>
      </c>
      <c r="E394" s="887" t="s">
        <v>1563</v>
      </c>
      <c r="F394" s="568" t="s">
        <v>1564</v>
      </c>
      <c r="G394" s="551">
        <v>77673</v>
      </c>
      <c r="H394" s="539" t="s">
        <v>65</v>
      </c>
      <c r="I394" s="539">
        <v>5400</v>
      </c>
      <c r="J394" s="539">
        <v>0</v>
      </c>
      <c r="K394" s="539">
        <v>75</v>
      </c>
      <c r="L394" s="795">
        <f t="shared" si="117"/>
        <v>72</v>
      </c>
      <c r="M394" s="797">
        <v>45896</v>
      </c>
      <c r="N394" s="797">
        <v>45892</v>
      </c>
      <c r="O394" s="584"/>
      <c r="P394" s="796" t="s">
        <v>103</v>
      </c>
      <c r="Q394" s="539"/>
      <c r="R394" s="570">
        <v>45832</v>
      </c>
      <c r="S394" s="570" t="s">
        <v>66</v>
      </c>
      <c r="T394" s="570" t="s">
        <v>66</v>
      </c>
      <c r="U394" s="570"/>
      <c r="V394" s="570"/>
      <c r="W394" s="548"/>
      <c r="X394" s="797" t="s">
        <v>821</v>
      </c>
      <c r="Y394" s="800">
        <v>762.5</v>
      </c>
      <c r="Z394" s="801">
        <f>Y394*L394</f>
        <v>54900</v>
      </c>
      <c r="AA394" s="539" t="s">
        <v>1565</v>
      </c>
      <c r="AB394" s="568" t="s">
        <v>1378</v>
      </c>
      <c r="AC394" s="539" t="s">
        <v>76</v>
      </c>
      <c r="AD394" s="539"/>
      <c r="AE394" s="539"/>
      <c r="AF394" s="539"/>
      <c r="AG394" s="584">
        <v>0</v>
      </c>
      <c r="AH394" s="584">
        <v>0</v>
      </c>
      <c r="AI394" s="539"/>
      <c r="AJ394" s="539"/>
      <c r="AK394" s="539"/>
      <c r="AM394" s="568">
        <f>I394</f>
        <v>5400</v>
      </c>
      <c r="AS394" s="777"/>
      <c r="AW394" s="568">
        <f>I394</f>
        <v>5400</v>
      </c>
      <c r="AX394" s="568">
        <f>I394</f>
        <v>5400</v>
      </c>
      <c r="AY394" s="589">
        <f>I394</f>
        <v>5400</v>
      </c>
      <c r="BG394" s="589">
        <f>I394</f>
        <v>5400</v>
      </c>
      <c r="BH394" s="589">
        <f>I394/5</f>
        <v>1080</v>
      </c>
      <c r="BN394" s="803"/>
    </row>
    <row r="395" s="568" customFormat="1" ht="31" hidden="1" customHeight="1" spans="1:66">
      <c r="A395" s="547">
        <v>45852</v>
      </c>
      <c r="B395" s="548" t="s">
        <v>1566</v>
      </c>
      <c r="C395" s="539" t="s">
        <v>1567</v>
      </c>
      <c r="D395" s="568">
        <v>4500173750</v>
      </c>
      <c r="E395" s="539"/>
      <c r="F395" s="568" t="s">
        <v>1568</v>
      </c>
      <c r="G395" s="551" t="s">
        <v>64</v>
      </c>
      <c r="H395" s="539" t="s">
        <v>65</v>
      </c>
      <c r="I395" s="539">
        <v>504</v>
      </c>
      <c r="J395" s="539">
        <v>0</v>
      </c>
      <c r="K395" s="539">
        <v>12</v>
      </c>
      <c r="L395" s="795">
        <f t="shared" si="117"/>
        <v>42</v>
      </c>
      <c r="M395" s="797">
        <v>45909</v>
      </c>
      <c r="N395" s="797">
        <v>45905</v>
      </c>
      <c r="O395" s="584"/>
      <c r="P395" s="796" t="s">
        <v>103</v>
      </c>
      <c r="Q395" s="539"/>
      <c r="R395" s="570">
        <v>45868</v>
      </c>
      <c r="S395" s="570" t="s">
        <v>1569</v>
      </c>
      <c r="T395" s="570">
        <v>45876</v>
      </c>
      <c r="U395" s="570"/>
      <c r="V395" s="570"/>
      <c r="W395" s="548" t="s">
        <v>1570</v>
      </c>
      <c r="X395" s="797" t="s">
        <v>473</v>
      </c>
      <c r="Y395" s="800">
        <v>4.1018</v>
      </c>
      <c r="Z395" s="801">
        <f>Y395*I395</f>
        <v>2067.3072</v>
      </c>
      <c r="AA395" s="539" t="s">
        <v>1571</v>
      </c>
      <c r="AB395" s="568" t="s">
        <v>165</v>
      </c>
      <c r="AC395" s="539" t="s">
        <v>76</v>
      </c>
      <c r="AD395" s="539"/>
      <c r="AE395" s="539"/>
      <c r="AF395" s="539"/>
      <c r="AG395" s="584">
        <v>504</v>
      </c>
      <c r="AH395" s="584">
        <f>AG395-I395</f>
        <v>0</v>
      </c>
      <c r="AI395" s="539"/>
      <c r="AJ395" s="539"/>
      <c r="AK395" s="539"/>
      <c r="AL395" s="568">
        <f>I395</f>
        <v>504</v>
      </c>
      <c r="AQ395" s="656">
        <f>I395</f>
        <v>504</v>
      </c>
      <c r="AR395" s="777">
        <f>I395</f>
        <v>504</v>
      </c>
      <c r="AS395" s="777"/>
      <c r="AT395" s="568">
        <f>I395</f>
        <v>504</v>
      </c>
      <c r="BN395" s="803"/>
    </row>
    <row r="396" s="568" customFormat="1" ht="31" hidden="1" customHeight="1" spans="1:66">
      <c r="A396" s="547">
        <v>45792</v>
      </c>
      <c r="B396" s="548" t="s">
        <v>662</v>
      </c>
      <c r="C396" s="539" t="s">
        <v>663</v>
      </c>
      <c r="D396" s="568">
        <v>4500165636</v>
      </c>
      <c r="E396" s="539">
        <v>5000001870</v>
      </c>
      <c r="F396" s="568" t="s">
        <v>1572</v>
      </c>
      <c r="G396" s="551" t="s">
        <v>118</v>
      </c>
      <c r="H396" s="539" t="s">
        <v>119</v>
      </c>
      <c r="I396" s="539">
        <v>402</v>
      </c>
      <c r="J396" s="539">
        <v>0</v>
      </c>
      <c r="K396" s="539">
        <v>6</v>
      </c>
      <c r="L396" s="795">
        <f t="shared" si="117"/>
        <v>67</v>
      </c>
      <c r="M396" s="797">
        <v>45910</v>
      </c>
      <c r="N396" s="797">
        <v>45906</v>
      </c>
      <c r="O396" s="584"/>
      <c r="P396" s="796" t="s">
        <v>103</v>
      </c>
      <c r="Q396" s="539"/>
      <c r="R396" s="570">
        <v>45785</v>
      </c>
      <c r="S396" s="784" t="s">
        <v>96</v>
      </c>
      <c r="T396" s="570">
        <v>45761</v>
      </c>
      <c r="U396" s="570" t="s">
        <v>1573</v>
      </c>
      <c r="V396" s="570"/>
      <c r="W396" s="548" t="s">
        <v>666</v>
      </c>
      <c r="X396" s="797" t="s">
        <v>667</v>
      </c>
      <c r="Y396" s="800">
        <v>4.1576</v>
      </c>
      <c r="Z396" s="801">
        <f>Y396*I396</f>
        <v>1671.3552</v>
      </c>
      <c r="AA396" s="539" t="s">
        <v>1574</v>
      </c>
      <c r="AB396" s="539" t="s">
        <v>118</v>
      </c>
      <c r="AC396" s="539" t="s">
        <v>76</v>
      </c>
      <c r="AD396" s="539"/>
      <c r="AE396" s="539"/>
      <c r="AF396" s="539"/>
      <c r="AG396" s="584">
        <v>402</v>
      </c>
      <c r="AH396" s="584">
        <f>AG396-I396</f>
        <v>0</v>
      </c>
      <c r="AI396" s="539"/>
      <c r="AJ396" s="539"/>
      <c r="AK396" s="539"/>
      <c r="AL396" s="568">
        <f>I396</f>
        <v>402</v>
      </c>
      <c r="AP396" s="568">
        <f>I396</f>
        <v>402</v>
      </c>
      <c r="AR396" s="777"/>
      <c r="AS396" s="656">
        <f>I396</f>
        <v>402</v>
      </c>
      <c r="AU396" s="791">
        <f>I396</f>
        <v>402</v>
      </c>
      <c r="BN396" s="803"/>
    </row>
    <row r="397" s="568" customFormat="1" ht="31" hidden="1" customHeight="1" spans="1:66">
      <c r="A397" s="547">
        <v>45678</v>
      </c>
      <c r="B397" s="548" t="s">
        <v>1372</v>
      </c>
      <c r="C397" s="539" t="s">
        <v>90</v>
      </c>
      <c r="D397" s="428">
        <v>4500156319</v>
      </c>
      <c r="E397" s="887" t="s">
        <v>1575</v>
      </c>
      <c r="F397" s="428" t="s">
        <v>1576</v>
      </c>
      <c r="G397" s="551" t="s">
        <v>819</v>
      </c>
      <c r="H397" s="539" t="s">
        <v>744</v>
      </c>
      <c r="I397" s="549">
        <v>72</v>
      </c>
      <c r="J397" s="549">
        <v>0</v>
      </c>
      <c r="K397" s="549">
        <v>1</v>
      </c>
      <c r="L397" s="554">
        <f t="shared" si="117"/>
        <v>72</v>
      </c>
      <c r="M397" s="797">
        <v>45912</v>
      </c>
      <c r="N397" s="797">
        <v>45908</v>
      </c>
      <c r="O397" s="584"/>
      <c r="P397" s="796" t="s">
        <v>103</v>
      </c>
      <c r="Q397" s="539"/>
      <c r="R397" s="570">
        <v>45832</v>
      </c>
      <c r="S397" s="570" t="s">
        <v>66</v>
      </c>
      <c r="T397" s="570" t="s">
        <v>66</v>
      </c>
      <c r="U397" s="570"/>
      <c r="V397" s="570"/>
      <c r="W397" s="548" t="s">
        <v>1471</v>
      </c>
      <c r="X397" s="797" t="s">
        <v>821</v>
      </c>
      <c r="Y397" s="800">
        <v>0</v>
      </c>
      <c r="Z397" s="801">
        <f t="shared" ref="Z397:Z404" si="121">Y397*L397</f>
        <v>0</v>
      </c>
      <c r="AA397" s="549" t="s">
        <v>1577</v>
      </c>
      <c r="AB397" s="802" t="s">
        <v>1378</v>
      </c>
      <c r="AC397" s="539" t="s">
        <v>76</v>
      </c>
      <c r="AD397" s="539"/>
      <c r="AE397" s="539"/>
      <c r="AF397" s="539"/>
      <c r="AG397" s="584">
        <f>1320+4080</f>
        <v>5400</v>
      </c>
      <c r="AH397" s="584">
        <v>0</v>
      </c>
      <c r="AI397" s="539"/>
      <c r="AJ397" s="539"/>
      <c r="AK397" s="539"/>
      <c r="AM397" s="568">
        <v>0</v>
      </c>
      <c r="AS397" s="777"/>
      <c r="BN397" s="803"/>
    </row>
    <row r="398" s="568" customFormat="1" ht="31" hidden="1" customHeight="1" spans="1:66">
      <c r="A398" s="547">
        <v>45678</v>
      </c>
      <c r="B398" s="548" t="s">
        <v>1372</v>
      </c>
      <c r="C398" s="539" t="s">
        <v>90</v>
      </c>
      <c r="D398" s="428">
        <v>4500156319</v>
      </c>
      <c r="E398" s="887" t="s">
        <v>1575</v>
      </c>
      <c r="F398" s="428" t="s">
        <v>1576</v>
      </c>
      <c r="G398" s="584">
        <v>77673</v>
      </c>
      <c r="H398" s="539" t="s">
        <v>65</v>
      </c>
      <c r="I398" s="549">
        <v>5400</v>
      </c>
      <c r="J398" s="549">
        <v>0</v>
      </c>
      <c r="K398" s="549">
        <v>75</v>
      </c>
      <c r="L398" s="554">
        <f t="shared" si="117"/>
        <v>72</v>
      </c>
      <c r="M398" s="797">
        <v>45912</v>
      </c>
      <c r="N398" s="797">
        <v>45908</v>
      </c>
      <c r="O398" s="584"/>
      <c r="P398" s="796" t="s">
        <v>103</v>
      </c>
      <c r="Q398" s="539"/>
      <c r="R398" s="570">
        <v>45832</v>
      </c>
      <c r="S398" s="570" t="s">
        <v>66</v>
      </c>
      <c r="T398" s="570" t="s">
        <v>66</v>
      </c>
      <c r="U398" s="570"/>
      <c r="V398" s="570"/>
      <c r="W398" s="548"/>
      <c r="X398" s="797" t="s">
        <v>821</v>
      </c>
      <c r="Y398" s="800">
        <v>762.5</v>
      </c>
      <c r="Z398" s="801">
        <f t="shared" si="121"/>
        <v>54900</v>
      </c>
      <c r="AA398" s="549" t="s">
        <v>1577</v>
      </c>
      <c r="AB398" s="802" t="s">
        <v>1378</v>
      </c>
      <c r="AC398" s="539" t="s">
        <v>76</v>
      </c>
      <c r="AD398" s="539"/>
      <c r="AE398" s="539"/>
      <c r="AF398" s="539"/>
      <c r="AG398" s="584">
        <v>0</v>
      </c>
      <c r="AH398" s="584">
        <v>0</v>
      </c>
      <c r="AI398" s="539"/>
      <c r="AJ398" s="539"/>
      <c r="AK398" s="539"/>
      <c r="AM398" s="568">
        <f>I398</f>
        <v>5400</v>
      </c>
      <c r="AS398" s="777"/>
      <c r="AW398" s="568">
        <f>I398</f>
        <v>5400</v>
      </c>
      <c r="AX398" s="568">
        <f>I398</f>
        <v>5400</v>
      </c>
      <c r="AY398" s="589">
        <f>I398</f>
        <v>5400</v>
      </c>
      <c r="BG398" s="589">
        <f>I398</f>
        <v>5400</v>
      </c>
      <c r="BH398" s="589">
        <f>I398/5</f>
        <v>1080</v>
      </c>
      <c r="BN398" s="803"/>
    </row>
    <row r="399" s="568" customFormat="1" ht="31" hidden="1" customHeight="1" spans="1:66">
      <c r="A399" s="547">
        <v>45678</v>
      </c>
      <c r="B399" s="548" t="s">
        <v>1372</v>
      </c>
      <c r="C399" s="539" t="s">
        <v>90</v>
      </c>
      <c r="D399" s="568">
        <v>4500156318</v>
      </c>
      <c r="E399" s="887" t="s">
        <v>1578</v>
      </c>
      <c r="F399" s="568" t="s">
        <v>1579</v>
      </c>
      <c r="G399" s="551" t="s">
        <v>819</v>
      </c>
      <c r="H399" s="539" t="s">
        <v>744</v>
      </c>
      <c r="I399" s="539">
        <v>72</v>
      </c>
      <c r="J399" s="539">
        <v>0</v>
      </c>
      <c r="K399" s="539">
        <v>1</v>
      </c>
      <c r="L399" s="795">
        <f t="shared" si="117"/>
        <v>72</v>
      </c>
      <c r="M399" s="797">
        <v>45912</v>
      </c>
      <c r="N399" s="797">
        <v>45908</v>
      </c>
      <c r="O399" s="584"/>
      <c r="P399" s="796" t="s">
        <v>103</v>
      </c>
      <c r="Q399" s="539"/>
      <c r="R399" s="570">
        <v>45832</v>
      </c>
      <c r="S399" s="570" t="s">
        <v>66</v>
      </c>
      <c r="T399" s="570" t="s">
        <v>66</v>
      </c>
      <c r="U399" s="570"/>
      <c r="V399" s="570"/>
      <c r="W399" s="548" t="s">
        <v>1471</v>
      </c>
      <c r="X399" s="797" t="s">
        <v>821</v>
      </c>
      <c r="Y399" s="800">
        <v>0</v>
      </c>
      <c r="Z399" s="801">
        <f t="shared" si="121"/>
        <v>0</v>
      </c>
      <c r="AA399" s="539" t="s">
        <v>1580</v>
      </c>
      <c r="AB399" s="802" t="s">
        <v>1378</v>
      </c>
      <c r="AC399" s="539" t="s">
        <v>76</v>
      </c>
      <c r="AD399" s="539"/>
      <c r="AE399" s="539"/>
      <c r="AF399" s="539"/>
      <c r="AG399" s="584">
        <v>5400</v>
      </c>
      <c r="AH399" s="584">
        <v>0</v>
      </c>
      <c r="AI399" s="539"/>
      <c r="AJ399" s="539"/>
      <c r="AK399" s="539"/>
      <c r="AM399" s="568">
        <v>0</v>
      </c>
      <c r="AS399" s="777"/>
      <c r="BN399" s="803"/>
    </row>
    <row r="400" s="568" customFormat="1" ht="31" hidden="1" customHeight="1" spans="1:66">
      <c r="A400" s="547">
        <v>45678</v>
      </c>
      <c r="B400" s="548" t="s">
        <v>1372</v>
      </c>
      <c r="C400" s="539" t="s">
        <v>90</v>
      </c>
      <c r="D400" s="568">
        <v>4500156318</v>
      </c>
      <c r="E400" s="887" t="s">
        <v>1578</v>
      </c>
      <c r="F400" s="568" t="s">
        <v>1579</v>
      </c>
      <c r="G400" s="551">
        <v>77673</v>
      </c>
      <c r="H400" s="539" t="s">
        <v>65</v>
      </c>
      <c r="I400" s="539">
        <v>5400</v>
      </c>
      <c r="J400" s="539">
        <v>0</v>
      </c>
      <c r="K400" s="539">
        <v>75</v>
      </c>
      <c r="L400" s="795">
        <f t="shared" si="117"/>
        <v>72</v>
      </c>
      <c r="M400" s="797">
        <v>45912</v>
      </c>
      <c r="N400" s="797">
        <v>45908</v>
      </c>
      <c r="O400" s="584"/>
      <c r="P400" s="796" t="s">
        <v>103</v>
      </c>
      <c r="Q400" s="539"/>
      <c r="R400" s="570">
        <v>45832</v>
      </c>
      <c r="S400" s="570" t="s">
        <v>66</v>
      </c>
      <c r="T400" s="570" t="s">
        <v>66</v>
      </c>
      <c r="U400" s="570"/>
      <c r="V400" s="570"/>
      <c r="W400" s="548"/>
      <c r="X400" s="797" t="s">
        <v>821</v>
      </c>
      <c r="Y400" s="800">
        <v>762.5</v>
      </c>
      <c r="Z400" s="801">
        <f t="shared" si="121"/>
        <v>54900</v>
      </c>
      <c r="AA400" s="539" t="s">
        <v>1580</v>
      </c>
      <c r="AB400" s="802" t="s">
        <v>1378</v>
      </c>
      <c r="AC400" s="539" t="s">
        <v>76</v>
      </c>
      <c r="AD400" s="539"/>
      <c r="AE400" s="539"/>
      <c r="AF400" s="539"/>
      <c r="AG400" s="584">
        <v>0</v>
      </c>
      <c r="AH400" s="584">
        <v>0</v>
      </c>
      <c r="AI400" s="539"/>
      <c r="AJ400" s="539"/>
      <c r="AK400" s="539"/>
      <c r="AM400" s="568">
        <f>I400</f>
        <v>5400</v>
      </c>
      <c r="AS400" s="777"/>
      <c r="AW400" s="568">
        <f>I400</f>
        <v>5400</v>
      </c>
      <c r="AX400" s="568">
        <f>I400</f>
        <v>5400</v>
      </c>
      <c r="AY400" s="589">
        <f>I400</f>
        <v>5400</v>
      </c>
      <c r="BG400" s="589">
        <f>I400</f>
        <v>5400</v>
      </c>
      <c r="BH400" s="589">
        <f>I400/5</f>
        <v>1080</v>
      </c>
      <c r="BN400" s="803"/>
    </row>
    <row r="401" s="568" customFormat="1" ht="31" hidden="1" customHeight="1" spans="1:66">
      <c r="A401" s="547">
        <v>45678</v>
      </c>
      <c r="B401" s="548" t="s">
        <v>1372</v>
      </c>
      <c r="C401" s="539" t="s">
        <v>90</v>
      </c>
      <c r="D401" s="568">
        <v>4500156332</v>
      </c>
      <c r="E401" s="888" t="s">
        <v>1581</v>
      </c>
      <c r="F401" s="568" t="s">
        <v>1582</v>
      </c>
      <c r="G401" s="551" t="s">
        <v>819</v>
      </c>
      <c r="H401" s="539" t="s">
        <v>744</v>
      </c>
      <c r="I401" s="539">
        <v>72</v>
      </c>
      <c r="J401" s="539">
        <v>0</v>
      </c>
      <c r="K401" s="539">
        <v>1</v>
      </c>
      <c r="L401" s="795">
        <f t="shared" si="117"/>
        <v>72</v>
      </c>
      <c r="M401" s="797">
        <v>45912</v>
      </c>
      <c r="N401" s="797">
        <v>45908</v>
      </c>
      <c r="O401" s="584"/>
      <c r="P401" s="796" t="s">
        <v>103</v>
      </c>
      <c r="Q401" s="539"/>
      <c r="R401" s="570">
        <v>45832</v>
      </c>
      <c r="S401" s="570" t="s">
        <v>66</v>
      </c>
      <c r="T401" s="570" t="s">
        <v>66</v>
      </c>
      <c r="U401" s="570"/>
      <c r="V401" s="570"/>
      <c r="W401" s="548" t="s">
        <v>1471</v>
      </c>
      <c r="X401" s="797" t="s">
        <v>821</v>
      </c>
      <c r="Y401" s="800">
        <v>0</v>
      </c>
      <c r="Z401" s="801">
        <f t="shared" si="121"/>
        <v>0</v>
      </c>
      <c r="AA401" s="539" t="s">
        <v>1583</v>
      </c>
      <c r="AB401" s="802" t="s">
        <v>1378</v>
      </c>
      <c r="AC401" s="539" t="s">
        <v>76</v>
      </c>
      <c r="AD401" s="539"/>
      <c r="AE401" s="539"/>
      <c r="AF401" s="539"/>
      <c r="AG401" s="584">
        <f>960+2970+1470</f>
        <v>5400</v>
      </c>
      <c r="AH401" s="584">
        <v>0</v>
      </c>
      <c r="AI401" s="539"/>
      <c r="AJ401" s="539"/>
      <c r="AK401" s="539"/>
      <c r="AM401" s="568">
        <v>0</v>
      </c>
      <c r="AS401" s="777"/>
      <c r="BN401" s="803"/>
    </row>
    <row r="402" s="568" customFormat="1" ht="31" hidden="1" customHeight="1" spans="1:66">
      <c r="A402" s="547">
        <v>45678</v>
      </c>
      <c r="B402" s="548" t="s">
        <v>1372</v>
      </c>
      <c r="C402" s="539" t="s">
        <v>90</v>
      </c>
      <c r="D402" s="568">
        <v>4500156332</v>
      </c>
      <c r="E402" s="888" t="s">
        <v>1581</v>
      </c>
      <c r="F402" s="568" t="s">
        <v>1582</v>
      </c>
      <c r="G402" s="551">
        <v>77673</v>
      </c>
      <c r="H402" s="539" t="s">
        <v>65</v>
      </c>
      <c r="I402" s="539">
        <v>5400</v>
      </c>
      <c r="J402" s="539">
        <v>0</v>
      </c>
      <c r="K402" s="539">
        <v>75</v>
      </c>
      <c r="L402" s="795">
        <f t="shared" si="117"/>
        <v>72</v>
      </c>
      <c r="M402" s="797">
        <v>45912</v>
      </c>
      <c r="N402" s="797">
        <v>45908</v>
      </c>
      <c r="O402" s="584"/>
      <c r="P402" s="796" t="s">
        <v>103</v>
      </c>
      <c r="Q402" s="539"/>
      <c r="R402" s="570">
        <v>45832</v>
      </c>
      <c r="S402" s="570" t="s">
        <v>66</v>
      </c>
      <c r="T402" s="570" t="s">
        <v>66</v>
      </c>
      <c r="U402" s="570"/>
      <c r="V402" s="570"/>
      <c r="W402" s="548"/>
      <c r="X402" s="797" t="s">
        <v>821</v>
      </c>
      <c r="Y402" s="800">
        <v>762.5</v>
      </c>
      <c r="Z402" s="801">
        <f t="shared" si="121"/>
        <v>54900</v>
      </c>
      <c r="AA402" s="539" t="s">
        <v>1583</v>
      </c>
      <c r="AB402" s="802" t="s">
        <v>1378</v>
      </c>
      <c r="AC402" s="539" t="s">
        <v>76</v>
      </c>
      <c r="AD402" s="539"/>
      <c r="AE402" s="539"/>
      <c r="AF402" s="539"/>
      <c r="AG402" s="584">
        <v>0</v>
      </c>
      <c r="AH402" s="584">
        <v>0</v>
      </c>
      <c r="AI402" s="539"/>
      <c r="AJ402" s="539"/>
      <c r="AK402" s="539"/>
      <c r="AM402" s="568">
        <f>I402</f>
        <v>5400</v>
      </c>
      <c r="AS402" s="777"/>
      <c r="AW402" s="568">
        <f>I402</f>
        <v>5400</v>
      </c>
      <c r="AX402" s="568">
        <f>I402</f>
        <v>5400</v>
      </c>
      <c r="AY402" s="589">
        <f>I402</f>
        <v>5400</v>
      </c>
      <c r="BG402" s="589">
        <f>I402</f>
        <v>5400</v>
      </c>
      <c r="BH402" s="589">
        <f>I402/5</f>
        <v>1080</v>
      </c>
      <c r="BN402" s="803"/>
    </row>
    <row r="403" s="568" customFormat="1" ht="31" hidden="1" customHeight="1" spans="1:66">
      <c r="A403" s="547">
        <v>45678</v>
      </c>
      <c r="B403" s="548" t="s">
        <v>1372</v>
      </c>
      <c r="C403" s="539" t="s">
        <v>90</v>
      </c>
      <c r="D403" s="428">
        <v>4500156334</v>
      </c>
      <c r="E403" s="887" t="s">
        <v>1584</v>
      </c>
      <c r="F403" s="428" t="s">
        <v>1585</v>
      </c>
      <c r="G403" s="551" t="s">
        <v>819</v>
      </c>
      <c r="H403" s="539" t="s">
        <v>744</v>
      </c>
      <c r="I403" s="549">
        <v>72</v>
      </c>
      <c r="J403" s="549">
        <v>0</v>
      </c>
      <c r="K403" s="549">
        <v>1</v>
      </c>
      <c r="L403" s="554">
        <f t="shared" si="117"/>
        <v>72</v>
      </c>
      <c r="M403" s="797">
        <v>45915</v>
      </c>
      <c r="N403" s="797">
        <v>45911</v>
      </c>
      <c r="O403" s="584"/>
      <c r="P403" s="796" t="s">
        <v>103</v>
      </c>
      <c r="Q403" s="539"/>
      <c r="R403" s="570">
        <v>45832</v>
      </c>
      <c r="S403" s="570" t="s">
        <v>66</v>
      </c>
      <c r="T403" s="570" t="s">
        <v>66</v>
      </c>
      <c r="U403" s="570"/>
      <c r="V403" s="570"/>
      <c r="W403" s="564" t="s">
        <v>1471</v>
      </c>
      <c r="X403" s="797" t="s">
        <v>821</v>
      </c>
      <c r="Y403" s="800">
        <v>0</v>
      </c>
      <c r="Z403" s="801">
        <f t="shared" si="121"/>
        <v>0</v>
      </c>
      <c r="AA403" s="539" t="s">
        <v>1586</v>
      </c>
      <c r="AB403" s="802" t="s">
        <v>1378</v>
      </c>
      <c r="AC403" s="539" t="s">
        <v>76</v>
      </c>
      <c r="AD403" s="539"/>
      <c r="AE403" s="539"/>
      <c r="AF403" s="539"/>
      <c r="AG403" s="584">
        <f>5100+300</f>
        <v>5400</v>
      </c>
      <c r="AH403" s="584">
        <v>0</v>
      </c>
      <c r="AI403" s="539"/>
      <c r="AJ403" s="539"/>
      <c r="AK403" s="539"/>
      <c r="AM403" s="568">
        <v>0</v>
      </c>
      <c r="AS403" s="777"/>
      <c r="BN403" s="803"/>
    </row>
    <row r="404" s="568" customFormat="1" ht="31" hidden="1" customHeight="1" spans="1:66">
      <c r="A404" s="547">
        <v>45678</v>
      </c>
      <c r="B404" s="548" t="s">
        <v>1372</v>
      </c>
      <c r="C404" s="539" t="s">
        <v>90</v>
      </c>
      <c r="D404" s="428">
        <v>4500156334</v>
      </c>
      <c r="E404" s="887" t="s">
        <v>1584</v>
      </c>
      <c r="F404" s="428" t="s">
        <v>1585</v>
      </c>
      <c r="G404" s="584">
        <v>77673</v>
      </c>
      <c r="H404" s="539" t="s">
        <v>65</v>
      </c>
      <c r="I404" s="549">
        <v>5400</v>
      </c>
      <c r="J404" s="549">
        <v>0</v>
      </c>
      <c r="K404" s="549">
        <v>75</v>
      </c>
      <c r="L404" s="554">
        <f t="shared" si="117"/>
        <v>72</v>
      </c>
      <c r="M404" s="797">
        <v>45915</v>
      </c>
      <c r="N404" s="797">
        <v>45911</v>
      </c>
      <c r="O404" s="584"/>
      <c r="P404" s="796" t="s">
        <v>103</v>
      </c>
      <c r="Q404" s="539"/>
      <c r="R404" s="570">
        <v>45832</v>
      </c>
      <c r="S404" s="570" t="s">
        <v>66</v>
      </c>
      <c r="T404" s="570" t="s">
        <v>66</v>
      </c>
      <c r="U404" s="570"/>
      <c r="V404" s="570"/>
      <c r="W404" s="564"/>
      <c r="X404" s="797" t="s">
        <v>821</v>
      </c>
      <c r="Y404" s="800">
        <v>762.5</v>
      </c>
      <c r="Z404" s="801">
        <f t="shared" si="121"/>
        <v>54900</v>
      </c>
      <c r="AA404" s="539" t="s">
        <v>1586</v>
      </c>
      <c r="AB404" s="802" t="s">
        <v>1378</v>
      </c>
      <c r="AC404" s="539" t="s">
        <v>76</v>
      </c>
      <c r="AD404" s="539"/>
      <c r="AE404" s="539"/>
      <c r="AF404" s="539"/>
      <c r="AG404" s="584">
        <v>0</v>
      </c>
      <c r="AH404" s="584">
        <v>0</v>
      </c>
      <c r="AI404" s="539"/>
      <c r="AJ404" s="539"/>
      <c r="AK404" s="539"/>
      <c r="AM404" s="568">
        <f>I404</f>
        <v>5400</v>
      </c>
      <c r="AS404" s="777"/>
      <c r="AW404" s="568">
        <f>I404</f>
        <v>5400</v>
      </c>
      <c r="AX404" s="568">
        <f>I404</f>
        <v>5400</v>
      </c>
      <c r="AY404" s="589">
        <f>I404</f>
        <v>5400</v>
      </c>
      <c r="BG404" s="589">
        <f>I404</f>
        <v>5400</v>
      </c>
      <c r="BH404" s="589">
        <f>I404/5</f>
        <v>1080</v>
      </c>
      <c r="BN404" s="803"/>
    </row>
    <row r="405" s="568" customFormat="1" ht="31" hidden="1" customHeight="1" spans="1:66">
      <c r="A405" s="547">
        <v>45683</v>
      </c>
      <c r="B405" s="548" t="s">
        <v>1587</v>
      </c>
      <c r="C405" s="539" t="s">
        <v>90</v>
      </c>
      <c r="D405" s="568">
        <v>4500156471</v>
      </c>
      <c r="E405" s="539">
        <v>86468</v>
      </c>
      <c r="F405" s="568" t="s">
        <v>1588</v>
      </c>
      <c r="G405" s="551" t="s">
        <v>102</v>
      </c>
      <c r="H405" s="539" t="s">
        <v>65</v>
      </c>
      <c r="I405" s="539">
        <v>912</v>
      </c>
      <c r="J405" s="539">
        <v>0</v>
      </c>
      <c r="K405" s="539">
        <v>16</v>
      </c>
      <c r="L405" s="795">
        <f t="shared" si="117"/>
        <v>57</v>
      </c>
      <c r="M405" s="798">
        <v>45918</v>
      </c>
      <c r="N405" s="798">
        <v>45915</v>
      </c>
      <c r="O405" s="584"/>
      <c r="P405" s="796" t="s">
        <v>103</v>
      </c>
      <c r="Q405" s="539"/>
      <c r="R405" s="570">
        <v>45683</v>
      </c>
      <c r="S405" s="570" t="s">
        <v>96</v>
      </c>
      <c r="T405" s="570">
        <v>45869</v>
      </c>
      <c r="U405" s="570"/>
      <c r="V405" s="570"/>
      <c r="W405" s="563" t="s">
        <v>1589</v>
      </c>
      <c r="X405" s="797" t="s">
        <v>1590</v>
      </c>
      <c r="Y405" s="809">
        <v>2.634</v>
      </c>
      <c r="Z405" s="810">
        <f t="shared" ref="Z405:Z444" si="122">Y405*I405</f>
        <v>2402.208</v>
      </c>
      <c r="AA405" s="539" t="s">
        <v>1591</v>
      </c>
      <c r="AB405" s="802" t="s">
        <v>102</v>
      </c>
      <c r="AC405" s="539" t="s">
        <v>76</v>
      </c>
      <c r="AD405" s="539"/>
      <c r="AE405" s="539"/>
      <c r="AF405" s="539"/>
      <c r="AG405" s="584">
        <f>880+32</f>
        <v>912</v>
      </c>
      <c r="AH405" s="584">
        <f t="shared" ref="AH405:AH468" si="123">AG405-I405</f>
        <v>0</v>
      </c>
      <c r="AI405" s="539"/>
      <c r="AJ405" s="539"/>
      <c r="AK405" s="539"/>
      <c r="AL405" s="568">
        <f>I405</f>
        <v>912</v>
      </c>
      <c r="AP405" s="568">
        <f>I405</f>
        <v>912</v>
      </c>
      <c r="AR405" s="777">
        <f>I405</f>
        <v>912</v>
      </c>
      <c r="AS405" s="777"/>
      <c r="AT405" s="568">
        <f t="shared" ref="AT402:AT426" si="124">I405</f>
        <v>912</v>
      </c>
      <c r="BD405" s="777">
        <f>I405/4</f>
        <v>228</v>
      </c>
      <c r="BN405" s="803"/>
    </row>
    <row r="406" s="568" customFormat="1" ht="31" hidden="1" customHeight="1" spans="1:66">
      <c r="A406" s="547">
        <v>45868</v>
      </c>
      <c r="B406" s="548" t="s">
        <v>1419</v>
      </c>
      <c r="C406" s="539" t="s">
        <v>231</v>
      </c>
      <c r="D406" s="568">
        <v>4500175150</v>
      </c>
      <c r="E406" s="539" t="s">
        <v>1419</v>
      </c>
      <c r="F406" s="568" t="s">
        <v>1592</v>
      </c>
      <c r="G406" s="551" t="s">
        <v>148</v>
      </c>
      <c r="H406" s="539" t="s">
        <v>65</v>
      </c>
      <c r="I406" s="539">
        <v>4000</v>
      </c>
      <c r="J406" s="539">
        <v>0</v>
      </c>
      <c r="K406" s="539">
        <v>8</v>
      </c>
      <c r="L406" s="795">
        <f t="shared" si="117"/>
        <v>500</v>
      </c>
      <c r="M406" s="797">
        <v>45919</v>
      </c>
      <c r="N406" s="797">
        <v>45915</v>
      </c>
      <c r="O406" s="584"/>
      <c r="P406" s="796" t="s">
        <v>103</v>
      </c>
      <c r="Q406" s="539"/>
      <c r="R406" s="570">
        <v>45863</v>
      </c>
      <c r="S406" s="570" t="s">
        <v>66</v>
      </c>
      <c r="T406" s="570" t="s">
        <v>149</v>
      </c>
      <c r="U406" s="570"/>
      <c r="V406" s="570"/>
      <c r="W406" s="548" t="s">
        <v>1593</v>
      </c>
      <c r="X406" s="797" t="s">
        <v>1424</v>
      </c>
      <c r="Y406" s="800">
        <v>4.2475</v>
      </c>
      <c r="Z406" s="801">
        <f t="shared" si="122"/>
        <v>16990</v>
      </c>
      <c r="AA406" s="539" t="s">
        <v>1594</v>
      </c>
      <c r="AB406" s="568" t="s">
        <v>148</v>
      </c>
      <c r="AC406" s="539" t="s">
        <v>76</v>
      </c>
      <c r="AD406" s="539"/>
      <c r="AE406" s="539"/>
      <c r="AF406" s="539"/>
      <c r="AG406" s="584">
        <f>2520+1448+32</f>
        <v>4000</v>
      </c>
      <c r="AH406" s="584">
        <f t="shared" si="123"/>
        <v>0</v>
      </c>
      <c r="AI406" s="539"/>
      <c r="AJ406" s="539"/>
      <c r="AK406" s="539"/>
      <c r="AL406" s="568">
        <f>I406</f>
        <v>4000</v>
      </c>
      <c r="AS406" s="777"/>
      <c r="AT406" s="568">
        <f t="shared" si="124"/>
        <v>4000</v>
      </c>
      <c r="AZ406" s="568">
        <f>I406</f>
        <v>4000</v>
      </c>
      <c r="BA406" s="568">
        <f>I406</f>
        <v>4000</v>
      </c>
      <c r="BE406" s="777">
        <f>I406/4</f>
        <v>1000</v>
      </c>
      <c r="BN406" s="803"/>
    </row>
    <row r="407" s="568" customFormat="1" ht="31" hidden="1" customHeight="1" spans="1:66">
      <c r="A407" s="547">
        <v>45870</v>
      </c>
      <c r="B407" s="548" t="s">
        <v>1595</v>
      </c>
      <c r="C407" s="539" t="s">
        <v>139</v>
      </c>
      <c r="D407" s="568">
        <v>4500175788</v>
      </c>
      <c r="E407" s="539"/>
      <c r="F407" s="568" t="s">
        <v>1596</v>
      </c>
      <c r="G407" s="551" t="s">
        <v>148</v>
      </c>
      <c r="H407" s="539" t="s">
        <v>65</v>
      </c>
      <c r="I407" s="539">
        <v>1352</v>
      </c>
      <c r="J407" s="539">
        <v>0</v>
      </c>
      <c r="K407" s="539">
        <v>8</v>
      </c>
      <c r="L407" s="795">
        <f t="shared" si="117"/>
        <v>169</v>
      </c>
      <c r="M407" s="797">
        <v>45919</v>
      </c>
      <c r="N407" s="797">
        <v>45915</v>
      </c>
      <c r="O407" s="584"/>
      <c r="P407" s="796" t="s">
        <v>103</v>
      </c>
      <c r="Q407" s="539"/>
      <c r="R407" s="570">
        <v>45880</v>
      </c>
      <c r="S407" s="570" t="s">
        <v>66</v>
      </c>
      <c r="T407" s="570" t="s">
        <v>1597</v>
      </c>
      <c r="U407" s="570"/>
      <c r="V407" s="570"/>
      <c r="W407" s="563" t="s">
        <v>1598</v>
      </c>
      <c r="X407" s="797" t="s">
        <v>1424</v>
      </c>
      <c r="Y407" s="800">
        <v>4.2714</v>
      </c>
      <c r="Z407" s="801">
        <f t="shared" si="122"/>
        <v>5774.9328</v>
      </c>
      <c r="AA407" s="539" t="s">
        <v>1599</v>
      </c>
      <c r="AB407" s="568" t="s">
        <v>148</v>
      </c>
      <c r="AC407" s="539" t="s">
        <v>76</v>
      </c>
      <c r="AD407" s="539"/>
      <c r="AE407" s="539"/>
      <c r="AF407" s="539"/>
      <c r="AG407" s="584">
        <f>1328+24</f>
        <v>1352</v>
      </c>
      <c r="AH407" s="584">
        <f t="shared" si="123"/>
        <v>0</v>
      </c>
      <c r="AI407" s="539"/>
      <c r="AJ407" s="539"/>
      <c r="AK407" s="539"/>
      <c r="AL407" s="568">
        <f>I407</f>
        <v>1352</v>
      </c>
      <c r="AS407" s="777"/>
      <c r="AT407" s="568">
        <f t="shared" si="124"/>
        <v>1352</v>
      </c>
      <c r="AZ407" s="568">
        <f>I407</f>
        <v>1352</v>
      </c>
      <c r="BA407" s="568">
        <f>I407</f>
        <v>1352</v>
      </c>
      <c r="BE407" s="777">
        <f>I407/4</f>
        <v>338</v>
      </c>
      <c r="BN407" s="803"/>
    </row>
    <row r="408" s="568" customFormat="1" ht="31" hidden="1" customHeight="1" spans="1:66">
      <c r="A408" s="547">
        <v>45848</v>
      </c>
      <c r="B408" s="548" t="s">
        <v>70</v>
      </c>
      <c r="C408" s="539" t="s">
        <v>71</v>
      </c>
      <c r="D408" s="568">
        <v>4500173275</v>
      </c>
      <c r="E408" s="539">
        <v>29216695</v>
      </c>
      <c r="F408" s="568" t="s">
        <v>1600</v>
      </c>
      <c r="G408" s="551" t="s">
        <v>102</v>
      </c>
      <c r="H408" s="539" t="s">
        <v>65</v>
      </c>
      <c r="I408" s="550">
        <v>608</v>
      </c>
      <c r="J408" s="539">
        <v>0</v>
      </c>
      <c r="K408" s="539">
        <v>16</v>
      </c>
      <c r="L408" s="795">
        <f t="shared" si="117"/>
        <v>38</v>
      </c>
      <c r="M408" s="797">
        <v>45919</v>
      </c>
      <c r="N408" s="797">
        <v>45915</v>
      </c>
      <c r="O408" s="584"/>
      <c r="P408" s="796" t="s">
        <v>103</v>
      </c>
      <c r="Q408" s="539"/>
      <c r="R408" s="570">
        <v>45848</v>
      </c>
      <c r="S408" s="570" t="s">
        <v>66</v>
      </c>
      <c r="T408" s="570">
        <v>45868</v>
      </c>
      <c r="U408" s="570"/>
      <c r="V408" s="570"/>
      <c r="W408" s="563" t="s">
        <v>1601</v>
      </c>
      <c r="X408" s="797" t="s">
        <v>1602</v>
      </c>
      <c r="Y408" s="800">
        <v>4.2114</v>
      </c>
      <c r="Z408" s="801">
        <f t="shared" si="122"/>
        <v>2560.5312</v>
      </c>
      <c r="AA408" s="539"/>
      <c r="AB408" s="568" t="s">
        <v>102</v>
      </c>
      <c r="AC408" s="539" t="s">
        <v>76</v>
      </c>
      <c r="AD408" s="539"/>
      <c r="AE408" s="539"/>
      <c r="AF408" s="539"/>
      <c r="AG408" s="584">
        <f>576+32</f>
        <v>608</v>
      </c>
      <c r="AH408" s="584">
        <f t="shared" si="123"/>
        <v>0</v>
      </c>
      <c r="AI408" s="539"/>
      <c r="AJ408" s="539"/>
      <c r="AK408" s="539"/>
      <c r="AL408" s="568">
        <f>I408</f>
        <v>608</v>
      </c>
      <c r="AP408" s="568">
        <f>I408</f>
        <v>608</v>
      </c>
      <c r="AR408" s="777">
        <f>I408</f>
        <v>608</v>
      </c>
      <c r="AS408" s="777"/>
      <c r="AT408" s="568">
        <f t="shared" si="124"/>
        <v>608</v>
      </c>
      <c r="BD408" s="777">
        <f t="shared" ref="BD408:BD414" si="125">I408/4</f>
        <v>152</v>
      </c>
      <c r="BN408" s="803"/>
    </row>
    <row r="409" s="568" customFormat="1" ht="31" hidden="1" customHeight="1" spans="1:66">
      <c r="A409" s="547">
        <v>45848</v>
      </c>
      <c r="B409" s="548" t="s">
        <v>70</v>
      </c>
      <c r="C409" s="539" t="s">
        <v>71</v>
      </c>
      <c r="D409" s="568">
        <v>4500173275</v>
      </c>
      <c r="E409" s="539">
        <v>29216696</v>
      </c>
      <c r="F409" s="568" t="s">
        <v>1603</v>
      </c>
      <c r="G409" s="551" t="s">
        <v>102</v>
      </c>
      <c r="H409" s="539" t="s">
        <v>65</v>
      </c>
      <c r="I409" s="550">
        <v>192</v>
      </c>
      <c r="J409" s="539">
        <v>0</v>
      </c>
      <c r="K409" s="539">
        <v>16</v>
      </c>
      <c r="L409" s="795">
        <f t="shared" si="117"/>
        <v>12</v>
      </c>
      <c r="M409" s="797">
        <v>45919</v>
      </c>
      <c r="N409" s="797">
        <v>45915</v>
      </c>
      <c r="O409" s="584"/>
      <c r="P409" s="796" t="s">
        <v>103</v>
      </c>
      <c r="Q409" s="539"/>
      <c r="R409" s="570">
        <v>45848</v>
      </c>
      <c r="S409" s="570" t="s">
        <v>66</v>
      </c>
      <c r="T409" s="570">
        <v>45868</v>
      </c>
      <c r="U409" s="570"/>
      <c r="V409" s="570"/>
      <c r="W409" s="563" t="s">
        <v>1601</v>
      </c>
      <c r="X409" s="797" t="s">
        <v>1602</v>
      </c>
      <c r="Y409" s="800">
        <v>4.2542</v>
      </c>
      <c r="Z409" s="801">
        <f t="shared" si="122"/>
        <v>816.8064</v>
      </c>
      <c r="AA409" s="539"/>
      <c r="AB409" s="568" t="s">
        <v>102</v>
      </c>
      <c r="AC409" s="539" t="s">
        <v>76</v>
      </c>
      <c r="AD409" s="539"/>
      <c r="AE409" s="539"/>
      <c r="AF409" s="539"/>
      <c r="AG409" s="584">
        <f>176+16</f>
        <v>192</v>
      </c>
      <c r="AH409" s="584">
        <f t="shared" si="123"/>
        <v>0</v>
      </c>
      <c r="AI409" s="539"/>
      <c r="AJ409" s="539"/>
      <c r="AK409" s="539"/>
      <c r="AL409" s="568">
        <f>I409</f>
        <v>192</v>
      </c>
      <c r="AP409" s="568">
        <f>I409</f>
        <v>192</v>
      </c>
      <c r="AR409" s="777">
        <f>I409</f>
        <v>192</v>
      </c>
      <c r="AS409" s="777"/>
      <c r="AT409" s="568">
        <f t="shared" si="124"/>
        <v>192</v>
      </c>
      <c r="BD409" s="777">
        <f t="shared" si="125"/>
        <v>48</v>
      </c>
      <c r="BN409" s="803"/>
    </row>
    <row r="410" s="772" customFormat="1" ht="31" hidden="1" customHeight="1" spans="1:66">
      <c r="A410" s="547">
        <v>45854</v>
      </c>
      <c r="B410" s="548" t="s">
        <v>220</v>
      </c>
      <c r="C410" s="539" t="s">
        <v>90</v>
      </c>
      <c r="D410" s="568">
        <v>4500173789</v>
      </c>
      <c r="E410" s="539" t="s">
        <v>1604</v>
      </c>
      <c r="F410" s="568" t="s">
        <v>1605</v>
      </c>
      <c r="G410" s="551" t="s">
        <v>223</v>
      </c>
      <c r="H410" s="539" t="s">
        <v>224</v>
      </c>
      <c r="I410" s="539">
        <v>5000</v>
      </c>
      <c r="J410" s="539">
        <v>0</v>
      </c>
      <c r="K410" s="539">
        <v>4</v>
      </c>
      <c r="L410" s="795">
        <f t="shared" si="117"/>
        <v>1250</v>
      </c>
      <c r="M410" s="798">
        <v>45917</v>
      </c>
      <c r="N410" s="797">
        <v>45913</v>
      </c>
      <c r="O410" s="584"/>
      <c r="P410" s="796" t="s">
        <v>103</v>
      </c>
      <c r="Q410" s="539" t="s">
        <v>1606</v>
      </c>
      <c r="R410" s="570">
        <v>45880</v>
      </c>
      <c r="S410" s="570" t="s">
        <v>96</v>
      </c>
      <c r="T410" s="570">
        <v>46267</v>
      </c>
      <c r="U410" s="570" t="s">
        <v>1481</v>
      </c>
      <c r="V410" s="570"/>
      <c r="W410" s="548" t="s">
        <v>1607</v>
      </c>
      <c r="X410" s="797" t="s">
        <v>226</v>
      </c>
      <c r="Y410" s="800">
        <v>2.7951</v>
      </c>
      <c r="Z410" s="801">
        <f t="shared" si="122"/>
        <v>13975.5</v>
      </c>
      <c r="AA410" s="539" t="s">
        <v>1608</v>
      </c>
      <c r="AB410" s="539" t="s">
        <v>223</v>
      </c>
      <c r="AC410" s="539" t="s">
        <v>76</v>
      </c>
      <c r="AD410" s="539"/>
      <c r="AE410" s="539"/>
      <c r="AF410" s="539"/>
      <c r="AG410" s="584">
        <f>4976+24</f>
        <v>5000</v>
      </c>
      <c r="AH410" s="584">
        <f t="shared" si="123"/>
        <v>0</v>
      </c>
      <c r="AI410" s="539"/>
      <c r="AJ410" s="539"/>
      <c r="AK410" s="539"/>
      <c r="AL410" s="568"/>
      <c r="AM410" s="568"/>
      <c r="AN410" s="568">
        <f>I410</f>
        <v>5000</v>
      </c>
      <c r="AO410" s="568"/>
      <c r="AP410" s="568"/>
      <c r="AQ410" s="568"/>
      <c r="AR410" s="568"/>
      <c r="AS410" s="777"/>
      <c r="AT410" s="568">
        <f t="shared" si="124"/>
        <v>5000</v>
      </c>
      <c r="AU410" s="568"/>
      <c r="AV410" s="568"/>
      <c r="AW410" s="568"/>
      <c r="AX410" s="568"/>
      <c r="AY410" s="568"/>
      <c r="AZ410" s="568"/>
      <c r="BA410" s="568"/>
      <c r="BB410" s="568">
        <f>I410</f>
        <v>5000</v>
      </c>
      <c r="BC410" s="568">
        <f>I410</f>
        <v>5000</v>
      </c>
      <c r="BD410" s="777">
        <f t="shared" si="125"/>
        <v>1250</v>
      </c>
      <c r="BE410" s="568"/>
      <c r="BF410" s="568"/>
      <c r="BG410" s="568"/>
      <c r="BH410" s="568"/>
      <c r="BI410" s="568"/>
      <c r="BJ410" s="568"/>
      <c r="BK410" s="568"/>
      <c r="BL410" s="568"/>
      <c r="BM410" s="568"/>
      <c r="BN410" s="812"/>
    </row>
    <row r="411" s="772" customFormat="1" ht="31" hidden="1" customHeight="1" spans="1:66">
      <c r="A411" s="547">
        <v>45877</v>
      </c>
      <c r="B411" s="548" t="s">
        <v>128</v>
      </c>
      <c r="C411" s="539" t="s">
        <v>90</v>
      </c>
      <c r="D411" s="568">
        <v>4500176396</v>
      </c>
      <c r="E411" s="887" t="s">
        <v>1609</v>
      </c>
      <c r="F411" s="568" t="s">
        <v>1610</v>
      </c>
      <c r="G411" s="551" t="s">
        <v>93</v>
      </c>
      <c r="H411" s="539" t="s">
        <v>94</v>
      </c>
      <c r="I411" s="539">
        <v>500</v>
      </c>
      <c r="J411" s="539">
        <v>0</v>
      </c>
      <c r="K411" s="539">
        <v>4</v>
      </c>
      <c r="L411" s="795">
        <f t="shared" si="117"/>
        <v>125</v>
      </c>
      <c r="M411" s="797">
        <v>45917</v>
      </c>
      <c r="N411" s="797">
        <v>45913</v>
      </c>
      <c r="O411" s="584" t="s">
        <v>1611</v>
      </c>
      <c r="P411" s="796" t="s">
        <v>103</v>
      </c>
      <c r="Q411" s="539"/>
      <c r="R411" s="570" t="s">
        <v>132</v>
      </c>
      <c r="S411" s="570" t="s">
        <v>66</v>
      </c>
      <c r="T411" s="570" t="s">
        <v>1612</v>
      </c>
      <c r="U411" s="570" t="s">
        <v>133</v>
      </c>
      <c r="V411" s="570"/>
      <c r="W411" s="548" t="s">
        <v>1281</v>
      </c>
      <c r="X411" s="797" t="s">
        <v>98</v>
      </c>
      <c r="Y411" s="800">
        <v>2.58</v>
      </c>
      <c r="Z411" s="801">
        <f t="shared" si="122"/>
        <v>1290</v>
      </c>
      <c r="AA411" s="539" t="s">
        <v>1613</v>
      </c>
      <c r="AB411" s="539" t="s">
        <v>93</v>
      </c>
      <c r="AC411" s="539" t="s">
        <v>76</v>
      </c>
      <c r="AD411" s="539"/>
      <c r="AE411" s="539"/>
      <c r="AF411" s="539"/>
      <c r="AG411" s="584">
        <f>4+496</f>
        <v>500</v>
      </c>
      <c r="AH411" s="584">
        <f t="shared" si="123"/>
        <v>0</v>
      </c>
      <c r="AI411" s="539"/>
      <c r="AJ411" s="539"/>
      <c r="AK411" s="539"/>
      <c r="AL411" s="568">
        <f>I411</f>
        <v>500</v>
      </c>
      <c r="AM411" s="568"/>
      <c r="AN411" s="568"/>
      <c r="AO411" s="568"/>
      <c r="AP411" s="568">
        <f>I411</f>
        <v>500</v>
      </c>
      <c r="AQ411" s="568"/>
      <c r="AR411" s="777">
        <f>I411</f>
        <v>500</v>
      </c>
      <c r="AS411" s="777"/>
      <c r="AT411" s="568">
        <f t="shared" si="124"/>
        <v>500</v>
      </c>
      <c r="AU411" s="568"/>
      <c r="AV411" s="568"/>
      <c r="AW411" s="568"/>
      <c r="AX411" s="568"/>
      <c r="AY411" s="568"/>
      <c r="AZ411" s="568"/>
      <c r="BA411" s="568"/>
      <c r="BB411" s="568"/>
      <c r="BC411" s="568"/>
      <c r="BD411" s="777">
        <f t="shared" si="125"/>
        <v>125</v>
      </c>
      <c r="BE411" s="568"/>
      <c r="BF411" s="568"/>
      <c r="BG411" s="568"/>
      <c r="BH411" s="568"/>
      <c r="BI411" s="568"/>
      <c r="BJ411" s="568"/>
      <c r="BK411" s="568"/>
      <c r="BL411" s="568"/>
      <c r="BM411" s="568"/>
      <c r="BN411" s="812"/>
    </row>
    <row r="412" s="772" customFormat="1" ht="31" hidden="1" customHeight="1" spans="1:66">
      <c r="A412" s="547">
        <v>45877</v>
      </c>
      <c r="B412" s="548" t="s">
        <v>128</v>
      </c>
      <c r="C412" s="539" t="s">
        <v>90</v>
      </c>
      <c r="D412" s="568">
        <v>4500176396</v>
      </c>
      <c r="E412" s="887" t="s">
        <v>1614</v>
      </c>
      <c r="F412" s="568" t="s">
        <v>1615</v>
      </c>
      <c r="G412" s="551" t="s">
        <v>93</v>
      </c>
      <c r="H412" s="539" t="s">
        <v>94</v>
      </c>
      <c r="I412" s="539">
        <v>500</v>
      </c>
      <c r="J412" s="539">
        <v>0</v>
      </c>
      <c r="K412" s="539">
        <v>4</v>
      </c>
      <c r="L412" s="795">
        <f t="shared" si="117"/>
        <v>125</v>
      </c>
      <c r="M412" s="797">
        <v>45917</v>
      </c>
      <c r="N412" s="797">
        <v>45913</v>
      </c>
      <c r="O412" s="584" t="s">
        <v>1611</v>
      </c>
      <c r="P412" s="796" t="s">
        <v>103</v>
      </c>
      <c r="Q412" s="539"/>
      <c r="R412" s="570" t="s">
        <v>132</v>
      </c>
      <c r="S412" s="570" t="s">
        <v>66</v>
      </c>
      <c r="T412" s="570" t="s">
        <v>1612</v>
      </c>
      <c r="U412" s="570" t="s">
        <v>133</v>
      </c>
      <c r="V412" s="570"/>
      <c r="W412" s="548" t="s">
        <v>1281</v>
      </c>
      <c r="X412" s="797" t="s">
        <v>98</v>
      </c>
      <c r="Y412" s="800">
        <v>2.58</v>
      </c>
      <c r="Z412" s="801">
        <f t="shared" si="122"/>
        <v>1290</v>
      </c>
      <c r="AA412" s="539" t="s">
        <v>1616</v>
      </c>
      <c r="AB412" s="539" t="s">
        <v>93</v>
      </c>
      <c r="AC412" s="539" t="s">
        <v>76</v>
      </c>
      <c r="AD412" s="539"/>
      <c r="AE412" s="539"/>
      <c r="AF412" s="539"/>
      <c r="AG412" s="584">
        <f>12+488</f>
        <v>500</v>
      </c>
      <c r="AH412" s="584">
        <f t="shared" si="123"/>
        <v>0</v>
      </c>
      <c r="AI412" s="539"/>
      <c r="AJ412" s="539"/>
      <c r="AK412" s="539"/>
      <c r="AL412" s="568">
        <f>I412</f>
        <v>500</v>
      </c>
      <c r="AM412" s="568"/>
      <c r="AN412" s="568"/>
      <c r="AO412" s="568"/>
      <c r="AP412" s="568">
        <f>I412</f>
        <v>500</v>
      </c>
      <c r="AQ412" s="568"/>
      <c r="AR412" s="777">
        <f>I412</f>
        <v>500</v>
      </c>
      <c r="AS412" s="777"/>
      <c r="AT412" s="568">
        <f t="shared" si="124"/>
        <v>500</v>
      </c>
      <c r="AU412" s="568"/>
      <c r="AV412" s="568"/>
      <c r="AW412" s="568"/>
      <c r="AX412" s="568"/>
      <c r="AY412" s="568"/>
      <c r="AZ412" s="568"/>
      <c r="BA412" s="568"/>
      <c r="BB412" s="568"/>
      <c r="BC412" s="568"/>
      <c r="BD412" s="777">
        <f t="shared" si="125"/>
        <v>125</v>
      </c>
      <c r="BE412" s="568"/>
      <c r="BF412" s="568"/>
      <c r="BG412" s="568"/>
      <c r="BH412" s="568"/>
      <c r="BI412" s="568"/>
      <c r="BJ412" s="568"/>
      <c r="BK412" s="568"/>
      <c r="BL412" s="568"/>
      <c r="BM412" s="568"/>
      <c r="BN412" s="812"/>
    </row>
    <row r="413" s="772" customFormat="1" ht="31" hidden="1" customHeight="1" spans="1:66">
      <c r="A413" s="547">
        <v>45877</v>
      </c>
      <c r="B413" s="548" t="s">
        <v>128</v>
      </c>
      <c r="C413" s="539" t="s">
        <v>90</v>
      </c>
      <c r="D413" s="568">
        <v>4500176396</v>
      </c>
      <c r="E413" s="887" t="s">
        <v>1617</v>
      </c>
      <c r="F413" s="568" t="s">
        <v>1618</v>
      </c>
      <c r="G413" s="551" t="s">
        <v>93</v>
      </c>
      <c r="H413" s="539" t="s">
        <v>94</v>
      </c>
      <c r="I413" s="539">
        <v>500</v>
      </c>
      <c r="J413" s="539">
        <v>0</v>
      </c>
      <c r="K413" s="539">
        <v>4</v>
      </c>
      <c r="L413" s="795">
        <f t="shared" si="117"/>
        <v>125</v>
      </c>
      <c r="M413" s="797">
        <v>45917</v>
      </c>
      <c r="N413" s="797">
        <v>45913</v>
      </c>
      <c r="O413" s="584" t="s">
        <v>1611</v>
      </c>
      <c r="P413" s="796" t="s">
        <v>103</v>
      </c>
      <c r="Q413" s="539"/>
      <c r="R413" s="570" t="s">
        <v>132</v>
      </c>
      <c r="S413" s="570" t="s">
        <v>66</v>
      </c>
      <c r="T413" s="570" t="s">
        <v>1612</v>
      </c>
      <c r="U413" s="570" t="s">
        <v>133</v>
      </c>
      <c r="V413" s="570"/>
      <c r="W413" s="548" t="s">
        <v>1281</v>
      </c>
      <c r="X413" s="797" t="s">
        <v>98</v>
      </c>
      <c r="Y413" s="800">
        <v>2.58</v>
      </c>
      <c r="Z413" s="801">
        <f t="shared" si="122"/>
        <v>1290</v>
      </c>
      <c r="AA413" s="539" t="s">
        <v>1619</v>
      </c>
      <c r="AB413" s="539" t="s">
        <v>93</v>
      </c>
      <c r="AC413" s="539" t="s">
        <v>76</v>
      </c>
      <c r="AD413" s="539"/>
      <c r="AE413" s="539"/>
      <c r="AF413" s="539"/>
      <c r="AG413" s="584">
        <f>8+492</f>
        <v>500</v>
      </c>
      <c r="AH413" s="584">
        <f t="shared" si="123"/>
        <v>0</v>
      </c>
      <c r="AI413" s="539"/>
      <c r="AJ413" s="539"/>
      <c r="AK413" s="539"/>
      <c r="AL413" s="568">
        <f>I413</f>
        <v>500</v>
      </c>
      <c r="AM413" s="568"/>
      <c r="AN413" s="568"/>
      <c r="AO413" s="568"/>
      <c r="AP413" s="568">
        <f>I413</f>
        <v>500</v>
      </c>
      <c r="AQ413" s="568"/>
      <c r="AR413" s="777">
        <f>I413</f>
        <v>500</v>
      </c>
      <c r="AS413" s="777"/>
      <c r="AT413" s="568">
        <f t="shared" si="124"/>
        <v>500</v>
      </c>
      <c r="AU413" s="568"/>
      <c r="AV413" s="568"/>
      <c r="AW413" s="568"/>
      <c r="AX413" s="568"/>
      <c r="AY413" s="568"/>
      <c r="AZ413" s="568"/>
      <c r="BA413" s="568"/>
      <c r="BB413" s="568"/>
      <c r="BC413" s="568"/>
      <c r="BD413" s="777">
        <f t="shared" si="125"/>
        <v>125</v>
      </c>
      <c r="BE413" s="568"/>
      <c r="BF413" s="568"/>
      <c r="BG413" s="568"/>
      <c r="BH413" s="568"/>
      <c r="BI413" s="568"/>
      <c r="BJ413" s="568"/>
      <c r="BK413" s="568"/>
      <c r="BL413" s="568"/>
      <c r="BM413" s="568"/>
      <c r="BN413" s="812"/>
    </row>
    <row r="414" s="772" customFormat="1" ht="31" hidden="1" customHeight="1" spans="1:66">
      <c r="A414" s="547">
        <v>45869</v>
      </c>
      <c r="B414" s="548" t="s">
        <v>220</v>
      </c>
      <c r="C414" s="539" t="s">
        <v>90</v>
      </c>
      <c r="D414" s="568">
        <v>4500175701</v>
      </c>
      <c r="E414" s="539" t="s">
        <v>1620</v>
      </c>
      <c r="F414" s="568" t="s">
        <v>1621</v>
      </c>
      <c r="G414" s="551" t="s">
        <v>223</v>
      </c>
      <c r="H414" s="539" t="s">
        <v>224</v>
      </c>
      <c r="I414" s="539">
        <v>10000</v>
      </c>
      <c r="J414" s="539">
        <v>0</v>
      </c>
      <c r="K414" s="539">
        <v>4</v>
      </c>
      <c r="L414" s="795">
        <f t="shared" si="117"/>
        <v>2500</v>
      </c>
      <c r="M414" s="798">
        <v>45918</v>
      </c>
      <c r="N414" s="797">
        <v>45915</v>
      </c>
      <c r="O414" s="584"/>
      <c r="P414" s="796" t="s">
        <v>103</v>
      </c>
      <c r="Q414" s="539"/>
      <c r="R414" s="570">
        <v>45874</v>
      </c>
      <c r="S414" s="570" t="s">
        <v>96</v>
      </c>
      <c r="T414" s="570">
        <v>46267</v>
      </c>
      <c r="U414" s="570" t="s">
        <v>1481</v>
      </c>
      <c r="V414" s="570"/>
      <c r="W414" s="548" t="s">
        <v>1622</v>
      </c>
      <c r="X414" s="797" t="s">
        <v>226</v>
      </c>
      <c r="Y414" s="800">
        <v>2.78321</v>
      </c>
      <c r="Z414" s="801">
        <f t="shared" si="122"/>
        <v>27832.1</v>
      </c>
      <c r="AA414" s="539" t="s">
        <v>1623</v>
      </c>
      <c r="AB414" s="539" t="s">
        <v>223</v>
      </c>
      <c r="AC414" s="539" t="s">
        <v>76</v>
      </c>
      <c r="AD414" s="539"/>
      <c r="AE414" s="539"/>
      <c r="AF414" s="539"/>
      <c r="AG414" s="584">
        <f>4320+24+5656</f>
        <v>10000</v>
      </c>
      <c r="AH414" s="584">
        <f t="shared" si="123"/>
        <v>0</v>
      </c>
      <c r="AI414" s="539"/>
      <c r="AJ414" s="539"/>
      <c r="AK414" s="539"/>
      <c r="AL414" s="568"/>
      <c r="AM414" s="568"/>
      <c r="AN414" s="568">
        <f>I414</f>
        <v>10000</v>
      </c>
      <c r="AO414" s="568"/>
      <c r="AP414" s="568"/>
      <c r="AQ414" s="568"/>
      <c r="AR414" s="568"/>
      <c r="AS414" s="777"/>
      <c r="AT414" s="568">
        <f t="shared" si="124"/>
        <v>10000</v>
      </c>
      <c r="AU414" s="568"/>
      <c r="AV414" s="568"/>
      <c r="AW414" s="568"/>
      <c r="AX414" s="568"/>
      <c r="AY414" s="568"/>
      <c r="AZ414" s="568"/>
      <c r="BA414" s="568"/>
      <c r="BB414" s="568">
        <f>I414</f>
        <v>10000</v>
      </c>
      <c r="BC414" s="568">
        <f>I414</f>
        <v>10000</v>
      </c>
      <c r="BD414" s="777">
        <f t="shared" si="125"/>
        <v>2500</v>
      </c>
      <c r="BE414" s="568"/>
      <c r="BF414" s="568"/>
      <c r="BG414" s="568"/>
      <c r="BH414" s="568"/>
      <c r="BI414" s="568"/>
      <c r="BJ414" s="568"/>
      <c r="BK414" s="568"/>
      <c r="BL414" s="568"/>
      <c r="BM414" s="568"/>
      <c r="BN414" s="812"/>
    </row>
    <row r="415" s="772" customFormat="1" ht="31" hidden="1" customHeight="1" spans="1:66">
      <c r="A415" s="547">
        <v>45863</v>
      </c>
      <c r="B415" s="548" t="s">
        <v>1492</v>
      </c>
      <c r="C415" s="539" t="s">
        <v>249</v>
      </c>
      <c r="D415" s="568">
        <v>4500175137</v>
      </c>
      <c r="E415" s="539" t="s">
        <v>1624</v>
      </c>
      <c r="F415" s="568" t="s">
        <v>1625</v>
      </c>
      <c r="G415" s="551" t="s">
        <v>148</v>
      </c>
      <c r="H415" s="539" t="s">
        <v>65</v>
      </c>
      <c r="I415" s="539">
        <v>6000</v>
      </c>
      <c r="J415" s="539">
        <v>0</v>
      </c>
      <c r="K415" s="539">
        <v>8</v>
      </c>
      <c r="L415" s="795">
        <f t="shared" si="117"/>
        <v>750</v>
      </c>
      <c r="M415" s="797">
        <v>45919</v>
      </c>
      <c r="N415" s="797">
        <f>M415-4</f>
        <v>45915</v>
      </c>
      <c r="O415" s="584"/>
      <c r="P415" s="796" t="s">
        <v>103</v>
      </c>
      <c r="Q415" s="539" t="s">
        <v>1626</v>
      </c>
      <c r="R415" s="570">
        <v>45863</v>
      </c>
      <c r="S415" s="570" t="s">
        <v>66</v>
      </c>
      <c r="T415" s="570" t="s">
        <v>149</v>
      </c>
      <c r="U415" s="570"/>
      <c r="V415" s="570"/>
      <c r="W415" s="548" t="s">
        <v>1593</v>
      </c>
      <c r="X415" s="797" t="s">
        <v>1424</v>
      </c>
      <c r="Y415" s="800">
        <v>4.2475</v>
      </c>
      <c r="Z415" s="801">
        <f t="shared" si="122"/>
        <v>25485</v>
      </c>
      <c r="AA415" s="539" t="s">
        <v>1627</v>
      </c>
      <c r="AB415" s="568" t="s">
        <v>148</v>
      </c>
      <c r="AC415" s="539" t="s">
        <v>76</v>
      </c>
      <c r="AD415" s="539"/>
      <c r="AE415" s="539"/>
      <c r="AF415" s="539"/>
      <c r="AG415" s="584">
        <v>6000</v>
      </c>
      <c r="AH415" s="584">
        <f t="shared" si="123"/>
        <v>0</v>
      </c>
      <c r="AI415" s="539"/>
      <c r="AJ415" s="539"/>
      <c r="AK415" s="539"/>
      <c r="AL415" s="568">
        <f t="shared" ref="AL415:AL421" si="126">I415</f>
        <v>6000</v>
      </c>
      <c r="AM415" s="568"/>
      <c r="AN415" s="568"/>
      <c r="AO415" s="568"/>
      <c r="AP415" s="568"/>
      <c r="AQ415" s="568"/>
      <c r="AR415" s="568"/>
      <c r="AS415" s="777"/>
      <c r="AT415" s="568">
        <f t="shared" si="124"/>
        <v>6000</v>
      </c>
      <c r="AU415" s="568"/>
      <c r="AV415" s="568"/>
      <c r="AW415" s="568"/>
      <c r="AX415" s="568"/>
      <c r="AY415" s="568"/>
      <c r="AZ415" s="568">
        <f>I415</f>
        <v>6000</v>
      </c>
      <c r="BA415" s="568">
        <f>I415</f>
        <v>6000</v>
      </c>
      <c r="BB415" s="568"/>
      <c r="BC415" s="568"/>
      <c r="BD415" s="568"/>
      <c r="BE415" s="777">
        <f>I415/4</f>
        <v>1500</v>
      </c>
      <c r="BF415" s="568"/>
      <c r="BG415" s="568"/>
      <c r="BH415" s="568"/>
      <c r="BI415" s="568"/>
      <c r="BJ415" s="568"/>
      <c r="BK415" s="568"/>
      <c r="BL415" s="568"/>
      <c r="BM415" s="568"/>
      <c r="BN415" s="812"/>
    </row>
    <row r="416" s="568" customFormat="1" ht="31" hidden="1" customHeight="1" spans="1:66">
      <c r="A416" s="547">
        <v>45863</v>
      </c>
      <c r="B416" s="548" t="s">
        <v>1492</v>
      </c>
      <c r="C416" s="539" t="s">
        <v>249</v>
      </c>
      <c r="D416" s="568">
        <v>4500175136</v>
      </c>
      <c r="E416" s="539" t="s">
        <v>1628</v>
      </c>
      <c r="F416" s="568" t="s">
        <v>1629</v>
      </c>
      <c r="G416" s="551" t="s">
        <v>148</v>
      </c>
      <c r="H416" s="539" t="s">
        <v>65</v>
      </c>
      <c r="I416" s="539">
        <v>8000</v>
      </c>
      <c r="J416" s="539">
        <v>0</v>
      </c>
      <c r="K416" s="539">
        <v>8</v>
      </c>
      <c r="L416" s="795">
        <f t="shared" si="117"/>
        <v>1000</v>
      </c>
      <c r="M416" s="797">
        <v>45919</v>
      </c>
      <c r="N416" s="797">
        <f>M416-4</f>
        <v>45915</v>
      </c>
      <c r="O416" s="584"/>
      <c r="P416" s="796" t="s">
        <v>103</v>
      </c>
      <c r="Q416" s="539" t="s">
        <v>1626</v>
      </c>
      <c r="R416" s="570">
        <v>45863</v>
      </c>
      <c r="S416" s="570" t="s">
        <v>66</v>
      </c>
      <c r="T416" s="570" t="s">
        <v>149</v>
      </c>
      <c r="U416" s="570"/>
      <c r="V416" s="570"/>
      <c r="W416" s="548" t="s">
        <v>1593</v>
      </c>
      <c r="X416" s="797" t="s">
        <v>1424</v>
      </c>
      <c r="Y416" s="800">
        <v>4.2475</v>
      </c>
      <c r="Z416" s="801">
        <f t="shared" si="122"/>
        <v>33980</v>
      </c>
      <c r="AA416" s="539" t="s">
        <v>1630</v>
      </c>
      <c r="AB416" s="568" t="s">
        <v>148</v>
      </c>
      <c r="AC416" s="539" t="s">
        <v>76</v>
      </c>
      <c r="AD416" s="539"/>
      <c r="AE416" s="539"/>
      <c r="AF416" s="539"/>
      <c r="AG416" s="584">
        <v>8000</v>
      </c>
      <c r="AH416" s="584">
        <f t="shared" si="123"/>
        <v>0</v>
      </c>
      <c r="AI416" s="539"/>
      <c r="AJ416" s="539"/>
      <c r="AK416" s="539"/>
      <c r="AL416" s="568">
        <f t="shared" si="126"/>
        <v>8000</v>
      </c>
      <c r="AS416" s="777"/>
      <c r="AT416" s="568">
        <f t="shared" si="124"/>
        <v>8000</v>
      </c>
      <c r="AZ416" s="568">
        <f>I416</f>
        <v>8000</v>
      </c>
      <c r="BA416" s="568">
        <f>I416</f>
        <v>8000</v>
      </c>
      <c r="BE416" s="777">
        <f>I416/4</f>
        <v>2000</v>
      </c>
      <c r="BN416" s="803"/>
    </row>
    <row r="417" s="568" customFormat="1" ht="31" hidden="1" customHeight="1" spans="1:66">
      <c r="A417" s="547">
        <v>45870</v>
      </c>
      <c r="B417" s="548" t="s">
        <v>1595</v>
      </c>
      <c r="C417" s="539" t="s">
        <v>139</v>
      </c>
      <c r="D417" s="568">
        <v>4500175793</v>
      </c>
      <c r="E417" s="539">
        <v>4400503611</v>
      </c>
      <c r="F417" s="568" t="s">
        <v>1631</v>
      </c>
      <c r="G417" s="551" t="s">
        <v>148</v>
      </c>
      <c r="H417" s="539" t="s">
        <v>65</v>
      </c>
      <c r="I417" s="539">
        <v>1648</v>
      </c>
      <c r="J417" s="539">
        <v>0</v>
      </c>
      <c r="K417" s="539">
        <v>8</v>
      </c>
      <c r="L417" s="795">
        <f t="shared" si="117"/>
        <v>206</v>
      </c>
      <c r="M417" s="797">
        <v>45919</v>
      </c>
      <c r="N417" s="797">
        <f>M417-4</f>
        <v>45915</v>
      </c>
      <c r="O417" s="584"/>
      <c r="P417" s="796" t="s">
        <v>103</v>
      </c>
      <c r="Q417" s="539"/>
      <c r="R417" s="570">
        <v>45880</v>
      </c>
      <c r="S417" s="570" t="s">
        <v>66</v>
      </c>
      <c r="T417" s="570" t="s">
        <v>1597</v>
      </c>
      <c r="U417" s="570"/>
      <c r="V417" s="570"/>
      <c r="W417" s="548" t="s">
        <v>1598</v>
      </c>
      <c r="X417" s="797" t="s">
        <v>1424</v>
      </c>
      <c r="Y417" s="800">
        <v>4.2714</v>
      </c>
      <c r="Z417" s="801">
        <f t="shared" si="122"/>
        <v>7039.2672</v>
      </c>
      <c r="AA417" s="539" t="s">
        <v>1632</v>
      </c>
      <c r="AB417" s="568" t="s">
        <v>148</v>
      </c>
      <c r="AC417" s="539" t="s">
        <v>76</v>
      </c>
      <c r="AD417" s="539"/>
      <c r="AE417" s="539"/>
      <c r="AF417" s="539"/>
      <c r="AG417" s="584">
        <v>1648</v>
      </c>
      <c r="AH417" s="584">
        <f t="shared" si="123"/>
        <v>0</v>
      </c>
      <c r="AI417" s="539"/>
      <c r="AJ417" s="539"/>
      <c r="AK417" s="539"/>
      <c r="AL417" s="568">
        <f t="shared" si="126"/>
        <v>1648</v>
      </c>
      <c r="AS417" s="777"/>
      <c r="AT417" s="568">
        <f t="shared" si="124"/>
        <v>1648</v>
      </c>
      <c r="AZ417" s="568">
        <f>I417</f>
        <v>1648</v>
      </c>
      <c r="BA417" s="568">
        <f>I417</f>
        <v>1648</v>
      </c>
      <c r="BE417" s="777">
        <f>I417/4</f>
        <v>412</v>
      </c>
      <c r="BN417" s="803"/>
    </row>
    <row r="418" s="568" customFormat="1" ht="31" hidden="1" customHeight="1" spans="1:66">
      <c r="A418" s="547">
        <v>45883</v>
      </c>
      <c r="B418" s="548" t="s">
        <v>398</v>
      </c>
      <c r="C418" s="539" t="s">
        <v>356</v>
      </c>
      <c r="D418" s="568">
        <v>4500176886</v>
      </c>
      <c r="E418" s="539"/>
      <c r="F418" s="568" t="s">
        <v>1633</v>
      </c>
      <c r="G418" s="551" t="s">
        <v>118</v>
      </c>
      <c r="H418" s="539" t="s">
        <v>119</v>
      </c>
      <c r="I418" s="539">
        <v>960</v>
      </c>
      <c r="J418" s="539">
        <v>0</v>
      </c>
      <c r="K418" s="539">
        <v>6</v>
      </c>
      <c r="L418" s="795">
        <f t="shared" si="117"/>
        <v>160</v>
      </c>
      <c r="M418" s="797">
        <v>45920</v>
      </c>
      <c r="N418" s="797">
        <v>45916</v>
      </c>
      <c r="O418" s="584"/>
      <c r="P418" s="796" t="s">
        <v>103</v>
      </c>
      <c r="Q418" s="539"/>
      <c r="R418" s="570">
        <v>45884</v>
      </c>
      <c r="S418" s="570" t="s">
        <v>66</v>
      </c>
      <c r="T418" s="570">
        <v>45889</v>
      </c>
      <c r="U418" s="570"/>
      <c r="V418" s="570"/>
      <c r="W418" s="548" t="s">
        <v>1634</v>
      </c>
      <c r="X418" s="797" t="s">
        <v>395</v>
      </c>
      <c r="Y418" s="800">
        <v>4.2099</v>
      </c>
      <c r="Z418" s="801">
        <f t="shared" si="122"/>
        <v>4041.504</v>
      </c>
      <c r="AA418" s="549" t="s">
        <v>1635</v>
      </c>
      <c r="AB418" s="539" t="s">
        <v>402</v>
      </c>
      <c r="AC418" s="539" t="s">
        <v>76</v>
      </c>
      <c r="AD418" s="539"/>
      <c r="AE418" s="539"/>
      <c r="AF418" s="539"/>
      <c r="AG418" s="584">
        <v>960</v>
      </c>
      <c r="AH418" s="584">
        <f t="shared" si="123"/>
        <v>0</v>
      </c>
      <c r="AI418" s="539"/>
      <c r="AJ418" s="539"/>
      <c r="AK418" s="539"/>
      <c r="AL418" s="568">
        <f t="shared" si="126"/>
        <v>960</v>
      </c>
      <c r="AQ418" s="656">
        <f>I418</f>
        <v>960</v>
      </c>
      <c r="AR418" s="777">
        <f>I418</f>
        <v>960</v>
      </c>
      <c r="AS418" s="777"/>
      <c r="AT418" s="568">
        <f t="shared" si="124"/>
        <v>960</v>
      </c>
      <c r="BN418" s="803"/>
    </row>
    <row r="419" s="568" customFormat="1" ht="31" hidden="1" customHeight="1" spans="1:66">
      <c r="A419" s="547">
        <v>45883</v>
      </c>
      <c r="B419" s="548" t="s">
        <v>398</v>
      </c>
      <c r="C419" s="539" t="s">
        <v>356</v>
      </c>
      <c r="D419" s="568">
        <v>4500176886</v>
      </c>
      <c r="E419" s="539"/>
      <c r="F419" s="568" t="s">
        <v>1636</v>
      </c>
      <c r="G419" s="551" t="s">
        <v>463</v>
      </c>
      <c r="H419" s="539" t="s">
        <v>424</v>
      </c>
      <c r="I419" s="539">
        <v>420</v>
      </c>
      <c r="J419" s="539">
        <v>0</v>
      </c>
      <c r="K419" s="539">
        <v>6</v>
      </c>
      <c r="L419" s="795">
        <f t="shared" si="117"/>
        <v>70</v>
      </c>
      <c r="M419" s="797">
        <v>45920</v>
      </c>
      <c r="N419" s="797">
        <v>45916</v>
      </c>
      <c r="O419" s="584"/>
      <c r="P419" s="796" t="s">
        <v>103</v>
      </c>
      <c r="Q419" s="539"/>
      <c r="R419" s="570">
        <v>45884</v>
      </c>
      <c r="S419" s="570" t="s">
        <v>66</v>
      </c>
      <c r="T419" s="570">
        <v>45889</v>
      </c>
      <c r="U419" s="570"/>
      <c r="V419" s="570"/>
      <c r="W419" s="548" t="s">
        <v>1637</v>
      </c>
      <c r="X419" s="797" t="s">
        <v>395</v>
      </c>
      <c r="Y419" s="800">
        <v>7.1628</v>
      </c>
      <c r="Z419" s="801">
        <f t="shared" si="122"/>
        <v>3008.376</v>
      </c>
      <c r="AA419" s="549" t="s">
        <v>1635</v>
      </c>
      <c r="AB419" s="568" t="s">
        <v>427</v>
      </c>
      <c r="AC419" s="539" t="s">
        <v>76</v>
      </c>
      <c r="AD419" s="539"/>
      <c r="AE419" s="539"/>
      <c r="AF419" s="539"/>
      <c r="AG419" s="584">
        <v>420</v>
      </c>
      <c r="AH419" s="584">
        <f t="shared" si="123"/>
        <v>0</v>
      </c>
      <c r="AI419" s="539"/>
      <c r="AJ419" s="539"/>
      <c r="AK419" s="539"/>
      <c r="AL419" s="568">
        <f t="shared" si="126"/>
        <v>420</v>
      </c>
      <c r="AQ419" s="656">
        <f>I419</f>
        <v>420</v>
      </c>
      <c r="AR419" s="777">
        <f>I419</f>
        <v>420</v>
      </c>
      <c r="AS419" s="777"/>
      <c r="AT419" s="568">
        <f t="shared" si="124"/>
        <v>420</v>
      </c>
      <c r="BJ419" s="568">
        <f>I419</f>
        <v>420</v>
      </c>
      <c r="BN419" s="803"/>
    </row>
    <row r="420" s="772" customFormat="1" ht="31" hidden="1" customHeight="1" spans="1:66">
      <c r="A420" s="547">
        <v>45862</v>
      </c>
      <c r="B420" s="548" t="s">
        <v>1638</v>
      </c>
      <c r="C420" s="539" t="s">
        <v>1639</v>
      </c>
      <c r="D420" s="568">
        <v>4500174903</v>
      </c>
      <c r="E420" s="539"/>
      <c r="F420" s="568" t="s">
        <v>1640</v>
      </c>
      <c r="G420" s="551" t="s">
        <v>102</v>
      </c>
      <c r="H420" s="539" t="s">
        <v>65</v>
      </c>
      <c r="I420" s="539">
        <v>304</v>
      </c>
      <c r="J420" s="539">
        <v>0</v>
      </c>
      <c r="K420" s="539">
        <v>16</v>
      </c>
      <c r="L420" s="795">
        <f t="shared" si="117"/>
        <v>19</v>
      </c>
      <c r="M420" s="797">
        <v>45922</v>
      </c>
      <c r="N420" s="797">
        <v>45918</v>
      </c>
      <c r="O420" s="584"/>
      <c r="P420" s="796" t="s">
        <v>103</v>
      </c>
      <c r="Q420" s="539"/>
      <c r="R420" s="570">
        <v>45868</v>
      </c>
      <c r="S420" s="570" t="s">
        <v>66</v>
      </c>
      <c r="T420" s="570" t="s">
        <v>66</v>
      </c>
      <c r="U420" s="570"/>
      <c r="V420" s="570"/>
      <c r="W420" s="548" t="s">
        <v>1641</v>
      </c>
      <c r="X420" s="797" t="s">
        <v>196</v>
      </c>
      <c r="Y420" s="800">
        <v>4.2878</v>
      </c>
      <c r="Z420" s="801">
        <f t="shared" si="122"/>
        <v>1303.4912</v>
      </c>
      <c r="AA420" s="539" t="s">
        <v>1642</v>
      </c>
      <c r="AB420" s="568" t="s">
        <v>102</v>
      </c>
      <c r="AC420" s="539" t="s">
        <v>76</v>
      </c>
      <c r="AD420" s="539"/>
      <c r="AE420" s="539"/>
      <c r="AF420" s="539"/>
      <c r="AG420" s="584">
        <v>304</v>
      </c>
      <c r="AH420" s="584">
        <f t="shared" si="123"/>
        <v>0</v>
      </c>
      <c r="AI420" s="539"/>
      <c r="AJ420" s="539"/>
      <c r="AK420" s="539"/>
      <c r="AL420" s="568">
        <f t="shared" si="126"/>
        <v>304</v>
      </c>
      <c r="AM420" s="568"/>
      <c r="AN420" s="568"/>
      <c r="AO420" s="568"/>
      <c r="AP420" s="568">
        <f>I420</f>
        <v>304</v>
      </c>
      <c r="AQ420" s="568"/>
      <c r="AR420" s="777">
        <f>I420</f>
        <v>304</v>
      </c>
      <c r="AS420" s="777"/>
      <c r="AT420" s="568">
        <f t="shared" si="124"/>
        <v>304</v>
      </c>
      <c r="AU420" s="568"/>
      <c r="AV420" s="568"/>
      <c r="AW420" s="568"/>
      <c r="AX420" s="568"/>
      <c r="AY420" s="568"/>
      <c r="AZ420" s="568"/>
      <c r="BA420" s="568"/>
      <c r="BB420" s="568"/>
      <c r="BC420" s="568"/>
      <c r="BD420" s="777">
        <f>I420/4</f>
        <v>76</v>
      </c>
      <c r="BE420" s="568"/>
      <c r="BF420" s="568"/>
      <c r="BG420" s="568"/>
      <c r="BH420" s="568"/>
      <c r="BI420" s="568"/>
      <c r="BJ420" s="568"/>
      <c r="BK420" s="568"/>
      <c r="BL420" s="568"/>
      <c r="BM420" s="568"/>
      <c r="BN420" s="812"/>
    </row>
    <row r="421" s="428" customFormat="1" ht="31" hidden="1" customHeight="1" spans="1:97">
      <c r="A421" s="547">
        <v>45863</v>
      </c>
      <c r="B421" s="548" t="s">
        <v>1643</v>
      </c>
      <c r="C421" s="539" t="s">
        <v>249</v>
      </c>
      <c r="D421" s="428">
        <v>4500175085</v>
      </c>
      <c r="E421" s="539" t="s">
        <v>1644</v>
      </c>
      <c r="F421" s="428" t="s">
        <v>1645</v>
      </c>
      <c r="G421" s="549" t="s">
        <v>251</v>
      </c>
      <c r="H421" s="539" t="s">
        <v>252</v>
      </c>
      <c r="I421" s="539">
        <v>512</v>
      </c>
      <c r="J421" s="539">
        <v>4</v>
      </c>
      <c r="K421" s="539">
        <v>16</v>
      </c>
      <c r="L421" s="795">
        <f t="shared" si="117"/>
        <v>32</v>
      </c>
      <c r="M421" s="797">
        <v>45922</v>
      </c>
      <c r="N421" s="797">
        <v>45918</v>
      </c>
      <c r="O421" s="556"/>
      <c r="P421" s="796" t="s">
        <v>103</v>
      </c>
      <c r="Q421" s="562" t="s">
        <v>1646</v>
      </c>
      <c r="R421" s="570">
        <v>45894</v>
      </c>
      <c r="S421" s="570" t="s">
        <v>66</v>
      </c>
      <c r="T421" s="570" t="s">
        <v>66</v>
      </c>
      <c r="U421" s="570"/>
      <c r="V421" s="564"/>
      <c r="W421" s="564" t="s">
        <v>1647</v>
      </c>
      <c r="X421" s="513" t="s">
        <v>269</v>
      </c>
      <c r="Y421" s="549">
        <v>4.3217</v>
      </c>
      <c r="Z421" s="801">
        <f t="shared" si="122"/>
        <v>2212.7104</v>
      </c>
      <c r="AA421" s="549" t="s">
        <v>1648</v>
      </c>
      <c r="AB421" s="539" t="s">
        <v>251</v>
      </c>
      <c r="AC421" s="549" t="s">
        <v>76</v>
      </c>
      <c r="AD421" s="549"/>
      <c r="AE421" s="549"/>
      <c r="AF421" s="549"/>
      <c r="AG421" s="549">
        <v>512</v>
      </c>
      <c r="AH421" s="584">
        <f t="shared" si="123"/>
        <v>0</v>
      </c>
      <c r="AI421" s="549"/>
      <c r="AJ421" s="549"/>
      <c r="AK421" s="568"/>
      <c r="AL421" s="568">
        <v>512</v>
      </c>
      <c r="AP421" s="568">
        <f>I421</f>
        <v>512</v>
      </c>
      <c r="AQ421" s="568"/>
      <c r="AR421" s="777">
        <f>I421</f>
        <v>512</v>
      </c>
      <c r="AS421" s="777"/>
      <c r="AT421" s="568">
        <f t="shared" si="124"/>
        <v>512</v>
      </c>
      <c r="AU421" s="568"/>
      <c r="BD421" s="777">
        <f>I421/4</f>
        <v>128</v>
      </c>
      <c r="BN421" s="813"/>
      <c r="CF421" s="578"/>
      <c r="CG421" s="578"/>
      <c r="CH421" s="578"/>
      <c r="CI421" s="578"/>
      <c r="CJ421" s="578"/>
      <c r="CN421" s="578"/>
      <c r="CO421" s="578"/>
      <c r="CP421" s="578"/>
      <c r="CQ421" s="578"/>
      <c r="CR421" s="578"/>
      <c r="CS421" s="578"/>
    </row>
    <row r="422" s="772" customFormat="1" ht="31" hidden="1" customHeight="1" spans="1:66">
      <c r="A422" s="547">
        <v>45880</v>
      </c>
      <c r="B422" s="548" t="s">
        <v>338</v>
      </c>
      <c r="C422" s="539" t="s">
        <v>90</v>
      </c>
      <c r="D422" s="568">
        <v>4500176521</v>
      </c>
      <c r="E422" s="539" t="s">
        <v>1649</v>
      </c>
      <c r="F422" s="568" t="s">
        <v>1650</v>
      </c>
      <c r="G422" s="551" t="s">
        <v>102</v>
      </c>
      <c r="H422" s="539" t="s">
        <v>65</v>
      </c>
      <c r="I422" s="539">
        <v>1808</v>
      </c>
      <c r="J422" s="539">
        <v>0</v>
      </c>
      <c r="K422" s="539">
        <v>16</v>
      </c>
      <c r="L422" s="795">
        <f t="shared" si="117"/>
        <v>113</v>
      </c>
      <c r="M422" s="797">
        <v>45922</v>
      </c>
      <c r="N422" s="797">
        <v>45918</v>
      </c>
      <c r="O422" s="584"/>
      <c r="P422" s="796" t="s">
        <v>103</v>
      </c>
      <c r="Q422" s="539"/>
      <c r="R422" s="570">
        <v>45888</v>
      </c>
      <c r="S422" s="570" t="s">
        <v>66</v>
      </c>
      <c r="T422" s="570" t="s">
        <v>66</v>
      </c>
      <c r="U422" s="570"/>
      <c r="V422" s="570"/>
      <c r="W422" s="548" t="s">
        <v>1651</v>
      </c>
      <c r="X422" s="797" t="s">
        <v>1652</v>
      </c>
      <c r="Y422" s="800">
        <v>2.5525</v>
      </c>
      <c r="Z422" s="801">
        <f t="shared" si="122"/>
        <v>4614.92</v>
      </c>
      <c r="AA422" s="539" t="s">
        <v>1653</v>
      </c>
      <c r="AB422" s="568" t="s">
        <v>102</v>
      </c>
      <c r="AC422" s="539" t="s">
        <v>76</v>
      </c>
      <c r="AD422" s="539"/>
      <c r="AE422" s="539"/>
      <c r="AF422" s="539"/>
      <c r="AG422" s="584">
        <v>1808</v>
      </c>
      <c r="AH422" s="584">
        <f t="shared" si="123"/>
        <v>0</v>
      </c>
      <c r="AI422" s="539"/>
      <c r="AJ422" s="539"/>
      <c r="AK422" s="539"/>
      <c r="AL422" s="568">
        <f>I422</f>
        <v>1808</v>
      </c>
      <c r="AM422" s="568"/>
      <c r="AN422" s="568"/>
      <c r="AO422" s="568"/>
      <c r="AP422" s="568">
        <f>I422</f>
        <v>1808</v>
      </c>
      <c r="AQ422" s="568"/>
      <c r="AR422" s="777">
        <f>I422</f>
        <v>1808</v>
      </c>
      <c r="AS422" s="777"/>
      <c r="AT422" s="568">
        <f t="shared" si="124"/>
        <v>1808</v>
      </c>
      <c r="AU422" s="568"/>
      <c r="AV422" s="568"/>
      <c r="AW422" s="568"/>
      <c r="AX422" s="568"/>
      <c r="AY422" s="568"/>
      <c r="AZ422" s="568"/>
      <c r="BA422" s="568"/>
      <c r="BB422" s="568"/>
      <c r="BC422" s="568"/>
      <c r="BD422" s="777">
        <f>I422/4</f>
        <v>452</v>
      </c>
      <c r="BE422" s="568"/>
      <c r="BF422" s="568"/>
      <c r="BG422" s="568"/>
      <c r="BH422" s="568"/>
      <c r="BI422" s="568"/>
      <c r="BJ422" s="568"/>
      <c r="BK422" s="568"/>
      <c r="BL422" s="568"/>
      <c r="BM422" s="568"/>
      <c r="BN422" s="812"/>
    </row>
    <row r="423" s="568" customFormat="1" ht="31" hidden="1" customHeight="1" spans="1:66">
      <c r="A423" s="547">
        <v>45883</v>
      </c>
      <c r="B423" s="548" t="s">
        <v>845</v>
      </c>
      <c r="C423" s="539" t="s">
        <v>271</v>
      </c>
      <c r="D423" s="568">
        <v>4500176964</v>
      </c>
      <c r="E423" s="539">
        <v>4400503841</v>
      </c>
      <c r="F423" s="568" t="s">
        <v>1654</v>
      </c>
      <c r="G423" s="551" t="s">
        <v>148</v>
      </c>
      <c r="H423" s="539" t="s">
        <v>65</v>
      </c>
      <c r="I423" s="539">
        <v>1400</v>
      </c>
      <c r="J423" s="539">
        <v>0</v>
      </c>
      <c r="K423" s="539">
        <v>8</v>
      </c>
      <c r="L423" s="795">
        <f t="shared" si="117"/>
        <v>175</v>
      </c>
      <c r="M423" s="797">
        <v>45924</v>
      </c>
      <c r="N423" s="797">
        <v>45920</v>
      </c>
      <c r="O423" s="584"/>
      <c r="P423" s="796" t="s">
        <v>103</v>
      </c>
      <c r="Q423" s="539"/>
      <c r="R423" s="570">
        <v>45883</v>
      </c>
      <c r="S423" s="570" t="s">
        <v>66</v>
      </c>
      <c r="T423" s="570" t="s">
        <v>149</v>
      </c>
      <c r="U423" s="570"/>
      <c r="V423" s="570"/>
      <c r="W423" s="548" t="s">
        <v>1655</v>
      </c>
      <c r="X423" s="797" t="s">
        <v>1424</v>
      </c>
      <c r="Y423" s="800">
        <v>4.2227</v>
      </c>
      <c r="Z423" s="801">
        <f t="shared" si="122"/>
        <v>5911.78</v>
      </c>
      <c r="AA423" s="539" t="s">
        <v>1656</v>
      </c>
      <c r="AB423" s="568" t="s">
        <v>148</v>
      </c>
      <c r="AC423" s="539" t="s">
        <v>76</v>
      </c>
      <c r="AD423" s="539"/>
      <c r="AE423" s="539"/>
      <c r="AF423" s="539"/>
      <c r="AG423" s="584">
        <v>1400</v>
      </c>
      <c r="AH423" s="584">
        <f t="shared" si="123"/>
        <v>0</v>
      </c>
      <c r="AI423" s="539"/>
      <c r="AJ423" s="539"/>
      <c r="AK423" s="539"/>
      <c r="AL423" s="568">
        <f>I423</f>
        <v>1400</v>
      </c>
      <c r="AS423" s="777"/>
      <c r="AT423" s="568">
        <f t="shared" si="124"/>
        <v>1400</v>
      </c>
      <c r="AZ423" s="568">
        <f>I423</f>
        <v>1400</v>
      </c>
      <c r="BA423" s="568">
        <f>I423</f>
        <v>1400</v>
      </c>
      <c r="BE423" s="777">
        <f>I423/4</f>
        <v>350</v>
      </c>
      <c r="BN423" s="803"/>
    </row>
    <row r="424" s="568" customFormat="1" ht="31" hidden="1" customHeight="1" spans="1:66">
      <c r="A424" s="547">
        <v>45869</v>
      </c>
      <c r="B424" s="548" t="s">
        <v>220</v>
      </c>
      <c r="C424" s="539" t="s">
        <v>90</v>
      </c>
      <c r="D424" s="568">
        <v>4500175702</v>
      </c>
      <c r="E424" s="539" t="s">
        <v>1657</v>
      </c>
      <c r="F424" s="568" t="s">
        <v>1658</v>
      </c>
      <c r="G424" s="551" t="s">
        <v>223</v>
      </c>
      <c r="H424" s="539" t="s">
        <v>224</v>
      </c>
      <c r="I424" s="539">
        <v>20000</v>
      </c>
      <c r="J424" s="539">
        <v>0</v>
      </c>
      <c r="K424" s="539">
        <v>4</v>
      </c>
      <c r="L424" s="795">
        <f t="shared" si="117"/>
        <v>5000</v>
      </c>
      <c r="M424" s="555">
        <v>45918</v>
      </c>
      <c r="N424" s="555">
        <v>45915</v>
      </c>
      <c r="O424" s="584"/>
      <c r="P424" s="584" t="s">
        <v>103</v>
      </c>
      <c r="Q424" s="539"/>
      <c r="R424" s="570">
        <v>45888</v>
      </c>
      <c r="S424" s="570" t="s">
        <v>96</v>
      </c>
      <c r="T424" s="570">
        <v>46267</v>
      </c>
      <c r="U424" s="570" t="s">
        <v>1481</v>
      </c>
      <c r="V424" s="570"/>
      <c r="W424" s="564" t="s">
        <v>1536</v>
      </c>
      <c r="X424" s="797" t="s">
        <v>226</v>
      </c>
      <c r="Y424" s="800">
        <v>2.7734</v>
      </c>
      <c r="Z424" s="801">
        <f t="shared" si="122"/>
        <v>55468</v>
      </c>
      <c r="AA424" s="539" t="s">
        <v>1659</v>
      </c>
      <c r="AB424" s="568" t="s">
        <v>223</v>
      </c>
      <c r="AC424" s="539" t="s">
        <v>76</v>
      </c>
      <c r="AD424" s="539"/>
      <c r="AE424" s="539"/>
      <c r="AF424" s="539"/>
      <c r="AG424" s="584">
        <f>9360+10640</f>
        <v>20000</v>
      </c>
      <c r="AH424" s="584">
        <f t="shared" si="123"/>
        <v>0</v>
      </c>
      <c r="AI424" s="539"/>
      <c r="AJ424" s="539"/>
      <c r="AK424" s="539"/>
      <c r="AN424" s="568">
        <f>I424</f>
        <v>20000</v>
      </c>
      <c r="AS424" s="777"/>
      <c r="AT424" s="568">
        <f t="shared" si="124"/>
        <v>20000</v>
      </c>
      <c r="BB424" s="568">
        <f>I424</f>
        <v>20000</v>
      </c>
      <c r="BC424" s="568">
        <f>I424</f>
        <v>20000</v>
      </c>
      <c r="BD424" s="777">
        <f>I424/4</f>
        <v>5000</v>
      </c>
      <c r="BN424" s="803"/>
    </row>
    <row r="425" s="568" customFormat="1" ht="31" hidden="1" customHeight="1" spans="1:66">
      <c r="A425" s="547">
        <v>45861</v>
      </c>
      <c r="B425" s="548" t="s">
        <v>190</v>
      </c>
      <c r="C425" s="539" t="s">
        <v>191</v>
      </c>
      <c r="D425" s="568">
        <v>4500174818</v>
      </c>
      <c r="E425" s="539" t="s">
        <v>1660</v>
      </c>
      <c r="F425" s="568" t="s">
        <v>1661</v>
      </c>
      <c r="G425" s="551" t="s">
        <v>463</v>
      </c>
      <c r="H425" s="539" t="s">
        <v>424</v>
      </c>
      <c r="I425" s="539">
        <v>300</v>
      </c>
      <c r="J425" s="539">
        <v>0</v>
      </c>
      <c r="K425" s="539">
        <v>6</v>
      </c>
      <c r="L425" s="795">
        <f t="shared" si="117"/>
        <v>50</v>
      </c>
      <c r="M425" s="555">
        <v>45919</v>
      </c>
      <c r="N425" s="555">
        <f>M425-4</f>
        <v>45915</v>
      </c>
      <c r="O425" s="584"/>
      <c r="P425" s="584" t="s">
        <v>103</v>
      </c>
      <c r="Q425" s="539"/>
      <c r="R425" s="570">
        <v>45862</v>
      </c>
      <c r="S425" s="570" t="s">
        <v>66</v>
      </c>
      <c r="T425" s="570" t="s">
        <v>403</v>
      </c>
      <c r="U425" s="570" t="s">
        <v>194</v>
      </c>
      <c r="V425" s="570"/>
      <c r="W425" s="564" t="s">
        <v>1662</v>
      </c>
      <c r="X425" s="797" t="s">
        <v>1663</v>
      </c>
      <c r="Y425" s="800">
        <v>7.0456</v>
      </c>
      <c r="Z425" s="801">
        <f t="shared" si="122"/>
        <v>2113.68</v>
      </c>
      <c r="AA425" s="539"/>
      <c r="AB425" s="568" t="s">
        <v>1203</v>
      </c>
      <c r="AC425" s="539" t="s">
        <v>76</v>
      </c>
      <c r="AD425" s="539"/>
      <c r="AE425" s="539"/>
      <c r="AF425" s="539"/>
      <c r="AG425" s="584">
        <f>282+18</f>
        <v>300</v>
      </c>
      <c r="AH425" s="584">
        <f t="shared" si="123"/>
        <v>0</v>
      </c>
      <c r="AI425" s="539"/>
      <c r="AJ425" s="539"/>
      <c r="AK425" s="539"/>
      <c r="AL425" s="568">
        <f t="shared" ref="AL425:AL430" si="127">I425</f>
        <v>300</v>
      </c>
      <c r="AP425" s="568">
        <f t="shared" ref="AP425:AP430" si="128">I425</f>
        <v>300</v>
      </c>
      <c r="AR425" s="777">
        <f t="shared" ref="AR425:AR430" si="129">I425</f>
        <v>300</v>
      </c>
      <c r="AS425" s="777"/>
      <c r="AT425" s="568">
        <f t="shared" si="124"/>
        <v>300</v>
      </c>
      <c r="BJ425" s="568">
        <f>I425</f>
        <v>300</v>
      </c>
      <c r="BN425" s="803"/>
    </row>
    <row r="426" s="568" customFormat="1" ht="31" hidden="1" customHeight="1" spans="1:66">
      <c r="A426" s="547">
        <v>45847</v>
      </c>
      <c r="B426" s="548" t="s">
        <v>1664</v>
      </c>
      <c r="C426" s="539" t="s">
        <v>759</v>
      </c>
      <c r="D426" s="568">
        <v>4500173189</v>
      </c>
      <c r="E426" s="539"/>
      <c r="F426" s="568" t="s">
        <v>1665</v>
      </c>
      <c r="G426" s="551" t="s">
        <v>93</v>
      </c>
      <c r="H426" s="539" t="s">
        <v>94</v>
      </c>
      <c r="I426" s="539">
        <v>8336</v>
      </c>
      <c r="J426" s="539">
        <v>0</v>
      </c>
      <c r="K426" s="539">
        <v>4</v>
      </c>
      <c r="L426" s="795">
        <f t="shared" si="117"/>
        <v>2084</v>
      </c>
      <c r="M426" s="555">
        <v>45923</v>
      </c>
      <c r="N426" s="555">
        <v>45919</v>
      </c>
      <c r="O426" s="584"/>
      <c r="P426" s="584" t="s">
        <v>103</v>
      </c>
      <c r="Q426" s="539"/>
      <c r="R426" s="570">
        <v>45847</v>
      </c>
      <c r="S426" s="570" t="s">
        <v>66</v>
      </c>
      <c r="T426" s="570" t="s">
        <v>1666</v>
      </c>
      <c r="U426" s="570"/>
      <c r="V426" s="570"/>
      <c r="W426" s="564" t="s">
        <v>1667</v>
      </c>
      <c r="X426" s="797" t="s">
        <v>547</v>
      </c>
      <c r="Y426" s="800">
        <v>4.276</v>
      </c>
      <c r="Z426" s="801">
        <f t="shared" si="122"/>
        <v>35644.736</v>
      </c>
      <c r="AA426" s="539" t="s">
        <v>1668</v>
      </c>
      <c r="AB426" s="568" t="s">
        <v>93</v>
      </c>
      <c r="AC426" s="539" t="s">
        <v>76</v>
      </c>
      <c r="AD426" s="539"/>
      <c r="AE426" s="539"/>
      <c r="AF426" s="539"/>
      <c r="AG426" s="584">
        <f>2576+5760</f>
        <v>8336</v>
      </c>
      <c r="AH426" s="584">
        <f t="shared" si="123"/>
        <v>0</v>
      </c>
      <c r="AI426" s="539"/>
      <c r="AJ426" s="539"/>
      <c r="AK426" s="539"/>
      <c r="AL426" s="568">
        <f t="shared" si="127"/>
        <v>8336</v>
      </c>
      <c r="AP426" s="568">
        <f t="shared" si="128"/>
        <v>8336</v>
      </c>
      <c r="AR426" s="777">
        <f t="shared" si="129"/>
        <v>8336</v>
      </c>
      <c r="AS426" s="777"/>
      <c r="AT426" s="568">
        <f t="shared" si="124"/>
        <v>8336</v>
      </c>
      <c r="BD426" s="777">
        <f>I426/4</f>
        <v>2084</v>
      </c>
      <c r="BN426" s="803"/>
    </row>
    <row r="427" s="568" customFormat="1" ht="31" hidden="1" customHeight="1" spans="1:66">
      <c r="A427" s="547">
        <v>45862</v>
      </c>
      <c r="B427" s="548" t="s">
        <v>1669</v>
      </c>
      <c r="C427" s="539" t="s">
        <v>663</v>
      </c>
      <c r="D427" s="568">
        <v>4500174847</v>
      </c>
      <c r="E427" s="539" t="s">
        <v>1670</v>
      </c>
      <c r="F427" s="568" t="s">
        <v>1671</v>
      </c>
      <c r="G427" s="551" t="s">
        <v>118</v>
      </c>
      <c r="H427" s="539" t="s">
        <v>119</v>
      </c>
      <c r="I427" s="539">
        <v>1368</v>
      </c>
      <c r="J427" s="539">
        <v>0</v>
      </c>
      <c r="K427" s="539">
        <v>6</v>
      </c>
      <c r="L427" s="795">
        <f t="shared" si="117"/>
        <v>228</v>
      </c>
      <c r="M427" s="555">
        <v>45925</v>
      </c>
      <c r="N427" s="555">
        <v>45922</v>
      </c>
      <c r="O427" s="584"/>
      <c r="P427" s="584" t="s">
        <v>103</v>
      </c>
      <c r="Q427" s="539"/>
      <c r="R427" s="570">
        <v>45862</v>
      </c>
      <c r="S427" s="784" t="s">
        <v>96</v>
      </c>
      <c r="T427" s="570" t="s">
        <v>1672</v>
      </c>
      <c r="U427" s="570"/>
      <c r="V427" s="570"/>
      <c r="W427" s="564" t="s">
        <v>1673</v>
      </c>
      <c r="X427" s="797" t="s">
        <v>1674</v>
      </c>
      <c r="Y427" s="800">
        <v>4.1576</v>
      </c>
      <c r="Z427" s="801">
        <f t="shared" si="122"/>
        <v>5687.5968</v>
      </c>
      <c r="AA427" s="539" t="s">
        <v>1675</v>
      </c>
      <c r="AB427" s="568" t="s">
        <v>118</v>
      </c>
      <c r="AC427" s="539" t="s">
        <v>76</v>
      </c>
      <c r="AD427" s="539"/>
      <c r="AE427" s="539"/>
      <c r="AF427" s="539"/>
      <c r="AG427" s="584">
        <v>1368</v>
      </c>
      <c r="AH427" s="584">
        <f t="shared" si="123"/>
        <v>0</v>
      </c>
      <c r="AI427" s="539"/>
      <c r="AJ427" s="539"/>
      <c r="AK427" s="539"/>
      <c r="AL427" s="568">
        <f t="shared" si="127"/>
        <v>1368</v>
      </c>
      <c r="AP427" s="568">
        <f t="shared" si="128"/>
        <v>1368</v>
      </c>
      <c r="AR427" s="777"/>
      <c r="AS427" s="656">
        <f>I427</f>
        <v>1368</v>
      </c>
      <c r="AU427" s="791">
        <f>I427</f>
        <v>1368</v>
      </c>
      <c r="BN427" s="803"/>
    </row>
    <row r="428" s="568" customFormat="1" ht="31" hidden="1" customHeight="1" spans="1:66">
      <c r="A428" s="547">
        <v>45862</v>
      </c>
      <c r="B428" s="548" t="s">
        <v>1669</v>
      </c>
      <c r="C428" s="539" t="s">
        <v>663</v>
      </c>
      <c r="D428" s="568">
        <v>4500174847</v>
      </c>
      <c r="E428" s="539" t="s">
        <v>1670</v>
      </c>
      <c r="F428" s="568" t="s">
        <v>1676</v>
      </c>
      <c r="G428" s="551" t="s">
        <v>118</v>
      </c>
      <c r="H428" s="539" t="s">
        <v>119</v>
      </c>
      <c r="I428" s="539">
        <v>240</v>
      </c>
      <c r="J428" s="539">
        <v>0</v>
      </c>
      <c r="K428" s="539">
        <v>6</v>
      </c>
      <c r="L428" s="795">
        <f t="shared" si="117"/>
        <v>40</v>
      </c>
      <c r="M428" s="555">
        <v>45925</v>
      </c>
      <c r="N428" s="555">
        <v>45922</v>
      </c>
      <c r="O428" s="584"/>
      <c r="P428" s="584" t="s">
        <v>103</v>
      </c>
      <c r="Q428" s="539"/>
      <c r="R428" s="570">
        <v>45862</v>
      </c>
      <c r="S428" s="784" t="s">
        <v>96</v>
      </c>
      <c r="T428" s="570" t="s">
        <v>1672</v>
      </c>
      <c r="U428" s="570"/>
      <c r="V428" s="570"/>
      <c r="W428" s="564" t="s">
        <v>1673</v>
      </c>
      <c r="X428" s="797" t="s">
        <v>1674</v>
      </c>
      <c r="Y428" s="800">
        <v>4.1576</v>
      </c>
      <c r="Z428" s="801">
        <f t="shared" si="122"/>
        <v>997.824</v>
      </c>
      <c r="AA428" s="539" t="s">
        <v>1675</v>
      </c>
      <c r="AB428" s="568" t="s">
        <v>118</v>
      </c>
      <c r="AC428" s="539" t="s">
        <v>76</v>
      </c>
      <c r="AD428" s="539"/>
      <c r="AE428" s="539"/>
      <c r="AF428" s="539"/>
      <c r="AG428" s="584">
        <v>240</v>
      </c>
      <c r="AH428" s="584">
        <f t="shared" si="123"/>
        <v>0</v>
      </c>
      <c r="AI428" s="539"/>
      <c r="AJ428" s="539"/>
      <c r="AK428" s="539"/>
      <c r="AL428" s="568">
        <f t="shared" si="127"/>
        <v>240</v>
      </c>
      <c r="AP428" s="568">
        <f t="shared" si="128"/>
        <v>240</v>
      </c>
      <c r="AR428" s="777"/>
      <c r="AS428" s="656">
        <f>I428</f>
        <v>240</v>
      </c>
      <c r="AU428" s="791">
        <f>I428</f>
        <v>240</v>
      </c>
      <c r="BN428" s="803"/>
    </row>
    <row r="429" s="568" customFormat="1" ht="31" hidden="1" customHeight="1" spans="1:66">
      <c r="A429" s="547">
        <v>45877</v>
      </c>
      <c r="B429" s="548" t="s">
        <v>128</v>
      </c>
      <c r="C429" s="539" t="s">
        <v>90</v>
      </c>
      <c r="D429" s="568">
        <v>4500176397</v>
      </c>
      <c r="E429" s="887" t="s">
        <v>1677</v>
      </c>
      <c r="F429" s="568" t="s">
        <v>1678</v>
      </c>
      <c r="G429" s="551" t="s">
        <v>93</v>
      </c>
      <c r="H429" s="539" t="s">
        <v>94</v>
      </c>
      <c r="I429" s="539">
        <v>544</v>
      </c>
      <c r="J429" s="539">
        <v>0</v>
      </c>
      <c r="K429" s="539">
        <v>4</v>
      </c>
      <c r="L429" s="795">
        <f t="shared" si="117"/>
        <v>136</v>
      </c>
      <c r="M429" s="555">
        <v>45925</v>
      </c>
      <c r="N429" s="555">
        <v>45922</v>
      </c>
      <c r="O429" s="584" t="s">
        <v>1679</v>
      </c>
      <c r="P429" s="584" t="s">
        <v>103</v>
      </c>
      <c r="Q429" s="539"/>
      <c r="R429" s="570" t="s">
        <v>132</v>
      </c>
      <c r="S429" s="570" t="s">
        <v>66</v>
      </c>
      <c r="T429" s="570" t="s">
        <v>1612</v>
      </c>
      <c r="U429" s="570" t="s">
        <v>1680</v>
      </c>
      <c r="V429" s="570"/>
      <c r="W429" s="564" t="s">
        <v>1281</v>
      </c>
      <c r="X429" s="797" t="s">
        <v>98</v>
      </c>
      <c r="Y429" s="800">
        <v>2.58</v>
      </c>
      <c r="Z429" s="801">
        <f t="shared" si="122"/>
        <v>1403.52</v>
      </c>
      <c r="AA429" s="539" t="s">
        <v>1681</v>
      </c>
      <c r="AB429" s="568" t="s">
        <v>93</v>
      </c>
      <c r="AC429" s="539" t="s">
        <v>76</v>
      </c>
      <c r="AD429" s="539"/>
      <c r="AE429" s="539"/>
      <c r="AF429" s="539"/>
      <c r="AG429" s="584">
        <v>544</v>
      </c>
      <c r="AH429" s="584">
        <f t="shared" si="123"/>
        <v>0</v>
      </c>
      <c r="AI429" s="539"/>
      <c r="AJ429" s="539"/>
      <c r="AK429" s="539"/>
      <c r="AL429" s="568">
        <f t="shared" si="127"/>
        <v>544</v>
      </c>
      <c r="AP429" s="568">
        <f t="shared" si="128"/>
        <v>544</v>
      </c>
      <c r="AR429" s="777">
        <f t="shared" si="129"/>
        <v>544</v>
      </c>
      <c r="AS429" s="777"/>
      <c r="AT429" s="568">
        <f t="shared" ref="AT429:AT444" si="130">I429</f>
        <v>544</v>
      </c>
      <c r="BD429" s="777">
        <f>I429/4</f>
        <v>136</v>
      </c>
      <c r="BN429" s="803"/>
    </row>
    <row r="430" s="568" customFormat="1" ht="31" hidden="1" customHeight="1" spans="1:66">
      <c r="A430" s="547">
        <v>45877</v>
      </c>
      <c r="B430" s="548" t="s">
        <v>128</v>
      </c>
      <c r="C430" s="539" t="s">
        <v>90</v>
      </c>
      <c r="D430" s="568">
        <v>4500176397</v>
      </c>
      <c r="E430" s="887" t="s">
        <v>1682</v>
      </c>
      <c r="F430" s="568" t="s">
        <v>1683</v>
      </c>
      <c r="G430" s="551" t="s">
        <v>93</v>
      </c>
      <c r="H430" s="539" t="s">
        <v>94</v>
      </c>
      <c r="I430" s="539">
        <v>760</v>
      </c>
      <c r="J430" s="539">
        <v>0</v>
      </c>
      <c r="K430" s="539">
        <v>4</v>
      </c>
      <c r="L430" s="795">
        <f t="shared" si="117"/>
        <v>190</v>
      </c>
      <c r="M430" s="555">
        <v>45925</v>
      </c>
      <c r="N430" s="555">
        <v>45922</v>
      </c>
      <c r="O430" s="584" t="s">
        <v>1679</v>
      </c>
      <c r="P430" s="584" t="s">
        <v>103</v>
      </c>
      <c r="Q430" s="539"/>
      <c r="R430" s="570" t="s">
        <v>132</v>
      </c>
      <c r="S430" s="570" t="s">
        <v>66</v>
      </c>
      <c r="T430" s="570" t="s">
        <v>1612</v>
      </c>
      <c r="U430" s="570" t="s">
        <v>133</v>
      </c>
      <c r="V430" s="570"/>
      <c r="W430" s="564" t="s">
        <v>1281</v>
      </c>
      <c r="X430" s="797" t="s">
        <v>98</v>
      </c>
      <c r="Y430" s="800">
        <v>2.58</v>
      </c>
      <c r="Z430" s="801">
        <f t="shared" si="122"/>
        <v>1960.8</v>
      </c>
      <c r="AA430" s="539" t="s">
        <v>1684</v>
      </c>
      <c r="AB430" s="568" t="s">
        <v>93</v>
      </c>
      <c r="AC430" s="539" t="s">
        <v>76</v>
      </c>
      <c r="AD430" s="539"/>
      <c r="AE430" s="539"/>
      <c r="AF430" s="539"/>
      <c r="AG430" s="584">
        <v>760</v>
      </c>
      <c r="AH430" s="584">
        <f t="shared" si="123"/>
        <v>0</v>
      </c>
      <c r="AI430" s="539"/>
      <c r="AJ430" s="539"/>
      <c r="AK430" s="539"/>
      <c r="AL430" s="568">
        <f t="shared" si="127"/>
        <v>760</v>
      </c>
      <c r="AP430" s="568">
        <f t="shared" si="128"/>
        <v>760</v>
      </c>
      <c r="AR430" s="777">
        <f t="shared" si="129"/>
        <v>760</v>
      </c>
      <c r="AS430" s="777"/>
      <c r="AT430" s="568">
        <f t="shared" si="130"/>
        <v>760</v>
      </c>
      <c r="BD430" s="777">
        <f>I430/4</f>
        <v>190</v>
      </c>
      <c r="BN430" s="803"/>
    </row>
    <row r="431" s="568" customFormat="1" ht="31" hidden="1" customHeight="1" spans="1:66">
      <c r="A431" s="547">
        <v>45880</v>
      </c>
      <c r="B431" s="548" t="s">
        <v>220</v>
      </c>
      <c r="C431" s="539" t="s">
        <v>90</v>
      </c>
      <c r="D431" s="568">
        <v>4500176563</v>
      </c>
      <c r="E431" s="539" t="s">
        <v>1685</v>
      </c>
      <c r="F431" s="568" t="s">
        <v>1686</v>
      </c>
      <c r="G431" s="551" t="s">
        <v>223</v>
      </c>
      <c r="H431" s="539" t="s">
        <v>224</v>
      </c>
      <c r="I431" s="539">
        <v>3000</v>
      </c>
      <c r="J431" s="539">
        <v>0</v>
      </c>
      <c r="K431" s="539">
        <v>4</v>
      </c>
      <c r="L431" s="795">
        <f t="shared" si="117"/>
        <v>750</v>
      </c>
      <c r="M431" s="555">
        <v>45925</v>
      </c>
      <c r="N431" s="555">
        <v>45922</v>
      </c>
      <c r="O431" s="584"/>
      <c r="P431" s="584" t="s">
        <v>103</v>
      </c>
      <c r="Q431" s="539"/>
      <c r="R431" s="570">
        <v>45894</v>
      </c>
      <c r="S431" s="570" t="s">
        <v>96</v>
      </c>
      <c r="T431" s="570">
        <v>45915</v>
      </c>
      <c r="U431" s="570" t="s">
        <v>1481</v>
      </c>
      <c r="V431" s="570"/>
      <c r="W431" s="564" t="s">
        <v>1536</v>
      </c>
      <c r="X431" s="797" t="s">
        <v>226</v>
      </c>
      <c r="Y431" s="800">
        <v>2.8063</v>
      </c>
      <c r="Z431" s="801">
        <f t="shared" si="122"/>
        <v>8418.9</v>
      </c>
      <c r="AA431" s="539" t="s">
        <v>1687</v>
      </c>
      <c r="AB431" s="568" t="s">
        <v>223</v>
      </c>
      <c r="AC431" s="539" t="s">
        <v>76</v>
      </c>
      <c r="AD431" s="539"/>
      <c r="AE431" s="539"/>
      <c r="AF431" s="539"/>
      <c r="AG431" s="584">
        <v>3000</v>
      </c>
      <c r="AH431" s="584">
        <f t="shared" si="123"/>
        <v>0</v>
      </c>
      <c r="AI431" s="539"/>
      <c r="AJ431" s="539"/>
      <c r="AK431" s="539"/>
      <c r="AN431" s="568">
        <f>I431</f>
        <v>3000</v>
      </c>
      <c r="AS431" s="777"/>
      <c r="AT431" s="568">
        <f t="shared" si="130"/>
        <v>3000</v>
      </c>
      <c r="BB431" s="568">
        <f>I431</f>
        <v>3000</v>
      </c>
      <c r="BC431" s="568">
        <f>I431</f>
        <v>3000</v>
      </c>
      <c r="BD431" s="777">
        <f>I431/4</f>
        <v>750</v>
      </c>
      <c r="BN431" s="803"/>
    </row>
    <row r="432" s="568" customFormat="1" ht="31" hidden="1" customHeight="1" spans="1:66">
      <c r="A432" s="547">
        <v>45881</v>
      </c>
      <c r="B432" s="548" t="s">
        <v>1595</v>
      </c>
      <c r="C432" s="539" t="s">
        <v>139</v>
      </c>
      <c r="D432" s="568">
        <v>4500176746</v>
      </c>
      <c r="E432" s="539">
        <v>4400502983</v>
      </c>
      <c r="F432" s="568" t="s">
        <v>1688</v>
      </c>
      <c r="G432" s="551" t="s">
        <v>148</v>
      </c>
      <c r="H432" s="539" t="s">
        <v>65</v>
      </c>
      <c r="I432" s="539">
        <v>5984</v>
      </c>
      <c r="J432" s="539">
        <v>0</v>
      </c>
      <c r="K432" s="539">
        <v>8</v>
      </c>
      <c r="L432" s="795">
        <f t="shared" si="117"/>
        <v>748</v>
      </c>
      <c r="M432" s="555">
        <v>45925</v>
      </c>
      <c r="N432" s="555">
        <v>45922</v>
      </c>
      <c r="O432" s="584"/>
      <c r="P432" s="584" t="s">
        <v>103</v>
      </c>
      <c r="Q432" s="539"/>
      <c r="R432" s="570">
        <v>45881</v>
      </c>
      <c r="S432" s="570" t="s">
        <v>66</v>
      </c>
      <c r="T432" s="570" t="s">
        <v>1597</v>
      </c>
      <c r="U432" s="570"/>
      <c r="V432" s="570"/>
      <c r="W432" s="564" t="s">
        <v>1689</v>
      </c>
      <c r="X432" s="797" t="s">
        <v>1424</v>
      </c>
      <c r="Y432" s="800">
        <v>4.2475</v>
      </c>
      <c r="Z432" s="801">
        <f t="shared" si="122"/>
        <v>25417.04</v>
      </c>
      <c r="AA432" s="539" t="s">
        <v>1690</v>
      </c>
      <c r="AB432" s="568" t="s">
        <v>148</v>
      </c>
      <c r="AC432" s="539" t="s">
        <v>76</v>
      </c>
      <c r="AD432" s="539"/>
      <c r="AE432" s="539"/>
      <c r="AF432" s="539"/>
      <c r="AG432" s="584">
        <f>5856+128</f>
        <v>5984</v>
      </c>
      <c r="AH432" s="584">
        <f t="shared" si="123"/>
        <v>0</v>
      </c>
      <c r="AI432" s="539"/>
      <c r="AJ432" s="539"/>
      <c r="AK432" s="539"/>
      <c r="AL432" s="568">
        <f>I432</f>
        <v>5984</v>
      </c>
      <c r="AS432" s="777"/>
      <c r="AT432" s="568">
        <f t="shared" si="130"/>
        <v>5984</v>
      </c>
      <c r="AZ432" s="568">
        <f>I432</f>
        <v>5984</v>
      </c>
      <c r="BA432" s="568">
        <f>I432</f>
        <v>5984</v>
      </c>
      <c r="BE432" s="777">
        <f>I432/4</f>
        <v>1496</v>
      </c>
      <c r="BN432" s="803"/>
    </row>
    <row r="433" s="568" customFormat="1" ht="31" hidden="1" customHeight="1" spans="1:66">
      <c r="A433" s="547">
        <v>45889</v>
      </c>
      <c r="B433" s="548" t="s">
        <v>128</v>
      </c>
      <c r="C433" s="539" t="s">
        <v>90</v>
      </c>
      <c r="D433" s="568">
        <v>4500177448</v>
      </c>
      <c r="E433" s="887" t="s">
        <v>1691</v>
      </c>
      <c r="F433" s="568" t="s">
        <v>1692</v>
      </c>
      <c r="G433" s="551" t="s">
        <v>93</v>
      </c>
      <c r="H433" s="539" t="s">
        <v>94</v>
      </c>
      <c r="I433" s="539">
        <v>1772</v>
      </c>
      <c r="J433" s="539">
        <v>0</v>
      </c>
      <c r="K433" s="539">
        <v>4</v>
      </c>
      <c r="L433" s="795">
        <f t="shared" si="117"/>
        <v>443</v>
      </c>
      <c r="M433" s="555">
        <v>45925</v>
      </c>
      <c r="N433" s="555">
        <v>45922</v>
      </c>
      <c r="O433" s="584" t="s">
        <v>1693</v>
      </c>
      <c r="P433" s="584" t="s">
        <v>103</v>
      </c>
      <c r="Q433" s="539" t="s">
        <v>1694</v>
      </c>
      <c r="R433" s="570" t="s">
        <v>132</v>
      </c>
      <c r="S433" s="570" t="s">
        <v>66</v>
      </c>
      <c r="T433" s="570" t="s">
        <v>1695</v>
      </c>
      <c r="U433" s="570" t="s">
        <v>133</v>
      </c>
      <c r="V433" s="570"/>
      <c r="W433" s="564" t="s">
        <v>1281</v>
      </c>
      <c r="X433" s="797" t="s">
        <v>98</v>
      </c>
      <c r="Y433" s="800">
        <v>2.58</v>
      </c>
      <c r="Z433" s="801">
        <f t="shared" si="122"/>
        <v>4571.76</v>
      </c>
      <c r="AA433" s="539" t="s">
        <v>1696</v>
      </c>
      <c r="AB433" s="568" t="s">
        <v>93</v>
      </c>
      <c r="AC433" s="539" t="s">
        <v>76</v>
      </c>
      <c r="AD433" s="539"/>
      <c r="AE433" s="539"/>
      <c r="AF433" s="539"/>
      <c r="AG433" s="584">
        <v>1772</v>
      </c>
      <c r="AH433" s="584">
        <f t="shared" si="123"/>
        <v>0</v>
      </c>
      <c r="AI433" s="539"/>
      <c r="AJ433" s="539"/>
      <c r="AK433" s="539"/>
      <c r="AL433" s="568">
        <f>I433</f>
        <v>1772</v>
      </c>
      <c r="AP433" s="568">
        <f>I433</f>
        <v>1772</v>
      </c>
      <c r="AR433" s="777">
        <f>I433</f>
        <v>1772</v>
      </c>
      <c r="AS433" s="777"/>
      <c r="AT433" s="568">
        <f t="shared" si="130"/>
        <v>1772</v>
      </c>
      <c r="BD433" s="777">
        <f>I433/4</f>
        <v>443</v>
      </c>
      <c r="BN433" s="803"/>
    </row>
    <row r="434" s="568" customFormat="1" ht="31" hidden="1" customHeight="1" spans="1:66">
      <c r="A434" s="547">
        <v>45889</v>
      </c>
      <c r="B434" s="548" t="s">
        <v>128</v>
      </c>
      <c r="C434" s="539" t="s">
        <v>90</v>
      </c>
      <c r="D434" s="568">
        <v>4500177448</v>
      </c>
      <c r="E434" s="887" t="s">
        <v>1697</v>
      </c>
      <c r="F434" s="568" t="s">
        <v>1698</v>
      </c>
      <c r="G434" s="551" t="s">
        <v>93</v>
      </c>
      <c r="H434" s="539" t="s">
        <v>94</v>
      </c>
      <c r="I434" s="539">
        <v>1184</v>
      </c>
      <c r="J434" s="539">
        <v>0</v>
      </c>
      <c r="K434" s="539">
        <v>4</v>
      </c>
      <c r="L434" s="795">
        <f t="shared" si="117"/>
        <v>296</v>
      </c>
      <c r="M434" s="555">
        <v>45925</v>
      </c>
      <c r="N434" s="555">
        <v>45922</v>
      </c>
      <c r="O434" s="584" t="s">
        <v>1693</v>
      </c>
      <c r="P434" s="584" t="s">
        <v>103</v>
      </c>
      <c r="Q434" s="539" t="s">
        <v>1694</v>
      </c>
      <c r="R434" s="570" t="s">
        <v>132</v>
      </c>
      <c r="S434" s="570" t="s">
        <v>66</v>
      </c>
      <c r="T434" s="570" t="s">
        <v>1695</v>
      </c>
      <c r="U434" s="570" t="s">
        <v>133</v>
      </c>
      <c r="V434" s="570"/>
      <c r="W434" s="564" t="s">
        <v>1281</v>
      </c>
      <c r="X434" s="797" t="s">
        <v>98</v>
      </c>
      <c r="Y434" s="800">
        <v>2.58</v>
      </c>
      <c r="Z434" s="801">
        <f t="shared" si="122"/>
        <v>3054.72</v>
      </c>
      <c r="AA434" s="539" t="s">
        <v>1699</v>
      </c>
      <c r="AB434" s="568" t="s">
        <v>93</v>
      </c>
      <c r="AC434" s="539" t="s">
        <v>76</v>
      </c>
      <c r="AD434" s="539"/>
      <c r="AE434" s="539"/>
      <c r="AF434" s="539"/>
      <c r="AG434" s="584">
        <v>1184</v>
      </c>
      <c r="AH434" s="584">
        <f t="shared" si="123"/>
        <v>0</v>
      </c>
      <c r="AI434" s="539"/>
      <c r="AJ434" s="539"/>
      <c r="AK434" s="539"/>
      <c r="AL434" s="568">
        <f>I434</f>
        <v>1184</v>
      </c>
      <c r="AP434" s="568">
        <f>I434</f>
        <v>1184</v>
      </c>
      <c r="AR434" s="777">
        <f>I434</f>
        <v>1184</v>
      </c>
      <c r="AS434" s="777"/>
      <c r="AT434" s="568">
        <f t="shared" si="130"/>
        <v>1184</v>
      </c>
      <c r="BD434" s="777">
        <f>I434/4</f>
        <v>296</v>
      </c>
      <c r="BN434" s="803"/>
    </row>
    <row r="435" s="568" customFormat="1" ht="31" hidden="1" customHeight="1" spans="1:66">
      <c r="A435" s="547">
        <v>45887</v>
      </c>
      <c r="B435" s="548" t="s">
        <v>220</v>
      </c>
      <c r="C435" s="539" t="s">
        <v>90</v>
      </c>
      <c r="D435" s="568">
        <v>4500177142</v>
      </c>
      <c r="E435" s="539" t="s">
        <v>1700</v>
      </c>
      <c r="F435" s="568" t="s">
        <v>1701</v>
      </c>
      <c r="G435" s="551" t="s">
        <v>223</v>
      </c>
      <c r="H435" s="539" t="s">
        <v>224</v>
      </c>
      <c r="I435" s="539">
        <v>10000</v>
      </c>
      <c r="J435" s="539">
        <v>0</v>
      </c>
      <c r="K435" s="539">
        <v>4</v>
      </c>
      <c r="L435" s="795">
        <f t="shared" si="117"/>
        <v>2500</v>
      </c>
      <c r="M435" s="555">
        <v>45925</v>
      </c>
      <c r="N435" s="555">
        <v>45922</v>
      </c>
      <c r="O435" s="584"/>
      <c r="P435" s="584" t="s">
        <v>103</v>
      </c>
      <c r="Q435" s="539"/>
      <c r="R435" s="570">
        <v>45894</v>
      </c>
      <c r="S435" s="570" t="s">
        <v>96</v>
      </c>
      <c r="T435" s="570">
        <v>45917</v>
      </c>
      <c r="U435" s="570"/>
      <c r="V435" s="570"/>
      <c r="W435" s="564" t="s">
        <v>1702</v>
      </c>
      <c r="X435" s="797" t="s">
        <v>226</v>
      </c>
      <c r="Y435" s="800">
        <v>2.7832</v>
      </c>
      <c r="Z435" s="801">
        <f t="shared" si="122"/>
        <v>27832</v>
      </c>
      <c r="AA435" s="539" t="s">
        <v>1703</v>
      </c>
      <c r="AB435" s="568" t="s">
        <v>223</v>
      </c>
      <c r="AC435" s="539" t="s">
        <v>76</v>
      </c>
      <c r="AD435" s="539"/>
      <c r="AE435" s="539"/>
      <c r="AF435" s="539"/>
      <c r="AG435" s="584">
        <v>10000</v>
      </c>
      <c r="AH435" s="584">
        <f t="shared" si="123"/>
        <v>0</v>
      </c>
      <c r="AI435" s="539"/>
      <c r="AJ435" s="539"/>
      <c r="AK435" s="539"/>
      <c r="AN435" s="568">
        <f>I435</f>
        <v>10000</v>
      </c>
      <c r="AS435" s="777"/>
      <c r="AT435" s="568">
        <f t="shared" si="130"/>
        <v>10000</v>
      </c>
      <c r="BB435" s="568">
        <f>I435</f>
        <v>10000</v>
      </c>
      <c r="BC435" s="568">
        <f>I435</f>
        <v>10000</v>
      </c>
      <c r="BD435" s="777">
        <f>I435/4</f>
        <v>2500</v>
      </c>
      <c r="BN435" s="803"/>
    </row>
    <row r="436" s="568" customFormat="1" ht="31" hidden="1" customHeight="1" spans="1:66">
      <c r="A436" s="547">
        <v>45897</v>
      </c>
      <c r="B436" s="548" t="s">
        <v>128</v>
      </c>
      <c r="C436" s="539" t="s">
        <v>90</v>
      </c>
      <c r="D436" s="568">
        <v>4500178132</v>
      </c>
      <c r="E436" s="887" t="s">
        <v>1704</v>
      </c>
      <c r="F436" s="568" t="s">
        <v>1705</v>
      </c>
      <c r="G436" s="551" t="s">
        <v>93</v>
      </c>
      <c r="H436" s="539" t="s">
        <v>94</v>
      </c>
      <c r="I436" s="539">
        <v>6512</v>
      </c>
      <c r="J436" s="539">
        <v>0</v>
      </c>
      <c r="K436" s="539">
        <v>4</v>
      </c>
      <c r="L436" s="795">
        <f t="shared" si="117"/>
        <v>1628</v>
      </c>
      <c r="M436" s="555">
        <v>45925</v>
      </c>
      <c r="N436" s="555">
        <v>45922</v>
      </c>
      <c r="O436" s="584" t="s">
        <v>1706</v>
      </c>
      <c r="P436" s="584" t="s">
        <v>103</v>
      </c>
      <c r="Q436" s="539" t="s">
        <v>1694</v>
      </c>
      <c r="R436" s="570" t="s">
        <v>132</v>
      </c>
      <c r="S436" s="570" t="s">
        <v>66</v>
      </c>
      <c r="T436" s="570">
        <v>45908</v>
      </c>
      <c r="U436" s="570" t="s">
        <v>133</v>
      </c>
      <c r="V436" s="570"/>
      <c r="W436" s="564" t="s">
        <v>1333</v>
      </c>
      <c r="X436" s="797" t="s">
        <v>98</v>
      </c>
      <c r="Y436" s="800">
        <v>2.5438</v>
      </c>
      <c r="Z436" s="801">
        <f t="shared" si="122"/>
        <v>16565.2256</v>
      </c>
      <c r="AA436" s="539" t="s">
        <v>1707</v>
      </c>
      <c r="AB436" s="568" t="s">
        <v>93</v>
      </c>
      <c r="AC436" s="539" t="s">
        <v>76</v>
      </c>
      <c r="AD436" s="539"/>
      <c r="AE436" s="539"/>
      <c r="AF436" s="539"/>
      <c r="AG436" s="584">
        <v>6512</v>
      </c>
      <c r="AH436" s="584">
        <f t="shared" si="123"/>
        <v>0</v>
      </c>
      <c r="AI436" s="539"/>
      <c r="AJ436" s="539"/>
      <c r="AK436" s="539"/>
      <c r="AL436" s="568">
        <f t="shared" ref="AL436:AL444" si="131">I436</f>
        <v>6512</v>
      </c>
      <c r="AP436" s="568">
        <f>I436</f>
        <v>6512</v>
      </c>
      <c r="AR436" s="777">
        <f t="shared" ref="AR436:AR443" si="132">I436</f>
        <v>6512</v>
      </c>
      <c r="AS436" s="777"/>
      <c r="AT436" s="568">
        <f t="shared" si="130"/>
        <v>6512</v>
      </c>
      <c r="BD436" s="777">
        <f>I436/4</f>
        <v>1628</v>
      </c>
      <c r="BN436" s="803"/>
    </row>
    <row r="437" s="568" customFormat="1" ht="31" hidden="1" customHeight="1" spans="1:66">
      <c r="A437" s="547">
        <v>45855</v>
      </c>
      <c r="B437" s="548" t="s">
        <v>1708</v>
      </c>
      <c r="C437" s="539" t="s">
        <v>468</v>
      </c>
      <c r="D437" s="568">
        <v>4500174112</v>
      </c>
      <c r="E437" s="539">
        <v>24724</v>
      </c>
      <c r="F437" s="568" t="s">
        <v>1709</v>
      </c>
      <c r="G437" s="551" t="s">
        <v>64</v>
      </c>
      <c r="H437" s="539" t="s">
        <v>65</v>
      </c>
      <c r="I437" s="539">
        <v>600</v>
      </c>
      <c r="J437" s="539">
        <v>0</v>
      </c>
      <c r="K437" s="539">
        <v>12</v>
      </c>
      <c r="L437" s="795">
        <f t="shared" si="117"/>
        <v>50</v>
      </c>
      <c r="M437" s="555">
        <v>45925</v>
      </c>
      <c r="N437" s="555">
        <v>45922</v>
      </c>
      <c r="O437" s="584"/>
      <c r="P437" s="584" t="s">
        <v>103</v>
      </c>
      <c r="Q437" s="539"/>
      <c r="R437" s="570">
        <v>45901</v>
      </c>
      <c r="S437" s="570" t="s">
        <v>66</v>
      </c>
      <c r="T437" s="570">
        <v>45905</v>
      </c>
      <c r="U437" s="570"/>
      <c r="V437" s="570"/>
      <c r="W437" s="564" t="s">
        <v>1710</v>
      </c>
      <c r="X437" s="797" t="s">
        <v>304</v>
      </c>
      <c r="Y437" s="800">
        <v>4.1018</v>
      </c>
      <c r="Z437" s="801">
        <f t="shared" si="122"/>
        <v>2461.08</v>
      </c>
      <c r="AA437" s="539" t="s">
        <v>1711</v>
      </c>
      <c r="AB437" s="568" t="s">
        <v>165</v>
      </c>
      <c r="AC437" s="539" t="s">
        <v>76</v>
      </c>
      <c r="AD437" s="539"/>
      <c r="AE437" s="539"/>
      <c r="AF437" s="539"/>
      <c r="AG437" s="584">
        <v>600</v>
      </c>
      <c r="AH437" s="584">
        <f t="shared" si="123"/>
        <v>0</v>
      </c>
      <c r="AI437" s="539"/>
      <c r="AJ437" s="539"/>
      <c r="AK437" s="539"/>
      <c r="AL437" s="568">
        <f t="shared" si="131"/>
        <v>600</v>
      </c>
      <c r="AQ437" s="656">
        <f>I437</f>
        <v>600</v>
      </c>
      <c r="AR437" s="777">
        <f t="shared" si="132"/>
        <v>600</v>
      </c>
      <c r="AS437" s="777"/>
      <c r="AT437" s="568">
        <f t="shared" si="130"/>
        <v>600</v>
      </c>
      <c r="BN437" s="803"/>
    </row>
    <row r="438" s="568" customFormat="1" ht="31" hidden="1" customHeight="1" spans="1:66">
      <c r="A438" s="547">
        <v>45877</v>
      </c>
      <c r="B438" s="548" t="s">
        <v>128</v>
      </c>
      <c r="C438" s="539" t="s">
        <v>90</v>
      </c>
      <c r="D438" s="568">
        <v>4500176398</v>
      </c>
      <c r="E438" s="887" t="s">
        <v>1712</v>
      </c>
      <c r="F438" s="568" t="s">
        <v>1713</v>
      </c>
      <c r="G438" s="551" t="s">
        <v>93</v>
      </c>
      <c r="H438" s="539" t="s">
        <v>94</v>
      </c>
      <c r="I438" s="539">
        <v>500</v>
      </c>
      <c r="J438" s="539">
        <v>0</v>
      </c>
      <c r="K438" s="539">
        <v>4</v>
      </c>
      <c r="L438" s="795">
        <f t="shared" si="117"/>
        <v>125</v>
      </c>
      <c r="M438" s="555">
        <v>45929</v>
      </c>
      <c r="N438" s="555">
        <v>45925</v>
      </c>
      <c r="O438" s="584" t="s">
        <v>1706</v>
      </c>
      <c r="P438" s="584" t="s">
        <v>103</v>
      </c>
      <c r="Q438" s="539"/>
      <c r="R438" s="570" t="s">
        <v>132</v>
      </c>
      <c r="S438" s="570" t="s">
        <v>66</v>
      </c>
      <c r="T438" s="570" t="s">
        <v>1612</v>
      </c>
      <c r="U438" s="570" t="s">
        <v>133</v>
      </c>
      <c r="V438" s="570"/>
      <c r="W438" s="564" t="s">
        <v>1281</v>
      </c>
      <c r="X438" s="797" t="s">
        <v>98</v>
      </c>
      <c r="Y438" s="800">
        <v>2.58</v>
      </c>
      <c r="Z438" s="801">
        <f t="shared" si="122"/>
        <v>1290</v>
      </c>
      <c r="AA438" s="539" t="s">
        <v>1714</v>
      </c>
      <c r="AB438" s="568" t="s">
        <v>93</v>
      </c>
      <c r="AC438" s="539" t="s">
        <v>76</v>
      </c>
      <c r="AD438" s="539"/>
      <c r="AE438" s="539"/>
      <c r="AF438" s="539"/>
      <c r="AG438" s="584">
        <v>500</v>
      </c>
      <c r="AH438" s="584">
        <f t="shared" si="123"/>
        <v>0</v>
      </c>
      <c r="AI438" s="539"/>
      <c r="AJ438" s="539"/>
      <c r="AK438" s="539"/>
      <c r="AL438" s="568">
        <f t="shared" si="131"/>
        <v>500</v>
      </c>
      <c r="AP438" s="568">
        <f>I438</f>
        <v>500</v>
      </c>
      <c r="AR438" s="777">
        <f t="shared" si="132"/>
        <v>500</v>
      </c>
      <c r="AS438" s="777"/>
      <c r="AT438" s="568">
        <f t="shared" si="130"/>
        <v>500</v>
      </c>
      <c r="BD438" s="777">
        <f>I438/4</f>
        <v>125</v>
      </c>
      <c r="BN438" s="803"/>
    </row>
    <row r="439" s="568" customFormat="1" ht="31" hidden="1" customHeight="1" spans="1:66">
      <c r="A439" s="547">
        <v>45842</v>
      </c>
      <c r="B439" s="548" t="s">
        <v>190</v>
      </c>
      <c r="C439" s="539" t="s">
        <v>191</v>
      </c>
      <c r="D439" s="568">
        <v>4500172714</v>
      </c>
      <c r="E439" s="539" t="s">
        <v>1715</v>
      </c>
      <c r="F439" s="568" t="s">
        <v>1716</v>
      </c>
      <c r="G439" s="551" t="s">
        <v>102</v>
      </c>
      <c r="H439" s="539" t="s">
        <v>65</v>
      </c>
      <c r="I439" s="539">
        <v>368</v>
      </c>
      <c r="J439" s="539">
        <v>0</v>
      </c>
      <c r="K439" s="539">
        <v>16</v>
      </c>
      <c r="L439" s="795">
        <f t="shared" si="117"/>
        <v>23</v>
      </c>
      <c r="M439" s="555">
        <v>45922</v>
      </c>
      <c r="N439" s="555">
        <v>45918</v>
      </c>
      <c r="O439" s="584"/>
      <c r="P439" s="584" t="s">
        <v>103</v>
      </c>
      <c r="Q439" s="539"/>
      <c r="R439" s="570">
        <v>45842</v>
      </c>
      <c r="S439" s="570" t="s">
        <v>66</v>
      </c>
      <c r="T439" s="570" t="s">
        <v>1717</v>
      </c>
      <c r="U439" s="570" t="s">
        <v>1718</v>
      </c>
      <c r="V439" s="570"/>
      <c r="W439" s="564" t="s">
        <v>1719</v>
      </c>
      <c r="X439" s="797" t="s">
        <v>1663</v>
      </c>
      <c r="Y439" s="800">
        <v>4.2114</v>
      </c>
      <c r="Z439" s="801">
        <f t="shared" si="122"/>
        <v>1549.7952</v>
      </c>
      <c r="AA439" s="539" t="s">
        <v>1720</v>
      </c>
      <c r="AB439" s="568" t="s">
        <v>102</v>
      </c>
      <c r="AC439" s="539" t="s">
        <v>76</v>
      </c>
      <c r="AD439" s="539"/>
      <c r="AE439" s="539"/>
      <c r="AF439" s="539"/>
      <c r="AG439" s="584">
        <v>368</v>
      </c>
      <c r="AH439" s="584">
        <f t="shared" si="123"/>
        <v>0</v>
      </c>
      <c r="AI439" s="539"/>
      <c r="AJ439" s="539"/>
      <c r="AK439" s="539"/>
      <c r="AL439" s="568">
        <f t="shared" si="131"/>
        <v>368</v>
      </c>
      <c r="AP439" s="568">
        <f>I439</f>
        <v>368</v>
      </c>
      <c r="AR439" s="777">
        <f t="shared" si="132"/>
        <v>368</v>
      </c>
      <c r="AS439" s="777"/>
      <c r="AT439" s="568">
        <f t="shared" si="130"/>
        <v>368</v>
      </c>
      <c r="BD439" s="777">
        <f>I439/4</f>
        <v>92</v>
      </c>
      <c r="BN439" s="803"/>
    </row>
    <row r="440" s="568" customFormat="1" ht="31" hidden="1" customHeight="1" spans="1:66">
      <c r="A440" s="547">
        <v>45840</v>
      </c>
      <c r="B440" s="548" t="s">
        <v>125</v>
      </c>
      <c r="C440" s="539" t="s">
        <v>71</v>
      </c>
      <c r="D440" s="568">
        <v>4500172411</v>
      </c>
      <c r="E440" s="539">
        <v>20862344</v>
      </c>
      <c r="F440" s="568" t="s">
        <v>1721</v>
      </c>
      <c r="G440" s="551" t="s">
        <v>463</v>
      </c>
      <c r="H440" s="539" t="s">
        <v>424</v>
      </c>
      <c r="I440" s="539">
        <v>150</v>
      </c>
      <c r="J440" s="539">
        <v>0</v>
      </c>
      <c r="K440" s="539">
        <v>6</v>
      </c>
      <c r="L440" s="795">
        <f t="shared" si="117"/>
        <v>25</v>
      </c>
      <c r="M440" s="555">
        <v>45930</v>
      </c>
      <c r="N440" s="555">
        <v>45915</v>
      </c>
      <c r="O440" s="584"/>
      <c r="P440" s="584" t="s">
        <v>103</v>
      </c>
      <c r="Q440" s="539" t="s">
        <v>1445</v>
      </c>
      <c r="R440" s="570">
        <v>45897</v>
      </c>
      <c r="S440" s="570" t="s">
        <v>96</v>
      </c>
      <c r="T440" s="570">
        <v>45915</v>
      </c>
      <c r="U440" s="570"/>
      <c r="V440" s="570"/>
      <c r="W440" s="548" t="s">
        <v>1506</v>
      </c>
      <c r="X440" s="797" t="s">
        <v>121</v>
      </c>
      <c r="Y440" s="800">
        <v>7.4117</v>
      </c>
      <c r="Z440" s="801">
        <f t="shared" si="122"/>
        <v>1111.755</v>
      </c>
      <c r="AA440" s="539"/>
      <c r="AB440" s="568" t="s">
        <v>1203</v>
      </c>
      <c r="AC440" s="539" t="s">
        <v>76</v>
      </c>
      <c r="AD440" s="539"/>
      <c r="AE440" s="539"/>
      <c r="AF440" s="539"/>
      <c r="AG440" s="584">
        <v>150</v>
      </c>
      <c r="AH440" s="584">
        <f t="shared" si="123"/>
        <v>0</v>
      </c>
      <c r="AI440" s="539"/>
      <c r="AJ440" s="539"/>
      <c r="AK440" s="539"/>
      <c r="AL440" s="568">
        <f t="shared" si="131"/>
        <v>150</v>
      </c>
      <c r="AP440" s="568">
        <f>I440</f>
        <v>150</v>
      </c>
      <c r="AR440" s="777">
        <f t="shared" si="132"/>
        <v>150</v>
      </c>
      <c r="AS440" s="777"/>
      <c r="AT440" s="568">
        <f t="shared" si="130"/>
        <v>150</v>
      </c>
      <c r="BJ440" s="568">
        <f>I440</f>
        <v>150</v>
      </c>
      <c r="BN440" s="803"/>
    </row>
    <row r="441" s="568" customFormat="1" ht="31" hidden="1" customHeight="1" spans="1:66">
      <c r="A441" s="547">
        <v>45840</v>
      </c>
      <c r="B441" s="548" t="s">
        <v>122</v>
      </c>
      <c r="C441" s="539" t="s">
        <v>116</v>
      </c>
      <c r="D441" s="568">
        <v>4500172409</v>
      </c>
      <c r="E441" s="539">
        <v>20862338</v>
      </c>
      <c r="F441" s="568" t="s">
        <v>1722</v>
      </c>
      <c r="G441" s="551" t="s">
        <v>463</v>
      </c>
      <c r="H441" s="539" t="s">
        <v>424</v>
      </c>
      <c r="I441" s="539">
        <v>1350</v>
      </c>
      <c r="J441" s="539">
        <v>0</v>
      </c>
      <c r="K441" s="539">
        <v>6</v>
      </c>
      <c r="L441" s="795">
        <f t="shared" si="117"/>
        <v>225</v>
      </c>
      <c r="M441" s="555">
        <v>45930</v>
      </c>
      <c r="N441" s="555">
        <v>45915</v>
      </c>
      <c r="O441" s="584"/>
      <c r="P441" s="584" t="s">
        <v>103</v>
      </c>
      <c r="Q441" s="539" t="s">
        <v>1445</v>
      </c>
      <c r="R441" s="570">
        <v>45897</v>
      </c>
      <c r="S441" s="570" t="s">
        <v>96</v>
      </c>
      <c r="T441" s="570">
        <v>45915</v>
      </c>
      <c r="U441" s="570"/>
      <c r="V441" s="570"/>
      <c r="W441" s="564" t="s">
        <v>1723</v>
      </c>
      <c r="X441" s="797" t="s">
        <v>121</v>
      </c>
      <c r="Y441" s="800">
        <v>7.0815</v>
      </c>
      <c r="Z441" s="801">
        <f t="shared" si="122"/>
        <v>9560.025</v>
      </c>
      <c r="AA441" s="539"/>
      <c r="AB441" s="568" t="s">
        <v>1203</v>
      </c>
      <c r="AC441" s="539" t="s">
        <v>76</v>
      </c>
      <c r="AD441" s="539"/>
      <c r="AE441" s="539"/>
      <c r="AF441" s="539"/>
      <c r="AG441" s="584">
        <v>1350</v>
      </c>
      <c r="AH441" s="584">
        <f t="shared" si="123"/>
        <v>0</v>
      </c>
      <c r="AI441" s="539"/>
      <c r="AJ441" s="539"/>
      <c r="AK441" s="539"/>
      <c r="AL441" s="568">
        <f t="shared" si="131"/>
        <v>1350</v>
      </c>
      <c r="AP441" s="568">
        <f>I441</f>
        <v>1350</v>
      </c>
      <c r="AR441" s="777">
        <f t="shared" si="132"/>
        <v>1350</v>
      </c>
      <c r="AS441" s="777"/>
      <c r="AT441" s="568">
        <f t="shared" si="130"/>
        <v>1350</v>
      </c>
      <c r="BJ441" s="568">
        <f>I441</f>
        <v>1350</v>
      </c>
      <c r="BN441" s="803"/>
    </row>
    <row r="442" s="568" customFormat="1" ht="31" hidden="1" customHeight="1" spans="1:66">
      <c r="A442" s="547">
        <v>45887</v>
      </c>
      <c r="B442" s="548" t="s">
        <v>1724</v>
      </c>
      <c r="C442" s="539" t="s">
        <v>1725</v>
      </c>
      <c r="D442" s="568">
        <v>4500177210</v>
      </c>
      <c r="E442" s="539" t="s">
        <v>1726</v>
      </c>
      <c r="F442" s="568" t="s">
        <v>1727</v>
      </c>
      <c r="G442" s="551" t="s">
        <v>64</v>
      </c>
      <c r="H442" s="539" t="s">
        <v>65</v>
      </c>
      <c r="I442" s="539">
        <v>528</v>
      </c>
      <c r="J442" s="539">
        <v>0</v>
      </c>
      <c r="K442" s="539">
        <v>12</v>
      </c>
      <c r="L442" s="795">
        <f t="shared" si="117"/>
        <v>44</v>
      </c>
      <c r="M442" s="555">
        <v>45925</v>
      </c>
      <c r="N442" s="555">
        <v>45922</v>
      </c>
      <c r="O442" s="584"/>
      <c r="P442" s="584" t="s">
        <v>103</v>
      </c>
      <c r="Q442" s="539"/>
      <c r="R442" s="570">
        <v>45896</v>
      </c>
      <c r="S442" s="570" t="s">
        <v>66</v>
      </c>
      <c r="T442" s="570">
        <v>45898</v>
      </c>
      <c r="U442" s="570"/>
      <c r="V442" s="570"/>
      <c r="W442" s="564" t="s">
        <v>1728</v>
      </c>
      <c r="X442" s="797" t="s">
        <v>473</v>
      </c>
      <c r="Y442" s="800">
        <v>4.1018</v>
      </c>
      <c r="Z442" s="801">
        <f t="shared" si="122"/>
        <v>2165.7504</v>
      </c>
      <c r="AA442" s="539" t="s">
        <v>1729</v>
      </c>
      <c r="AB442" s="568" t="s">
        <v>165</v>
      </c>
      <c r="AC442" s="539" t="s">
        <v>76</v>
      </c>
      <c r="AD442" s="539"/>
      <c r="AE442" s="539"/>
      <c r="AF442" s="539"/>
      <c r="AG442" s="584">
        <v>528</v>
      </c>
      <c r="AH442" s="584">
        <f t="shared" si="123"/>
        <v>0</v>
      </c>
      <c r="AI442" s="539"/>
      <c r="AJ442" s="539"/>
      <c r="AK442" s="539"/>
      <c r="AL442" s="568">
        <f t="shared" si="131"/>
        <v>528</v>
      </c>
      <c r="AQ442" s="568">
        <f>I442</f>
        <v>528</v>
      </c>
      <c r="AR442" s="777">
        <f t="shared" si="132"/>
        <v>528</v>
      </c>
      <c r="AS442" s="777"/>
      <c r="AT442" s="568">
        <f t="shared" si="130"/>
        <v>528</v>
      </c>
      <c r="BN442" s="803"/>
    </row>
    <row r="443" s="568" customFormat="1" ht="31" hidden="1" customHeight="1" spans="1:66">
      <c r="A443" s="547">
        <v>45898</v>
      </c>
      <c r="B443" s="548" t="s">
        <v>467</v>
      </c>
      <c r="C443" s="539" t="s">
        <v>468</v>
      </c>
      <c r="D443" s="568">
        <v>4500178210</v>
      </c>
      <c r="E443" s="539"/>
      <c r="F443" s="568" t="s">
        <v>1730</v>
      </c>
      <c r="G443" s="551" t="s">
        <v>64</v>
      </c>
      <c r="H443" s="539" t="s">
        <v>65</v>
      </c>
      <c r="I443" s="539">
        <v>4800</v>
      </c>
      <c r="J443" s="539">
        <v>0</v>
      </c>
      <c r="K443" s="539">
        <v>12</v>
      </c>
      <c r="L443" s="795">
        <f t="shared" ref="L443:L506" si="133">I443/K443</f>
        <v>400</v>
      </c>
      <c r="M443" s="555">
        <v>45929</v>
      </c>
      <c r="N443" s="555">
        <v>45925</v>
      </c>
      <c r="O443" s="584"/>
      <c r="P443" s="584" t="s">
        <v>103</v>
      </c>
      <c r="Q443" s="539"/>
      <c r="R443" s="570">
        <v>45898</v>
      </c>
      <c r="S443" s="570" t="s">
        <v>66</v>
      </c>
      <c r="T443" s="570" t="s">
        <v>1731</v>
      </c>
      <c r="U443" s="570" t="s">
        <v>471</v>
      </c>
      <c r="V443" s="570"/>
      <c r="W443" s="564" t="s">
        <v>1732</v>
      </c>
      <c r="X443" s="797" t="s">
        <v>473</v>
      </c>
      <c r="Y443" s="800">
        <v>4.1403</v>
      </c>
      <c r="Z443" s="801">
        <f t="shared" si="122"/>
        <v>19873.44</v>
      </c>
      <c r="AA443" s="549" t="s">
        <v>1733</v>
      </c>
      <c r="AB443" s="568" t="s">
        <v>165</v>
      </c>
      <c r="AC443" s="539" t="s">
        <v>76</v>
      </c>
      <c r="AD443" s="539"/>
      <c r="AE443" s="539"/>
      <c r="AF443" s="539"/>
      <c r="AG443" s="584">
        <f>3360+1416+24</f>
        <v>4800</v>
      </c>
      <c r="AH443" s="584">
        <f t="shared" si="123"/>
        <v>0</v>
      </c>
      <c r="AI443" s="539"/>
      <c r="AJ443" s="539"/>
      <c r="AK443" s="539"/>
      <c r="AL443" s="568">
        <f t="shared" si="131"/>
        <v>4800</v>
      </c>
      <c r="AQ443" s="568">
        <f>I443</f>
        <v>4800</v>
      </c>
      <c r="AR443" s="777">
        <f t="shared" si="132"/>
        <v>4800</v>
      </c>
      <c r="AS443" s="777"/>
      <c r="AT443" s="568">
        <f t="shared" si="130"/>
        <v>4800</v>
      </c>
      <c r="BN443" s="803"/>
    </row>
    <row r="444" s="568" customFormat="1" ht="31" hidden="1" customHeight="1" spans="1:66">
      <c r="A444" s="547">
        <v>45882</v>
      </c>
      <c r="B444" s="548" t="s">
        <v>220</v>
      </c>
      <c r="C444" s="539" t="s">
        <v>90</v>
      </c>
      <c r="D444" s="568">
        <v>4500176828</v>
      </c>
      <c r="E444" s="539" t="s">
        <v>1734</v>
      </c>
      <c r="F444" s="568" t="s">
        <v>1735</v>
      </c>
      <c r="G444" s="551" t="s">
        <v>223</v>
      </c>
      <c r="H444" s="539" t="s">
        <v>224</v>
      </c>
      <c r="I444" s="539">
        <v>4056</v>
      </c>
      <c r="J444" s="539">
        <v>0</v>
      </c>
      <c r="K444" s="539">
        <v>4</v>
      </c>
      <c r="L444" s="795">
        <f t="shared" si="133"/>
        <v>1014</v>
      </c>
      <c r="M444" s="555">
        <v>45929</v>
      </c>
      <c r="N444" s="555">
        <v>45925</v>
      </c>
      <c r="O444" s="584"/>
      <c r="P444" s="584" t="s">
        <v>103</v>
      </c>
      <c r="Q444" s="539"/>
      <c r="R444" s="570">
        <v>45894</v>
      </c>
      <c r="S444" s="570" t="s">
        <v>96</v>
      </c>
      <c r="T444" s="570">
        <v>45903</v>
      </c>
      <c r="U444" s="570" t="s">
        <v>1481</v>
      </c>
      <c r="V444" s="570"/>
      <c r="W444" s="564" t="s">
        <v>1736</v>
      </c>
      <c r="X444" s="797" t="s">
        <v>226</v>
      </c>
      <c r="Y444" s="800">
        <v>2.8063</v>
      </c>
      <c r="Z444" s="801">
        <f t="shared" si="122"/>
        <v>11382.3528</v>
      </c>
      <c r="AA444" s="539" t="s">
        <v>1737</v>
      </c>
      <c r="AB444" s="568" t="s">
        <v>223</v>
      </c>
      <c r="AC444" s="539" t="s">
        <v>76</v>
      </c>
      <c r="AD444" s="539"/>
      <c r="AE444" s="539"/>
      <c r="AF444" s="539"/>
      <c r="AG444" s="584">
        <v>4056</v>
      </c>
      <c r="AH444" s="584">
        <f t="shared" si="123"/>
        <v>0</v>
      </c>
      <c r="AI444" s="539"/>
      <c r="AJ444" s="539"/>
      <c r="AK444" s="539"/>
      <c r="AN444" s="568">
        <f>I444</f>
        <v>4056</v>
      </c>
      <c r="AS444" s="777"/>
      <c r="AT444" s="568">
        <f t="shared" si="130"/>
        <v>4056</v>
      </c>
      <c r="BB444" s="568">
        <f>I444</f>
        <v>4056</v>
      </c>
      <c r="BC444" s="568">
        <f>I444</f>
        <v>4056</v>
      </c>
      <c r="BD444" s="777">
        <f>I444/4</f>
        <v>1014</v>
      </c>
      <c r="BN444" s="803"/>
    </row>
    <row r="445" s="568" customFormat="1" ht="31" hidden="1" customHeight="1" spans="1:66">
      <c r="A445" s="547">
        <v>45855</v>
      </c>
      <c r="B445" s="548" t="s">
        <v>489</v>
      </c>
      <c r="C445" s="539" t="s">
        <v>249</v>
      </c>
      <c r="D445" s="568">
        <v>4500174199</v>
      </c>
      <c r="E445" s="539" t="s">
        <v>1738</v>
      </c>
      <c r="F445" s="568" t="s">
        <v>1739</v>
      </c>
      <c r="G445" s="551" t="s">
        <v>463</v>
      </c>
      <c r="H445" s="539" t="s">
        <v>424</v>
      </c>
      <c r="I445" s="539">
        <v>732</v>
      </c>
      <c r="J445" s="539">
        <v>0</v>
      </c>
      <c r="K445" s="539">
        <v>6</v>
      </c>
      <c r="L445" s="795">
        <f t="shared" si="133"/>
        <v>122</v>
      </c>
      <c r="M445" s="555">
        <v>45930</v>
      </c>
      <c r="N445" s="555">
        <v>45926</v>
      </c>
      <c r="O445" s="584"/>
      <c r="P445" s="584" t="s">
        <v>103</v>
      </c>
      <c r="Q445" s="539"/>
      <c r="R445" s="570" t="s">
        <v>411</v>
      </c>
      <c r="S445" s="570" t="s">
        <v>96</v>
      </c>
      <c r="T445" s="570" t="s">
        <v>1740</v>
      </c>
      <c r="U445" s="570"/>
      <c r="V445" s="570"/>
      <c r="W445" s="564" t="s">
        <v>1741</v>
      </c>
      <c r="X445" s="797" t="s">
        <v>414</v>
      </c>
      <c r="Y445" s="800">
        <v>6.8326</v>
      </c>
      <c r="Z445" s="801">
        <f t="shared" ref="Z445:Z471" si="134">Y445*I445</f>
        <v>5001.4632</v>
      </c>
      <c r="AA445" s="539"/>
      <c r="AB445" s="568" t="s">
        <v>1742</v>
      </c>
      <c r="AC445" s="539" t="s">
        <v>76</v>
      </c>
      <c r="AD445" s="539"/>
      <c r="AE445" s="539"/>
      <c r="AF445" s="539"/>
      <c r="AG445" s="584">
        <v>732</v>
      </c>
      <c r="AH445" s="584">
        <f t="shared" si="123"/>
        <v>0</v>
      </c>
      <c r="AI445" s="539"/>
      <c r="AJ445" s="539"/>
      <c r="AK445" s="539"/>
      <c r="AL445" s="568">
        <f>I445</f>
        <v>732</v>
      </c>
      <c r="AP445" s="568">
        <f>I445</f>
        <v>732</v>
      </c>
      <c r="AR445" s="777">
        <f t="shared" ref="AR445:AR457" si="135">I445</f>
        <v>732</v>
      </c>
      <c r="AS445" s="777"/>
      <c r="AT445" s="568">
        <f t="shared" ref="AT445:AT471" si="136">I445</f>
        <v>732</v>
      </c>
      <c r="BJ445" s="568">
        <f>I445</f>
        <v>732</v>
      </c>
      <c r="BN445" s="803"/>
    </row>
    <row r="446" s="568" customFormat="1" ht="31" hidden="1" customHeight="1" spans="1:66">
      <c r="A446" s="547">
        <v>45855</v>
      </c>
      <c r="B446" s="548" t="s">
        <v>489</v>
      </c>
      <c r="C446" s="539" t="s">
        <v>139</v>
      </c>
      <c r="D446" s="568">
        <v>4500174199</v>
      </c>
      <c r="E446" s="539" t="s">
        <v>1743</v>
      </c>
      <c r="F446" s="568" t="s">
        <v>1744</v>
      </c>
      <c r="G446" s="551" t="s">
        <v>463</v>
      </c>
      <c r="H446" s="539" t="s">
        <v>424</v>
      </c>
      <c r="I446" s="539">
        <v>504</v>
      </c>
      <c r="J446" s="539">
        <v>0</v>
      </c>
      <c r="K446" s="539">
        <v>6</v>
      </c>
      <c r="L446" s="795">
        <f t="shared" si="133"/>
        <v>84</v>
      </c>
      <c r="M446" s="555">
        <v>45930</v>
      </c>
      <c r="N446" s="555">
        <v>45926</v>
      </c>
      <c r="O446" s="584"/>
      <c r="P446" s="584" t="s">
        <v>103</v>
      </c>
      <c r="Q446" s="539"/>
      <c r="R446" s="570" t="s">
        <v>411</v>
      </c>
      <c r="S446" s="570" t="s">
        <v>96</v>
      </c>
      <c r="T446" s="570" t="s">
        <v>1740</v>
      </c>
      <c r="U446" s="570"/>
      <c r="V446" s="570"/>
      <c r="W446" s="564" t="s">
        <v>1741</v>
      </c>
      <c r="X446" s="797" t="s">
        <v>414</v>
      </c>
      <c r="Y446" s="800">
        <v>6.8326</v>
      </c>
      <c r="Z446" s="801">
        <f t="shared" si="134"/>
        <v>3443.6304</v>
      </c>
      <c r="AA446" s="539"/>
      <c r="AB446" s="568" t="s">
        <v>1742</v>
      </c>
      <c r="AC446" s="539" t="s">
        <v>76</v>
      </c>
      <c r="AD446" s="539"/>
      <c r="AE446" s="539"/>
      <c r="AF446" s="539"/>
      <c r="AG446" s="584">
        <v>504</v>
      </c>
      <c r="AH446" s="584">
        <f t="shared" si="123"/>
        <v>0</v>
      </c>
      <c r="AI446" s="539"/>
      <c r="AJ446" s="539"/>
      <c r="AK446" s="539"/>
      <c r="AL446" s="568">
        <f t="shared" ref="AL446:AL459" si="137">I446</f>
        <v>504</v>
      </c>
      <c r="AP446" s="568">
        <f>I446</f>
        <v>504</v>
      </c>
      <c r="AR446" s="777">
        <f t="shared" si="135"/>
        <v>504</v>
      </c>
      <c r="AS446" s="777"/>
      <c r="AT446" s="568">
        <f t="shared" si="136"/>
        <v>504</v>
      </c>
      <c r="BJ446" s="568">
        <f>I446</f>
        <v>504</v>
      </c>
      <c r="BN446" s="803"/>
    </row>
    <row r="447" s="568" customFormat="1" ht="31" hidden="1" customHeight="1" spans="1:66">
      <c r="A447" s="547">
        <v>45855</v>
      </c>
      <c r="B447" s="548" t="s">
        <v>489</v>
      </c>
      <c r="C447" s="539" t="s">
        <v>271</v>
      </c>
      <c r="D447" s="568">
        <v>4500174199</v>
      </c>
      <c r="E447" s="539" t="s">
        <v>1745</v>
      </c>
      <c r="F447" s="568" t="s">
        <v>1746</v>
      </c>
      <c r="G447" s="551" t="s">
        <v>463</v>
      </c>
      <c r="H447" s="539" t="s">
        <v>424</v>
      </c>
      <c r="I447" s="539">
        <v>504</v>
      </c>
      <c r="J447" s="539">
        <v>0</v>
      </c>
      <c r="K447" s="539">
        <v>6</v>
      </c>
      <c r="L447" s="795">
        <f t="shared" si="133"/>
        <v>84</v>
      </c>
      <c r="M447" s="555">
        <v>45930</v>
      </c>
      <c r="N447" s="555">
        <v>45926</v>
      </c>
      <c r="O447" s="584"/>
      <c r="P447" s="584" t="s">
        <v>103</v>
      </c>
      <c r="Q447" s="539"/>
      <c r="R447" s="570" t="s">
        <v>411</v>
      </c>
      <c r="S447" s="570" t="s">
        <v>96</v>
      </c>
      <c r="T447" s="570" t="s">
        <v>1740</v>
      </c>
      <c r="U447" s="570"/>
      <c r="V447" s="570"/>
      <c r="W447" s="564" t="s">
        <v>1741</v>
      </c>
      <c r="X447" s="797" t="s">
        <v>414</v>
      </c>
      <c r="Y447" s="800">
        <v>6.8326</v>
      </c>
      <c r="Z447" s="801">
        <f t="shared" si="134"/>
        <v>3443.6304</v>
      </c>
      <c r="AA447" s="539"/>
      <c r="AB447" s="568" t="s">
        <v>1742</v>
      </c>
      <c r="AC447" s="539" t="s">
        <v>76</v>
      </c>
      <c r="AD447" s="539"/>
      <c r="AE447" s="539"/>
      <c r="AF447" s="539"/>
      <c r="AG447" s="584">
        <v>504</v>
      </c>
      <c r="AH447" s="584">
        <f t="shared" si="123"/>
        <v>0</v>
      </c>
      <c r="AI447" s="539"/>
      <c r="AJ447" s="539"/>
      <c r="AK447" s="539"/>
      <c r="AL447" s="568">
        <f t="shared" si="137"/>
        <v>504</v>
      </c>
      <c r="AP447" s="568">
        <f>I447</f>
        <v>504</v>
      </c>
      <c r="AR447" s="777">
        <f t="shared" si="135"/>
        <v>504</v>
      </c>
      <c r="AT447" s="568">
        <f t="shared" si="136"/>
        <v>504</v>
      </c>
      <c r="BJ447" s="568">
        <f>I447</f>
        <v>504</v>
      </c>
      <c r="BN447" s="803"/>
    </row>
    <row r="448" s="568" customFormat="1" ht="31" hidden="1" customHeight="1" spans="1:66">
      <c r="A448" s="547">
        <v>45855</v>
      </c>
      <c r="B448" s="548" t="s">
        <v>489</v>
      </c>
      <c r="C448" s="539" t="s">
        <v>249</v>
      </c>
      <c r="D448" s="568">
        <v>4500174199</v>
      </c>
      <c r="E448" s="539" t="s">
        <v>1747</v>
      </c>
      <c r="F448" s="568" t="s">
        <v>1748</v>
      </c>
      <c r="G448" s="551" t="s">
        <v>463</v>
      </c>
      <c r="H448" s="539" t="s">
        <v>424</v>
      </c>
      <c r="I448" s="539">
        <v>1056</v>
      </c>
      <c r="J448" s="539">
        <v>0</v>
      </c>
      <c r="K448" s="539">
        <v>6</v>
      </c>
      <c r="L448" s="795">
        <f t="shared" si="133"/>
        <v>176</v>
      </c>
      <c r="M448" s="555">
        <v>45930</v>
      </c>
      <c r="N448" s="555">
        <v>45926</v>
      </c>
      <c r="O448" s="584"/>
      <c r="P448" s="584" t="s">
        <v>103</v>
      </c>
      <c r="Q448" s="539"/>
      <c r="R448" s="570" t="s">
        <v>411</v>
      </c>
      <c r="S448" s="570" t="s">
        <v>96</v>
      </c>
      <c r="T448" s="570" t="s">
        <v>1740</v>
      </c>
      <c r="U448" s="570"/>
      <c r="V448" s="570"/>
      <c r="W448" s="564" t="s">
        <v>1741</v>
      </c>
      <c r="X448" s="797" t="s">
        <v>414</v>
      </c>
      <c r="Y448" s="800">
        <v>6.8326</v>
      </c>
      <c r="Z448" s="801">
        <f t="shared" si="134"/>
        <v>7215.2256</v>
      </c>
      <c r="AA448" s="539"/>
      <c r="AB448" s="568" t="s">
        <v>1742</v>
      </c>
      <c r="AC448" s="539" t="s">
        <v>76</v>
      </c>
      <c r="AD448" s="539"/>
      <c r="AE448" s="539"/>
      <c r="AF448" s="539"/>
      <c r="AG448" s="584">
        <v>1056</v>
      </c>
      <c r="AH448" s="584">
        <f t="shared" si="123"/>
        <v>0</v>
      </c>
      <c r="AI448" s="539"/>
      <c r="AJ448" s="539"/>
      <c r="AK448" s="539"/>
      <c r="AL448" s="568">
        <f t="shared" si="137"/>
        <v>1056</v>
      </c>
      <c r="AP448" s="568">
        <f>I448</f>
        <v>1056</v>
      </c>
      <c r="AR448" s="777">
        <f t="shared" si="135"/>
        <v>1056</v>
      </c>
      <c r="AT448" s="568">
        <f t="shared" si="136"/>
        <v>1056</v>
      </c>
      <c r="BJ448" s="568">
        <f>I448</f>
        <v>1056</v>
      </c>
      <c r="BN448" s="803"/>
    </row>
    <row r="449" s="568" customFormat="1" ht="31" hidden="1" customHeight="1" spans="1:66">
      <c r="A449" s="547">
        <v>45855</v>
      </c>
      <c r="B449" s="548" t="s">
        <v>489</v>
      </c>
      <c r="C449" s="539" t="s">
        <v>139</v>
      </c>
      <c r="D449" s="568">
        <v>4500174199</v>
      </c>
      <c r="E449" s="539" t="s">
        <v>1749</v>
      </c>
      <c r="F449" s="568" t="s">
        <v>1750</v>
      </c>
      <c r="G449" s="551" t="s">
        <v>463</v>
      </c>
      <c r="H449" s="539" t="s">
        <v>424</v>
      </c>
      <c r="I449" s="539">
        <v>516</v>
      </c>
      <c r="J449" s="539">
        <v>0</v>
      </c>
      <c r="K449" s="539">
        <v>6</v>
      </c>
      <c r="L449" s="795">
        <f t="shared" si="133"/>
        <v>86</v>
      </c>
      <c r="M449" s="555">
        <v>45930</v>
      </c>
      <c r="N449" s="555">
        <v>45926</v>
      </c>
      <c r="O449" s="584"/>
      <c r="P449" s="584" t="s">
        <v>103</v>
      </c>
      <c r="Q449" s="539"/>
      <c r="R449" s="570" t="s">
        <v>411</v>
      </c>
      <c r="S449" s="570" t="s">
        <v>96</v>
      </c>
      <c r="T449" s="570" t="s">
        <v>1740</v>
      </c>
      <c r="U449" s="570"/>
      <c r="V449" s="570"/>
      <c r="W449" s="564" t="s">
        <v>1741</v>
      </c>
      <c r="X449" s="797" t="s">
        <v>414</v>
      </c>
      <c r="Y449" s="800">
        <v>6.8326</v>
      </c>
      <c r="Z449" s="801">
        <f t="shared" si="134"/>
        <v>3525.6216</v>
      </c>
      <c r="AA449" s="539"/>
      <c r="AB449" s="568" t="s">
        <v>1742</v>
      </c>
      <c r="AC449" s="539" t="s">
        <v>76</v>
      </c>
      <c r="AD449" s="539"/>
      <c r="AE449" s="539"/>
      <c r="AF449" s="539"/>
      <c r="AG449" s="584">
        <v>516</v>
      </c>
      <c r="AH449" s="584">
        <f t="shared" si="123"/>
        <v>0</v>
      </c>
      <c r="AI449" s="539"/>
      <c r="AJ449" s="539"/>
      <c r="AK449" s="539"/>
      <c r="AL449" s="568">
        <f t="shared" si="137"/>
        <v>516</v>
      </c>
      <c r="AP449" s="568">
        <f>I449</f>
        <v>516</v>
      </c>
      <c r="AR449" s="777">
        <f t="shared" si="135"/>
        <v>516</v>
      </c>
      <c r="AT449" s="568">
        <f t="shared" si="136"/>
        <v>516</v>
      </c>
      <c r="BJ449" s="568">
        <f>I449</f>
        <v>516</v>
      </c>
      <c r="BN449" s="803"/>
    </row>
    <row r="450" s="568" customFormat="1" ht="31" hidden="1" customHeight="1" spans="1:66">
      <c r="A450" s="547">
        <v>45855</v>
      </c>
      <c r="B450" s="548" t="s">
        <v>489</v>
      </c>
      <c r="C450" s="539" t="s">
        <v>139</v>
      </c>
      <c r="D450" s="568">
        <v>4500174199</v>
      </c>
      <c r="E450" s="539" t="s">
        <v>1743</v>
      </c>
      <c r="F450" s="568" t="s">
        <v>1751</v>
      </c>
      <c r="G450" s="551" t="s">
        <v>64</v>
      </c>
      <c r="H450" s="539" t="s">
        <v>65</v>
      </c>
      <c r="I450" s="539">
        <v>816</v>
      </c>
      <c r="J450" s="539">
        <v>0</v>
      </c>
      <c r="K450" s="539">
        <v>12</v>
      </c>
      <c r="L450" s="795">
        <f t="shared" si="133"/>
        <v>68</v>
      </c>
      <c r="M450" s="555">
        <v>45930</v>
      </c>
      <c r="N450" s="555">
        <v>45926</v>
      </c>
      <c r="O450" s="584"/>
      <c r="P450" s="584" t="s">
        <v>103</v>
      </c>
      <c r="Q450" s="539"/>
      <c r="R450" s="570" t="s">
        <v>411</v>
      </c>
      <c r="S450" s="570" t="s">
        <v>96</v>
      </c>
      <c r="T450" s="570" t="s">
        <v>1752</v>
      </c>
      <c r="U450" s="570"/>
      <c r="V450" s="570"/>
      <c r="W450" s="564" t="s">
        <v>1753</v>
      </c>
      <c r="X450" s="797" t="s">
        <v>414</v>
      </c>
      <c r="Y450" s="800">
        <v>4.1456</v>
      </c>
      <c r="Z450" s="801">
        <f t="shared" si="134"/>
        <v>3382.8096</v>
      </c>
      <c r="AA450" s="539"/>
      <c r="AB450" s="568" t="s">
        <v>165</v>
      </c>
      <c r="AC450" s="539" t="s">
        <v>76</v>
      </c>
      <c r="AD450" s="539"/>
      <c r="AE450" s="539"/>
      <c r="AF450" s="539"/>
      <c r="AG450" s="584">
        <v>816</v>
      </c>
      <c r="AH450" s="584">
        <f t="shared" si="123"/>
        <v>0</v>
      </c>
      <c r="AI450" s="539"/>
      <c r="AJ450" s="539"/>
      <c r="AK450" s="539"/>
      <c r="AL450" s="568">
        <f t="shared" si="137"/>
        <v>816</v>
      </c>
      <c r="AQ450" s="568">
        <f>I450</f>
        <v>816</v>
      </c>
      <c r="AR450" s="777">
        <f t="shared" si="135"/>
        <v>816</v>
      </c>
      <c r="AT450" s="568">
        <f t="shared" si="136"/>
        <v>816</v>
      </c>
      <c r="BN450" s="803"/>
    </row>
    <row r="451" s="568" customFormat="1" ht="31" hidden="1" customHeight="1" spans="1:66">
      <c r="A451" s="547">
        <v>45855</v>
      </c>
      <c r="B451" s="548" t="s">
        <v>489</v>
      </c>
      <c r="C451" s="539" t="s">
        <v>249</v>
      </c>
      <c r="D451" s="568">
        <v>4500174199</v>
      </c>
      <c r="E451" s="539" t="s">
        <v>1747</v>
      </c>
      <c r="F451" s="568" t="s">
        <v>1754</v>
      </c>
      <c r="G451" s="549" t="s">
        <v>64</v>
      </c>
      <c r="H451" s="539" t="s">
        <v>65</v>
      </c>
      <c r="I451" s="539">
        <v>516</v>
      </c>
      <c r="J451" s="539">
        <v>0</v>
      </c>
      <c r="K451" s="539">
        <v>12</v>
      </c>
      <c r="L451" s="795">
        <f t="shared" si="133"/>
        <v>43</v>
      </c>
      <c r="M451" s="797">
        <v>45930</v>
      </c>
      <c r="N451" s="797">
        <v>45926</v>
      </c>
      <c r="O451" s="584"/>
      <c r="P451" s="584" t="s">
        <v>103</v>
      </c>
      <c r="Q451" s="539"/>
      <c r="R451" s="570" t="s">
        <v>411</v>
      </c>
      <c r="S451" s="570" t="s">
        <v>96</v>
      </c>
      <c r="T451" s="562" t="s">
        <v>1752</v>
      </c>
      <c r="U451" s="570"/>
      <c r="V451" s="570"/>
      <c r="W451" s="566" t="s">
        <v>1753</v>
      </c>
      <c r="X451" s="797" t="s">
        <v>414</v>
      </c>
      <c r="Y451" s="800">
        <v>4.1456</v>
      </c>
      <c r="Z451" s="801">
        <f t="shared" si="134"/>
        <v>2139.1296</v>
      </c>
      <c r="AA451" s="539"/>
      <c r="AB451" s="549" t="s">
        <v>165</v>
      </c>
      <c r="AC451" s="539" t="s">
        <v>76</v>
      </c>
      <c r="AD451" s="539"/>
      <c r="AE451" s="539"/>
      <c r="AF451" s="539"/>
      <c r="AG451" s="584">
        <v>516</v>
      </c>
      <c r="AH451" s="584">
        <f t="shared" si="123"/>
        <v>0</v>
      </c>
      <c r="AI451" s="539"/>
      <c r="AJ451" s="539"/>
      <c r="AK451" s="539"/>
      <c r="AL451" s="568">
        <f t="shared" si="137"/>
        <v>516</v>
      </c>
      <c r="AQ451" s="568">
        <f>I451</f>
        <v>516</v>
      </c>
      <c r="AR451" s="777">
        <f t="shared" si="135"/>
        <v>516</v>
      </c>
      <c r="AT451" s="568">
        <f t="shared" si="136"/>
        <v>516</v>
      </c>
      <c r="BN451" s="803"/>
    </row>
    <row r="452" s="428" customFormat="1" ht="31" hidden="1" customHeight="1" spans="1:97">
      <c r="A452" s="547">
        <v>45894</v>
      </c>
      <c r="B452" s="548" t="s">
        <v>280</v>
      </c>
      <c r="C452" s="539" t="s">
        <v>249</v>
      </c>
      <c r="D452" s="428">
        <v>4500177765</v>
      </c>
      <c r="E452" s="539" t="s">
        <v>1755</v>
      </c>
      <c r="F452" s="428" t="s">
        <v>1756</v>
      </c>
      <c r="G452" s="549" t="s">
        <v>102</v>
      </c>
      <c r="H452" s="539" t="s">
        <v>65</v>
      </c>
      <c r="I452" s="539">
        <v>4000</v>
      </c>
      <c r="J452" s="539">
        <v>0</v>
      </c>
      <c r="K452" s="539">
        <v>16</v>
      </c>
      <c r="L452" s="795">
        <f t="shared" si="133"/>
        <v>250</v>
      </c>
      <c r="M452" s="797">
        <v>45930</v>
      </c>
      <c r="N452" s="797">
        <v>45926</v>
      </c>
      <c r="O452" s="556"/>
      <c r="P452" s="584" t="s">
        <v>103</v>
      </c>
      <c r="Q452" s="562"/>
      <c r="R452" s="562">
        <v>45898</v>
      </c>
      <c r="S452" s="570" t="s">
        <v>66</v>
      </c>
      <c r="T452" s="570" t="s">
        <v>1757</v>
      </c>
      <c r="U452" s="564"/>
      <c r="V452" s="564"/>
      <c r="W452" s="564" t="s">
        <v>1758</v>
      </c>
      <c r="X452" s="513" t="s">
        <v>1759</v>
      </c>
      <c r="Y452" s="800">
        <v>4.2489</v>
      </c>
      <c r="Z452" s="801">
        <f t="shared" si="134"/>
        <v>16995.6</v>
      </c>
      <c r="AA452" s="539"/>
      <c r="AB452" s="549" t="s">
        <v>102</v>
      </c>
      <c r="AC452" s="539" t="s">
        <v>76</v>
      </c>
      <c r="AD452" s="549"/>
      <c r="AE452" s="549"/>
      <c r="AF452" s="549"/>
      <c r="AG452" s="549">
        <v>4000</v>
      </c>
      <c r="AH452" s="584">
        <f t="shared" si="123"/>
        <v>0</v>
      </c>
      <c r="AI452" s="539"/>
      <c r="AJ452" s="549"/>
      <c r="AK452" s="568"/>
      <c r="AL452" s="568">
        <f t="shared" si="137"/>
        <v>4000</v>
      </c>
      <c r="AP452" s="568">
        <f>I452</f>
        <v>4000</v>
      </c>
      <c r="AQ452" s="568"/>
      <c r="AR452" s="777">
        <f t="shared" si="135"/>
        <v>4000</v>
      </c>
      <c r="AT452" s="568">
        <f t="shared" si="136"/>
        <v>4000</v>
      </c>
      <c r="AU452" s="568"/>
      <c r="AZ452" s="568"/>
      <c r="BA452" s="568"/>
      <c r="BD452" s="777">
        <f>I452/4</f>
        <v>1000</v>
      </c>
      <c r="BE452" s="568"/>
      <c r="BN452" s="813"/>
      <c r="CF452" s="578"/>
      <c r="CG452" s="578"/>
      <c r="CH452" s="578"/>
      <c r="CI452" s="578"/>
      <c r="CJ452" s="578"/>
      <c r="CN452" s="578"/>
      <c r="CO452" s="578"/>
      <c r="CP452" s="578"/>
      <c r="CQ452" s="578"/>
      <c r="CR452" s="578"/>
      <c r="CS452" s="578"/>
    </row>
    <row r="453" s="428" customFormat="1" ht="31" hidden="1" customHeight="1" spans="1:97">
      <c r="A453" s="547">
        <v>45897</v>
      </c>
      <c r="B453" s="548" t="s">
        <v>1760</v>
      </c>
      <c r="C453" s="539" t="s">
        <v>356</v>
      </c>
      <c r="D453" s="428">
        <v>4500178109</v>
      </c>
      <c r="E453" s="539"/>
      <c r="F453" s="428" t="s">
        <v>1761</v>
      </c>
      <c r="G453" s="549" t="s">
        <v>64</v>
      </c>
      <c r="H453" s="539" t="s">
        <v>65</v>
      </c>
      <c r="I453" s="539">
        <v>432</v>
      </c>
      <c r="J453" s="539">
        <v>0</v>
      </c>
      <c r="K453" s="539">
        <v>12</v>
      </c>
      <c r="L453" s="795">
        <f t="shared" si="133"/>
        <v>36</v>
      </c>
      <c r="M453" s="797">
        <v>45930</v>
      </c>
      <c r="N453" s="797">
        <v>45926</v>
      </c>
      <c r="O453" s="556"/>
      <c r="P453" s="584" t="s">
        <v>103</v>
      </c>
      <c r="Q453" s="562"/>
      <c r="R453" s="562">
        <v>45898</v>
      </c>
      <c r="S453" s="562" t="s">
        <v>66</v>
      </c>
      <c r="T453" s="562">
        <v>45903</v>
      </c>
      <c r="U453" s="564"/>
      <c r="V453" s="564"/>
      <c r="W453" s="564" t="s">
        <v>1762</v>
      </c>
      <c r="X453" s="513" t="s">
        <v>395</v>
      </c>
      <c r="Y453" s="800">
        <v>4.1456</v>
      </c>
      <c r="Z453" s="801">
        <f t="shared" si="134"/>
        <v>1790.8992</v>
      </c>
      <c r="AA453" s="539"/>
      <c r="AB453" s="549" t="s">
        <v>165</v>
      </c>
      <c r="AC453" s="539" t="s">
        <v>76</v>
      </c>
      <c r="AD453" s="549"/>
      <c r="AE453" s="549"/>
      <c r="AF453" s="549"/>
      <c r="AG453" s="549">
        <v>432</v>
      </c>
      <c r="AH453" s="584">
        <f t="shared" si="123"/>
        <v>0</v>
      </c>
      <c r="AI453" s="549"/>
      <c r="AJ453" s="549"/>
      <c r="AK453" s="568"/>
      <c r="AL453" s="568">
        <f t="shared" si="137"/>
        <v>432</v>
      </c>
      <c r="AP453" s="568"/>
      <c r="AQ453" s="568">
        <f>I453</f>
        <v>432</v>
      </c>
      <c r="AR453" s="777">
        <f t="shared" si="135"/>
        <v>432</v>
      </c>
      <c r="AT453" s="568">
        <f t="shared" si="136"/>
        <v>432</v>
      </c>
      <c r="AU453" s="568"/>
      <c r="AZ453" s="568"/>
      <c r="BA453" s="568"/>
      <c r="BD453" s="568"/>
      <c r="BE453" s="568"/>
      <c r="BN453" s="813"/>
      <c r="CF453" s="578"/>
      <c r="CG453" s="578"/>
      <c r="CH453" s="578"/>
      <c r="CI453" s="578"/>
      <c r="CJ453" s="578"/>
      <c r="CN453" s="578"/>
      <c r="CO453" s="578"/>
      <c r="CP453" s="578"/>
      <c r="CQ453" s="578"/>
      <c r="CR453" s="578"/>
      <c r="CS453" s="578"/>
    </row>
    <row r="454" s="428" customFormat="1" ht="31" hidden="1" customHeight="1" spans="1:97">
      <c r="A454" s="547">
        <v>45897</v>
      </c>
      <c r="B454" s="548" t="s">
        <v>128</v>
      </c>
      <c r="C454" s="539" t="s">
        <v>90</v>
      </c>
      <c r="D454" s="428">
        <v>4500178136</v>
      </c>
      <c r="E454" s="887" t="s">
        <v>1763</v>
      </c>
      <c r="F454" s="428" t="s">
        <v>1764</v>
      </c>
      <c r="G454" s="549" t="s">
        <v>93</v>
      </c>
      <c r="H454" s="539" t="s">
        <v>94</v>
      </c>
      <c r="I454" s="539">
        <v>11840</v>
      </c>
      <c r="J454" s="539">
        <v>0</v>
      </c>
      <c r="K454" s="539">
        <v>4</v>
      </c>
      <c r="L454" s="795">
        <f t="shared" si="133"/>
        <v>2960</v>
      </c>
      <c r="M454" s="797">
        <v>45930</v>
      </c>
      <c r="N454" s="797">
        <v>45926</v>
      </c>
      <c r="O454" s="584" t="s">
        <v>1706</v>
      </c>
      <c r="P454" s="556" t="s">
        <v>103</v>
      </c>
      <c r="Q454" s="539"/>
      <c r="R454" s="570" t="s">
        <v>132</v>
      </c>
      <c r="S454" s="570" t="s">
        <v>66</v>
      </c>
      <c r="T454" s="570">
        <v>45908</v>
      </c>
      <c r="U454" s="570" t="s">
        <v>133</v>
      </c>
      <c r="V454" s="564"/>
      <c r="W454" s="564" t="s">
        <v>1333</v>
      </c>
      <c r="X454" s="513" t="s">
        <v>98</v>
      </c>
      <c r="Y454" s="800">
        <v>2.5439</v>
      </c>
      <c r="Z454" s="801">
        <f t="shared" si="134"/>
        <v>30119.776</v>
      </c>
      <c r="AA454" s="539" t="s">
        <v>1765</v>
      </c>
      <c r="AB454" s="549" t="s">
        <v>93</v>
      </c>
      <c r="AC454" s="539" t="s">
        <v>76</v>
      </c>
      <c r="AD454" s="549"/>
      <c r="AE454" s="549"/>
      <c r="AF454" s="549"/>
      <c r="AG454" s="584">
        <f>3920+7920</f>
        <v>11840</v>
      </c>
      <c r="AH454" s="584">
        <f t="shared" si="123"/>
        <v>0</v>
      </c>
      <c r="AI454" s="549"/>
      <c r="AJ454" s="549"/>
      <c r="AK454" s="568"/>
      <c r="AL454" s="568">
        <f t="shared" si="137"/>
        <v>11840</v>
      </c>
      <c r="AP454" s="568">
        <f>I454</f>
        <v>11840</v>
      </c>
      <c r="AQ454" s="568"/>
      <c r="AR454" s="777">
        <f t="shared" si="135"/>
        <v>11840</v>
      </c>
      <c r="AT454" s="568">
        <f t="shared" si="136"/>
        <v>11840</v>
      </c>
      <c r="AU454" s="568"/>
      <c r="AZ454" s="568"/>
      <c r="BA454" s="568"/>
      <c r="BD454" s="777">
        <f>I454/4</f>
        <v>2960</v>
      </c>
      <c r="BE454" s="568"/>
      <c r="BN454" s="813"/>
      <c r="CF454" s="578"/>
      <c r="CG454" s="578"/>
      <c r="CH454" s="578"/>
      <c r="CI454" s="578"/>
      <c r="CJ454" s="578"/>
      <c r="CN454" s="578"/>
      <c r="CO454" s="578"/>
      <c r="CP454" s="578"/>
      <c r="CQ454" s="578"/>
      <c r="CR454" s="578"/>
      <c r="CS454" s="578"/>
    </row>
    <row r="455" s="428" customFormat="1" ht="31" hidden="1" customHeight="1" spans="1:97">
      <c r="A455" s="547">
        <v>45897</v>
      </c>
      <c r="B455" s="548" t="s">
        <v>128</v>
      </c>
      <c r="C455" s="539" t="s">
        <v>90</v>
      </c>
      <c r="D455" s="428">
        <v>4500178136</v>
      </c>
      <c r="E455" s="887" t="s">
        <v>1766</v>
      </c>
      <c r="F455" s="428" t="s">
        <v>1767</v>
      </c>
      <c r="G455" s="549" t="s">
        <v>93</v>
      </c>
      <c r="H455" s="539" t="s">
        <v>94</v>
      </c>
      <c r="I455" s="539">
        <v>8744</v>
      </c>
      <c r="J455" s="539">
        <v>0</v>
      </c>
      <c r="K455" s="539">
        <v>4</v>
      </c>
      <c r="L455" s="795">
        <f t="shared" si="133"/>
        <v>2186</v>
      </c>
      <c r="M455" s="797">
        <v>45930</v>
      </c>
      <c r="N455" s="797">
        <v>45926</v>
      </c>
      <c r="O455" s="584" t="s">
        <v>1706</v>
      </c>
      <c r="P455" s="556" t="s">
        <v>103</v>
      </c>
      <c r="Q455" s="539"/>
      <c r="R455" s="570" t="s">
        <v>132</v>
      </c>
      <c r="S455" s="570" t="s">
        <v>66</v>
      </c>
      <c r="T455" s="570">
        <v>45908</v>
      </c>
      <c r="U455" s="570" t="s">
        <v>133</v>
      </c>
      <c r="V455" s="564"/>
      <c r="W455" s="564" t="s">
        <v>1333</v>
      </c>
      <c r="X455" s="513" t="s">
        <v>98</v>
      </c>
      <c r="Y455" s="800">
        <v>2.5439</v>
      </c>
      <c r="Z455" s="801">
        <f t="shared" si="134"/>
        <v>22243.8616</v>
      </c>
      <c r="AA455" s="539" t="s">
        <v>1768</v>
      </c>
      <c r="AB455" s="549" t="s">
        <v>93</v>
      </c>
      <c r="AC455" s="539" t="s">
        <v>76</v>
      </c>
      <c r="AD455" s="549"/>
      <c r="AE455" s="549"/>
      <c r="AF455" s="549"/>
      <c r="AG455" s="584">
        <f>1440+1440+5144+720</f>
        <v>8744</v>
      </c>
      <c r="AH455" s="584">
        <f t="shared" si="123"/>
        <v>0</v>
      </c>
      <c r="AI455" s="549"/>
      <c r="AJ455" s="549"/>
      <c r="AK455" s="568"/>
      <c r="AL455" s="568">
        <f t="shared" si="137"/>
        <v>8744</v>
      </c>
      <c r="AP455" s="568">
        <f>I455</f>
        <v>8744</v>
      </c>
      <c r="AQ455" s="568"/>
      <c r="AR455" s="777">
        <f t="shared" si="135"/>
        <v>8744</v>
      </c>
      <c r="AT455" s="568">
        <f t="shared" si="136"/>
        <v>8744</v>
      </c>
      <c r="AU455" s="568"/>
      <c r="AZ455" s="568"/>
      <c r="BA455" s="568"/>
      <c r="BD455" s="777">
        <f>I455/4</f>
        <v>2186</v>
      </c>
      <c r="BE455" s="568"/>
      <c r="BN455" s="813"/>
      <c r="CF455" s="578"/>
      <c r="CG455" s="578"/>
      <c r="CH455" s="578"/>
      <c r="CI455" s="578"/>
      <c r="CJ455" s="578"/>
      <c r="CN455" s="578"/>
      <c r="CO455" s="578"/>
      <c r="CP455" s="578"/>
      <c r="CQ455" s="578"/>
      <c r="CR455" s="578"/>
      <c r="CS455" s="578"/>
    </row>
    <row r="456" s="568" customFormat="1" ht="31" hidden="1" customHeight="1" spans="1:66">
      <c r="A456" s="547">
        <v>45861</v>
      </c>
      <c r="B456" s="548" t="s">
        <v>1769</v>
      </c>
      <c r="C456" s="539" t="s">
        <v>139</v>
      </c>
      <c r="D456" s="568">
        <v>4500174753</v>
      </c>
      <c r="E456" s="539">
        <v>5200007285</v>
      </c>
      <c r="F456" s="568" t="s">
        <v>1770</v>
      </c>
      <c r="G456" s="549" t="s">
        <v>141</v>
      </c>
      <c r="H456" s="539" t="s">
        <v>94</v>
      </c>
      <c r="I456" s="539">
        <v>2400</v>
      </c>
      <c r="J456" s="539">
        <v>0</v>
      </c>
      <c r="K456" s="539">
        <v>4</v>
      </c>
      <c r="L456" s="795">
        <f t="shared" si="133"/>
        <v>600</v>
      </c>
      <c r="M456" s="797">
        <v>45930</v>
      </c>
      <c r="N456" s="797">
        <v>45926</v>
      </c>
      <c r="O456" s="584"/>
      <c r="P456" s="556" t="s">
        <v>103</v>
      </c>
      <c r="Q456" s="539"/>
      <c r="R456" s="570">
        <v>45861</v>
      </c>
      <c r="S456" s="570" t="s">
        <v>66</v>
      </c>
      <c r="T456" s="570">
        <v>45861</v>
      </c>
      <c r="U456" s="570"/>
      <c r="V456" s="570"/>
      <c r="W456" s="566" t="s">
        <v>1771</v>
      </c>
      <c r="X456" s="797" t="s">
        <v>886</v>
      </c>
      <c r="Y456" s="800">
        <v>4.3</v>
      </c>
      <c r="Z456" s="801">
        <f t="shared" si="134"/>
        <v>10320</v>
      </c>
      <c r="AA456" s="539"/>
      <c r="AB456" s="549" t="s">
        <v>141</v>
      </c>
      <c r="AC456" s="539" t="s">
        <v>76</v>
      </c>
      <c r="AD456" s="539"/>
      <c r="AE456" s="539"/>
      <c r="AF456" s="539"/>
      <c r="AG456" s="584">
        <v>2400</v>
      </c>
      <c r="AH456" s="584">
        <f t="shared" si="123"/>
        <v>0</v>
      </c>
      <c r="AI456" s="539"/>
      <c r="AJ456" s="539"/>
      <c r="AK456" s="539"/>
      <c r="AL456" s="568">
        <f t="shared" si="137"/>
        <v>2400</v>
      </c>
      <c r="AQ456" s="568">
        <f>I456</f>
        <v>2400</v>
      </c>
      <c r="AR456" s="777">
        <f t="shared" si="135"/>
        <v>2400</v>
      </c>
      <c r="AT456" s="568">
        <f t="shared" si="136"/>
        <v>2400</v>
      </c>
      <c r="BE456" s="777">
        <f>I456/4</f>
        <v>600</v>
      </c>
      <c r="BN456" s="803"/>
    </row>
    <row r="457" s="568" customFormat="1" ht="31" hidden="1" customHeight="1" spans="1:66">
      <c r="A457" s="547">
        <v>45880</v>
      </c>
      <c r="B457" s="548" t="s">
        <v>1769</v>
      </c>
      <c r="C457" s="539" t="s">
        <v>139</v>
      </c>
      <c r="D457" s="568">
        <v>4500176443</v>
      </c>
      <c r="E457" s="539">
        <v>5200007404</v>
      </c>
      <c r="F457" s="568" t="s">
        <v>1772</v>
      </c>
      <c r="G457" s="549" t="s">
        <v>141</v>
      </c>
      <c r="H457" s="539" t="s">
        <v>94</v>
      </c>
      <c r="I457" s="539">
        <v>800</v>
      </c>
      <c r="J457" s="539">
        <v>0</v>
      </c>
      <c r="K457" s="539">
        <v>4</v>
      </c>
      <c r="L457" s="795">
        <f t="shared" si="133"/>
        <v>200</v>
      </c>
      <c r="M457" s="797">
        <v>45930</v>
      </c>
      <c r="N457" s="797">
        <v>45926</v>
      </c>
      <c r="O457" s="584"/>
      <c r="P457" s="556" t="s">
        <v>103</v>
      </c>
      <c r="Q457" s="539"/>
      <c r="R457" s="570">
        <v>45889</v>
      </c>
      <c r="S457" s="570" t="s">
        <v>66</v>
      </c>
      <c r="T457" s="570" t="s">
        <v>1773</v>
      </c>
      <c r="U457" s="570"/>
      <c r="V457" s="570"/>
      <c r="W457" s="564" t="s">
        <v>1774</v>
      </c>
      <c r="X457" s="797" t="s">
        <v>347</v>
      </c>
      <c r="Y457" s="800">
        <v>4.3</v>
      </c>
      <c r="Z457" s="801">
        <f t="shared" si="134"/>
        <v>3440</v>
      </c>
      <c r="AA457" s="539"/>
      <c r="AB457" s="549" t="s">
        <v>141</v>
      </c>
      <c r="AC457" s="539" t="s">
        <v>76</v>
      </c>
      <c r="AD457" s="539"/>
      <c r="AE457" s="539"/>
      <c r="AF457" s="539"/>
      <c r="AG457" s="584">
        <v>800</v>
      </c>
      <c r="AH457" s="584">
        <f t="shared" si="123"/>
        <v>0</v>
      </c>
      <c r="AI457" s="539"/>
      <c r="AJ457" s="539"/>
      <c r="AK457" s="539"/>
      <c r="AL457" s="568">
        <f t="shared" si="137"/>
        <v>800</v>
      </c>
      <c r="AQ457" s="568">
        <f>I457</f>
        <v>800</v>
      </c>
      <c r="AR457" s="777">
        <f t="shared" si="135"/>
        <v>800</v>
      </c>
      <c r="AT457" s="568">
        <f t="shared" si="136"/>
        <v>800</v>
      </c>
      <c r="BE457" s="777">
        <f>I457/4</f>
        <v>200</v>
      </c>
      <c r="BN457" s="803"/>
    </row>
    <row r="458" s="568" customFormat="1" ht="31" hidden="1" customHeight="1" spans="1:66">
      <c r="A458" s="547">
        <v>45869</v>
      </c>
      <c r="B458" s="548" t="s">
        <v>220</v>
      </c>
      <c r="C458" s="539" t="s">
        <v>90</v>
      </c>
      <c r="D458" s="568">
        <v>4500175703</v>
      </c>
      <c r="E458" s="539" t="s">
        <v>1775</v>
      </c>
      <c r="F458" s="568" t="s">
        <v>1776</v>
      </c>
      <c r="G458" s="551" t="s">
        <v>223</v>
      </c>
      <c r="H458" s="539" t="s">
        <v>224</v>
      </c>
      <c r="I458" s="539">
        <v>10000</v>
      </c>
      <c r="J458" s="539">
        <v>0</v>
      </c>
      <c r="K458" s="539">
        <v>4</v>
      </c>
      <c r="L458" s="795">
        <f t="shared" si="133"/>
        <v>2500</v>
      </c>
      <c r="M458" s="798">
        <v>45930</v>
      </c>
      <c r="N458" s="797">
        <v>45926</v>
      </c>
      <c r="O458" s="584"/>
      <c r="P458" s="556" t="s">
        <v>103</v>
      </c>
      <c r="Q458" s="539"/>
      <c r="R458" s="570">
        <v>45894</v>
      </c>
      <c r="S458" s="570" t="s">
        <v>96</v>
      </c>
      <c r="T458" s="570">
        <v>45903</v>
      </c>
      <c r="U458" s="570" t="s">
        <v>1481</v>
      </c>
      <c r="V458" s="570"/>
      <c r="W458" s="548" t="s">
        <v>1536</v>
      </c>
      <c r="X458" s="797" t="s">
        <v>226</v>
      </c>
      <c r="Y458" s="800">
        <v>2.7832</v>
      </c>
      <c r="Z458" s="801">
        <f t="shared" si="134"/>
        <v>27832</v>
      </c>
      <c r="AA458" s="539" t="s">
        <v>1777</v>
      </c>
      <c r="AB458" s="549" t="s">
        <v>223</v>
      </c>
      <c r="AC458" s="539" t="s">
        <v>76</v>
      </c>
      <c r="AG458" s="584">
        <f>5040+4960</f>
        <v>10000</v>
      </c>
      <c r="AH458" s="584">
        <f t="shared" si="123"/>
        <v>0</v>
      </c>
      <c r="AJ458" s="568"/>
      <c r="AN458" s="568">
        <f>I458</f>
        <v>10000</v>
      </c>
      <c r="AT458" s="568">
        <f t="shared" si="136"/>
        <v>10000</v>
      </c>
      <c r="BB458" s="568">
        <f>I458</f>
        <v>10000</v>
      </c>
      <c r="BC458" s="568">
        <f>I458</f>
        <v>10000</v>
      </c>
      <c r="BD458" s="777">
        <f>I458/4</f>
        <v>2500</v>
      </c>
      <c r="BN458" s="803"/>
    </row>
    <row r="459" s="428" customFormat="1" ht="31" hidden="1" customHeight="1" spans="1:97">
      <c r="A459" s="547">
        <v>45863</v>
      </c>
      <c r="B459" s="548" t="s">
        <v>1643</v>
      </c>
      <c r="C459" s="539" t="s">
        <v>249</v>
      </c>
      <c r="D459" s="428">
        <v>4500175112</v>
      </c>
      <c r="E459" s="539" t="s">
        <v>1778</v>
      </c>
      <c r="F459" s="428" t="s">
        <v>1779</v>
      </c>
      <c r="G459" s="549" t="s">
        <v>251</v>
      </c>
      <c r="H459" s="539" t="s">
        <v>252</v>
      </c>
      <c r="I459" s="539">
        <v>512</v>
      </c>
      <c r="J459" s="539">
        <v>4</v>
      </c>
      <c r="K459" s="539">
        <v>16</v>
      </c>
      <c r="L459" s="795">
        <f t="shared" si="133"/>
        <v>32</v>
      </c>
      <c r="M459" s="797">
        <v>45939</v>
      </c>
      <c r="N459" s="797">
        <v>45936</v>
      </c>
      <c r="O459" s="556" t="s">
        <v>1780</v>
      </c>
      <c r="P459" s="556" t="s">
        <v>103</v>
      </c>
      <c r="Q459" s="562"/>
      <c r="R459" s="562">
        <v>45892</v>
      </c>
      <c r="S459" s="562" t="s">
        <v>66</v>
      </c>
      <c r="T459" s="570" t="s">
        <v>1612</v>
      </c>
      <c r="U459" s="564"/>
      <c r="V459" s="564"/>
      <c r="W459" s="564" t="s">
        <v>1781</v>
      </c>
      <c r="X459" s="513" t="s">
        <v>269</v>
      </c>
      <c r="Y459" s="800">
        <v>4.3632</v>
      </c>
      <c r="Z459" s="801">
        <f t="shared" si="134"/>
        <v>2233.9584</v>
      </c>
      <c r="AA459" s="539"/>
      <c r="AB459" s="549" t="s">
        <v>251</v>
      </c>
      <c r="AC459" s="549" t="s">
        <v>76</v>
      </c>
      <c r="AD459" s="549"/>
      <c r="AE459" s="549"/>
      <c r="AF459" s="549"/>
      <c r="AG459" s="549">
        <v>512</v>
      </c>
      <c r="AH459" s="584">
        <f t="shared" si="123"/>
        <v>0</v>
      </c>
      <c r="AI459" s="549"/>
      <c r="AJ459" s="549"/>
      <c r="AK459" s="568"/>
      <c r="AL459" s="568">
        <f>I459</f>
        <v>512</v>
      </c>
      <c r="AP459" s="568">
        <f>I459</f>
        <v>512</v>
      </c>
      <c r="AQ459" s="568"/>
      <c r="AR459" s="777">
        <f>I459</f>
        <v>512</v>
      </c>
      <c r="AT459" s="568">
        <f t="shared" si="136"/>
        <v>512</v>
      </c>
      <c r="AU459" s="568"/>
      <c r="BD459" s="777">
        <f>I459/4</f>
        <v>128</v>
      </c>
      <c r="BN459" s="813"/>
      <c r="CF459" s="578"/>
      <c r="CG459" s="578"/>
      <c r="CH459" s="578"/>
      <c r="CI459" s="578"/>
      <c r="CJ459" s="578"/>
      <c r="CN459" s="578"/>
      <c r="CO459" s="578"/>
      <c r="CP459" s="578"/>
      <c r="CQ459" s="578"/>
      <c r="CR459" s="578"/>
      <c r="CS459" s="578"/>
    </row>
    <row r="460" s="428" customFormat="1" ht="31" hidden="1" customHeight="1" spans="1:97">
      <c r="A460" s="547">
        <v>45890</v>
      </c>
      <c r="B460" s="548" t="s">
        <v>1782</v>
      </c>
      <c r="C460" s="539" t="s">
        <v>139</v>
      </c>
      <c r="D460" s="428">
        <v>4500177502</v>
      </c>
      <c r="E460" s="539" t="s">
        <v>1783</v>
      </c>
      <c r="F460" s="428" t="s">
        <v>1784</v>
      </c>
      <c r="G460" s="549" t="s">
        <v>64</v>
      </c>
      <c r="H460" s="539" t="s">
        <v>65</v>
      </c>
      <c r="I460" s="539">
        <v>492</v>
      </c>
      <c r="J460" s="539">
        <v>0</v>
      </c>
      <c r="K460" s="539">
        <v>12</v>
      </c>
      <c r="L460" s="795">
        <f t="shared" si="133"/>
        <v>41</v>
      </c>
      <c r="M460" s="797">
        <v>45939</v>
      </c>
      <c r="N460" s="797">
        <v>45936</v>
      </c>
      <c r="O460" s="556" t="s">
        <v>1780</v>
      </c>
      <c r="P460" s="556" t="s">
        <v>103</v>
      </c>
      <c r="Q460" s="562">
        <v>45949</v>
      </c>
      <c r="R460" s="570" t="s">
        <v>411</v>
      </c>
      <c r="S460" s="570" t="s">
        <v>96</v>
      </c>
      <c r="T460" s="585" t="s">
        <v>1785</v>
      </c>
      <c r="U460" s="570"/>
      <c r="V460" s="564"/>
      <c r="W460" s="566" t="s">
        <v>1786</v>
      </c>
      <c r="X460" s="513" t="s">
        <v>414</v>
      </c>
      <c r="Y460" s="800">
        <v>4.1456</v>
      </c>
      <c r="Z460" s="801">
        <f t="shared" si="134"/>
        <v>2039.6352</v>
      </c>
      <c r="AA460" s="539"/>
      <c r="AB460" s="549" t="s">
        <v>165</v>
      </c>
      <c r="AC460" s="539" t="s">
        <v>76</v>
      </c>
      <c r="AD460" s="549"/>
      <c r="AE460" s="549"/>
      <c r="AF460" s="549"/>
      <c r="AG460" s="549">
        <v>492</v>
      </c>
      <c r="AH460" s="584">
        <f t="shared" si="123"/>
        <v>0</v>
      </c>
      <c r="AI460" s="549"/>
      <c r="AJ460" s="549"/>
      <c r="AK460" s="568"/>
      <c r="AL460" s="568">
        <f>I460</f>
        <v>492</v>
      </c>
      <c r="AP460" s="568"/>
      <c r="AQ460" s="568">
        <f>I460</f>
        <v>492</v>
      </c>
      <c r="AR460" s="777">
        <f>I460</f>
        <v>492</v>
      </c>
      <c r="AT460" s="568">
        <f t="shared" si="136"/>
        <v>492</v>
      </c>
      <c r="AU460" s="568"/>
      <c r="BD460" s="568"/>
      <c r="BN460" s="813"/>
      <c r="CF460" s="578"/>
      <c r="CG460" s="578"/>
      <c r="CH460" s="578"/>
      <c r="CI460" s="578"/>
      <c r="CJ460" s="578"/>
      <c r="CN460" s="578"/>
      <c r="CO460" s="578"/>
      <c r="CP460" s="578"/>
      <c r="CQ460" s="578"/>
      <c r="CR460" s="578"/>
      <c r="CS460" s="578"/>
    </row>
    <row r="461" s="428" customFormat="1" ht="31" hidden="1" customHeight="1" spans="1:97">
      <c r="A461" s="547">
        <v>45898</v>
      </c>
      <c r="B461" s="548" t="s">
        <v>1787</v>
      </c>
      <c r="C461" s="539" t="s">
        <v>377</v>
      </c>
      <c r="D461" s="428">
        <v>4500178337</v>
      </c>
      <c r="E461" s="539"/>
      <c r="F461" s="428" t="s">
        <v>1788</v>
      </c>
      <c r="G461" s="549" t="s">
        <v>93</v>
      </c>
      <c r="H461" s="539" t="s">
        <v>94</v>
      </c>
      <c r="I461" s="539">
        <v>2000</v>
      </c>
      <c r="J461" s="539">
        <v>0</v>
      </c>
      <c r="K461" s="539">
        <v>4</v>
      </c>
      <c r="L461" s="795">
        <f t="shared" si="133"/>
        <v>500</v>
      </c>
      <c r="M461" s="797">
        <v>45940</v>
      </c>
      <c r="N461" s="797">
        <v>45936</v>
      </c>
      <c r="O461" s="556"/>
      <c r="P461" s="556" t="s">
        <v>103</v>
      </c>
      <c r="Q461" s="562"/>
      <c r="R461" s="570">
        <v>45905</v>
      </c>
      <c r="S461" s="570" t="s">
        <v>66</v>
      </c>
      <c r="T461" s="562" t="s">
        <v>1789</v>
      </c>
      <c r="U461" s="570"/>
      <c r="V461" s="564"/>
      <c r="W461" s="564" t="s">
        <v>1790</v>
      </c>
      <c r="X461" s="513" t="s">
        <v>620</v>
      </c>
      <c r="Y461" s="800">
        <v>4.2501</v>
      </c>
      <c r="Z461" s="801">
        <f t="shared" si="134"/>
        <v>8500.2</v>
      </c>
      <c r="AA461" s="539"/>
      <c r="AB461" s="549" t="s">
        <v>141</v>
      </c>
      <c r="AC461" s="539" t="s">
        <v>76</v>
      </c>
      <c r="AD461" s="549"/>
      <c r="AE461" s="549"/>
      <c r="AF461" s="549"/>
      <c r="AG461" s="584">
        <v>2000</v>
      </c>
      <c r="AH461" s="584">
        <f t="shared" si="123"/>
        <v>0</v>
      </c>
      <c r="AI461" s="549"/>
      <c r="AJ461" s="549"/>
      <c r="AK461" s="568"/>
      <c r="AL461" s="568">
        <f>I461</f>
        <v>2000</v>
      </c>
      <c r="AP461" s="568"/>
      <c r="AQ461" s="568">
        <f>I461</f>
        <v>2000</v>
      </c>
      <c r="AR461" s="777">
        <f>I461</f>
        <v>2000</v>
      </c>
      <c r="AT461" s="568">
        <f t="shared" si="136"/>
        <v>2000</v>
      </c>
      <c r="AU461" s="568"/>
      <c r="BD461" s="568"/>
      <c r="BE461" s="777">
        <f>I461/4</f>
        <v>500</v>
      </c>
      <c r="BN461" s="813"/>
      <c r="CF461" s="578"/>
      <c r="CG461" s="578"/>
      <c r="CH461" s="578"/>
      <c r="CI461" s="578"/>
      <c r="CJ461" s="578"/>
      <c r="CN461" s="578"/>
      <c r="CO461" s="578"/>
      <c r="CP461" s="578"/>
      <c r="CQ461" s="578"/>
      <c r="CR461" s="578"/>
      <c r="CS461" s="578"/>
    </row>
    <row r="462" s="428" customFormat="1" ht="31" hidden="1" customHeight="1" spans="1:97">
      <c r="A462" s="547">
        <v>45891</v>
      </c>
      <c r="B462" s="548" t="s">
        <v>312</v>
      </c>
      <c r="C462" s="539" t="s">
        <v>90</v>
      </c>
      <c r="D462" s="428">
        <v>4500177678</v>
      </c>
      <c r="E462" s="539" t="s">
        <v>1791</v>
      </c>
      <c r="F462" s="428" t="s">
        <v>1792</v>
      </c>
      <c r="G462" s="549" t="s">
        <v>93</v>
      </c>
      <c r="H462" s="539" t="s">
        <v>94</v>
      </c>
      <c r="I462" s="539">
        <v>1240</v>
      </c>
      <c r="J462" s="539">
        <v>0</v>
      </c>
      <c r="K462" s="539">
        <v>4</v>
      </c>
      <c r="L462" s="795">
        <f t="shared" si="133"/>
        <v>310</v>
      </c>
      <c r="M462" s="797">
        <v>45943</v>
      </c>
      <c r="N462" s="797">
        <v>45939</v>
      </c>
      <c r="O462" s="556" t="s">
        <v>1780</v>
      </c>
      <c r="P462" s="556" t="s">
        <v>103</v>
      </c>
      <c r="Q462" s="562"/>
      <c r="R462" s="562">
        <v>45891</v>
      </c>
      <c r="S462" s="570" t="s">
        <v>66</v>
      </c>
      <c r="T462" s="570" t="s">
        <v>66</v>
      </c>
      <c r="U462" s="564"/>
      <c r="V462" s="564"/>
      <c r="W462" s="564" t="s">
        <v>315</v>
      </c>
      <c r="X462" s="513" t="s">
        <v>316</v>
      </c>
      <c r="Y462" s="800">
        <v>2.6435</v>
      </c>
      <c r="Z462" s="801">
        <f t="shared" si="134"/>
        <v>3277.94</v>
      </c>
      <c r="AA462" s="539" t="s">
        <v>1793</v>
      </c>
      <c r="AB462" s="549" t="s">
        <v>93</v>
      </c>
      <c r="AC462" s="539" t="s">
        <v>76</v>
      </c>
      <c r="AD462" s="549"/>
      <c r="AE462" s="549"/>
      <c r="AF462" s="549"/>
      <c r="AG462" s="584">
        <v>1240</v>
      </c>
      <c r="AH462" s="584">
        <f t="shared" si="123"/>
        <v>0</v>
      </c>
      <c r="AI462" s="549"/>
      <c r="AJ462" s="549"/>
      <c r="AK462" s="568"/>
      <c r="AL462" s="568">
        <f>I462</f>
        <v>1240</v>
      </c>
      <c r="AP462" s="568">
        <f>I462</f>
        <v>1240</v>
      </c>
      <c r="AQ462" s="568"/>
      <c r="AR462" s="777">
        <f>I462</f>
        <v>1240</v>
      </c>
      <c r="AT462" s="568">
        <f t="shared" si="136"/>
        <v>1240</v>
      </c>
      <c r="AU462" s="568"/>
      <c r="AZ462" s="568"/>
      <c r="BA462" s="568"/>
      <c r="BD462" s="777">
        <f>I462/4</f>
        <v>310</v>
      </c>
      <c r="BE462" s="568"/>
      <c r="BN462" s="813"/>
      <c r="CF462" s="578"/>
      <c r="CG462" s="578"/>
      <c r="CH462" s="578"/>
      <c r="CI462" s="578"/>
      <c r="CJ462" s="578"/>
      <c r="CN462" s="578"/>
      <c r="CO462" s="578"/>
      <c r="CP462" s="578"/>
      <c r="CQ462" s="578"/>
      <c r="CR462" s="578"/>
      <c r="CS462" s="578"/>
    </row>
    <row r="463" s="773" customFormat="1" ht="31" hidden="1" customHeight="1" spans="1:97">
      <c r="A463" s="547">
        <v>45882</v>
      </c>
      <c r="B463" s="548" t="s">
        <v>1492</v>
      </c>
      <c r="C463" s="539" t="s">
        <v>249</v>
      </c>
      <c r="D463" s="428">
        <v>4500176570</v>
      </c>
      <c r="E463" s="539" t="s">
        <v>1794</v>
      </c>
      <c r="F463" s="428" t="s">
        <v>1795</v>
      </c>
      <c r="G463" s="549" t="s">
        <v>148</v>
      </c>
      <c r="H463" s="539" t="s">
        <v>65</v>
      </c>
      <c r="I463" s="539">
        <v>2000</v>
      </c>
      <c r="J463" s="539">
        <v>0</v>
      </c>
      <c r="K463" s="539">
        <v>8</v>
      </c>
      <c r="L463" s="795">
        <f t="shared" si="133"/>
        <v>250</v>
      </c>
      <c r="M463" s="797">
        <v>45943</v>
      </c>
      <c r="N463" s="797">
        <v>45939</v>
      </c>
      <c r="O463" s="556" t="s">
        <v>1780</v>
      </c>
      <c r="P463" s="556" t="s">
        <v>103</v>
      </c>
      <c r="Q463" s="562"/>
      <c r="R463" s="562">
        <v>45882</v>
      </c>
      <c r="S463" s="562" t="s">
        <v>66</v>
      </c>
      <c r="T463" s="562" t="s">
        <v>149</v>
      </c>
      <c r="U463" s="564"/>
      <c r="V463" s="564"/>
      <c r="W463" s="564" t="s">
        <v>1796</v>
      </c>
      <c r="X463" s="513" t="s">
        <v>1424</v>
      </c>
      <c r="Y463" s="800">
        <v>4.2227</v>
      </c>
      <c r="Z463" s="801">
        <f t="shared" si="134"/>
        <v>8445.4</v>
      </c>
      <c r="AA463" s="539"/>
      <c r="AB463" s="549" t="s">
        <v>148</v>
      </c>
      <c r="AC463" s="539" t="s">
        <v>76</v>
      </c>
      <c r="AD463" s="549"/>
      <c r="AE463" s="549"/>
      <c r="AF463" s="549"/>
      <c r="AG463" s="549">
        <f>1968+32</f>
        <v>2000</v>
      </c>
      <c r="AH463" s="584">
        <f t="shared" si="123"/>
        <v>0</v>
      </c>
      <c r="AI463" s="549"/>
      <c r="AJ463" s="549"/>
      <c r="AK463" s="568"/>
      <c r="AL463" s="568">
        <f>I463</f>
        <v>2000</v>
      </c>
      <c r="AM463" s="428"/>
      <c r="AN463" s="428"/>
      <c r="AO463" s="428"/>
      <c r="AP463" s="568"/>
      <c r="AQ463" s="568"/>
      <c r="AR463" s="568"/>
      <c r="AS463" s="828"/>
      <c r="AT463" s="568">
        <f t="shared" si="136"/>
        <v>2000</v>
      </c>
      <c r="AU463" s="568"/>
      <c r="AV463" s="828"/>
      <c r="AW463" s="828"/>
      <c r="AX463" s="828"/>
      <c r="AY463" s="828"/>
      <c r="AZ463" s="568">
        <f>I463</f>
        <v>2000</v>
      </c>
      <c r="BA463" s="568">
        <f>I463</f>
        <v>2000</v>
      </c>
      <c r="BB463" s="828"/>
      <c r="BC463" s="828"/>
      <c r="BD463" s="568"/>
      <c r="BE463" s="777">
        <f>I463/4</f>
        <v>500</v>
      </c>
      <c r="BF463" s="828"/>
      <c r="BG463" s="828"/>
      <c r="BH463" s="828"/>
      <c r="BI463" s="828"/>
      <c r="BJ463" s="568"/>
      <c r="BK463" s="828"/>
      <c r="BL463" s="828"/>
      <c r="BM463" s="828"/>
      <c r="CF463" s="578"/>
      <c r="CG463" s="578"/>
      <c r="CH463" s="578"/>
      <c r="CI463" s="578"/>
      <c r="CJ463" s="578"/>
      <c r="CN463" s="578"/>
      <c r="CO463" s="578"/>
      <c r="CP463" s="578"/>
      <c r="CQ463" s="578"/>
      <c r="CR463" s="578"/>
      <c r="CS463" s="578"/>
    </row>
    <row r="464" s="773" customFormat="1" ht="31" hidden="1" customHeight="1" spans="1:97">
      <c r="A464" s="547">
        <v>45898</v>
      </c>
      <c r="B464" s="548" t="s">
        <v>1769</v>
      </c>
      <c r="C464" s="539" t="s">
        <v>139</v>
      </c>
      <c r="D464" s="428">
        <v>4500178223</v>
      </c>
      <c r="E464" s="539">
        <v>5200007581</v>
      </c>
      <c r="F464" s="428" t="s">
        <v>1797</v>
      </c>
      <c r="G464" s="549" t="s">
        <v>141</v>
      </c>
      <c r="H464" s="539" t="s">
        <v>94</v>
      </c>
      <c r="I464" s="539">
        <v>2400</v>
      </c>
      <c r="J464" s="539">
        <v>0</v>
      </c>
      <c r="K464" s="539">
        <v>4</v>
      </c>
      <c r="L464" s="795">
        <f t="shared" si="133"/>
        <v>600</v>
      </c>
      <c r="M464" s="797">
        <v>45943</v>
      </c>
      <c r="N464" s="797">
        <v>45939</v>
      </c>
      <c r="O464" s="556"/>
      <c r="P464" s="556" t="s">
        <v>103</v>
      </c>
      <c r="Q464" s="562"/>
      <c r="R464" s="562"/>
      <c r="S464" s="570" t="s">
        <v>66</v>
      </c>
      <c r="T464" s="562">
        <v>45912</v>
      </c>
      <c r="U464" s="564"/>
      <c r="V464" s="564"/>
      <c r="W464" s="566" t="s">
        <v>1771</v>
      </c>
      <c r="X464" s="513" t="s">
        <v>1140</v>
      </c>
      <c r="Y464" s="800">
        <v>4.3</v>
      </c>
      <c r="Z464" s="801">
        <f t="shared" si="134"/>
        <v>10320</v>
      </c>
      <c r="AA464" s="539"/>
      <c r="AB464" s="549" t="s">
        <v>141</v>
      </c>
      <c r="AC464" s="539" t="s">
        <v>76</v>
      </c>
      <c r="AD464" s="549"/>
      <c r="AE464" s="549"/>
      <c r="AF464" s="549"/>
      <c r="AG464" s="584">
        <f>2396+4</f>
        <v>2400</v>
      </c>
      <c r="AH464" s="584">
        <f t="shared" si="123"/>
        <v>0</v>
      </c>
      <c r="AI464" s="549"/>
      <c r="AJ464" s="549"/>
      <c r="AK464" s="568"/>
      <c r="AL464" s="568">
        <f t="shared" ref="AL463:AL473" si="138">I464</f>
        <v>2400</v>
      </c>
      <c r="AM464" s="428"/>
      <c r="AN464" s="428"/>
      <c r="AO464" s="428"/>
      <c r="AP464" s="568"/>
      <c r="AQ464" s="568">
        <f>I464</f>
        <v>2400</v>
      </c>
      <c r="AR464" s="568">
        <f>I464</f>
        <v>2400</v>
      </c>
      <c r="AS464" s="828"/>
      <c r="AT464" s="568">
        <f t="shared" si="136"/>
        <v>2400</v>
      </c>
      <c r="AU464" s="568"/>
      <c r="AV464" s="828"/>
      <c r="AW464" s="828"/>
      <c r="AX464" s="828"/>
      <c r="AY464" s="828"/>
      <c r="AZ464" s="568"/>
      <c r="BA464" s="568"/>
      <c r="BB464" s="828"/>
      <c r="BC464" s="828"/>
      <c r="BD464" s="568"/>
      <c r="BE464" s="777">
        <f>I464/4</f>
        <v>600</v>
      </c>
      <c r="BF464" s="828"/>
      <c r="BG464" s="828"/>
      <c r="BH464" s="828"/>
      <c r="BI464" s="828"/>
      <c r="BJ464" s="568"/>
      <c r="BK464" s="828"/>
      <c r="BL464" s="828"/>
      <c r="BM464" s="828"/>
      <c r="CF464" s="578"/>
      <c r="CG464" s="578"/>
      <c r="CH464" s="578"/>
      <c r="CI464" s="578"/>
      <c r="CJ464" s="578"/>
      <c r="CN464" s="578"/>
      <c r="CO464" s="578"/>
      <c r="CP464" s="578"/>
      <c r="CQ464" s="578"/>
      <c r="CR464" s="578"/>
      <c r="CS464" s="578"/>
    </row>
    <row r="465" s="773" customFormat="1" ht="31" hidden="1" customHeight="1" spans="1:97">
      <c r="A465" s="547">
        <v>45896</v>
      </c>
      <c r="B465" s="548" t="s">
        <v>1419</v>
      </c>
      <c r="C465" s="539" t="s">
        <v>231</v>
      </c>
      <c r="D465" s="428">
        <v>4500177870</v>
      </c>
      <c r="E465" s="539">
        <v>4400505160</v>
      </c>
      <c r="F465" s="428" t="s">
        <v>1798</v>
      </c>
      <c r="G465" s="549" t="s">
        <v>148</v>
      </c>
      <c r="H465" s="539" t="s">
        <v>65</v>
      </c>
      <c r="I465" s="539">
        <v>1504</v>
      </c>
      <c r="J465" s="539">
        <v>0</v>
      </c>
      <c r="K465" s="539">
        <v>8</v>
      </c>
      <c r="L465" s="795">
        <f t="shared" si="133"/>
        <v>188</v>
      </c>
      <c r="M465" s="797">
        <v>45944</v>
      </c>
      <c r="N465" s="797">
        <v>45940</v>
      </c>
      <c r="O465" s="556"/>
      <c r="P465" s="556" t="s">
        <v>103</v>
      </c>
      <c r="Q465" s="562"/>
      <c r="R465" s="562">
        <v>45896</v>
      </c>
      <c r="S465" s="562" t="s">
        <v>66</v>
      </c>
      <c r="T465" s="562" t="s">
        <v>1799</v>
      </c>
      <c r="U465" s="564"/>
      <c r="V465" s="564"/>
      <c r="W465" s="564" t="s">
        <v>1800</v>
      </c>
      <c r="X465" s="513" t="s">
        <v>1424</v>
      </c>
      <c r="Y465" s="800">
        <v>4.3748</v>
      </c>
      <c r="Z465" s="801">
        <f t="shared" si="134"/>
        <v>6579.6992</v>
      </c>
      <c r="AA465" s="539"/>
      <c r="AB465" s="549" t="s">
        <v>148</v>
      </c>
      <c r="AC465" s="539" t="s">
        <v>76</v>
      </c>
      <c r="AD465" s="549"/>
      <c r="AE465" s="549"/>
      <c r="AF465" s="549"/>
      <c r="AG465" s="549">
        <v>1504</v>
      </c>
      <c r="AH465" s="584">
        <f t="shared" si="123"/>
        <v>0</v>
      </c>
      <c r="AI465" s="549"/>
      <c r="AJ465" s="549"/>
      <c r="AK465" s="568"/>
      <c r="AL465" s="568">
        <f t="shared" si="138"/>
        <v>1504</v>
      </c>
      <c r="AM465" s="428"/>
      <c r="AN465" s="428"/>
      <c r="AO465" s="428"/>
      <c r="AP465" s="568"/>
      <c r="AQ465" s="568"/>
      <c r="AR465" s="568"/>
      <c r="AS465" s="828"/>
      <c r="AT465" s="568">
        <f t="shared" si="136"/>
        <v>1504</v>
      </c>
      <c r="AU465" s="568"/>
      <c r="AV465" s="828"/>
      <c r="AW465" s="828"/>
      <c r="AX465" s="828"/>
      <c r="AY465" s="828"/>
      <c r="AZ465" s="568">
        <f>I465</f>
        <v>1504</v>
      </c>
      <c r="BA465" s="568">
        <f>I465</f>
        <v>1504</v>
      </c>
      <c r="BB465" s="828"/>
      <c r="BC465" s="828"/>
      <c r="BD465" s="568"/>
      <c r="BE465" s="777">
        <f>I465/4</f>
        <v>376</v>
      </c>
      <c r="BF465" s="828"/>
      <c r="BG465" s="828"/>
      <c r="BH465" s="828"/>
      <c r="BI465" s="828"/>
      <c r="BJ465" s="568"/>
      <c r="BK465" s="828"/>
      <c r="BL465" s="828"/>
      <c r="BM465" s="828"/>
      <c r="CF465" s="578"/>
      <c r="CG465" s="578"/>
      <c r="CH465" s="578"/>
      <c r="CI465" s="578"/>
      <c r="CJ465" s="578"/>
      <c r="CN465" s="578"/>
      <c r="CO465" s="578"/>
      <c r="CP465" s="578"/>
      <c r="CQ465" s="578"/>
      <c r="CR465" s="578"/>
      <c r="CS465" s="578"/>
    </row>
    <row r="466" s="773" customFormat="1" ht="31" hidden="1" customHeight="1" spans="1:97">
      <c r="A466" s="547">
        <v>45897</v>
      </c>
      <c r="B466" s="548" t="s">
        <v>338</v>
      </c>
      <c r="C466" s="539" t="s">
        <v>90</v>
      </c>
      <c r="D466" s="428">
        <v>4500177767</v>
      </c>
      <c r="E466" s="539" t="s">
        <v>1801</v>
      </c>
      <c r="F466" s="428" t="s">
        <v>1802</v>
      </c>
      <c r="G466" s="549" t="s">
        <v>102</v>
      </c>
      <c r="H466" s="539" t="s">
        <v>65</v>
      </c>
      <c r="I466" s="539">
        <v>1920</v>
      </c>
      <c r="J466" s="539">
        <v>0</v>
      </c>
      <c r="K466" s="539">
        <v>16</v>
      </c>
      <c r="L466" s="795">
        <f t="shared" si="133"/>
        <v>120</v>
      </c>
      <c r="M466" s="797">
        <v>45944</v>
      </c>
      <c r="N466" s="797">
        <v>45940</v>
      </c>
      <c r="O466" s="556"/>
      <c r="P466" s="556" t="s">
        <v>103</v>
      </c>
      <c r="Q466" s="562"/>
      <c r="R466" s="562">
        <v>45918</v>
      </c>
      <c r="S466" s="570" t="s">
        <v>66</v>
      </c>
      <c r="T466" s="570" t="s">
        <v>66</v>
      </c>
      <c r="U466" s="564"/>
      <c r="V466" s="564"/>
      <c r="W466" s="564" t="s">
        <v>1651</v>
      </c>
      <c r="X466" s="513" t="s">
        <v>1652</v>
      </c>
      <c r="Y466" s="800">
        <v>2.5525</v>
      </c>
      <c r="Z466" s="801">
        <f t="shared" si="134"/>
        <v>4900.8</v>
      </c>
      <c r="AA466" s="539" t="s">
        <v>1803</v>
      </c>
      <c r="AB466" s="549" t="s">
        <v>102</v>
      </c>
      <c r="AC466" s="539" t="s">
        <v>76</v>
      </c>
      <c r="AD466" s="549"/>
      <c r="AE466" s="549"/>
      <c r="AF466" s="549"/>
      <c r="AG466" s="549">
        <f>1888+32</f>
        <v>1920</v>
      </c>
      <c r="AH466" s="584">
        <f t="shared" si="123"/>
        <v>0</v>
      </c>
      <c r="AI466" s="539"/>
      <c r="AJ466" s="549"/>
      <c r="AK466" s="568"/>
      <c r="AL466" s="568">
        <f t="shared" si="138"/>
        <v>1920</v>
      </c>
      <c r="AM466" s="428"/>
      <c r="AN466" s="428"/>
      <c r="AO466" s="428"/>
      <c r="AP466" s="568">
        <f>I466</f>
        <v>1920</v>
      </c>
      <c r="AQ466" s="568"/>
      <c r="AR466" s="568">
        <f t="shared" ref="AR466:AR473" si="139">I466</f>
        <v>1920</v>
      </c>
      <c r="AS466" s="828"/>
      <c r="AT466" s="568">
        <f t="shared" si="136"/>
        <v>1920</v>
      </c>
      <c r="AU466" s="568"/>
      <c r="AV466" s="828"/>
      <c r="AW466" s="828"/>
      <c r="AX466" s="828"/>
      <c r="AY466" s="828"/>
      <c r="AZ466" s="568"/>
      <c r="BA466" s="568"/>
      <c r="BB466" s="828"/>
      <c r="BC466" s="828"/>
      <c r="BD466" s="777">
        <f>I466/4</f>
        <v>480</v>
      </c>
      <c r="BE466" s="568"/>
      <c r="BF466" s="828"/>
      <c r="BG466" s="828"/>
      <c r="BH466" s="828"/>
      <c r="BI466" s="828"/>
      <c r="BJ466" s="568"/>
      <c r="BK466" s="828"/>
      <c r="BL466" s="828"/>
      <c r="BM466" s="828"/>
      <c r="CF466" s="578"/>
      <c r="CG466" s="578"/>
      <c r="CH466" s="578"/>
      <c r="CI466" s="578"/>
      <c r="CJ466" s="578"/>
      <c r="CN466" s="578"/>
      <c r="CO466" s="578"/>
      <c r="CP466" s="578"/>
      <c r="CQ466" s="578"/>
      <c r="CR466" s="578"/>
      <c r="CS466" s="578"/>
    </row>
    <row r="467" s="773" customFormat="1" ht="31" hidden="1" customHeight="1" spans="1:97">
      <c r="A467" s="547">
        <v>45897</v>
      </c>
      <c r="B467" s="548" t="s">
        <v>1224</v>
      </c>
      <c r="C467" s="539" t="s">
        <v>524</v>
      </c>
      <c r="D467" s="428">
        <v>4500178095</v>
      </c>
      <c r="E467" s="539"/>
      <c r="F467" s="428" t="s">
        <v>1804</v>
      </c>
      <c r="G467" s="549" t="s">
        <v>64</v>
      </c>
      <c r="H467" s="539" t="s">
        <v>65</v>
      </c>
      <c r="I467" s="539">
        <v>1500</v>
      </c>
      <c r="J467" s="539">
        <v>0</v>
      </c>
      <c r="K467" s="539">
        <v>12</v>
      </c>
      <c r="L467" s="795">
        <f t="shared" si="133"/>
        <v>125</v>
      </c>
      <c r="M467" s="797">
        <v>45945</v>
      </c>
      <c r="N467" s="797">
        <v>45941</v>
      </c>
      <c r="O467" s="556"/>
      <c r="P467" s="556" t="s">
        <v>103</v>
      </c>
      <c r="Q467" s="562"/>
      <c r="R467" s="562">
        <v>45897</v>
      </c>
      <c r="S467" s="562"/>
      <c r="T467" s="562">
        <v>45905</v>
      </c>
      <c r="U467" s="564"/>
      <c r="V467" s="564"/>
      <c r="W467" s="566" t="s">
        <v>1805</v>
      </c>
      <c r="X467" s="513" t="s">
        <v>207</v>
      </c>
      <c r="Y467" s="800">
        <v>4.1456</v>
      </c>
      <c r="Z467" s="801">
        <f t="shared" si="134"/>
        <v>6218.4</v>
      </c>
      <c r="AA467" s="539"/>
      <c r="AB467" s="549" t="s">
        <v>64</v>
      </c>
      <c r="AC467" s="539" t="s">
        <v>76</v>
      </c>
      <c r="AD467" s="549"/>
      <c r="AE467" s="549"/>
      <c r="AF467" s="549"/>
      <c r="AG467" s="549">
        <v>1500</v>
      </c>
      <c r="AH467" s="584">
        <f t="shared" si="123"/>
        <v>0</v>
      </c>
      <c r="AI467" s="549"/>
      <c r="AJ467" s="549"/>
      <c r="AK467" s="568"/>
      <c r="AL467" s="568">
        <f t="shared" si="138"/>
        <v>1500</v>
      </c>
      <c r="AM467" s="428"/>
      <c r="AN467" s="428"/>
      <c r="AO467" s="428"/>
      <c r="AP467" s="568">
        <f>I467</f>
        <v>1500</v>
      </c>
      <c r="AQ467" s="568"/>
      <c r="AR467" s="568">
        <f t="shared" si="139"/>
        <v>1500</v>
      </c>
      <c r="AS467" s="828"/>
      <c r="AT467" s="568">
        <f t="shared" si="136"/>
        <v>1500</v>
      </c>
      <c r="AU467" s="568"/>
      <c r="AV467" s="828"/>
      <c r="AW467" s="828"/>
      <c r="AX467" s="828"/>
      <c r="AY467" s="828"/>
      <c r="AZ467" s="568"/>
      <c r="BA467" s="568"/>
      <c r="BB467" s="828"/>
      <c r="BC467" s="828"/>
      <c r="BD467" s="568"/>
      <c r="BE467" s="568"/>
      <c r="BF467" s="828"/>
      <c r="BG467" s="828"/>
      <c r="BH467" s="828"/>
      <c r="BI467" s="828"/>
      <c r="BJ467" s="568"/>
      <c r="BK467" s="828"/>
      <c r="BL467" s="828"/>
      <c r="BM467" s="828"/>
      <c r="CF467" s="578"/>
      <c r="CG467" s="578"/>
      <c r="CH467" s="578"/>
      <c r="CI467" s="578"/>
      <c r="CJ467" s="578"/>
      <c r="CN467" s="578"/>
      <c r="CO467" s="578"/>
      <c r="CP467" s="578"/>
      <c r="CQ467" s="578"/>
      <c r="CR467" s="578"/>
      <c r="CS467" s="578"/>
    </row>
    <row r="468" s="773" customFormat="1" ht="31" hidden="1" customHeight="1" spans="1:97">
      <c r="A468" s="547">
        <v>45897</v>
      </c>
      <c r="B468" s="548" t="s">
        <v>128</v>
      </c>
      <c r="C468" s="539" t="s">
        <v>90</v>
      </c>
      <c r="D468" s="428">
        <v>4500178138</v>
      </c>
      <c r="E468" s="887" t="s">
        <v>1806</v>
      </c>
      <c r="F468" s="428" t="s">
        <v>1807</v>
      </c>
      <c r="G468" s="549" t="s">
        <v>93</v>
      </c>
      <c r="H468" s="539" t="s">
        <v>94</v>
      </c>
      <c r="I468" s="539">
        <v>7372</v>
      </c>
      <c r="J468" s="539">
        <v>0</v>
      </c>
      <c r="K468" s="539">
        <v>4</v>
      </c>
      <c r="L468" s="795">
        <f t="shared" si="133"/>
        <v>1843</v>
      </c>
      <c r="M468" s="797">
        <v>45945</v>
      </c>
      <c r="N468" s="797">
        <v>45941</v>
      </c>
      <c r="O468" s="556" t="s">
        <v>1808</v>
      </c>
      <c r="P468" s="556" t="s">
        <v>103</v>
      </c>
      <c r="Q468" s="539" t="s">
        <v>1694</v>
      </c>
      <c r="R468" s="570" t="s">
        <v>132</v>
      </c>
      <c r="S468" s="570" t="s">
        <v>66</v>
      </c>
      <c r="T468" s="570">
        <v>45908</v>
      </c>
      <c r="U468" s="570" t="s">
        <v>133</v>
      </c>
      <c r="V468" s="564"/>
      <c r="W468" s="564" t="s">
        <v>1333</v>
      </c>
      <c r="X468" s="513" t="s">
        <v>98</v>
      </c>
      <c r="Y468" s="800">
        <v>2.5656</v>
      </c>
      <c r="Z468" s="801">
        <f t="shared" si="134"/>
        <v>18913.6032</v>
      </c>
      <c r="AA468" s="539" t="s">
        <v>1809</v>
      </c>
      <c r="AB468" s="549" t="s">
        <v>93</v>
      </c>
      <c r="AC468" s="539" t="s">
        <v>76</v>
      </c>
      <c r="AD468" s="549"/>
      <c r="AE468" s="549"/>
      <c r="AF468" s="549"/>
      <c r="AG468" s="549">
        <f>3052+4320</f>
        <v>7372</v>
      </c>
      <c r="AH468" s="584">
        <f t="shared" si="123"/>
        <v>0</v>
      </c>
      <c r="AI468" s="549"/>
      <c r="AJ468" s="549"/>
      <c r="AK468" s="568"/>
      <c r="AL468" s="568">
        <f t="shared" si="138"/>
        <v>7372</v>
      </c>
      <c r="AM468" s="428"/>
      <c r="AN468" s="428"/>
      <c r="AO468" s="428"/>
      <c r="AP468" s="568">
        <f>I468</f>
        <v>7372</v>
      </c>
      <c r="AQ468" s="568"/>
      <c r="AR468" s="568">
        <f t="shared" si="139"/>
        <v>7372</v>
      </c>
      <c r="AS468" s="828"/>
      <c r="AT468" s="568">
        <f t="shared" si="136"/>
        <v>7372</v>
      </c>
      <c r="AU468" s="568"/>
      <c r="AV468" s="828"/>
      <c r="AW468" s="828"/>
      <c r="AX468" s="828"/>
      <c r="AY468" s="828"/>
      <c r="AZ468" s="568"/>
      <c r="BA468" s="568"/>
      <c r="BB468" s="828"/>
      <c r="BC468" s="828"/>
      <c r="BD468" s="777">
        <f>I468/4</f>
        <v>1843</v>
      </c>
      <c r="BE468" s="568"/>
      <c r="BF468" s="828"/>
      <c r="BG468" s="828"/>
      <c r="BH468" s="828"/>
      <c r="BI468" s="828"/>
      <c r="BJ468" s="568"/>
      <c r="BK468" s="828"/>
      <c r="BL468" s="828"/>
      <c r="BM468" s="828"/>
      <c r="CF468" s="578"/>
      <c r="CG468" s="578"/>
      <c r="CH468" s="578"/>
      <c r="CI468" s="578"/>
      <c r="CJ468" s="578"/>
      <c r="CN468" s="578"/>
      <c r="CO468" s="578"/>
      <c r="CP468" s="578"/>
      <c r="CQ468" s="578"/>
      <c r="CR468" s="578"/>
      <c r="CS468" s="578"/>
    </row>
    <row r="469" s="773" customFormat="1" ht="31" hidden="1" customHeight="1" spans="1:97">
      <c r="A469" s="547">
        <v>45881</v>
      </c>
      <c r="B469" s="548" t="s">
        <v>489</v>
      </c>
      <c r="C469" s="539" t="s">
        <v>249</v>
      </c>
      <c r="D469" s="428">
        <v>4500176637</v>
      </c>
      <c r="E469" s="539" t="s">
        <v>1810</v>
      </c>
      <c r="F469" s="428" t="s">
        <v>1811</v>
      </c>
      <c r="G469" s="549" t="s">
        <v>64</v>
      </c>
      <c r="H469" s="539" t="s">
        <v>65</v>
      </c>
      <c r="I469" s="539">
        <v>1248</v>
      </c>
      <c r="J469" s="539">
        <v>0</v>
      </c>
      <c r="K469" s="539">
        <v>12</v>
      </c>
      <c r="L469" s="795">
        <f t="shared" si="133"/>
        <v>104</v>
      </c>
      <c r="M469" s="797">
        <v>45946</v>
      </c>
      <c r="N469" s="797">
        <v>45943</v>
      </c>
      <c r="O469" s="556"/>
      <c r="P469" s="556" t="s">
        <v>103</v>
      </c>
      <c r="Q469" s="562"/>
      <c r="R469" s="821" t="s">
        <v>411</v>
      </c>
      <c r="S469" s="562" t="s">
        <v>96</v>
      </c>
      <c r="T469" s="562" t="s">
        <v>1812</v>
      </c>
      <c r="U469" s="564"/>
      <c r="V469" s="564"/>
      <c r="W469" s="564" t="s">
        <v>1813</v>
      </c>
      <c r="X469" s="513" t="s">
        <v>414</v>
      </c>
      <c r="Y469" s="800">
        <v>4.1456</v>
      </c>
      <c r="Z469" s="801">
        <f t="shared" si="134"/>
        <v>5173.7088</v>
      </c>
      <c r="AA469" s="539"/>
      <c r="AB469" s="549" t="s">
        <v>165</v>
      </c>
      <c r="AC469" s="539" t="s">
        <v>76</v>
      </c>
      <c r="AD469" s="549"/>
      <c r="AE469" s="549"/>
      <c r="AF469" s="549"/>
      <c r="AG469" s="549">
        <v>1248</v>
      </c>
      <c r="AH469" s="584">
        <f>AG469-I469</f>
        <v>0</v>
      </c>
      <c r="AI469" s="549"/>
      <c r="AJ469" s="549"/>
      <c r="AK469" s="568"/>
      <c r="AL469" s="568">
        <f t="shared" si="138"/>
        <v>1248</v>
      </c>
      <c r="AM469" s="428"/>
      <c r="AN469" s="428"/>
      <c r="AO469" s="428"/>
      <c r="AP469" s="568"/>
      <c r="AQ469" s="568">
        <f>I469</f>
        <v>1248</v>
      </c>
      <c r="AR469" s="568">
        <f t="shared" si="139"/>
        <v>1248</v>
      </c>
      <c r="AS469" s="828"/>
      <c r="AT469" s="568">
        <f t="shared" si="136"/>
        <v>1248</v>
      </c>
      <c r="AU469" s="568"/>
      <c r="AV469" s="828"/>
      <c r="AW469" s="828"/>
      <c r="AX469" s="828"/>
      <c r="AY469" s="828"/>
      <c r="AZ469" s="568"/>
      <c r="BA469" s="568"/>
      <c r="BB469" s="828"/>
      <c r="BC469" s="828"/>
      <c r="BD469" s="568"/>
      <c r="BE469" s="568"/>
      <c r="BF469" s="828"/>
      <c r="BG469" s="828"/>
      <c r="BH469" s="828"/>
      <c r="BI469" s="828"/>
      <c r="BJ469" s="568"/>
      <c r="BK469" s="828"/>
      <c r="BL469" s="828"/>
      <c r="BM469" s="828"/>
      <c r="CF469" s="578"/>
      <c r="CG469" s="578"/>
      <c r="CH469" s="578"/>
      <c r="CI469" s="578"/>
      <c r="CJ469" s="578"/>
      <c r="CN469" s="578"/>
      <c r="CO469" s="578"/>
      <c r="CP469" s="578"/>
      <c r="CQ469" s="578"/>
      <c r="CR469" s="578"/>
      <c r="CS469" s="578"/>
    </row>
    <row r="470" s="773" customFormat="1" ht="31" hidden="1" customHeight="1" spans="1:97">
      <c r="A470" s="547">
        <v>45881</v>
      </c>
      <c r="B470" s="548" t="s">
        <v>489</v>
      </c>
      <c r="C470" s="539" t="s">
        <v>139</v>
      </c>
      <c r="D470" s="428">
        <v>4500176637</v>
      </c>
      <c r="E470" s="539" t="s">
        <v>1814</v>
      </c>
      <c r="F470" s="428" t="s">
        <v>1815</v>
      </c>
      <c r="G470" s="549" t="s">
        <v>64</v>
      </c>
      <c r="H470" s="539" t="s">
        <v>65</v>
      </c>
      <c r="I470" s="539">
        <v>492</v>
      </c>
      <c r="J470" s="539">
        <v>0</v>
      </c>
      <c r="K470" s="539">
        <v>12</v>
      </c>
      <c r="L470" s="795">
        <f t="shared" si="133"/>
        <v>41</v>
      </c>
      <c r="M470" s="797">
        <v>45946</v>
      </c>
      <c r="N470" s="797">
        <v>45943</v>
      </c>
      <c r="O470" s="556"/>
      <c r="P470" s="556" t="s">
        <v>103</v>
      </c>
      <c r="Q470" s="562"/>
      <c r="R470" s="821" t="s">
        <v>411</v>
      </c>
      <c r="S470" s="562" t="s">
        <v>96</v>
      </c>
      <c r="T470" s="562" t="s">
        <v>1812</v>
      </c>
      <c r="U470" s="564"/>
      <c r="V470" s="564"/>
      <c r="W470" s="564" t="s">
        <v>1813</v>
      </c>
      <c r="X470" s="513" t="s">
        <v>414</v>
      </c>
      <c r="Y470" s="800">
        <v>4.1456</v>
      </c>
      <c r="Z470" s="801">
        <f t="shared" si="134"/>
        <v>2039.6352</v>
      </c>
      <c r="AA470" s="539"/>
      <c r="AB470" s="549" t="s">
        <v>165</v>
      </c>
      <c r="AC470" s="539" t="s">
        <v>76</v>
      </c>
      <c r="AD470" s="549"/>
      <c r="AE470" s="549"/>
      <c r="AF470" s="549"/>
      <c r="AG470" s="549">
        <f>468+24</f>
        <v>492</v>
      </c>
      <c r="AH470" s="584">
        <f>AG470-I470</f>
        <v>0</v>
      </c>
      <c r="AI470" s="549"/>
      <c r="AJ470" s="549"/>
      <c r="AK470" s="568"/>
      <c r="AL470" s="568">
        <f t="shared" si="138"/>
        <v>492</v>
      </c>
      <c r="AM470" s="428"/>
      <c r="AN470" s="428"/>
      <c r="AO470" s="428"/>
      <c r="AP470" s="568"/>
      <c r="AQ470" s="568">
        <f>I470</f>
        <v>492</v>
      </c>
      <c r="AR470" s="568">
        <f t="shared" si="139"/>
        <v>492</v>
      </c>
      <c r="AS470" s="828"/>
      <c r="AT470" s="568">
        <f t="shared" si="136"/>
        <v>492</v>
      </c>
      <c r="AU470" s="568"/>
      <c r="AV470" s="828"/>
      <c r="AW470" s="828"/>
      <c r="AX470" s="828"/>
      <c r="AY470" s="828"/>
      <c r="AZ470" s="568"/>
      <c r="BA470" s="568"/>
      <c r="BB470" s="828"/>
      <c r="BC470" s="828"/>
      <c r="BD470" s="568"/>
      <c r="BE470" s="568"/>
      <c r="BF470" s="828"/>
      <c r="BG470" s="828"/>
      <c r="BH470" s="828"/>
      <c r="BI470" s="828"/>
      <c r="BJ470" s="568"/>
      <c r="BK470" s="828"/>
      <c r="BL470" s="828"/>
      <c r="BM470" s="828"/>
      <c r="CF470" s="578"/>
      <c r="CG470" s="578"/>
      <c r="CH470" s="578"/>
      <c r="CI470" s="578"/>
      <c r="CJ470" s="578"/>
      <c r="CN470" s="578"/>
      <c r="CO470" s="578"/>
      <c r="CP470" s="578"/>
      <c r="CQ470" s="578"/>
      <c r="CR470" s="578"/>
      <c r="CS470" s="578"/>
    </row>
    <row r="471" s="773" customFormat="1" ht="31" hidden="1" customHeight="1" spans="1:97">
      <c r="A471" s="547">
        <v>45881</v>
      </c>
      <c r="B471" s="548" t="s">
        <v>489</v>
      </c>
      <c r="C471" s="539" t="s">
        <v>271</v>
      </c>
      <c r="D471" s="428">
        <v>4500176637</v>
      </c>
      <c r="E471" s="539" t="s">
        <v>1816</v>
      </c>
      <c r="F471" s="428" t="s">
        <v>1817</v>
      </c>
      <c r="G471" s="549" t="s">
        <v>64</v>
      </c>
      <c r="H471" s="539" t="s">
        <v>65</v>
      </c>
      <c r="I471" s="539">
        <v>504</v>
      </c>
      <c r="J471" s="539">
        <v>0</v>
      </c>
      <c r="K471" s="539">
        <v>12</v>
      </c>
      <c r="L471" s="795">
        <f t="shared" si="133"/>
        <v>42</v>
      </c>
      <c r="M471" s="797">
        <v>45946</v>
      </c>
      <c r="N471" s="797">
        <v>45943</v>
      </c>
      <c r="O471" s="556"/>
      <c r="P471" s="556" t="s">
        <v>103</v>
      </c>
      <c r="Q471" s="562"/>
      <c r="R471" s="821" t="s">
        <v>411</v>
      </c>
      <c r="S471" s="562" t="s">
        <v>96</v>
      </c>
      <c r="T471" s="562" t="s">
        <v>1812</v>
      </c>
      <c r="U471" s="564"/>
      <c r="V471" s="564"/>
      <c r="W471" s="564" t="s">
        <v>1813</v>
      </c>
      <c r="X471" s="513" t="s">
        <v>414</v>
      </c>
      <c r="Y471" s="800">
        <v>4.1456</v>
      </c>
      <c r="Z471" s="801">
        <f t="shared" si="134"/>
        <v>2089.3824</v>
      </c>
      <c r="AA471" s="539"/>
      <c r="AB471" s="549" t="s">
        <v>165</v>
      </c>
      <c r="AC471" s="539" t="s">
        <v>76</v>
      </c>
      <c r="AD471" s="549"/>
      <c r="AE471" s="549"/>
      <c r="AF471" s="549"/>
      <c r="AG471" s="549">
        <v>504</v>
      </c>
      <c r="AH471" s="584">
        <f>AG471-I471</f>
        <v>0</v>
      </c>
      <c r="AI471" s="549"/>
      <c r="AJ471" s="549"/>
      <c r="AK471" s="568"/>
      <c r="AL471" s="568">
        <f t="shared" si="138"/>
        <v>504</v>
      </c>
      <c r="AM471" s="428"/>
      <c r="AN471" s="428"/>
      <c r="AO471" s="428"/>
      <c r="AP471" s="568"/>
      <c r="AQ471" s="568">
        <f>I471</f>
        <v>504</v>
      </c>
      <c r="AR471" s="568">
        <f t="shared" si="139"/>
        <v>504</v>
      </c>
      <c r="AS471" s="828"/>
      <c r="AT471" s="568">
        <f t="shared" si="136"/>
        <v>504</v>
      </c>
      <c r="AU471" s="568"/>
      <c r="AV471" s="828"/>
      <c r="AW471" s="828"/>
      <c r="AX471" s="828"/>
      <c r="AY471" s="828"/>
      <c r="AZ471" s="568"/>
      <c r="BA471" s="568"/>
      <c r="BB471" s="828"/>
      <c r="BC471" s="828"/>
      <c r="BD471" s="568"/>
      <c r="BE471" s="568"/>
      <c r="BF471" s="828"/>
      <c r="BG471" s="828"/>
      <c r="BH471" s="828"/>
      <c r="BI471" s="828"/>
      <c r="BJ471" s="568"/>
      <c r="BK471" s="828"/>
      <c r="BL471" s="828"/>
      <c r="BM471" s="828"/>
      <c r="CF471" s="578"/>
      <c r="CG471" s="578"/>
      <c r="CH471" s="578"/>
      <c r="CI471" s="578"/>
      <c r="CJ471" s="578"/>
      <c r="CN471" s="578"/>
      <c r="CO471" s="578"/>
      <c r="CP471" s="578"/>
      <c r="CQ471" s="578"/>
      <c r="CR471" s="578"/>
      <c r="CS471" s="578"/>
    </row>
    <row r="472" s="773" customFormat="1" ht="31" hidden="1" customHeight="1" spans="1:97">
      <c r="A472" s="547">
        <v>45904</v>
      </c>
      <c r="B472" s="548" t="s">
        <v>741</v>
      </c>
      <c r="C472" s="539" t="s">
        <v>468</v>
      </c>
      <c r="D472" s="428">
        <v>4500178828</v>
      </c>
      <c r="E472" s="539" t="s">
        <v>1818</v>
      </c>
      <c r="F472" s="428" t="s">
        <v>1819</v>
      </c>
      <c r="G472" s="549" t="s">
        <v>743</v>
      </c>
      <c r="H472" s="539" t="s">
        <v>744</v>
      </c>
      <c r="I472" s="539">
        <v>64</v>
      </c>
      <c r="J472" s="539">
        <v>0</v>
      </c>
      <c r="K472" s="539">
        <v>1</v>
      </c>
      <c r="L472" s="795">
        <f t="shared" si="133"/>
        <v>64</v>
      </c>
      <c r="M472" s="797">
        <v>45940</v>
      </c>
      <c r="N472" s="797">
        <v>45936</v>
      </c>
      <c r="O472" s="556"/>
      <c r="P472" s="556" t="s">
        <v>103</v>
      </c>
      <c r="Q472" s="562"/>
      <c r="R472" s="570">
        <v>45904</v>
      </c>
      <c r="S472" s="570" t="s">
        <v>66</v>
      </c>
      <c r="T472" s="562" t="s">
        <v>1820</v>
      </c>
      <c r="U472" s="570"/>
      <c r="V472" s="564"/>
      <c r="W472" s="564" t="s">
        <v>1821</v>
      </c>
      <c r="X472" s="513" t="s">
        <v>473</v>
      </c>
      <c r="Y472" s="800">
        <v>0</v>
      </c>
      <c r="Z472" s="801">
        <f>Y472*L472</f>
        <v>0</v>
      </c>
      <c r="AA472" s="539"/>
      <c r="AB472" s="539" t="s">
        <v>743</v>
      </c>
      <c r="AC472" s="539" t="s">
        <v>76</v>
      </c>
      <c r="AD472" s="549"/>
      <c r="AE472" s="549"/>
      <c r="AF472" s="549"/>
      <c r="AG472" s="549">
        <f>40+4760</f>
        <v>4800</v>
      </c>
      <c r="AH472" s="584">
        <v>0</v>
      </c>
      <c r="AI472" s="549"/>
      <c r="AJ472" s="549"/>
      <c r="AK472" s="568"/>
      <c r="AL472" s="568"/>
      <c r="AM472" s="828"/>
      <c r="AN472" s="828"/>
      <c r="AO472" s="828"/>
      <c r="AP472" s="568"/>
      <c r="AQ472" s="568"/>
      <c r="AR472" s="568"/>
      <c r="AS472" s="828"/>
      <c r="AT472" s="568"/>
      <c r="AU472" s="568"/>
      <c r="AV472" s="568"/>
      <c r="AW472" s="828"/>
      <c r="AX472" s="828"/>
      <c r="AY472" s="828"/>
      <c r="AZ472" s="568"/>
      <c r="BA472" s="568"/>
      <c r="BB472" s="828"/>
      <c r="BC472" s="828"/>
      <c r="BD472" s="568"/>
      <c r="BE472" s="568"/>
      <c r="BF472" s="828"/>
      <c r="BG472" s="828"/>
      <c r="BH472" s="828"/>
      <c r="BI472" s="828"/>
      <c r="BJ472" s="568"/>
      <c r="BK472" s="828"/>
      <c r="BL472" s="828"/>
      <c r="BM472" s="828"/>
      <c r="CF472" s="578"/>
      <c r="CG472" s="578"/>
      <c r="CH472" s="578"/>
      <c r="CI472" s="578"/>
      <c r="CJ472" s="578"/>
      <c r="CN472" s="578"/>
      <c r="CO472" s="578"/>
      <c r="CP472" s="578"/>
      <c r="CQ472" s="578"/>
      <c r="CR472" s="578"/>
      <c r="CS472" s="578"/>
    </row>
    <row r="473" s="773" customFormat="1" ht="31" hidden="1" customHeight="1" spans="1:97">
      <c r="A473" s="547">
        <v>45904</v>
      </c>
      <c r="B473" s="548" t="s">
        <v>741</v>
      </c>
      <c r="C473" s="539" t="s">
        <v>468</v>
      </c>
      <c r="D473" s="428">
        <v>4500178828</v>
      </c>
      <c r="E473" s="539" t="s">
        <v>1818</v>
      </c>
      <c r="F473" s="428" t="s">
        <v>1819</v>
      </c>
      <c r="G473" s="549">
        <v>77673</v>
      </c>
      <c r="H473" s="539" t="s">
        <v>65</v>
      </c>
      <c r="I473" s="549">
        <v>4800</v>
      </c>
      <c r="J473" s="549">
        <v>0</v>
      </c>
      <c r="K473" s="549">
        <v>75</v>
      </c>
      <c r="L473" s="554">
        <f t="shared" si="133"/>
        <v>64</v>
      </c>
      <c r="M473" s="797">
        <v>45940</v>
      </c>
      <c r="N473" s="797">
        <v>45936</v>
      </c>
      <c r="O473" s="556"/>
      <c r="P473" s="556" t="s">
        <v>103</v>
      </c>
      <c r="Q473" s="562"/>
      <c r="R473" s="570">
        <v>45904</v>
      </c>
      <c r="S473" s="570" t="s">
        <v>66</v>
      </c>
      <c r="T473" s="562" t="s">
        <v>1820</v>
      </c>
      <c r="U473" s="570"/>
      <c r="V473" s="564"/>
      <c r="W473" s="564" t="s">
        <v>1821</v>
      </c>
      <c r="X473" s="513" t="s">
        <v>473</v>
      </c>
      <c r="Y473" s="800">
        <v>588.0268</v>
      </c>
      <c r="Z473" s="801">
        <f>Y473*L473</f>
        <v>37633.7152</v>
      </c>
      <c r="AA473" s="539"/>
      <c r="AB473" s="539" t="s">
        <v>743</v>
      </c>
      <c r="AC473" s="539" t="s">
        <v>76</v>
      </c>
      <c r="AD473" s="549"/>
      <c r="AE473" s="549"/>
      <c r="AF473" s="549"/>
      <c r="AG473" s="549">
        <v>0</v>
      </c>
      <c r="AH473" s="584">
        <v>0</v>
      </c>
      <c r="AI473" s="549"/>
      <c r="AJ473" s="549"/>
      <c r="AK473" s="568"/>
      <c r="AL473" s="568"/>
      <c r="AM473" s="568"/>
      <c r="AN473" s="828"/>
      <c r="AO473" s="428">
        <f>I473</f>
        <v>4800</v>
      </c>
      <c r="AP473" s="568"/>
      <c r="AQ473" s="568"/>
      <c r="AR473" s="568"/>
      <c r="AS473" s="828"/>
      <c r="AT473" s="568"/>
      <c r="AU473" s="568"/>
      <c r="AV473" s="568"/>
      <c r="AW473" s="428">
        <f>I473</f>
        <v>4800</v>
      </c>
      <c r="AX473" s="428">
        <f>I473</f>
        <v>4800</v>
      </c>
      <c r="AY473" s="428">
        <f>I473</f>
        <v>4800</v>
      </c>
      <c r="AZ473" s="568"/>
      <c r="BA473" s="568"/>
      <c r="BB473" s="828"/>
      <c r="BC473" s="828"/>
      <c r="BD473" s="568"/>
      <c r="BE473" s="568"/>
      <c r="BF473" s="828"/>
      <c r="BG473" s="428">
        <f>I473</f>
        <v>4800</v>
      </c>
      <c r="BH473" s="428">
        <f>I473/5</f>
        <v>960</v>
      </c>
      <c r="BI473" s="828"/>
      <c r="BJ473" s="568"/>
      <c r="BK473" s="828"/>
      <c r="BL473" s="828"/>
      <c r="BM473" s="828"/>
      <c r="CF473" s="578"/>
      <c r="CG473" s="578"/>
      <c r="CH473" s="578"/>
      <c r="CI473" s="578"/>
      <c r="CJ473" s="578"/>
      <c r="CN473" s="578"/>
      <c r="CO473" s="578"/>
      <c r="CP473" s="578"/>
      <c r="CQ473" s="578"/>
      <c r="CR473" s="578"/>
      <c r="CS473" s="578"/>
    </row>
    <row r="474" s="773" customFormat="1" ht="31" hidden="1" customHeight="1" spans="1:97">
      <c r="A474" s="547">
        <v>45910</v>
      </c>
      <c r="B474" s="548" t="s">
        <v>1822</v>
      </c>
      <c r="C474" s="539" t="s">
        <v>726</v>
      </c>
      <c r="D474" s="428">
        <v>4500179170</v>
      </c>
      <c r="E474" s="539"/>
      <c r="F474" s="428" t="s">
        <v>1823</v>
      </c>
      <c r="G474" s="549" t="s">
        <v>102</v>
      </c>
      <c r="H474" s="539" t="s">
        <v>65</v>
      </c>
      <c r="I474" s="539">
        <v>512</v>
      </c>
      <c r="J474" s="539">
        <v>0</v>
      </c>
      <c r="K474" s="539">
        <v>16</v>
      </c>
      <c r="L474" s="795">
        <f t="shared" si="133"/>
        <v>32</v>
      </c>
      <c r="M474" s="798">
        <v>45947</v>
      </c>
      <c r="N474" s="798">
        <v>45944</v>
      </c>
      <c r="O474" s="556"/>
      <c r="P474" s="556" t="s">
        <v>103</v>
      </c>
      <c r="Q474" s="562" t="s">
        <v>1824</v>
      </c>
      <c r="R474" s="562">
        <v>45910</v>
      </c>
      <c r="S474" s="570" t="s">
        <v>66</v>
      </c>
      <c r="T474" s="570" t="s">
        <v>1825</v>
      </c>
      <c r="U474" s="564"/>
      <c r="V474" s="564"/>
      <c r="W474" s="564" t="s">
        <v>1826</v>
      </c>
      <c r="X474" s="513" t="s">
        <v>207</v>
      </c>
      <c r="Y474" s="800">
        <v>4.3451</v>
      </c>
      <c r="Z474" s="801">
        <f>Y474*I474</f>
        <v>2224.6912</v>
      </c>
      <c r="AA474" s="549"/>
      <c r="AB474" s="549" t="s">
        <v>102</v>
      </c>
      <c r="AC474" s="539" t="s">
        <v>76</v>
      </c>
      <c r="AD474" s="549"/>
      <c r="AE474" s="549"/>
      <c r="AF474" s="549"/>
      <c r="AG474" s="549">
        <v>512</v>
      </c>
      <c r="AH474" s="584">
        <f>AG474-I474</f>
        <v>0</v>
      </c>
      <c r="AI474" s="549"/>
      <c r="AJ474" s="549"/>
      <c r="AK474" s="568"/>
      <c r="AL474" s="568">
        <f>I474</f>
        <v>512</v>
      </c>
      <c r="AM474" s="828"/>
      <c r="AN474" s="828"/>
      <c r="AO474" s="828"/>
      <c r="AP474" s="568">
        <f>I474</f>
        <v>512</v>
      </c>
      <c r="AQ474" s="568"/>
      <c r="AR474" s="568">
        <f>I474</f>
        <v>512</v>
      </c>
      <c r="AS474" s="828"/>
      <c r="AT474" s="568">
        <f>I474</f>
        <v>512</v>
      </c>
      <c r="AU474" s="577"/>
      <c r="AV474" s="828"/>
      <c r="AW474" s="828"/>
      <c r="AX474" s="828"/>
      <c r="AY474" s="828"/>
      <c r="AZ474" s="568"/>
      <c r="BA474" s="568"/>
      <c r="BB474" s="828"/>
      <c r="BC474" s="828"/>
      <c r="BD474" s="777">
        <f>I474/4</f>
        <v>128</v>
      </c>
      <c r="BE474" s="568"/>
      <c r="BF474" s="828"/>
      <c r="BG474" s="828"/>
      <c r="BH474" s="828"/>
      <c r="BI474" s="828"/>
      <c r="BJ474" s="568"/>
      <c r="BK474" s="828"/>
      <c r="BL474" s="828"/>
      <c r="BM474" s="828"/>
      <c r="CF474" s="578"/>
      <c r="CG474" s="578"/>
      <c r="CH474" s="578"/>
      <c r="CI474" s="578"/>
      <c r="CJ474" s="578"/>
      <c r="CN474" s="578"/>
      <c r="CO474" s="578"/>
      <c r="CP474" s="578"/>
      <c r="CQ474" s="578"/>
      <c r="CR474" s="578"/>
      <c r="CS474" s="578"/>
    </row>
    <row r="475" s="773" customFormat="1" ht="31" hidden="1" customHeight="1" spans="1:97">
      <c r="A475" s="814">
        <v>45941</v>
      </c>
      <c r="B475" s="815" t="s">
        <v>159</v>
      </c>
      <c r="C475" s="816" t="s">
        <v>153</v>
      </c>
      <c r="D475" s="553">
        <v>4500181466</v>
      </c>
      <c r="E475" s="816" t="s">
        <v>1827</v>
      </c>
      <c r="F475" s="553" t="s">
        <v>1828</v>
      </c>
      <c r="G475" s="817" t="s">
        <v>155</v>
      </c>
      <c r="H475" s="816" t="s">
        <v>65</v>
      </c>
      <c r="I475" s="816">
        <v>5000</v>
      </c>
      <c r="J475" s="816">
        <v>0</v>
      </c>
      <c r="K475" s="816">
        <v>2</v>
      </c>
      <c r="L475" s="818">
        <f t="shared" si="133"/>
        <v>2500</v>
      </c>
      <c r="M475" s="819">
        <v>45941</v>
      </c>
      <c r="N475" s="819">
        <v>45937</v>
      </c>
      <c r="O475" s="820"/>
      <c r="P475" s="556" t="s">
        <v>103</v>
      </c>
      <c r="Q475" s="822"/>
      <c r="R475" s="823" t="s">
        <v>1829</v>
      </c>
      <c r="S475" s="823" t="s">
        <v>66</v>
      </c>
      <c r="T475" s="822" t="s">
        <v>1830</v>
      </c>
      <c r="U475" s="824"/>
      <c r="V475" s="824"/>
      <c r="W475" s="824" t="s">
        <v>1831</v>
      </c>
      <c r="X475" s="825" t="s">
        <v>1213</v>
      </c>
      <c r="Y475" s="826">
        <v>4.1964</v>
      </c>
      <c r="Z475" s="827">
        <f>Y475*I475</f>
        <v>20982</v>
      </c>
      <c r="AA475" s="816"/>
      <c r="AB475" s="816" t="s">
        <v>155</v>
      </c>
      <c r="AC475" s="817" t="s">
        <v>76</v>
      </c>
      <c r="AD475" s="817"/>
      <c r="AE475" s="817"/>
      <c r="AF475" s="817"/>
      <c r="AG475" s="817"/>
      <c r="AH475" s="829">
        <f>AG475-I475</f>
        <v>-5000</v>
      </c>
      <c r="AI475" s="817"/>
      <c r="AJ475" s="817"/>
      <c r="AK475" s="830"/>
      <c r="AL475" s="830">
        <f>I475</f>
        <v>5000</v>
      </c>
      <c r="AM475" s="828"/>
      <c r="AN475" s="828"/>
      <c r="AO475" s="828"/>
      <c r="AP475" s="830"/>
      <c r="AQ475" s="830">
        <f>I475</f>
        <v>5000</v>
      </c>
      <c r="AR475" s="830">
        <f>I475</f>
        <v>5000</v>
      </c>
      <c r="AS475" s="828"/>
      <c r="AT475" s="830">
        <f>I475</f>
        <v>5000</v>
      </c>
      <c r="AU475" s="830"/>
      <c r="AV475" s="828"/>
      <c r="AW475" s="828"/>
      <c r="AX475" s="828"/>
      <c r="AY475" s="828"/>
      <c r="AZ475" s="830"/>
      <c r="BA475" s="830"/>
      <c r="BB475" s="828"/>
      <c r="BC475" s="828"/>
      <c r="BD475" s="830"/>
      <c r="BE475" s="830"/>
      <c r="BF475" s="828"/>
      <c r="BG475" s="828"/>
      <c r="BH475" s="828"/>
      <c r="BI475" s="828"/>
      <c r="BJ475" s="830"/>
      <c r="BK475" s="828"/>
      <c r="BL475" s="828"/>
      <c r="BM475" s="828"/>
      <c r="CF475" s="578"/>
      <c r="CG475" s="578"/>
      <c r="CH475" s="578"/>
      <c r="CI475" s="578"/>
      <c r="CJ475" s="578"/>
      <c r="CN475" s="578"/>
      <c r="CO475" s="578"/>
      <c r="CP475" s="578"/>
      <c r="CQ475" s="578"/>
      <c r="CR475" s="578"/>
      <c r="CS475" s="578"/>
    </row>
    <row r="476" s="773" customFormat="1" ht="31" hidden="1" customHeight="1" spans="1:97">
      <c r="A476" s="547">
        <v>45881</v>
      </c>
      <c r="B476" s="548" t="s">
        <v>489</v>
      </c>
      <c r="C476" s="539" t="s">
        <v>249</v>
      </c>
      <c r="D476" s="428">
        <v>4500176637</v>
      </c>
      <c r="E476" s="539" t="s">
        <v>1832</v>
      </c>
      <c r="F476" s="428" t="s">
        <v>1833</v>
      </c>
      <c r="G476" s="549" t="s">
        <v>463</v>
      </c>
      <c r="H476" s="539" t="s">
        <v>424</v>
      </c>
      <c r="I476" s="539">
        <v>1182</v>
      </c>
      <c r="J476" s="539">
        <v>0</v>
      </c>
      <c r="K476" s="539">
        <v>6</v>
      </c>
      <c r="L476" s="795">
        <f t="shared" si="133"/>
        <v>197</v>
      </c>
      <c r="M476" s="797">
        <v>45946</v>
      </c>
      <c r="N476" s="797">
        <v>45943</v>
      </c>
      <c r="O476" s="556"/>
      <c r="P476" s="556" t="s">
        <v>103</v>
      </c>
      <c r="Q476" s="562"/>
      <c r="R476" s="821" t="s">
        <v>411</v>
      </c>
      <c r="S476" s="562" t="s">
        <v>96</v>
      </c>
      <c r="T476" s="562" t="s">
        <v>1834</v>
      </c>
      <c r="U476" s="564"/>
      <c r="V476" s="564"/>
      <c r="W476" s="566" t="s">
        <v>1835</v>
      </c>
      <c r="X476" s="513" t="s">
        <v>414</v>
      </c>
      <c r="Y476" s="800">
        <v>6.8326</v>
      </c>
      <c r="Z476" s="801">
        <f>Y476*I476</f>
        <v>8076.1332</v>
      </c>
      <c r="AA476" s="539"/>
      <c r="AB476" s="549" t="s">
        <v>1742</v>
      </c>
      <c r="AC476" s="549" t="s">
        <v>76</v>
      </c>
      <c r="AD476" s="549"/>
      <c r="AE476" s="549"/>
      <c r="AF476" s="549"/>
      <c r="AG476" s="549">
        <v>1182</v>
      </c>
      <c r="AH476" s="584">
        <f>AG476-I476</f>
        <v>0</v>
      </c>
      <c r="AI476" s="549"/>
      <c r="AJ476" s="549"/>
      <c r="AK476" s="568"/>
      <c r="AL476" s="568">
        <f>I476</f>
        <v>1182</v>
      </c>
      <c r="AM476" s="828"/>
      <c r="AN476" s="828"/>
      <c r="AO476" s="828"/>
      <c r="AP476" s="568">
        <f>I476</f>
        <v>1182</v>
      </c>
      <c r="AQ476" s="568"/>
      <c r="AR476" s="568">
        <f>I476</f>
        <v>1182</v>
      </c>
      <c r="AS476" s="828"/>
      <c r="AT476" s="568">
        <f>I476</f>
        <v>1182</v>
      </c>
      <c r="AU476" s="568"/>
      <c r="AV476" s="828"/>
      <c r="AW476" s="828"/>
      <c r="AX476" s="828"/>
      <c r="AY476" s="828"/>
      <c r="AZ476" s="568"/>
      <c r="BA476" s="568"/>
      <c r="BB476" s="828"/>
      <c r="BC476" s="828"/>
      <c r="BD476" s="568"/>
      <c r="BE476" s="568"/>
      <c r="BF476" s="828"/>
      <c r="BG476" s="828"/>
      <c r="BH476" s="828"/>
      <c r="BI476" s="568"/>
      <c r="BJ476" s="428">
        <f>I476</f>
        <v>1182</v>
      </c>
      <c r="BK476" s="828"/>
      <c r="BL476" s="828"/>
      <c r="BM476" s="828"/>
      <c r="CF476" s="578"/>
      <c r="CG476" s="578"/>
      <c r="CH476" s="578"/>
      <c r="CI476" s="578"/>
      <c r="CJ476" s="578"/>
      <c r="CN476" s="578"/>
      <c r="CO476" s="578"/>
      <c r="CP476" s="578"/>
      <c r="CQ476" s="578"/>
      <c r="CR476" s="578"/>
      <c r="CS476" s="578"/>
    </row>
    <row r="477" s="773" customFormat="1" ht="31" hidden="1" customHeight="1" spans="1:97">
      <c r="A477" s="547">
        <v>45881</v>
      </c>
      <c r="B477" s="548" t="s">
        <v>489</v>
      </c>
      <c r="C477" s="539" t="s">
        <v>139</v>
      </c>
      <c r="D477" s="428">
        <v>4500176637</v>
      </c>
      <c r="E477" s="539" t="s">
        <v>1814</v>
      </c>
      <c r="F477" s="428" t="s">
        <v>1836</v>
      </c>
      <c r="G477" s="549" t="s">
        <v>463</v>
      </c>
      <c r="H477" s="539" t="s">
        <v>424</v>
      </c>
      <c r="I477" s="539">
        <v>780</v>
      </c>
      <c r="J477" s="539">
        <v>0</v>
      </c>
      <c r="K477" s="539">
        <v>6</v>
      </c>
      <c r="L477" s="795">
        <f t="shared" si="133"/>
        <v>130</v>
      </c>
      <c r="M477" s="797">
        <v>45946</v>
      </c>
      <c r="N477" s="797">
        <v>45943</v>
      </c>
      <c r="O477" s="556"/>
      <c r="P477" s="556" t="s">
        <v>103</v>
      </c>
      <c r="Q477" s="562"/>
      <c r="R477" s="821" t="s">
        <v>411</v>
      </c>
      <c r="S477" s="562" t="s">
        <v>96</v>
      </c>
      <c r="T477" s="562" t="s">
        <v>1834</v>
      </c>
      <c r="U477" s="564"/>
      <c r="V477" s="564"/>
      <c r="W477" s="566" t="s">
        <v>1835</v>
      </c>
      <c r="X477" s="513" t="s">
        <v>414</v>
      </c>
      <c r="Y477" s="800">
        <v>7.1628</v>
      </c>
      <c r="Z477" s="801">
        <f>Y477*I477</f>
        <v>5586.984</v>
      </c>
      <c r="AA477" s="539"/>
      <c r="AB477" s="549" t="s">
        <v>1742</v>
      </c>
      <c r="AC477" s="549" t="s">
        <v>76</v>
      </c>
      <c r="AD477" s="549"/>
      <c r="AE477" s="549"/>
      <c r="AF477" s="549"/>
      <c r="AG477" s="549">
        <v>780</v>
      </c>
      <c r="AH477" s="584">
        <f>AG477-I477</f>
        <v>0</v>
      </c>
      <c r="AI477" s="549"/>
      <c r="AJ477" s="549"/>
      <c r="AK477" s="568"/>
      <c r="AL477" s="568">
        <f>I477</f>
        <v>780</v>
      </c>
      <c r="AM477" s="828"/>
      <c r="AN477" s="828"/>
      <c r="AO477" s="828"/>
      <c r="AP477" s="568">
        <f>I477</f>
        <v>780</v>
      </c>
      <c r="AQ477" s="568"/>
      <c r="AR477" s="568">
        <f>I477</f>
        <v>780</v>
      </c>
      <c r="AS477" s="828"/>
      <c r="AT477" s="568">
        <f>I477</f>
        <v>780</v>
      </c>
      <c r="AU477" s="568"/>
      <c r="AV477" s="828"/>
      <c r="AW477" s="828"/>
      <c r="AX477" s="828"/>
      <c r="AY477" s="828"/>
      <c r="AZ477" s="568"/>
      <c r="BA477" s="568"/>
      <c r="BB477" s="828"/>
      <c r="BC477" s="828"/>
      <c r="BD477" s="568"/>
      <c r="BE477" s="568"/>
      <c r="BF477" s="828"/>
      <c r="BG477" s="828"/>
      <c r="BH477" s="828"/>
      <c r="BI477" s="568"/>
      <c r="BJ477" s="428">
        <f>I477</f>
        <v>780</v>
      </c>
      <c r="BK477" s="828"/>
      <c r="BL477" s="828"/>
      <c r="BM477" s="828"/>
      <c r="CF477" s="578"/>
      <c r="CG477" s="578"/>
      <c r="CH477" s="578"/>
      <c r="CI477" s="578"/>
      <c r="CJ477" s="578"/>
      <c r="CN477" s="578"/>
      <c r="CO477" s="578"/>
      <c r="CP477" s="578"/>
      <c r="CQ477" s="578"/>
      <c r="CR477" s="578"/>
      <c r="CS477" s="578"/>
    </row>
    <row r="478" s="773" customFormat="1" ht="31" hidden="1" customHeight="1" spans="1:97">
      <c r="A478" s="547">
        <v>45890</v>
      </c>
      <c r="B478" s="548" t="s">
        <v>1837</v>
      </c>
      <c r="C478" s="539" t="s">
        <v>249</v>
      </c>
      <c r="D478" s="428">
        <v>4500177504</v>
      </c>
      <c r="E478" s="539" t="s">
        <v>1838</v>
      </c>
      <c r="F478" s="428" t="s">
        <v>1839</v>
      </c>
      <c r="G478" s="549" t="s">
        <v>463</v>
      </c>
      <c r="H478" s="539" t="s">
        <v>424</v>
      </c>
      <c r="I478" s="539">
        <v>720</v>
      </c>
      <c r="J478" s="539">
        <v>0</v>
      </c>
      <c r="K478" s="539">
        <v>6</v>
      </c>
      <c r="L478" s="795">
        <f t="shared" si="133"/>
        <v>120</v>
      </c>
      <c r="M478" s="797">
        <v>45946</v>
      </c>
      <c r="N478" s="797">
        <v>45943</v>
      </c>
      <c r="O478" s="556"/>
      <c r="P478" s="556" t="s">
        <v>103</v>
      </c>
      <c r="Q478" s="562"/>
      <c r="R478" s="562" t="s">
        <v>1840</v>
      </c>
      <c r="S478" s="562" t="s">
        <v>96</v>
      </c>
      <c r="T478" s="562" t="s">
        <v>1841</v>
      </c>
      <c r="U478" s="564"/>
      <c r="V478" s="564"/>
      <c r="W478" s="564" t="s">
        <v>1842</v>
      </c>
      <c r="X478" s="513" t="s">
        <v>414</v>
      </c>
      <c r="Y478" s="800">
        <v>7.1628</v>
      </c>
      <c r="Z478" s="801">
        <f>Y478*I478</f>
        <v>5157.216</v>
      </c>
      <c r="AA478" s="549"/>
      <c r="AB478" s="568" t="s">
        <v>1843</v>
      </c>
      <c r="AC478" s="539" t="s">
        <v>76</v>
      </c>
      <c r="AD478" s="549"/>
      <c r="AE478" s="549"/>
      <c r="AF478" s="549"/>
      <c r="AG478" s="549">
        <v>720</v>
      </c>
      <c r="AH478" s="584">
        <f>AG478-I478</f>
        <v>0</v>
      </c>
      <c r="AI478" s="549"/>
      <c r="AJ478" s="549"/>
      <c r="AK478" s="568"/>
      <c r="AL478" s="568">
        <f>I478</f>
        <v>720</v>
      </c>
      <c r="AM478" s="828"/>
      <c r="AN478" s="828"/>
      <c r="AO478" s="828"/>
      <c r="AP478" s="568"/>
      <c r="AQ478" s="568">
        <f>I478</f>
        <v>720</v>
      </c>
      <c r="AR478" s="568">
        <f>I478</f>
        <v>720</v>
      </c>
      <c r="AS478" s="828"/>
      <c r="AT478" s="568">
        <f>I478</f>
        <v>720</v>
      </c>
      <c r="AU478" s="568"/>
      <c r="AV478" s="828"/>
      <c r="AW478" s="828"/>
      <c r="AX478" s="828"/>
      <c r="AY478" s="828"/>
      <c r="AZ478" s="568"/>
      <c r="BA478" s="568"/>
      <c r="BB478" s="828"/>
      <c r="BC478" s="828"/>
      <c r="BD478" s="568"/>
      <c r="BE478" s="568"/>
      <c r="BF478" s="828"/>
      <c r="BG478" s="828"/>
      <c r="BH478" s="828"/>
      <c r="BI478" s="568"/>
      <c r="BJ478" s="428">
        <f>I478</f>
        <v>720</v>
      </c>
      <c r="BK478" s="828"/>
      <c r="BL478" s="828"/>
      <c r="BM478" s="828"/>
      <c r="CF478" s="578"/>
      <c r="CG478" s="578"/>
      <c r="CH478" s="578"/>
      <c r="CI478" s="578"/>
      <c r="CJ478" s="578"/>
      <c r="CN478" s="578"/>
      <c r="CO478" s="578"/>
      <c r="CP478" s="578"/>
      <c r="CQ478" s="578"/>
      <c r="CR478" s="578"/>
      <c r="CS478" s="578"/>
    </row>
    <row r="479" s="773" customFormat="1" ht="31" hidden="1" customHeight="1" spans="1:97">
      <c r="A479" s="547">
        <v>45887</v>
      </c>
      <c r="B479" s="548" t="s">
        <v>220</v>
      </c>
      <c r="C479" s="539" t="s">
        <v>90</v>
      </c>
      <c r="D479" s="428">
        <v>4500177143</v>
      </c>
      <c r="E479" s="539" t="s">
        <v>1844</v>
      </c>
      <c r="F479" s="428" t="s">
        <v>1845</v>
      </c>
      <c r="G479" s="549" t="s">
        <v>223</v>
      </c>
      <c r="H479" s="539" t="s">
        <v>224</v>
      </c>
      <c r="I479" s="539">
        <v>43000</v>
      </c>
      <c r="J479" s="539">
        <v>0</v>
      </c>
      <c r="K479" s="539">
        <v>4</v>
      </c>
      <c r="L479" s="795">
        <f t="shared" si="133"/>
        <v>10750</v>
      </c>
      <c r="M479" s="797">
        <v>45947</v>
      </c>
      <c r="N479" s="797">
        <v>45943</v>
      </c>
      <c r="O479" s="556"/>
      <c r="P479" s="556" t="s">
        <v>103</v>
      </c>
      <c r="Q479" s="562"/>
      <c r="R479" s="562">
        <v>45915</v>
      </c>
      <c r="S479" s="562" t="s">
        <v>96</v>
      </c>
      <c r="T479" s="562" t="s">
        <v>1846</v>
      </c>
      <c r="U479" s="564" t="s">
        <v>1847</v>
      </c>
      <c r="V479" s="564"/>
      <c r="W479" s="564" t="s">
        <v>1536</v>
      </c>
      <c r="X479" s="513" t="s">
        <v>226</v>
      </c>
      <c r="Y479" s="800">
        <v>2.7734</v>
      </c>
      <c r="Z479" s="801">
        <f t="shared" ref="Z475:Z512" si="140">Y479*I479</f>
        <v>119256.2</v>
      </c>
      <c r="AA479" s="549" t="s">
        <v>1848</v>
      </c>
      <c r="AB479" s="539" t="s">
        <v>223</v>
      </c>
      <c r="AC479" s="539" t="s">
        <v>76</v>
      </c>
      <c r="AD479" s="549"/>
      <c r="AE479" s="549"/>
      <c r="AF479" s="549"/>
      <c r="AG479" s="549">
        <f>7920+10080+19440+4840+720</f>
        <v>43000</v>
      </c>
      <c r="AH479" s="584">
        <f t="shared" ref="AH475:AH490" si="141">AG479-I479</f>
        <v>0</v>
      </c>
      <c r="AI479" s="549"/>
      <c r="AJ479" s="549"/>
      <c r="AK479" s="568"/>
      <c r="AL479" s="568"/>
      <c r="AM479" s="828"/>
      <c r="AN479" s="568">
        <f>I479</f>
        <v>43000</v>
      </c>
      <c r="AO479" s="828"/>
      <c r="AP479" s="568"/>
      <c r="AQ479" s="568"/>
      <c r="AR479" s="568"/>
      <c r="AS479" s="828"/>
      <c r="AT479" s="568">
        <f t="shared" ref="AT475:AT501" si="142">I479</f>
        <v>43000</v>
      </c>
      <c r="AU479" s="568"/>
      <c r="AV479" s="828"/>
      <c r="AW479" s="828"/>
      <c r="AX479" s="828"/>
      <c r="AY479" s="828"/>
      <c r="AZ479" s="568"/>
      <c r="BA479" s="568"/>
      <c r="BB479" s="568">
        <f>I479</f>
        <v>43000</v>
      </c>
      <c r="BC479" s="568">
        <f>I479</f>
        <v>43000</v>
      </c>
      <c r="BD479" s="568">
        <f>I479/4</f>
        <v>10750</v>
      </c>
      <c r="BE479" s="568"/>
      <c r="BF479" s="828"/>
      <c r="BG479" s="828"/>
      <c r="BH479" s="828"/>
      <c r="BI479" s="828"/>
      <c r="BJ479" s="568"/>
      <c r="BK479" s="828"/>
      <c r="BL479" s="828"/>
      <c r="BM479" s="828"/>
      <c r="CF479" s="578"/>
      <c r="CG479" s="578"/>
      <c r="CH479" s="578"/>
      <c r="CI479" s="578"/>
      <c r="CJ479" s="578"/>
      <c r="CN479" s="578"/>
      <c r="CO479" s="578"/>
      <c r="CP479" s="578"/>
      <c r="CQ479" s="578"/>
      <c r="CR479" s="578"/>
      <c r="CS479" s="578"/>
    </row>
    <row r="480" s="773" customFormat="1" ht="31" hidden="1" customHeight="1" spans="1:97">
      <c r="A480" s="547">
        <v>45890</v>
      </c>
      <c r="B480" s="548" t="s">
        <v>184</v>
      </c>
      <c r="C480" s="539" t="s">
        <v>90</v>
      </c>
      <c r="D480" s="428">
        <v>4500177486</v>
      </c>
      <c r="E480" s="539">
        <v>218056833</v>
      </c>
      <c r="F480" s="428" t="s">
        <v>1849</v>
      </c>
      <c r="G480" s="549" t="s">
        <v>186</v>
      </c>
      <c r="H480" s="539" t="s">
        <v>94</v>
      </c>
      <c r="I480" s="539">
        <v>3252</v>
      </c>
      <c r="J480" s="539">
        <v>0</v>
      </c>
      <c r="K480" s="539">
        <v>4</v>
      </c>
      <c r="L480" s="795">
        <f t="shared" si="133"/>
        <v>813</v>
      </c>
      <c r="M480" s="797">
        <v>45950</v>
      </c>
      <c r="N480" s="797">
        <v>45946</v>
      </c>
      <c r="O480" s="556"/>
      <c r="P480" s="556" t="s">
        <v>103</v>
      </c>
      <c r="Q480" s="562"/>
      <c r="R480" s="562">
        <v>45909</v>
      </c>
      <c r="S480" s="570" t="s">
        <v>66</v>
      </c>
      <c r="T480" s="570" t="s">
        <v>66</v>
      </c>
      <c r="U480" s="564"/>
      <c r="V480" s="564"/>
      <c r="W480" s="564" t="s">
        <v>187</v>
      </c>
      <c r="X480" s="513" t="s">
        <v>1850</v>
      </c>
      <c r="Y480" s="800">
        <v>2.6065</v>
      </c>
      <c r="Z480" s="801">
        <f t="shared" si="140"/>
        <v>8476.338</v>
      </c>
      <c r="AA480" s="549" t="s">
        <v>1851</v>
      </c>
      <c r="AB480" s="539" t="s">
        <v>186</v>
      </c>
      <c r="AC480" s="539" t="s">
        <v>76</v>
      </c>
      <c r="AD480" s="549"/>
      <c r="AE480" s="549"/>
      <c r="AF480" s="549"/>
      <c r="AG480" s="549">
        <v>3252</v>
      </c>
      <c r="AH480" s="584">
        <f t="shared" si="141"/>
        <v>0</v>
      </c>
      <c r="AI480" s="549"/>
      <c r="AJ480" s="549"/>
      <c r="AK480" s="568"/>
      <c r="AL480" s="568">
        <f t="shared" ref="AL480:AL487" si="143">I480</f>
        <v>3252</v>
      </c>
      <c r="AM480" s="828"/>
      <c r="AN480" s="828"/>
      <c r="AO480" s="828"/>
      <c r="AP480" s="568">
        <f>I480</f>
        <v>3252</v>
      </c>
      <c r="AQ480" s="568"/>
      <c r="AR480" s="568">
        <f>I480</f>
        <v>3252</v>
      </c>
      <c r="AS480" s="828"/>
      <c r="AT480" s="568">
        <f t="shared" si="142"/>
        <v>3252</v>
      </c>
      <c r="AU480" s="568"/>
      <c r="AV480" s="828"/>
      <c r="AW480" s="828"/>
      <c r="AX480" s="828"/>
      <c r="AY480" s="828"/>
      <c r="AZ480" s="568"/>
      <c r="BA480" s="568"/>
      <c r="BB480" s="828"/>
      <c r="BC480" s="828"/>
      <c r="BD480" s="568"/>
      <c r="BE480" s="568"/>
      <c r="BF480" s="828"/>
      <c r="BG480" s="828"/>
      <c r="BH480" s="828"/>
      <c r="BI480" s="828"/>
      <c r="BJ480" s="568"/>
      <c r="BK480" s="828"/>
      <c r="BL480" s="828"/>
      <c r="BM480" s="828"/>
      <c r="CF480" s="578"/>
      <c r="CG480" s="578"/>
      <c r="CH480" s="578"/>
      <c r="CI480" s="578"/>
      <c r="CJ480" s="578"/>
      <c r="CN480" s="578"/>
      <c r="CO480" s="578"/>
      <c r="CP480" s="578"/>
      <c r="CQ480" s="578"/>
      <c r="CR480" s="578"/>
      <c r="CS480" s="578"/>
    </row>
    <row r="481" s="773" customFormat="1" ht="31" hidden="1" customHeight="1" spans="1:97">
      <c r="A481" s="547">
        <v>45890</v>
      </c>
      <c r="B481" s="548" t="s">
        <v>184</v>
      </c>
      <c r="C481" s="539" t="s">
        <v>90</v>
      </c>
      <c r="D481" s="428">
        <v>4500177487</v>
      </c>
      <c r="E481" s="539">
        <v>218056858</v>
      </c>
      <c r="F481" s="428" t="s">
        <v>1852</v>
      </c>
      <c r="G481" s="549" t="s">
        <v>186</v>
      </c>
      <c r="H481" s="539" t="s">
        <v>94</v>
      </c>
      <c r="I481" s="539">
        <v>1748</v>
      </c>
      <c r="J481" s="539">
        <v>0</v>
      </c>
      <c r="K481" s="539">
        <v>4</v>
      </c>
      <c r="L481" s="795">
        <f t="shared" si="133"/>
        <v>437</v>
      </c>
      <c r="M481" s="797">
        <v>45950</v>
      </c>
      <c r="N481" s="797">
        <v>45946</v>
      </c>
      <c r="O481" s="556"/>
      <c r="P481" s="556" t="s">
        <v>103</v>
      </c>
      <c r="Q481" s="562"/>
      <c r="R481" s="562">
        <v>45909</v>
      </c>
      <c r="S481" s="570" t="s">
        <v>66</v>
      </c>
      <c r="T481" s="570" t="s">
        <v>66</v>
      </c>
      <c r="U481" s="564"/>
      <c r="V481" s="564"/>
      <c r="W481" s="564" t="s">
        <v>187</v>
      </c>
      <c r="X481" s="513" t="s">
        <v>1850</v>
      </c>
      <c r="Y481" s="800">
        <v>2.6096</v>
      </c>
      <c r="Z481" s="801">
        <f t="shared" si="140"/>
        <v>4561.5808</v>
      </c>
      <c r="AA481" s="549" t="s">
        <v>1853</v>
      </c>
      <c r="AB481" s="539" t="s">
        <v>186</v>
      </c>
      <c r="AC481" s="539" t="s">
        <v>76</v>
      </c>
      <c r="AD481" s="549"/>
      <c r="AE481" s="549"/>
      <c r="AF481" s="549"/>
      <c r="AG481" s="549">
        <v>1748</v>
      </c>
      <c r="AH481" s="584">
        <f t="shared" si="141"/>
        <v>0</v>
      </c>
      <c r="AI481" s="549"/>
      <c r="AJ481" s="549"/>
      <c r="AK481" s="568"/>
      <c r="AL481" s="568">
        <f t="shared" si="143"/>
        <v>1748</v>
      </c>
      <c r="AM481" s="828"/>
      <c r="AN481" s="828"/>
      <c r="AO481" s="828"/>
      <c r="AP481" s="568">
        <f>I481</f>
        <v>1748</v>
      </c>
      <c r="AQ481" s="568"/>
      <c r="AR481" s="568">
        <f>I481</f>
        <v>1748</v>
      </c>
      <c r="AS481" s="828"/>
      <c r="AT481" s="568">
        <f t="shared" si="142"/>
        <v>1748</v>
      </c>
      <c r="AU481" s="568"/>
      <c r="AV481" s="828"/>
      <c r="AW481" s="828"/>
      <c r="AX481" s="828"/>
      <c r="AY481" s="828"/>
      <c r="AZ481" s="568"/>
      <c r="BA481" s="568"/>
      <c r="BB481" s="828"/>
      <c r="BC481" s="828"/>
      <c r="BD481" s="568"/>
      <c r="BE481" s="568"/>
      <c r="BF481" s="828"/>
      <c r="BG481" s="828"/>
      <c r="BH481" s="828"/>
      <c r="BI481" s="828"/>
      <c r="BJ481" s="568"/>
      <c r="BK481" s="828"/>
      <c r="BL481" s="828"/>
      <c r="BM481" s="828"/>
      <c r="CF481" s="578"/>
      <c r="CG481" s="578"/>
      <c r="CH481" s="578"/>
      <c r="CI481" s="578"/>
      <c r="CJ481" s="578"/>
      <c r="CN481" s="578"/>
      <c r="CO481" s="578"/>
      <c r="CP481" s="578"/>
      <c r="CQ481" s="578"/>
      <c r="CR481" s="578"/>
      <c r="CS481" s="578"/>
    </row>
    <row r="482" s="773" customFormat="1" ht="31" hidden="1" customHeight="1" spans="1:97">
      <c r="A482" s="547">
        <v>45896</v>
      </c>
      <c r="B482" s="548" t="s">
        <v>1492</v>
      </c>
      <c r="C482" s="539" t="s">
        <v>249</v>
      </c>
      <c r="D482" s="428">
        <v>4500177886</v>
      </c>
      <c r="E482" s="539">
        <v>4400505159</v>
      </c>
      <c r="F482" s="428" t="s">
        <v>1854</v>
      </c>
      <c r="G482" s="549" t="s">
        <v>148</v>
      </c>
      <c r="H482" s="539" t="s">
        <v>65</v>
      </c>
      <c r="I482" s="539">
        <v>5000</v>
      </c>
      <c r="J482" s="539">
        <v>0</v>
      </c>
      <c r="K482" s="539">
        <v>8</v>
      </c>
      <c r="L482" s="795">
        <f t="shared" si="133"/>
        <v>625</v>
      </c>
      <c r="M482" s="797">
        <v>45950</v>
      </c>
      <c r="N482" s="797">
        <v>45946</v>
      </c>
      <c r="O482" s="556"/>
      <c r="P482" s="556" t="s">
        <v>103</v>
      </c>
      <c r="Q482" s="562"/>
      <c r="R482" s="562">
        <v>45896</v>
      </c>
      <c r="S482" s="562" t="s">
        <v>66</v>
      </c>
      <c r="T482" s="562" t="s">
        <v>1799</v>
      </c>
      <c r="U482" s="564"/>
      <c r="V482" s="564"/>
      <c r="W482" s="564" t="s">
        <v>1855</v>
      </c>
      <c r="X482" s="513" t="s">
        <v>1424</v>
      </c>
      <c r="Y482" s="800">
        <v>4.3508</v>
      </c>
      <c r="Z482" s="801">
        <f t="shared" si="140"/>
        <v>21754</v>
      </c>
      <c r="AA482" s="549"/>
      <c r="AB482" s="568" t="s">
        <v>148</v>
      </c>
      <c r="AC482" s="539" t="s">
        <v>76</v>
      </c>
      <c r="AD482" s="549"/>
      <c r="AE482" s="549"/>
      <c r="AF482" s="549"/>
      <c r="AG482" s="549">
        <v>5000</v>
      </c>
      <c r="AH482" s="584">
        <f t="shared" si="141"/>
        <v>0</v>
      </c>
      <c r="AI482" s="549"/>
      <c r="AJ482" s="549"/>
      <c r="AK482" s="568"/>
      <c r="AL482" s="568">
        <f t="shared" si="143"/>
        <v>5000</v>
      </c>
      <c r="AM482" s="828"/>
      <c r="AN482" s="828"/>
      <c r="AO482" s="828"/>
      <c r="AP482" s="568"/>
      <c r="AQ482" s="568"/>
      <c r="AR482" s="568"/>
      <c r="AS482" s="828"/>
      <c r="AT482" s="568">
        <f t="shared" si="142"/>
        <v>5000</v>
      </c>
      <c r="AU482" s="568"/>
      <c r="AV482" s="828"/>
      <c r="AW482" s="828"/>
      <c r="AX482" s="828"/>
      <c r="AY482" s="828"/>
      <c r="AZ482" s="568">
        <f>I482</f>
        <v>5000</v>
      </c>
      <c r="BA482" s="568">
        <f>I482</f>
        <v>5000</v>
      </c>
      <c r="BB482" s="828"/>
      <c r="BC482" s="828"/>
      <c r="BD482" s="568"/>
      <c r="BE482" s="568">
        <f>I482/4</f>
        <v>1250</v>
      </c>
      <c r="BF482" s="828"/>
      <c r="BG482" s="828"/>
      <c r="BH482" s="828"/>
      <c r="BI482" s="828"/>
      <c r="BJ482" s="568"/>
      <c r="BK482" s="828"/>
      <c r="BL482" s="828"/>
      <c r="BM482" s="828"/>
      <c r="CF482" s="578"/>
      <c r="CG482" s="578"/>
      <c r="CH482" s="578"/>
      <c r="CI482" s="578"/>
      <c r="CJ482" s="578"/>
      <c r="CN482" s="578"/>
      <c r="CO482" s="578"/>
      <c r="CP482" s="578"/>
      <c r="CQ482" s="578"/>
      <c r="CR482" s="578"/>
      <c r="CS482" s="578"/>
    </row>
    <row r="483" s="773" customFormat="1" ht="31" hidden="1" customHeight="1" spans="1:97">
      <c r="A483" s="547">
        <v>45896</v>
      </c>
      <c r="B483" s="548" t="s">
        <v>1492</v>
      </c>
      <c r="C483" s="539" t="s">
        <v>249</v>
      </c>
      <c r="D483" s="428">
        <v>4500177873</v>
      </c>
      <c r="E483" s="539">
        <v>4400505158</v>
      </c>
      <c r="F483" s="428" t="s">
        <v>1856</v>
      </c>
      <c r="G483" s="549" t="s">
        <v>148</v>
      </c>
      <c r="H483" s="539" t="s">
        <v>65</v>
      </c>
      <c r="I483" s="550">
        <v>4504</v>
      </c>
      <c r="J483" s="539">
        <v>0</v>
      </c>
      <c r="K483" s="539">
        <v>8</v>
      </c>
      <c r="L483" s="795">
        <f t="shared" si="133"/>
        <v>563</v>
      </c>
      <c r="M483" s="797">
        <v>45950</v>
      </c>
      <c r="N483" s="797">
        <v>45946</v>
      </c>
      <c r="O483" s="556"/>
      <c r="P483" s="556" t="s">
        <v>103</v>
      </c>
      <c r="Q483" s="562"/>
      <c r="R483" s="562">
        <v>45896</v>
      </c>
      <c r="S483" s="562" t="s">
        <v>66</v>
      </c>
      <c r="T483" s="562" t="s">
        <v>1799</v>
      </c>
      <c r="U483" s="564"/>
      <c r="V483" s="564"/>
      <c r="W483" s="566" t="s">
        <v>1855</v>
      </c>
      <c r="X483" s="513" t="s">
        <v>1424</v>
      </c>
      <c r="Y483" s="800">
        <v>4.2661</v>
      </c>
      <c r="Z483" s="801">
        <f t="shared" si="140"/>
        <v>19214.5144</v>
      </c>
      <c r="AA483" s="549" t="s">
        <v>1857</v>
      </c>
      <c r="AB483" s="568" t="s">
        <v>148</v>
      </c>
      <c r="AC483" s="539" t="s">
        <v>76</v>
      </c>
      <c r="AD483" s="549"/>
      <c r="AE483" s="549"/>
      <c r="AF483" s="549"/>
      <c r="AG483" s="549">
        <f>4176+328</f>
        <v>4504</v>
      </c>
      <c r="AH483" s="584">
        <f t="shared" si="141"/>
        <v>0</v>
      </c>
      <c r="AI483" s="549"/>
      <c r="AJ483" s="549"/>
      <c r="AK483" s="568"/>
      <c r="AL483" s="568">
        <f t="shared" si="143"/>
        <v>4504</v>
      </c>
      <c r="AM483" s="828"/>
      <c r="AN483" s="828"/>
      <c r="AO483" s="828"/>
      <c r="AP483" s="568"/>
      <c r="AQ483" s="568"/>
      <c r="AR483" s="568"/>
      <c r="AS483" s="828"/>
      <c r="AT483" s="568">
        <f t="shared" si="142"/>
        <v>4504</v>
      </c>
      <c r="AU483" s="568"/>
      <c r="AV483" s="828"/>
      <c r="AW483" s="828"/>
      <c r="AX483" s="828"/>
      <c r="AY483" s="828"/>
      <c r="AZ483" s="568">
        <f>I483</f>
        <v>4504</v>
      </c>
      <c r="BA483" s="568">
        <f>I483</f>
        <v>4504</v>
      </c>
      <c r="BB483" s="828"/>
      <c r="BC483" s="828"/>
      <c r="BD483" s="568"/>
      <c r="BE483" s="568">
        <f>I483/4</f>
        <v>1126</v>
      </c>
      <c r="BF483" s="828"/>
      <c r="BG483" s="828"/>
      <c r="BH483" s="828"/>
      <c r="BI483" s="828"/>
      <c r="BJ483" s="568"/>
      <c r="BK483" s="828"/>
      <c r="BL483" s="828"/>
      <c r="BM483" s="828"/>
      <c r="CF483" s="578"/>
      <c r="CG483" s="578"/>
      <c r="CH483" s="578"/>
      <c r="CI483" s="578"/>
      <c r="CJ483" s="578"/>
      <c r="CN483" s="578"/>
      <c r="CO483" s="578"/>
      <c r="CP483" s="578"/>
      <c r="CQ483" s="578"/>
      <c r="CR483" s="578"/>
      <c r="CS483" s="578"/>
    </row>
    <row r="484" s="773" customFormat="1" ht="31" hidden="1" customHeight="1" spans="1:97">
      <c r="A484" s="547">
        <v>45897</v>
      </c>
      <c r="B484" s="548" t="s">
        <v>128</v>
      </c>
      <c r="C484" s="539" t="s">
        <v>90</v>
      </c>
      <c r="D484" s="428">
        <v>4500178140</v>
      </c>
      <c r="E484" s="887" t="s">
        <v>1858</v>
      </c>
      <c r="F484" s="428" t="s">
        <v>1859</v>
      </c>
      <c r="G484" s="549" t="s">
        <v>93</v>
      </c>
      <c r="H484" s="539" t="s">
        <v>94</v>
      </c>
      <c r="I484" s="539">
        <v>6812</v>
      </c>
      <c r="J484" s="539">
        <v>0</v>
      </c>
      <c r="K484" s="539">
        <v>4</v>
      </c>
      <c r="L484" s="795">
        <f t="shared" si="133"/>
        <v>1703</v>
      </c>
      <c r="M484" s="797">
        <v>45950</v>
      </c>
      <c r="N484" s="797">
        <v>45946</v>
      </c>
      <c r="O484" s="565">
        <v>45950</v>
      </c>
      <c r="P484" s="556" t="s">
        <v>103</v>
      </c>
      <c r="Q484" s="539" t="s">
        <v>1694</v>
      </c>
      <c r="R484" s="570" t="s">
        <v>132</v>
      </c>
      <c r="S484" s="570" t="s">
        <v>66</v>
      </c>
      <c r="T484" s="570">
        <v>45908</v>
      </c>
      <c r="U484" s="570" t="s">
        <v>133</v>
      </c>
      <c r="V484" s="564"/>
      <c r="W484" s="564" t="s">
        <v>1333</v>
      </c>
      <c r="X484" s="513" t="s">
        <v>98</v>
      </c>
      <c r="Y484" s="800">
        <v>2.5656</v>
      </c>
      <c r="Z484" s="801">
        <f t="shared" si="140"/>
        <v>17476.8672</v>
      </c>
      <c r="AA484" s="549" t="s">
        <v>1860</v>
      </c>
      <c r="AB484" s="539" t="s">
        <v>93</v>
      </c>
      <c r="AC484" s="539" t="s">
        <v>76</v>
      </c>
      <c r="AD484" s="549"/>
      <c r="AE484" s="549"/>
      <c r="AF484" s="549"/>
      <c r="AG484" s="549">
        <v>6812</v>
      </c>
      <c r="AH484" s="584">
        <f t="shared" si="141"/>
        <v>0</v>
      </c>
      <c r="AI484" s="549"/>
      <c r="AJ484" s="549"/>
      <c r="AK484" s="568"/>
      <c r="AL484" s="568">
        <f t="shared" si="143"/>
        <v>6812</v>
      </c>
      <c r="AM484" s="828"/>
      <c r="AN484" s="828"/>
      <c r="AO484" s="828"/>
      <c r="AP484" s="568">
        <f>I484</f>
        <v>6812</v>
      </c>
      <c r="AQ484" s="568"/>
      <c r="AR484" s="568">
        <f>I484</f>
        <v>6812</v>
      </c>
      <c r="AS484" s="828"/>
      <c r="AT484" s="568">
        <f t="shared" si="142"/>
        <v>6812</v>
      </c>
      <c r="AU484" s="568"/>
      <c r="AV484" s="828"/>
      <c r="AW484" s="828"/>
      <c r="AX484" s="828"/>
      <c r="AY484" s="828"/>
      <c r="AZ484" s="568"/>
      <c r="BA484" s="568"/>
      <c r="BB484" s="828"/>
      <c r="BC484" s="828"/>
      <c r="BD484" s="568">
        <f>I484/4</f>
        <v>1703</v>
      </c>
      <c r="BE484" s="568"/>
      <c r="BF484" s="828"/>
      <c r="BG484" s="828"/>
      <c r="BH484" s="828"/>
      <c r="BI484" s="828"/>
      <c r="BJ484" s="568"/>
      <c r="BK484" s="828"/>
      <c r="BL484" s="828"/>
      <c r="BM484" s="828"/>
      <c r="CF484" s="578"/>
      <c r="CG484" s="578"/>
      <c r="CH484" s="578"/>
      <c r="CI484" s="578"/>
      <c r="CJ484" s="578"/>
      <c r="CN484" s="578"/>
      <c r="CO484" s="578"/>
      <c r="CP484" s="578"/>
      <c r="CQ484" s="578"/>
      <c r="CR484" s="578"/>
      <c r="CS484" s="578"/>
    </row>
    <row r="485" s="773" customFormat="1" ht="31" hidden="1" customHeight="1" spans="1:97">
      <c r="A485" s="547">
        <v>45898</v>
      </c>
      <c r="B485" s="548" t="s">
        <v>1861</v>
      </c>
      <c r="C485" s="539" t="s">
        <v>749</v>
      </c>
      <c r="D485" s="428">
        <v>4500178326</v>
      </c>
      <c r="E485" s="539">
        <v>7196179861</v>
      </c>
      <c r="F485" s="428" t="s">
        <v>1862</v>
      </c>
      <c r="G485" s="549" t="s">
        <v>64</v>
      </c>
      <c r="H485" s="539" t="s">
        <v>65</v>
      </c>
      <c r="I485" s="539">
        <v>5244</v>
      </c>
      <c r="J485" s="539">
        <v>0</v>
      </c>
      <c r="K485" s="539">
        <v>12</v>
      </c>
      <c r="L485" s="795">
        <f t="shared" si="133"/>
        <v>437</v>
      </c>
      <c r="M485" s="797">
        <v>45950</v>
      </c>
      <c r="N485" s="797">
        <v>45946</v>
      </c>
      <c r="O485" s="556"/>
      <c r="P485" s="556" t="s">
        <v>103</v>
      </c>
      <c r="Q485" s="562"/>
      <c r="R485" s="570">
        <v>45909</v>
      </c>
      <c r="S485" s="570" t="s">
        <v>66</v>
      </c>
      <c r="T485" s="570" t="s">
        <v>1863</v>
      </c>
      <c r="U485" s="570"/>
      <c r="V485" s="564" t="s">
        <v>1864</v>
      </c>
      <c r="W485" s="566" t="s">
        <v>1865</v>
      </c>
      <c r="X485" s="513" t="s">
        <v>347</v>
      </c>
      <c r="Y485" s="800">
        <v>4.1403</v>
      </c>
      <c r="Z485" s="801">
        <f t="shared" si="140"/>
        <v>21711.7332</v>
      </c>
      <c r="AA485" s="549"/>
      <c r="AB485" s="539" t="s">
        <v>165</v>
      </c>
      <c r="AC485" s="539" t="s">
        <v>76</v>
      </c>
      <c r="AD485" s="549"/>
      <c r="AE485" s="549"/>
      <c r="AF485" s="549"/>
      <c r="AG485" s="549">
        <f>5004+240</f>
        <v>5244</v>
      </c>
      <c r="AH485" s="584">
        <f t="shared" si="141"/>
        <v>0</v>
      </c>
      <c r="AI485" s="549"/>
      <c r="AJ485" s="549"/>
      <c r="AK485" s="568"/>
      <c r="AL485" s="568">
        <f t="shared" si="143"/>
        <v>5244</v>
      </c>
      <c r="AM485" s="828"/>
      <c r="AN485" s="828"/>
      <c r="AO485" s="828"/>
      <c r="AP485" s="568"/>
      <c r="AQ485" s="568">
        <f>I485</f>
        <v>5244</v>
      </c>
      <c r="AR485" s="568">
        <f>I485</f>
        <v>5244</v>
      </c>
      <c r="AS485" s="828"/>
      <c r="AT485" s="568">
        <f t="shared" si="142"/>
        <v>5244</v>
      </c>
      <c r="AU485" s="568"/>
      <c r="AV485" s="828"/>
      <c r="AW485" s="828"/>
      <c r="AX485" s="828"/>
      <c r="AY485" s="828"/>
      <c r="AZ485" s="568"/>
      <c r="BA485" s="568"/>
      <c r="BB485" s="828"/>
      <c r="BC485" s="828"/>
      <c r="BD485" s="568"/>
      <c r="BE485" s="568"/>
      <c r="BF485" s="828"/>
      <c r="BG485" s="828"/>
      <c r="BH485" s="828"/>
      <c r="BI485" s="828"/>
      <c r="BJ485" s="568"/>
      <c r="BK485" s="828"/>
      <c r="BL485" s="828"/>
      <c r="BM485" s="828"/>
      <c r="CF485" s="578"/>
      <c r="CG485" s="578"/>
      <c r="CH485" s="578"/>
      <c r="CI485" s="578"/>
      <c r="CJ485" s="578"/>
      <c r="CN485" s="578"/>
      <c r="CO485" s="578"/>
      <c r="CP485" s="578"/>
      <c r="CQ485" s="578"/>
      <c r="CR485" s="578"/>
      <c r="CS485" s="578"/>
    </row>
    <row r="486" s="773" customFormat="1" ht="31" hidden="1" customHeight="1" spans="1:97">
      <c r="A486" s="547">
        <v>45902</v>
      </c>
      <c r="B486" s="548" t="s">
        <v>783</v>
      </c>
      <c r="C486" s="539" t="s">
        <v>90</v>
      </c>
      <c r="D486" s="428">
        <v>4500178510</v>
      </c>
      <c r="E486" s="539" t="s">
        <v>1866</v>
      </c>
      <c r="F486" s="428" t="s">
        <v>1867</v>
      </c>
      <c r="G486" s="549" t="s">
        <v>93</v>
      </c>
      <c r="H486" s="539" t="s">
        <v>94</v>
      </c>
      <c r="I486" s="539">
        <v>4000</v>
      </c>
      <c r="J486" s="539">
        <v>0</v>
      </c>
      <c r="K486" s="539">
        <v>4</v>
      </c>
      <c r="L486" s="795">
        <f t="shared" si="133"/>
        <v>1000</v>
      </c>
      <c r="M486" s="797">
        <v>45950</v>
      </c>
      <c r="N486" s="797">
        <v>45946</v>
      </c>
      <c r="O486" s="556"/>
      <c r="P486" s="556" t="s">
        <v>103</v>
      </c>
      <c r="Q486" s="562"/>
      <c r="R486" s="562">
        <v>45902</v>
      </c>
      <c r="S486" s="562" t="s">
        <v>66</v>
      </c>
      <c r="T486" s="570" t="s">
        <v>66</v>
      </c>
      <c r="U486" s="564"/>
      <c r="V486" s="564"/>
      <c r="W486" s="564" t="s">
        <v>315</v>
      </c>
      <c r="X486" s="513" t="s">
        <v>316</v>
      </c>
      <c r="Y486" s="800">
        <v>2.5768</v>
      </c>
      <c r="Z486" s="801">
        <f t="shared" si="140"/>
        <v>10307.2</v>
      </c>
      <c r="AA486" s="549" t="s">
        <v>1868</v>
      </c>
      <c r="AB486" s="539" t="s">
        <v>93</v>
      </c>
      <c r="AC486" s="539" t="s">
        <v>76</v>
      </c>
      <c r="AD486" s="549"/>
      <c r="AE486" s="549"/>
      <c r="AF486" s="549"/>
      <c r="AG486" s="549">
        <f>3980+20</f>
        <v>4000</v>
      </c>
      <c r="AH486" s="584">
        <f t="shared" si="141"/>
        <v>0</v>
      </c>
      <c r="AI486" s="549"/>
      <c r="AJ486" s="549"/>
      <c r="AK486" s="568"/>
      <c r="AL486" s="568">
        <f t="shared" si="143"/>
        <v>4000</v>
      </c>
      <c r="AM486" s="828"/>
      <c r="AN486" s="828"/>
      <c r="AO486" s="828"/>
      <c r="AP486" s="568">
        <f>I486</f>
        <v>4000</v>
      </c>
      <c r="AQ486" s="568"/>
      <c r="AR486" s="568">
        <f>I486</f>
        <v>4000</v>
      </c>
      <c r="AS486" s="828"/>
      <c r="AT486" s="568">
        <f t="shared" si="142"/>
        <v>4000</v>
      </c>
      <c r="AU486" s="568"/>
      <c r="AV486" s="828"/>
      <c r="AW486" s="828"/>
      <c r="AX486" s="828"/>
      <c r="AY486" s="828"/>
      <c r="AZ486" s="568"/>
      <c r="BA486" s="568"/>
      <c r="BB486" s="828"/>
      <c r="BC486" s="828"/>
      <c r="BD486" s="568">
        <f>I486/4</f>
        <v>1000</v>
      </c>
      <c r="BE486" s="568"/>
      <c r="BF486" s="828"/>
      <c r="BG486" s="828"/>
      <c r="BH486" s="828"/>
      <c r="BI486" s="828"/>
      <c r="BJ486" s="568"/>
      <c r="BK486" s="828"/>
      <c r="BL486" s="828"/>
      <c r="BM486" s="828"/>
      <c r="CF486" s="578"/>
      <c r="CG486" s="578"/>
      <c r="CH486" s="578"/>
      <c r="CI486" s="578"/>
      <c r="CJ486" s="578"/>
      <c r="CN486" s="578"/>
      <c r="CO486" s="578"/>
      <c r="CP486" s="578"/>
      <c r="CQ486" s="578"/>
      <c r="CR486" s="578"/>
      <c r="CS486" s="578"/>
    </row>
    <row r="487" s="773" customFormat="1" ht="31" hidden="1" customHeight="1" spans="1:97">
      <c r="A487" s="547">
        <v>45887</v>
      </c>
      <c r="B487" s="548" t="s">
        <v>220</v>
      </c>
      <c r="C487" s="539" t="s">
        <v>90</v>
      </c>
      <c r="D487" s="428">
        <v>4500177144</v>
      </c>
      <c r="E487" s="539" t="s">
        <v>1869</v>
      </c>
      <c r="F487" s="428" t="s">
        <v>1870</v>
      </c>
      <c r="G487" s="549" t="s">
        <v>223</v>
      </c>
      <c r="H487" s="539" t="s">
        <v>224</v>
      </c>
      <c r="I487" s="539">
        <v>17000</v>
      </c>
      <c r="J487" s="539">
        <v>0</v>
      </c>
      <c r="K487" s="539">
        <v>4</v>
      </c>
      <c r="L487" s="795">
        <f t="shared" si="133"/>
        <v>4250</v>
      </c>
      <c r="M487" s="797">
        <v>45954</v>
      </c>
      <c r="N487" s="797">
        <v>45950</v>
      </c>
      <c r="O487" s="556"/>
      <c r="P487" s="556" t="s">
        <v>103</v>
      </c>
      <c r="Q487" s="562"/>
      <c r="R487" s="562">
        <v>45915</v>
      </c>
      <c r="S487" s="562" t="s">
        <v>96</v>
      </c>
      <c r="T487" s="562" t="s">
        <v>1846</v>
      </c>
      <c r="U487" s="564" t="s">
        <v>1847</v>
      </c>
      <c r="V487" s="564"/>
      <c r="W487" s="566" t="s">
        <v>1871</v>
      </c>
      <c r="X487" s="513" t="s">
        <v>226</v>
      </c>
      <c r="Y487" s="800">
        <v>2.7832</v>
      </c>
      <c r="Z487" s="801">
        <f t="shared" si="140"/>
        <v>47314.4</v>
      </c>
      <c r="AA487" s="549" t="s">
        <v>1872</v>
      </c>
      <c r="AB487" s="539" t="s">
        <v>223</v>
      </c>
      <c r="AC487" s="539" t="s">
        <v>76</v>
      </c>
      <c r="AD487" s="549"/>
      <c r="AE487" s="549"/>
      <c r="AF487" s="549"/>
      <c r="AG487" s="549">
        <f>8740+8260</f>
        <v>17000</v>
      </c>
      <c r="AH487" s="584">
        <f t="shared" si="141"/>
        <v>0</v>
      </c>
      <c r="AI487" s="549"/>
      <c r="AJ487" s="549"/>
      <c r="AK487" s="568"/>
      <c r="AL487" s="568"/>
      <c r="AM487" s="828"/>
      <c r="AN487" s="568">
        <f>I487</f>
        <v>17000</v>
      </c>
      <c r="AO487" s="828"/>
      <c r="AP487" s="568"/>
      <c r="AQ487" s="568"/>
      <c r="AR487" s="568"/>
      <c r="AS487" s="828"/>
      <c r="AT487" s="568">
        <f t="shared" si="142"/>
        <v>17000</v>
      </c>
      <c r="AU487" s="568"/>
      <c r="AV487" s="828"/>
      <c r="AW487" s="828"/>
      <c r="AX487" s="828"/>
      <c r="AY487" s="828"/>
      <c r="AZ487" s="568"/>
      <c r="BA487" s="568"/>
      <c r="BB487" s="568">
        <f>I487</f>
        <v>17000</v>
      </c>
      <c r="BC487" s="568">
        <f>I487</f>
        <v>17000</v>
      </c>
      <c r="BD487" s="568">
        <f>I487/4</f>
        <v>4250</v>
      </c>
      <c r="BE487" s="568"/>
      <c r="BF487" s="828"/>
      <c r="BG487" s="828"/>
      <c r="BH487" s="828"/>
      <c r="BI487" s="828"/>
      <c r="BJ487" s="568"/>
      <c r="BK487" s="828"/>
      <c r="BL487" s="828"/>
      <c r="BM487" s="828"/>
      <c r="CF487" s="578"/>
      <c r="CG487" s="578"/>
      <c r="CH487" s="578"/>
      <c r="CI487" s="578"/>
      <c r="CJ487" s="578"/>
      <c r="CN487" s="578"/>
      <c r="CO487" s="578"/>
      <c r="CP487" s="578"/>
      <c r="CQ487" s="578"/>
      <c r="CR487" s="578"/>
      <c r="CS487" s="578"/>
    </row>
    <row r="488" s="773" customFormat="1" ht="31" hidden="1" customHeight="1" spans="1:97">
      <c r="A488" s="547">
        <v>45908</v>
      </c>
      <c r="B488" s="548" t="s">
        <v>202</v>
      </c>
      <c r="C488" s="539" t="s">
        <v>203</v>
      </c>
      <c r="D488" s="428">
        <v>4500179037</v>
      </c>
      <c r="E488" s="539" t="s">
        <v>1873</v>
      </c>
      <c r="F488" s="428" t="s">
        <v>1874</v>
      </c>
      <c r="G488" s="549" t="s">
        <v>64</v>
      </c>
      <c r="H488" s="539" t="s">
        <v>65</v>
      </c>
      <c r="I488" s="539">
        <v>1200</v>
      </c>
      <c r="J488" s="539">
        <v>0</v>
      </c>
      <c r="K488" s="539">
        <v>12</v>
      </c>
      <c r="L488" s="795">
        <f t="shared" si="133"/>
        <v>100</v>
      </c>
      <c r="M488" s="797">
        <v>45955</v>
      </c>
      <c r="N488" s="797">
        <v>45951</v>
      </c>
      <c r="O488" s="556"/>
      <c r="P488" s="556" t="s">
        <v>103</v>
      </c>
      <c r="Q488" s="562"/>
      <c r="R488" s="562">
        <v>45908</v>
      </c>
      <c r="S488" s="570" t="s">
        <v>66</v>
      </c>
      <c r="T488" s="562" t="s">
        <v>1875</v>
      </c>
      <c r="U488" s="564"/>
      <c r="V488" s="564"/>
      <c r="W488" s="564" t="s">
        <v>1876</v>
      </c>
      <c r="X488" s="513" t="s">
        <v>207</v>
      </c>
      <c r="Y488" s="800">
        <v>4.1403</v>
      </c>
      <c r="Z488" s="801">
        <f t="shared" si="140"/>
        <v>4968.36</v>
      </c>
      <c r="AA488" s="549"/>
      <c r="AB488" s="549" t="s">
        <v>64</v>
      </c>
      <c r="AC488" s="539" t="s">
        <v>76</v>
      </c>
      <c r="AD488" s="549"/>
      <c r="AE488" s="549"/>
      <c r="AF488" s="549"/>
      <c r="AG488" s="549">
        <v>1200</v>
      </c>
      <c r="AH488" s="584">
        <f t="shared" ref="AH488:AH505" si="144">AG488-I488</f>
        <v>0</v>
      </c>
      <c r="AI488" s="549"/>
      <c r="AJ488" s="549"/>
      <c r="AK488" s="568"/>
      <c r="AL488" s="568">
        <f>I488</f>
        <v>1200</v>
      </c>
      <c r="AM488" s="828"/>
      <c r="AN488" s="828"/>
      <c r="AO488" s="828"/>
      <c r="AP488" s="568">
        <f>I488</f>
        <v>1200</v>
      </c>
      <c r="AQ488" s="568"/>
      <c r="AR488" s="568">
        <f t="shared" ref="AR488:AR502" si="145">I488</f>
        <v>1200</v>
      </c>
      <c r="AS488" s="828"/>
      <c r="AT488" s="568">
        <f t="shared" si="142"/>
        <v>1200</v>
      </c>
      <c r="AU488" s="568"/>
      <c r="AV488" s="428"/>
      <c r="AW488" s="828"/>
      <c r="AX488" s="828"/>
      <c r="AY488" s="828"/>
      <c r="AZ488" s="568"/>
      <c r="BA488" s="568"/>
      <c r="BB488" s="568"/>
      <c r="BC488" s="568"/>
      <c r="BD488" s="568"/>
      <c r="BE488" s="568"/>
      <c r="BF488" s="828"/>
      <c r="BG488" s="828"/>
      <c r="BH488" s="828"/>
      <c r="BI488" s="828"/>
      <c r="BJ488" s="568"/>
      <c r="BK488" s="828"/>
      <c r="BL488" s="828"/>
      <c r="BM488" s="828"/>
      <c r="CF488" s="578"/>
      <c r="CG488" s="578"/>
      <c r="CH488" s="578"/>
      <c r="CI488" s="578"/>
      <c r="CJ488" s="578"/>
      <c r="CN488" s="578"/>
      <c r="CO488" s="578"/>
      <c r="CP488" s="578"/>
      <c r="CQ488" s="578"/>
      <c r="CR488" s="578"/>
      <c r="CS488" s="578"/>
    </row>
    <row r="489" s="773" customFormat="1" ht="31" hidden="1" customHeight="1" spans="1:97">
      <c r="A489" s="547">
        <v>45902</v>
      </c>
      <c r="B489" s="548" t="s">
        <v>1877</v>
      </c>
      <c r="C489" s="539" t="s">
        <v>356</v>
      </c>
      <c r="D489" s="428">
        <v>4500178401</v>
      </c>
      <c r="E489" s="539">
        <v>5200007619</v>
      </c>
      <c r="F489" s="428" t="s">
        <v>1878</v>
      </c>
      <c r="G489" s="549" t="s">
        <v>344</v>
      </c>
      <c r="H489" s="539" t="s">
        <v>65</v>
      </c>
      <c r="I489" s="550">
        <v>2000</v>
      </c>
      <c r="J489" s="539">
        <v>0</v>
      </c>
      <c r="K489" s="539">
        <v>4</v>
      </c>
      <c r="L489" s="795">
        <f t="shared" si="133"/>
        <v>500</v>
      </c>
      <c r="M489" s="797">
        <v>45957</v>
      </c>
      <c r="N489" s="797">
        <v>45953</v>
      </c>
      <c r="O489" s="556"/>
      <c r="P489" s="556" t="s">
        <v>103</v>
      </c>
      <c r="Q489" s="562"/>
      <c r="R489" s="570">
        <v>45924</v>
      </c>
      <c r="S489" s="570" t="s">
        <v>66</v>
      </c>
      <c r="T489" s="562" t="s">
        <v>1879</v>
      </c>
      <c r="U489" s="564"/>
      <c r="V489" s="564"/>
      <c r="W489" s="564" t="s">
        <v>1880</v>
      </c>
      <c r="X489" s="513" t="s">
        <v>391</v>
      </c>
      <c r="Y489" s="800">
        <v>4.1739</v>
      </c>
      <c r="Z489" s="801">
        <f t="shared" si="140"/>
        <v>8347.8</v>
      </c>
      <c r="AA489" s="549"/>
      <c r="AB489" s="539" t="s">
        <v>559</v>
      </c>
      <c r="AC489" s="539" t="s">
        <v>76</v>
      </c>
      <c r="AD489" s="549"/>
      <c r="AE489" s="549"/>
      <c r="AF489" s="549"/>
      <c r="AG489" s="549">
        <v>2000</v>
      </c>
      <c r="AH489" s="584">
        <f t="shared" si="144"/>
        <v>0</v>
      </c>
      <c r="AI489" s="549"/>
      <c r="AJ489" s="549"/>
      <c r="AK489" s="568"/>
      <c r="AL489" s="568">
        <f t="shared" ref="AL488:AL548" si="146">I489</f>
        <v>2000</v>
      </c>
      <c r="AM489" s="828"/>
      <c r="AN489" s="828"/>
      <c r="AO489" s="828"/>
      <c r="AP489" s="568"/>
      <c r="AQ489" s="568">
        <f>I489</f>
        <v>2000</v>
      </c>
      <c r="AR489" s="568">
        <f t="shared" si="145"/>
        <v>2000</v>
      </c>
      <c r="AS489" s="828"/>
      <c r="AT489" s="568">
        <f t="shared" si="142"/>
        <v>2000</v>
      </c>
      <c r="AU489" s="568"/>
      <c r="AV489" s="428"/>
      <c r="AW489" s="828"/>
      <c r="AX489" s="828"/>
      <c r="AY489" s="828"/>
      <c r="AZ489" s="568"/>
      <c r="BA489" s="568"/>
      <c r="BB489" s="568"/>
      <c r="BC489" s="568"/>
      <c r="BD489" s="568"/>
      <c r="BE489" s="568"/>
      <c r="BF489" s="828"/>
      <c r="BG489" s="828"/>
      <c r="BH489" s="828"/>
      <c r="BI489" s="828"/>
      <c r="BJ489" s="568"/>
      <c r="BK489" s="828"/>
      <c r="BL489" s="828"/>
      <c r="BM489" s="828"/>
      <c r="CF489" s="578"/>
      <c r="CG489" s="578"/>
      <c r="CH489" s="578"/>
      <c r="CI489" s="578"/>
      <c r="CJ489" s="578"/>
      <c r="CN489" s="578"/>
      <c r="CO489" s="578"/>
      <c r="CP489" s="578"/>
      <c r="CQ489" s="578"/>
      <c r="CR489" s="578"/>
      <c r="CS489" s="578"/>
    </row>
    <row r="490" s="773" customFormat="1" ht="31" hidden="1" customHeight="1" spans="1:97">
      <c r="A490" s="547">
        <v>45902</v>
      </c>
      <c r="B490" s="548" t="s">
        <v>1877</v>
      </c>
      <c r="C490" s="539" t="s">
        <v>356</v>
      </c>
      <c r="D490" s="428">
        <v>4500178401</v>
      </c>
      <c r="E490" s="539">
        <v>5200007619</v>
      </c>
      <c r="F490" s="428" t="s">
        <v>1881</v>
      </c>
      <c r="G490" s="549" t="s">
        <v>423</v>
      </c>
      <c r="H490" s="539" t="s">
        <v>424</v>
      </c>
      <c r="I490" s="539">
        <v>1500</v>
      </c>
      <c r="J490" s="539">
        <v>0</v>
      </c>
      <c r="K490" s="539">
        <v>6</v>
      </c>
      <c r="L490" s="795">
        <f t="shared" si="133"/>
        <v>250</v>
      </c>
      <c r="M490" s="797">
        <v>45957</v>
      </c>
      <c r="N490" s="797">
        <v>45953</v>
      </c>
      <c r="O490" s="556"/>
      <c r="P490" s="556" t="s">
        <v>103</v>
      </c>
      <c r="Q490" s="562"/>
      <c r="R490" s="570">
        <v>45924</v>
      </c>
      <c r="S490" s="570" t="s">
        <v>66</v>
      </c>
      <c r="T490" s="562" t="s">
        <v>1879</v>
      </c>
      <c r="U490" s="564"/>
      <c r="V490" s="564"/>
      <c r="W490" s="564" t="s">
        <v>1882</v>
      </c>
      <c r="X490" s="513" t="s">
        <v>391</v>
      </c>
      <c r="Y490" s="800">
        <v>6.8326</v>
      </c>
      <c r="Z490" s="801">
        <f t="shared" si="140"/>
        <v>10248.9</v>
      </c>
      <c r="AA490" s="549"/>
      <c r="AB490" s="509" t="s">
        <v>427</v>
      </c>
      <c r="AC490" s="539" t="s">
        <v>76</v>
      </c>
      <c r="AD490" s="549"/>
      <c r="AE490" s="549"/>
      <c r="AF490" s="549"/>
      <c r="AG490" s="549">
        <v>1500</v>
      </c>
      <c r="AH490" s="584">
        <f t="shared" si="144"/>
        <v>0</v>
      </c>
      <c r="AI490" s="549"/>
      <c r="AJ490" s="549"/>
      <c r="AK490" s="568"/>
      <c r="AL490" s="568">
        <f t="shared" si="146"/>
        <v>1500</v>
      </c>
      <c r="AM490" s="828"/>
      <c r="AN490" s="828"/>
      <c r="AO490" s="828"/>
      <c r="AP490" s="568"/>
      <c r="AQ490" s="568">
        <f>I490</f>
        <v>1500</v>
      </c>
      <c r="AR490" s="568">
        <f t="shared" si="145"/>
        <v>1500</v>
      </c>
      <c r="AS490" s="828"/>
      <c r="AT490" s="568">
        <f t="shared" si="142"/>
        <v>1500</v>
      </c>
      <c r="AU490" s="568"/>
      <c r="AV490" s="428"/>
      <c r="AW490" s="828"/>
      <c r="AX490" s="828"/>
      <c r="AY490" s="828"/>
      <c r="AZ490" s="568"/>
      <c r="BA490" s="568"/>
      <c r="BB490" s="568"/>
      <c r="BC490" s="568"/>
      <c r="BD490" s="568"/>
      <c r="BE490" s="568"/>
      <c r="BF490" s="828"/>
      <c r="BG490" s="828"/>
      <c r="BH490" s="828"/>
      <c r="BI490" s="568"/>
      <c r="BJ490" s="568">
        <f>I490</f>
        <v>1500</v>
      </c>
      <c r="BK490" s="828"/>
      <c r="BL490" s="828"/>
      <c r="BM490" s="828"/>
      <c r="CF490" s="578"/>
      <c r="CG490" s="578"/>
      <c r="CH490" s="578"/>
      <c r="CI490" s="578"/>
      <c r="CJ490" s="578"/>
      <c r="CN490" s="578"/>
      <c r="CO490" s="578"/>
      <c r="CP490" s="578"/>
      <c r="CQ490" s="578"/>
      <c r="CR490" s="578"/>
      <c r="CS490" s="578"/>
    </row>
    <row r="491" s="773" customFormat="1" ht="31" hidden="1" customHeight="1" spans="1:97">
      <c r="A491" s="547">
        <v>45910</v>
      </c>
      <c r="B491" s="548" t="s">
        <v>398</v>
      </c>
      <c r="C491" s="539" t="s">
        <v>356</v>
      </c>
      <c r="D491" s="428">
        <v>4500179231</v>
      </c>
      <c r="E491" s="539"/>
      <c r="F491" s="428" t="s">
        <v>1883</v>
      </c>
      <c r="G491" s="549" t="s">
        <v>118</v>
      </c>
      <c r="H491" s="539" t="s">
        <v>119</v>
      </c>
      <c r="I491" s="539">
        <v>1002</v>
      </c>
      <c r="J491" s="539">
        <v>0</v>
      </c>
      <c r="K491" s="539">
        <v>6</v>
      </c>
      <c r="L491" s="795">
        <f t="shared" si="133"/>
        <v>167</v>
      </c>
      <c r="M491" s="797">
        <v>45957</v>
      </c>
      <c r="N491" s="797">
        <v>45953</v>
      </c>
      <c r="O491" s="556"/>
      <c r="P491" s="556" t="s">
        <v>103</v>
      </c>
      <c r="Q491" s="562"/>
      <c r="R491" s="562">
        <v>45915</v>
      </c>
      <c r="S491" s="570" t="s">
        <v>66</v>
      </c>
      <c r="T491" s="570" t="s">
        <v>406</v>
      </c>
      <c r="U491" s="564"/>
      <c r="V491" s="564"/>
      <c r="W491" s="564" t="s">
        <v>1884</v>
      </c>
      <c r="X491" s="513" t="s">
        <v>395</v>
      </c>
      <c r="Y491" s="800">
        <v>4.1576</v>
      </c>
      <c r="Z491" s="801">
        <f t="shared" si="140"/>
        <v>4165.9152</v>
      </c>
      <c r="AA491" s="549"/>
      <c r="AB491" s="539" t="s">
        <v>402</v>
      </c>
      <c r="AC491" s="539" t="s">
        <v>76</v>
      </c>
      <c r="AD491" s="549"/>
      <c r="AE491" s="549"/>
      <c r="AF491" s="549"/>
      <c r="AG491" s="549">
        <v>1002</v>
      </c>
      <c r="AH491" s="584">
        <f t="shared" si="144"/>
        <v>0</v>
      </c>
      <c r="AI491" s="549"/>
      <c r="AJ491" s="549"/>
      <c r="AK491" s="568"/>
      <c r="AL491" s="568">
        <f t="shared" si="146"/>
        <v>1002</v>
      </c>
      <c r="AM491" s="828"/>
      <c r="AN491" s="828"/>
      <c r="AO491" s="828"/>
      <c r="AP491" s="568"/>
      <c r="AQ491" s="568">
        <f>I491</f>
        <v>1002</v>
      </c>
      <c r="AR491" s="568">
        <f t="shared" si="145"/>
        <v>1002</v>
      </c>
      <c r="AS491" s="828"/>
      <c r="AT491" s="568">
        <f t="shared" si="142"/>
        <v>1002</v>
      </c>
      <c r="AU491" s="577"/>
      <c r="AV491" s="582"/>
      <c r="AW491" s="582"/>
      <c r="AX491" s="582"/>
      <c r="AY491" s="582"/>
      <c r="AZ491" s="582"/>
      <c r="BA491" s="568"/>
      <c r="BB491" s="828"/>
      <c r="BC491" s="828"/>
      <c r="BD491" s="568"/>
      <c r="BE491" s="568"/>
      <c r="BF491" s="828"/>
      <c r="BG491" s="828"/>
      <c r="BH491" s="828"/>
      <c r="BI491" s="828"/>
      <c r="BJ491" s="568"/>
      <c r="BK491" s="828"/>
      <c r="BL491" s="828"/>
      <c r="BM491" s="828"/>
      <c r="CF491" s="578"/>
      <c r="CG491" s="578"/>
      <c r="CH491" s="578"/>
      <c r="CI491" s="578"/>
      <c r="CJ491" s="578"/>
      <c r="CN491" s="578"/>
      <c r="CO491" s="578"/>
      <c r="CP491" s="578"/>
      <c r="CQ491" s="578"/>
      <c r="CR491" s="578"/>
      <c r="CS491" s="578"/>
    </row>
    <row r="492" s="773" customFormat="1" ht="31" hidden="1" customHeight="1" spans="1:97">
      <c r="A492" s="547">
        <v>45898</v>
      </c>
      <c r="B492" s="548" t="s">
        <v>275</v>
      </c>
      <c r="C492" s="539" t="s">
        <v>90</v>
      </c>
      <c r="D492" s="428">
        <v>4500178273</v>
      </c>
      <c r="E492" s="887" t="s">
        <v>1885</v>
      </c>
      <c r="F492" s="428" t="s">
        <v>1886</v>
      </c>
      <c r="G492" s="549" t="s">
        <v>64</v>
      </c>
      <c r="H492" s="539" t="s">
        <v>65</v>
      </c>
      <c r="I492" s="539">
        <v>6000</v>
      </c>
      <c r="J492" s="539">
        <v>0</v>
      </c>
      <c r="K492" s="539">
        <v>12</v>
      </c>
      <c r="L492" s="795">
        <f t="shared" si="133"/>
        <v>500</v>
      </c>
      <c r="M492" s="797">
        <v>45958</v>
      </c>
      <c r="N492" s="797">
        <f>M492-4</f>
        <v>45954</v>
      </c>
      <c r="O492" s="556"/>
      <c r="P492" s="556" t="s">
        <v>103</v>
      </c>
      <c r="Q492" s="549" t="s">
        <v>1887</v>
      </c>
      <c r="R492" s="562">
        <v>45901</v>
      </c>
      <c r="S492" s="570" t="s">
        <v>66</v>
      </c>
      <c r="T492" s="562" t="s">
        <v>66</v>
      </c>
      <c r="U492" s="564"/>
      <c r="V492" s="564"/>
      <c r="W492" s="564" t="s">
        <v>1888</v>
      </c>
      <c r="X492" s="513" t="s">
        <v>794</v>
      </c>
      <c r="Y492" s="800">
        <v>2.4842</v>
      </c>
      <c r="Z492" s="801">
        <f t="shared" si="140"/>
        <v>14905.2</v>
      </c>
      <c r="AA492" s="549" t="s">
        <v>1889</v>
      </c>
      <c r="AB492" s="568" t="s">
        <v>64</v>
      </c>
      <c r="AC492" s="539" t="s">
        <v>76</v>
      </c>
      <c r="AD492" s="549"/>
      <c r="AE492" s="549"/>
      <c r="AF492" s="549"/>
      <c r="AG492" s="549">
        <v>6000</v>
      </c>
      <c r="AH492" s="584">
        <f t="shared" si="144"/>
        <v>0</v>
      </c>
      <c r="AI492" s="549"/>
      <c r="AJ492" s="549"/>
      <c r="AK492" s="568"/>
      <c r="AL492" s="568">
        <f t="shared" si="146"/>
        <v>6000</v>
      </c>
      <c r="AM492" s="828"/>
      <c r="AN492" s="828"/>
      <c r="AO492" s="828"/>
      <c r="AP492" s="568">
        <f>I492</f>
        <v>6000</v>
      </c>
      <c r="AQ492" s="568"/>
      <c r="AR492" s="568">
        <f t="shared" si="145"/>
        <v>6000</v>
      </c>
      <c r="AS492" s="828"/>
      <c r="AT492" s="568">
        <f t="shared" si="142"/>
        <v>6000</v>
      </c>
      <c r="AU492" s="568"/>
      <c r="AV492" s="432"/>
      <c r="AW492" s="432"/>
      <c r="AX492" s="432"/>
      <c r="AY492" s="432"/>
      <c r="AZ492" s="432"/>
      <c r="BA492" s="568"/>
      <c r="BB492" s="568"/>
      <c r="BC492" s="568"/>
      <c r="BD492" s="568"/>
      <c r="BE492" s="568"/>
      <c r="BF492" s="828"/>
      <c r="BG492" s="828"/>
      <c r="BH492" s="828"/>
      <c r="BI492" s="828"/>
      <c r="BJ492" s="568"/>
      <c r="BK492" s="828"/>
      <c r="BL492" s="828"/>
      <c r="BM492" s="828"/>
      <c r="CF492" s="578"/>
      <c r="CG492" s="578"/>
      <c r="CH492" s="578"/>
      <c r="CI492" s="578"/>
      <c r="CJ492" s="578"/>
      <c r="CN492" s="578"/>
      <c r="CO492" s="578"/>
      <c r="CP492" s="578"/>
      <c r="CQ492" s="578"/>
      <c r="CR492" s="578"/>
      <c r="CS492" s="578"/>
    </row>
    <row r="493" s="773" customFormat="1" ht="31" hidden="1" customHeight="1" spans="1:97">
      <c r="A493" s="547">
        <v>45897</v>
      </c>
      <c r="B493" s="548" t="s">
        <v>128</v>
      </c>
      <c r="C493" s="539" t="s">
        <v>90</v>
      </c>
      <c r="D493" s="428">
        <v>4500178142</v>
      </c>
      <c r="E493" s="887" t="s">
        <v>1890</v>
      </c>
      <c r="F493" s="428" t="s">
        <v>1891</v>
      </c>
      <c r="G493" s="549" t="s">
        <v>93</v>
      </c>
      <c r="H493" s="539" t="s">
        <v>94</v>
      </c>
      <c r="I493" s="539">
        <v>13052</v>
      </c>
      <c r="J493" s="539">
        <v>0</v>
      </c>
      <c r="K493" s="539">
        <v>4</v>
      </c>
      <c r="L493" s="795">
        <f t="shared" si="133"/>
        <v>3263</v>
      </c>
      <c r="M493" s="797">
        <v>45960</v>
      </c>
      <c r="N493" s="797">
        <v>45957</v>
      </c>
      <c r="O493" s="565">
        <v>45960</v>
      </c>
      <c r="P493" s="556" t="s">
        <v>103</v>
      </c>
      <c r="Q493" s="539" t="s">
        <v>1694</v>
      </c>
      <c r="R493" s="570" t="s">
        <v>132</v>
      </c>
      <c r="S493" s="570" t="s">
        <v>66</v>
      </c>
      <c r="T493" s="570">
        <v>45908</v>
      </c>
      <c r="U493" s="570" t="s">
        <v>133</v>
      </c>
      <c r="V493" s="564"/>
      <c r="W493" s="564" t="s">
        <v>1333</v>
      </c>
      <c r="X493" s="513" t="s">
        <v>98</v>
      </c>
      <c r="Y493" s="800">
        <v>2.6435</v>
      </c>
      <c r="Z493" s="801">
        <f t="shared" si="140"/>
        <v>34502.962</v>
      </c>
      <c r="AA493" s="549" t="s">
        <v>1892</v>
      </c>
      <c r="AB493" s="539" t="s">
        <v>93</v>
      </c>
      <c r="AC493" s="539" t="s">
        <v>76</v>
      </c>
      <c r="AD493" s="549"/>
      <c r="AE493" s="549"/>
      <c r="AF493" s="549"/>
      <c r="AG493" s="549">
        <f>8012+5040</f>
        <v>13052</v>
      </c>
      <c r="AH493" s="549">
        <f t="shared" si="144"/>
        <v>0</v>
      </c>
      <c r="AI493" s="549"/>
      <c r="AJ493" s="549"/>
      <c r="AK493" s="568"/>
      <c r="AL493" s="568">
        <f t="shared" si="146"/>
        <v>13052</v>
      </c>
      <c r="AM493" s="828"/>
      <c r="AN493" s="828"/>
      <c r="AO493" s="828"/>
      <c r="AP493" s="568">
        <f t="shared" ref="AP493:AP498" si="147">I493</f>
        <v>13052</v>
      </c>
      <c r="AQ493" s="568"/>
      <c r="AR493" s="568">
        <f t="shared" si="145"/>
        <v>13052</v>
      </c>
      <c r="AS493" s="828"/>
      <c r="AT493" s="568">
        <f t="shared" si="142"/>
        <v>13052</v>
      </c>
      <c r="AU493" s="568"/>
      <c r="AV493" s="432"/>
      <c r="AW493" s="432"/>
      <c r="AX493" s="432"/>
      <c r="AY493" s="432"/>
      <c r="AZ493" s="432"/>
      <c r="BA493" s="568"/>
      <c r="BB493" s="568"/>
      <c r="BC493" s="568"/>
      <c r="BD493" s="568">
        <f t="shared" ref="BD493:BD498" si="148">I493/4</f>
        <v>3263</v>
      </c>
      <c r="BE493" s="568"/>
      <c r="BF493" s="828"/>
      <c r="BG493" s="828"/>
      <c r="BH493" s="828"/>
      <c r="BI493" s="828"/>
      <c r="BJ493" s="568"/>
      <c r="BK493" s="828"/>
      <c r="BL493" s="828"/>
      <c r="BM493" s="828"/>
      <c r="CF493" s="578"/>
      <c r="CG493" s="578"/>
      <c r="CH493" s="578"/>
      <c r="CI493" s="578"/>
      <c r="CJ493" s="578"/>
      <c r="CN493" s="578"/>
      <c r="CO493" s="578"/>
      <c r="CP493" s="578"/>
      <c r="CQ493" s="578"/>
      <c r="CR493" s="578"/>
      <c r="CS493" s="578"/>
    </row>
    <row r="494" s="773" customFormat="1" ht="31" hidden="1" customHeight="1" spans="1:97">
      <c r="A494" s="547">
        <v>45897</v>
      </c>
      <c r="B494" s="548" t="s">
        <v>128</v>
      </c>
      <c r="C494" s="539" t="s">
        <v>90</v>
      </c>
      <c r="D494" s="428">
        <v>4500178142</v>
      </c>
      <c r="E494" s="887" t="s">
        <v>1893</v>
      </c>
      <c r="F494" s="428" t="s">
        <v>1894</v>
      </c>
      <c r="G494" s="549" t="s">
        <v>93</v>
      </c>
      <c r="H494" s="539" t="s">
        <v>94</v>
      </c>
      <c r="I494" s="539">
        <v>10192</v>
      </c>
      <c r="J494" s="539">
        <v>0</v>
      </c>
      <c r="K494" s="539">
        <v>4</v>
      </c>
      <c r="L494" s="795">
        <f t="shared" si="133"/>
        <v>2548</v>
      </c>
      <c r="M494" s="797">
        <v>45960</v>
      </c>
      <c r="N494" s="797">
        <v>45957</v>
      </c>
      <c r="O494" s="565">
        <v>45960</v>
      </c>
      <c r="P494" s="556" t="s">
        <v>103</v>
      </c>
      <c r="Q494" s="539" t="s">
        <v>1694</v>
      </c>
      <c r="R494" s="570" t="s">
        <v>132</v>
      </c>
      <c r="S494" s="570" t="s">
        <v>66</v>
      </c>
      <c r="T494" s="570">
        <v>45908</v>
      </c>
      <c r="U494" s="570" t="s">
        <v>133</v>
      </c>
      <c r="V494" s="564"/>
      <c r="W494" s="564" t="s">
        <v>1333</v>
      </c>
      <c r="X494" s="513" t="s">
        <v>98</v>
      </c>
      <c r="Y494" s="800">
        <v>2.6435</v>
      </c>
      <c r="Z494" s="801">
        <f t="shared" si="140"/>
        <v>26942.552</v>
      </c>
      <c r="AA494" s="549" t="s">
        <v>1895</v>
      </c>
      <c r="AB494" s="539" t="s">
        <v>93</v>
      </c>
      <c r="AC494" s="539" t="s">
        <v>76</v>
      </c>
      <c r="AD494" s="549"/>
      <c r="AE494" s="549"/>
      <c r="AF494" s="549"/>
      <c r="AG494" s="549">
        <v>10192</v>
      </c>
      <c r="AH494" s="549">
        <f t="shared" si="144"/>
        <v>0</v>
      </c>
      <c r="AI494" s="549"/>
      <c r="AJ494" s="549"/>
      <c r="AK494" s="568"/>
      <c r="AL494" s="568">
        <f t="shared" si="146"/>
        <v>10192</v>
      </c>
      <c r="AM494" s="828"/>
      <c r="AN494" s="828"/>
      <c r="AO494" s="828"/>
      <c r="AP494" s="568">
        <f t="shared" si="147"/>
        <v>10192</v>
      </c>
      <c r="AQ494" s="568"/>
      <c r="AR494" s="568">
        <f t="shared" si="145"/>
        <v>10192</v>
      </c>
      <c r="AS494" s="828"/>
      <c r="AT494" s="568">
        <f t="shared" si="142"/>
        <v>10192</v>
      </c>
      <c r="AU494" s="568"/>
      <c r="AV494" s="432"/>
      <c r="AW494" s="432"/>
      <c r="AX494" s="432"/>
      <c r="AY494" s="432"/>
      <c r="AZ494" s="432"/>
      <c r="BA494" s="568"/>
      <c r="BB494" s="568"/>
      <c r="BC494" s="568"/>
      <c r="BD494" s="568">
        <f t="shared" si="148"/>
        <v>2548</v>
      </c>
      <c r="BE494" s="568"/>
      <c r="BF494" s="828"/>
      <c r="BG494" s="828"/>
      <c r="BH494" s="828"/>
      <c r="BI494" s="828"/>
      <c r="BJ494" s="568"/>
      <c r="BK494" s="828"/>
      <c r="BL494" s="828"/>
      <c r="BM494" s="828"/>
      <c r="CF494" s="578"/>
      <c r="CG494" s="578"/>
      <c r="CH494" s="578"/>
      <c r="CI494" s="578"/>
      <c r="CJ494" s="578"/>
      <c r="CN494" s="578"/>
      <c r="CO494" s="578"/>
      <c r="CP494" s="578"/>
      <c r="CQ494" s="578"/>
      <c r="CR494" s="578"/>
      <c r="CS494" s="578"/>
    </row>
    <row r="495" s="773" customFormat="1" ht="31" hidden="1" customHeight="1" spans="1:97">
      <c r="A495" s="547">
        <v>45912</v>
      </c>
      <c r="B495" s="548" t="s">
        <v>128</v>
      </c>
      <c r="C495" s="539" t="s">
        <v>90</v>
      </c>
      <c r="D495" s="428">
        <v>4500179418</v>
      </c>
      <c r="E495" s="887" t="s">
        <v>1896</v>
      </c>
      <c r="F495" s="428" t="s">
        <v>1897</v>
      </c>
      <c r="G495" s="549" t="s">
        <v>93</v>
      </c>
      <c r="H495" s="539" t="s">
        <v>94</v>
      </c>
      <c r="I495" s="539">
        <v>3840</v>
      </c>
      <c r="J495" s="539">
        <v>0</v>
      </c>
      <c r="K495" s="539">
        <v>4</v>
      </c>
      <c r="L495" s="795">
        <f t="shared" si="133"/>
        <v>960</v>
      </c>
      <c r="M495" s="797">
        <v>45960</v>
      </c>
      <c r="N495" s="797">
        <v>45957</v>
      </c>
      <c r="O495" s="565">
        <v>45960</v>
      </c>
      <c r="P495" s="556" t="s">
        <v>103</v>
      </c>
      <c r="Q495" s="539"/>
      <c r="R495" s="570" t="s">
        <v>132</v>
      </c>
      <c r="S495" s="570" t="s">
        <v>66</v>
      </c>
      <c r="T495" s="570">
        <v>45926</v>
      </c>
      <c r="U495" s="570" t="s">
        <v>133</v>
      </c>
      <c r="V495" s="564"/>
      <c r="W495" s="564" t="s">
        <v>1281</v>
      </c>
      <c r="X495" s="513" t="s">
        <v>98</v>
      </c>
      <c r="Y495" s="800">
        <v>2.5768</v>
      </c>
      <c r="Z495" s="801">
        <f t="shared" si="140"/>
        <v>9894.912</v>
      </c>
      <c r="AA495" s="549" t="s">
        <v>1898</v>
      </c>
      <c r="AB495" s="539" t="s">
        <v>93</v>
      </c>
      <c r="AC495" s="539" t="s">
        <v>76</v>
      </c>
      <c r="AD495" s="549"/>
      <c r="AE495" s="549"/>
      <c r="AF495" s="549"/>
      <c r="AG495" s="549">
        <v>3840</v>
      </c>
      <c r="AH495" s="549">
        <f t="shared" si="144"/>
        <v>0</v>
      </c>
      <c r="AI495" s="549"/>
      <c r="AJ495" s="549"/>
      <c r="AK495" s="568"/>
      <c r="AL495" s="568">
        <f t="shared" si="146"/>
        <v>3840</v>
      </c>
      <c r="AM495" s="828"/>
      <c r="AN495" s="828"/>
      <c r="AO495" s="828"/>
      <c r="AP495" s="568">
        <f t="shared" si="147"/>
        <v>3840</v>
      </c>
      <c r="AQ495" s="568"/>
      <c r="AR495" s="568">
        <f t="shared" si="145"/>
        <v>3840</v>
      </c>
      <c r="AS495" s="828"/>
      <c r="AT495" s="568">
        <f t="shared" si="142"/>
        <v>3840</v>
      </c>
      <c r="AU495" s="568"/>
      <c r="AV495" s="582"/>
      <c r="AW495" s="582"/>
      <c r="AX495" s="582"/>
      <c r="AY495" s="582"/>
      <c r="AZ495" s="582"/>
      <c r="BA495" s="568"/>
      <c r="BB495" s="568"/>
      <c r="BC495" s="568"/>
      <c r="BD495" s="568">
        <f t="shared" si="148"/>
        <v>960</v>
      </c>
      <c r="BE495" s="568"/>
      <c r="BF495" s="828"/>
      <c r="BG495" s="828"/>
      <c r="BH495" s="828"/>
      <c r="BI495" s="828"/>
      <c r="BJ495" s="568"/>
      <c r="BK495" s="828"/>
      <c r="BL495" s="828"/>
      <c r="BM495" s="828"/>
      <c r="CF495" s="578"/>
      <c r="CG495" s="578"/>
      <c r="CH495" s="578"/>
      <c r="CI495" s="578"/>
      <c r="CJ495" s="578"/>
      <c r="CN495" s="578"/>
      <c r="CO495" s="578"/>
      <c r="CP495" s="578"/>
      <c r="CQ495" s="578"/>
      <c r="CR495" s="578"/>
      <c r="CS495" s="578"/>
    </row>
    <row r="496" s="773" customFormat="1" ht="31" hidden="1" customHeight="1" spans="1:97">
      <c r="A496" s="547">
        <v>45912</v>
      </c>
      <c r="B496" s="548" t="s">
        <v>128</v>
      </c>
      <c r="C496" s="539" t="s">
        <v>90</v>
      </c>
      <c r="D496" s="428">
        <v>4500179418</v>
      </c>
      <c r="E496" s="887" t="s">
        <v>1899</v>
      </c>
      <c r="F496" s="428" t="s">
        <v>1900</v>
      </c>
      <c r="G496" s="549" t="s">
        <v>93</v>
      </c>
      <c r="H496" s="539" t="s">
        <v>94</v>
      </c>
      <c r="I496" s="539">
        <v>3200</v>
      </c>
      <c r="J496" s="539">
        <v>0</v>
      </c>
      <c r="K496" s="539">
        <v>4</v>
      </c>
      <c r="L496" s="795">
        <f t="shared" si="133"/>
        <v>800</v>
      </c>
      <c r="M496" s="797">
        <v>45960</v>
      </c>
      <c r="N496" s="797">
        <v>45957</v>
      </c>
      <c r="O496" s="565">
        <v>45960</v>
      </c>
      <c r="P496" s="556" t="s">
        <v>103</v>
      </c>
      <c r="Q496" s="539" t="s">
        <v>1694</v>
      </c>
      <c r="R496" s="570" t="s">
        <v>132</v>
      </c>
      <c r="S496" s="570" t="s">
        <v>66</v>
      </c>
      <c r="T496" s="570">
        <v>45926</v>
      </c>
      <c r="U496" s="570" t="s">
        <v>133</v>
      </c>
      <c r="V496" s="564"/>
      <c r="W496" s="564" t="s">
        <v>1281</v>
      </c>
      <c r="X496" s="513" t="s">
        <v>98</v>
      </c>
      <c r="Y496" s="800">
        <v>2.5768</v>
      </c>
      <c r="Z496" s="801">
        <f t="shared" si="140"/>
        <v>8245.76</v>
      </c>
      <c r="AA496" s="549" t="s">
        <v>1901</v>
      </c>
      <c r="AB496" s="539" t="s">
        <v>93</v>
      </c>
      <c r="AC496" s="539" t="s">
        <v>76</v>
      </c>
      <c r="AD496" s="549"/>
      <c r="AE496" s="549"/>
      <c r="AF496" s="549"/>
      <c r="AG496" s="549">
        <v>3200</v>
      </c>
      <c r="AH496" s="549">
        <f t="shared" si="144"/>
        <v>0</v>
      </c>
      <c r="AI496" s="549"/>
      <c r="AJ496" s="549"/>
      <c r="AK496" s="568"/>
      <c r="AL496" s="568">
        <f t="shared" si="146"/>
        <v>3200</v>
      </c>
      <c r="AM496" s="828"/>
      <c r="AN496" s="828"/>
      <c r="AO496" s="828"/>
      <c r="AP496" s="568">
        <f t="shared" si="147"/>
        <v>3200</v>
      </c>
      <c r="AQ496" s="568"/>
      <c r="AR496" s="568">
        <f t="shared" si="145"/>
        <v>3200</v>
      </c>
      <c r="AS496" s="828"/>
      <c r="AT496" s="568">
        <f t="shared" si="142"/>
        <v>3200</v>
      </c>
      <c r="AU496" s="568"/>
      <c r="AV496" s="432"/>
      <c r="AW496" s="432"/>
      <c r="AX496" s="432"/>
      <c r="AY496" s="432"/>
      <c r="AZ496" s="432"/>
      <c r="BA496" s="568"/>
      <c r="BB496" s="568"/>
      <c r="BC496" s="568"/>
      <c r="BD496" s="568">
        <f t="shared" si="148"/>
        <v>800</v>
      </c>
      <c r="BE496" s="568"/>
      <c r="BF496" s="828"/>
      <c r="BG496" s="828"/>
      <c r="BH496" s="828"/>
      <c r="BI496" s="828"/>
      <c r="BJ496" s="568"/>
      <c r="BK496" s="828"/>
      <c r="BL496" s="828"/>
      <c r="BM496" s="828"/>
      <c r="CF496" s="578"/>
      <c r="CG496" s="578"/>
      <c r="CH496" s="578"/>
      <c r="CI496" s="578"/>
      <c r="CJ496" s="578"/>
      <c r="CN496" s="578"/>
      <c r="CO496" s="578"/>
      <c r="CP496" s="578"/>
      <c r="CQ496" s="578"/>
      <c r="CR496" s="578"/>
      <c r="CS496" s="578"/>
    </row>
    <row r="497" s="773" customFormat="1" ht="31" hidden="1" customHeight="1" spans="1:97">
      <c r="A497" s="547">
        <v>45912</v>
      </c>
      <c r="B497" s="548" t="s">
        <v>128</v>
      </c>
      <c r="C497" s="539" t="s">
        <v>90</v>
      </c>
      <c r="D497" s="428">
        <v>4500179418</v>
      </c>
      <c r="E497" s="887" t="s">
        <v>1902</v>
      </c>
      <c r="F497" s="428" t="s">
        <v>1903</v>
      </c>
      <c r="G497" s="549" t="s">
        <v>93</v>
      </c>
      <c r="H497" s="539" t="s">
        <v>94</v>
      </c>
      <c r="I497" s="539">
        <v>3520</v>
      </c>
      <c r="J497" s="539">
        <v>0</v>
      </c>
      <c r="K497" s="539">
        <v>4</v>
      </c>
      <c r="L497" s="795">
        <f t="shared" si="133"/>
        <v>880</v>
      </c>
      <c r="M497" s="797">
        <v>45960</v>
      </c>
      <c r="N497" s="797">
        <v>45957</v>
      </c>
      <c r="O497" s="565">
        <v>45960</v>
      </c>
      <c r="P497" s="556" t="s">
        <v>103</v>
      </c>
      <c r="Q497" s="539"/>
      <c r="R497" s="570" t="s">
        <v>132</v>
      </c>
      <c r="S497" s="570" t="s">
        <v>66</v>
      </c>
      <c r="T497" s="570">
        <v>45926</v>
      </c>
      <c r="U497" s="570" t="s">
        <v>133</v>
      </c>
      <c r="V497" s="564"/>
      <c r="W497" s="564" t="s">
        <v>1281</v>
      </c>
      <c r="X497" s="513" t="s">
        <v>98</v>
      </c>
      <c r="Y497" s="800">
        <v>2.5768</v>
      </c>
      <c r="Z497" s="801">
        <f t="shared" si="140"/>
        <v>9070.336</v>
      </c>
      <c r="AA497" s="549" t="s">
        <v>1904</v>
      </c>
      <c r="AB497" s="539" t="s">
        <v>93</v>
      </c>
      <c r="AC497" s="539" t="s">
        <v>76</v>
      </c>
      <c r="AD497" s="549"/>
      <c r="AE497" s="549"/>
      <c r="AF497" s="549"/>
      <c r="AG497" s="549">
        <v>3520</v>
      </c>
      <c r="AH497" s="549">
        <f t="shared" si="144"/>
        <v>0</v>
      </c>
      <c r="AI497" s="549"/>
      <c r="AJ497" s="549"/>
      <c r="AK497" s="568"/>
      <c r="AL497" s="568">
        <f t="shared" si="146"/>
        <v>3520</v>
      </c>
      <c r="AM497" s="828"/>
      <c r="AN497" s="828"/>
      <c r="AO497" s="828"/>
      <c r="AP497" s="568">
        <f t="shared" si="147"/>
        <v>3520</v>
      </c>
      <c r="AQ497" s="568"/>
      <c r="AR497" s="568">
        <f t="shared" si="145"/>
        <v>3520</v>
      </c>
      <c r="AS497" s="828"/>
      <c r="AT497" s="568">
        <f t="shared" si="142"/>
        <v>3520</v>
      </c>
      <c r="AU497" s="568"/>
      <c r="AV497" s="432"/>
      <c r="AW497" s="432"/>
      <c r="AX497" s="432"/>
      <c r="AY497" s="432"/>
      <c r="AZ497" s="432"/>
      <c r="BA497" s="568"/>
      <c r="BB497" s="568"/>
      <c r="BC497" s="568"/>
      <c r="BD497" s="568">
        <f t="shared" si="148"/>
        <v>880</v>
      </c>
      <c r="BE497" s="568"/>
      <c r="BF497" s="828"/>
      <c r="BG497" s="828"/>
      <c r="BH497" s="828"/>
      <c r="BI497" s="828"/>
      <c r="BJ497" s="568"/>
      <c r="BK497" s="828"/>
      <c r="BL497" s="828"/>
      <c r="BM497" s="828"/>
      <c r="CF497" s="578"/>
      <c r="CG497" s="578"/>
      <c r="CH497" s="578"/>
      <c r="CI497" s="578"/>
      <c r="CJ497" s="578"/>
      <c r="CN497" s="578"/>
      <c r="CO497" s="578"/>
      <c r="CP497" s="578"/>
      <c r="CQ497" s="578"/>
      <c r="CR497" s="578"/>
      <c r="CS497" s="578"/>
    </row>
    <row r="498" s="773" customFormat="1" ht="31" hidden="1" customHeight="1" spans="1:97">
      <c r="A498" s="547">
        <v>45912</v>
      </c>
      <c r="B498" s="548" t="s">
        <v>128</v>
      </c>
      <c r="C498" s="539" t="s">
        <v>90</v>
      </c>
      <c r="D498" s="428">
        <v>4500179418</v>
      </c>
      <c r="E498" s="887" t="s">
        <v>1905</v>
      </c>
      <c r="F498" s="428" t="s">
        <v>1906</v>
      </c>
      <c r="G498" s="549" t="s">
        <v>93</v>
      </c>
      <c r="H498" s="539" t="s">
        <v>94</v>
      </c>
      <c r="I498" s="539">
        <v>2560</v>
      </c>
      <c r="J498" s="539">
        <v>0</v>
      </c>
      <c r="K498" s="539">
        <v>4</v>
      </c>
      <c r="L498" s="795">
        <f t="shared" si="133"/>
        <v>640</v>
      </c>
      <c r="M498" s="797">
        <v>45960</v>
      </c>
      <c r="N498" s="797">
        <v>45957</v>
      </c>
      <c r="O498" s="565">
        <v>45960</v>
      </c>
      <c r="P498" s="556" t="s">
        <v>103</v>
      </c>
      <c r="Q498" s="539"/>
      <c r="R498" s="570" t="s">
        <v>132</v>
      </c>
      <c r="S498" s="570" t="s">
        <v>66</v>
      </c>
      <c r="T498" s="570">
        <v>45926</v>
      </c>
      <c r="U498" s="570" t="s">
        <v>133</v>
      </c>
      <c r="V498" s="564"/>
      <c r="W498" s="564" t="s">
        <v>1281</v>
      </c>
      <c r="X498" s="513" t="s">
        <v>98</v>
      </c>
      <c r="Y498" s="800">
        <v>2.58</v>
      </c>
      <c r="Z498" s="801">
        <f t="shared" si="140"/>
        <v>6604.8</v>
      </c>
      <c r="AA498" s="549" t="s">
        <v>1907</v>
      </c>
      <c r="AB498" s="539" t="s">
        <v>93</v>
      </c>
      <c r="AC498" s="539" t="s">
        <v>76</v>
      </c>
      <c r="AD498" s="549"/>
      <c r="AE498" s="549"/>
      <c r="AF498" s="549"/>
      <c r="AG498" s="549">
        <v>2560</v>
      </c>
      <c r="AH498" s="549">
        <f t="shared" si="144"/>
        <v>0</v>
      </c>
      <c r="AI498" s="549"/>
      <c r="AJ498" s="549"/>
      <c r="AK498" s="568"/>
      <c r="AL498" s="568">
        <f t="shared" si="146"/>
        <v>2560</v>
      </c>
      <c r="AM498" s="828"/>
      <c r="AN498" s="828"/>
      <c r="AO498" s="828"/>
      <c r="AP498" s="568">
        <f t="shared" si="147"/>
        <v>2560</v>
      </c>
      <c r="AQ498" s="568"/>
      <c r="AR498" s="568">
        <f t="shared" si="145"/>
        <v>2560</v>
      </c>
      <c r="AS498" s="828"/>
      <c r="AT498" s="568">
        <f t="shared" si="142"/>
        <v>2560</v>
      </c>
      <c r="AU498" s="568"/>
      <c r="AV498" s="432"/>
      <c r="AW498" s="432"/>
      <c r="AX498" s="432"/>
      <c r="AY498" s="432"/>
      <c r="AZ498" s="432"/>
      <c r="BA498" s="568"/>
      <c r="BB498" s="568"/>
      <c r="BC498" s="568"/>
      <c r="BD498" s="568">
        <f t="shared" si="148"/>
        <v>640</v>
      </c>
      <c r="BE498" s="568"/>
      <c r="BF498" s="828"/>
      <c r="BG498" s="828"/>
      <c r="BH498" s="828"/>
      <c r="BI498" s="828"/>
      <c r="BJ498" s="568"/>
      <c r="BK498" s="828"/>
      <c r="BL498" s="828"/>
      <c r="BM498" s="828"/>
      <c r="CF498" s="578"/>
      <c r="CG498" s="578"/>
      <c r="CH498" s="578"/>
      <c r="CI498" s="578"/>
      <c r="CJ498" s="578"/>
      <c r="CN498" s="578"/>
      <c r="CO498" s="578"/>
      <c r="CP498" s="578"/>
      <c r="CQ498" s="578"/>
      <c r="CR498" s="578"/>
      <c r="CS498" s="578"/>
    </row>
    <row r="499" s="773" customFormat="1" ht="31" hidden="1" customHeight="1" spans="1:97">
      <c r="A499" s="547">
        <v>45897</v>
      </c>
      <c r="B499" s="548" t="s">
        <v>152</v>
      </c>
      <c r="C499" s="539" t="s">
        <v>153</v>
      </c>
      <c r="D499" s="428">
        <v>4500178170</v>
      </c>
      <c r="E499" s="539"/>
      <c r="F499" s="428" t="s">
        <v>1908</v>
      </c>
      <c r="G499" s="549" t="s">
        <v>155</v>
      </c>
      <c r="H499" s="539" t="s">
        <v>65</v>
      </c>
      <c r="I499" s="539">
        <v>5000</v>
      </c>
      <c r="J499" s="539">
        <v>0</v>
      </c>
      <c r="K499" s="539">
        <v>2</v>
      </c>
      <c r="L499" s="795">
        <f t="shared" si="133"/>
        <v>2500</v>
      </c>
      <c r="M499" s="797">
        <v>45960</v>
      </c>
      <c r="N499" s="797">
        <v>45957</v>
      </c>
      <c r="O499" s="556" t="s">
        <v>1909</v>
      </c>
      <c r="P499" s="556" t="s">
        <v>103</v>
      </c>
      <c r="Q499" s="562" t="s">
        <v>1910</v>
      </c>
      <c r="R499" s="562">
        <v>45915</v>
      </c>
      <c r="S499" s="570" t="s">
        <v>66</v>
      </c>
      <c r="T499" s="570" t="s">
        <v>1391</v>
      </c>
      <c r="U499" s="564"/>
      <c r="V499" s="564"/>
      <c r="W499" s="564" t="s">
        <v>1911</v>
      </c>
      <c r="X499" s="513" t="s">
        <v>1912</v>
      </c>
      <c r="Y499" s="800">
        <v>4.2525</v>
      </c>
      <c r="Z499" s="801">
        <f t="shared" si="140"/>
        <v>21262.5</v>
      </c>
      <c r="AA499" s="549" t="s">
        <v>1913</v>
      </c>
      <c r="AB499" s="539" t="s">
        <v>155</v>
      </c>
      <c r="AC499" s="539" t="s">
        <v>76</v>
      </c>
      <c r="AD499" s="549"/>
      <c r="AE499" s="549"/>
      <c r="AF499" s="549"/>
      <c r="AG499" s="549">
        <f>4980+20</f>
        <v>5000</v>
      </c>
      <c r="AH499" s="584">
        <f t="shared" si="144"/>
        <v>0</v>
      </c>
      <c r="AI499" s="549"/>
      <c r="AJ499" s="549"/>
      <c r="AK499" s="568"/>
      <c r="AL499" s="568">
        <f t="shared" si="146"/>
        <v>5000</v>
      </c>
      <c r="AM499" s="828"/>
      <c r="AN499" s="828"/>
      <c r="AO499" s="828"/>
      <c r="AP499" s="568"/>
      <c r="AQ499" s="568">
        <f>I499</f>
        <v>5000</v>
      </c>
      <c r="AR499" s="568">
        <f t="shared" si="145"/>
        <v>5000</v>
      </c>
      <c r="AS499" s="828"/>
      <c r="AT499" s="568">
        <f t="shared" si="142"/>
        <v>5000</v>
      </c>
      <c r="AU499" s="568"/>
      <c r="AV499" s="582"/>
      <c r="AW499" s="582"/>
      <c r="AX499" s="582"/>
      <c r="AY499" s="582"/>
      <c r="AZ499" s="582"/>
      <c r="BA499" s="568"/>
      <c r="BB499" s="568"/>
      <c r="BC499" s="568"/>
      <c r="BD499" s="568"/>
      <c r="BE499" s="568"/>
      <c r="BF499" s="828"/>
      <c r="BG499" s="828"/>
      <c r="BH499" s="828"/>
      <c r="BI499" s="828"/>
      <c r="BJ499" s="568"/>
      <c r="BK499" s="828"/>
      <c r="BL499" s="828"/>
      <c r="BM499" s="828"/>
      <c r="CF499" s="578"/>
      <c r="CG499" s="578"/>
      <c r="CH499" s="578"/>
      <c r="CI499" s="578"/>
      <c r="CJ499" s="578"/>
      <c r="CN499" s="578"/>
      <c r="CO499" s="578"/>
      <c r="CP499" s="578"/>
      <c r="CQ499" s="578"/>
      <c r="CR499" s="578"/>
      <c r="CS499" s="578"/>
    </row>
    <row r="500" s="773" customFormat="1" ht="31" hidden="1" customHeight="1" spans="1:97">
      <c r="A500" s="547">
        <v>45882</v>
      </c>
      <c r="B500" s="548" t="s">
        <v>1419</v>
      </c>
      <c r="C500" s="539" t="s">
        <v>231</v>
      </c>
      <c r="D500" s="428">
        <v>4500176519</v>
      </c>
      <c r="E500" s="539">
        <v>4400501778</v>
      </c>
      <c r="F500" s="428" t="s">
        <v>1914</v>
      </c>
      <c r="G500" s="549" t="s">
        <v>148</v>
      </c>
      <c r="H500" s="539" t="s">
        <v>65</v>
      </c>
      <c r="I500" s="539">
        <v>1504</v>
      </c>
      <c r="J500" s="539">
        <v>0</v>
      </c>
      <c r="K500" s="539">
        <v>8</v>
      </c>
      <c r="L500" s="795">
        <f t="shared" si="133"/>
        <v>188</v>
      </c>
      <c r="M500" s="797">
        <v>45961</v>
      </c>
      <c r="N500" s="797">
        <v>45957</v>
      </c>
      <c r="O500" s="556"/>
      <c r="P500" s="556" t="s">
        <v>103</v>
      </c>
      <c r="Q500" s="562"/>
      <c r="R500" s="562">
        <v>45882</v>
      </c>
      <c r="S500" s="562" t="s">
        <v>66</v>
      </c>
      <c r="T500" s="570" t="s">
        <v>149</v>
      </c>
      <c r="U500" s="564"/>
      <c r="V500" s="564"/>
      <c r="W500" s="564" t="s">
        <v>1796</v>
      </c>
      <c r="X500" s="513" t="s">
        <v>1424</v>
      </c>
      <c r="Y500" s="800">
        <v>4.2714</v>
      </c>
      <c r="Z500" s="801">
        <f t="shared" si="140"/>
        <v>6424.1856</v>
      </c>
      <c r="AA500" s="549" t="s">
        <v>1915</v>
      </c>
      <c r="AB500" s="568" t="s">
        <v>148</v>
      </c>
      <c r="AC500" s="549" t="s">
        <v>76</v>
      </c>
      <c r="AD500" s="549"/>
      <c r="AE500" s="549"/>
      <c r="AF500" s="549"/>
      <c r="AG500" s="549">
        <v>1504</v>
      </c>
      <c r="AH500" s="549">
        <f t="shared" si="144"/>
        <v>0</v>
      </c>
      <c r="AI500" s="549"/>
      <c r="AJ500" s="549"/>
      <c r="AK500" s="568"/>
      <c r="AL500" s="568">
        <f t="shared" si="146"/>
        <v>1504</v>
      </c>
      <c r="AM500" s="828"/>
      <c r="AN500" s="828"/>
      <c r="AO500" s="828"/>
      <c r="AP500" s="568"/>
      <c r="AQ500" s="568"/>
      <c r="AR500" s="568"/>
      <c r="AS500" s="828"/>
      <c r="AT500" s="568">
        <f t="shared" si="142"/>
        <v>1504</v>
      </c>
      <c r="AU500" s="568"/>
      <c r="AV500" s="432"/>
      <c r="AW500" s="432"/>
      <c r="AX500" s="432"/>
      <c r="AY500" s="432"/>
      <c r="AZ500" s="432">
        <f>I500</f>
        <v>1504</v>
      </c>
      <c r="BA500" s="568">
        <f>I500</f>
        <v>1504</v>
      </c>
      <c r="BB500" s="828"/>
      <c r="BC500" s="828"/>
      <c r="BD500" s="568"/>
      <c r="BE500" s="568">
        <f>I500/4</f>
        <v>376</v>
      </c>
      <c r="BF500" s="828"/>
      <c r="BG500" s="828"/>
      <c r="BH500" s="828"/>
      <c r="BI500" s="828"/>
      <c r="BJ500" s="568"/>
      <c r="BK500" s="828"/>
      <c r="BL500" s="828"/>
      <c r="BM500" s="828"/>
      <c r="CF500" s="578"/>
      <c r="CG500" s="578"/>
      <c r="CH500" s="578"/>
      <c r="CI500" s="578"/>
      <c r="CJ500" s="578"/>
      <c r="CN500" s="578"/>
      <c r="CO500" s="578"/>
      <c r="CP500" s="578"/>
      <c r="CQ500" s="578"/>
      <c r="CR500" s="578"/>
      <c r="CS500" s="578"/>
    </row>
    <row r="501" s="773" customFormat="1" ht="31" hidden="1" customHeight="1" spans="1:97">
      <c r="A501" s="547">
        <v>45882</v>
      </c>
      <c r="B501" s="548" t="s">
        <v>1492</v>
      </c>
      <c r="C501" s="539" t="s">
        <v>249</v>
      </c>
      <c r="D501" s="428">
        <v>4500176740</v>
      </c>
      <c r="E501" s="539" t="s">
        <v>1916</v>
      </c>
      <c r="F501" s="428" t="s">
        <v>1917</v>
      </c>
      <c r="G501" s="549" t="s">
        <v>148</v>
      </c>
      <c r="H501" s="539" t="s">
        <v>65</v>
      </c>
      <c r="I501" s="539">
        <v>6000</v>
      </c>
      <c r="J501" s="539">
        <v>0</v>
      </c>
      <c r="K501" s="539">
        <v>8</v>
      </c>
      <c r="L501" s="795">
        <f t="shared" si="133"/>
        <v>750</v>
      </c>
      <c r="M501" s="797">
        <v>45961</v>
      </c>
      <c r="N501" s="797">
        <v>45957</v>
      </c>
      <c r="O501" s="556"/>
      <c r="P501" s="556" t="s">
        <v>103</v>
      </c>
      <c r="Q501" s="562"/>
      <c r="R501" s="562">
        <v>45882</v>
      </c>
      <c r="S501" s="562" t="s">
        <v>66</v>
      </c>
      <c r="T501" s="570" t="s">
        <v>149</v>
      </c>
      <c r="U501" s="564"/>
      <c r="V501" s="564"/>
      <c r="W501" s="564" t="s">
        <v>1796</v>
      </c>
      <c r="X501" s="513" t="s">
        <v>1424</v>
      </c>
      <c r="Y501" s="800">
        <v>4.2475</v>
      </c>
      <c r="Z501" s="801">
        <f t="shared" si="140"/>
        <v>25485</v>
      </c>
      <c r="AA501" s="549" t="s">
        <v>1918</v>
      </c>
      <c r="AB501" s="568" t="s">
        <v>148</v>
      </c>
      <c r="AC501" s="549" t="s">
        <v>76</v>
      </c>
      <c r="AD501" s="549"/>
      <c r="AE501" s="549"/>
      <c r="AF501" s="549"/>
      <c r="AG501" s="549">
        <f>2880+3120</f>
        <v>6000</v>
      </c>
      <c r="AH501" s="549">
        <f t="shared" si="144"/>
        <v>0</v>
      </c>
      <c r="AI501" s="549"/>
      <c r="AJ501" s="549"/>
      <c r="AK501" s="568"/>
      <c r="AL501" s="568">
        <f t="shared" si="146"/>
        <v>6000</v>
      </c>
      <c r="AM501" s="828"/>
      <c r="AN501" s="828"/>
      <c r="AO501" s="828"/>
      <c r="AP501" s="568"/>
      <c r="AQ501" s="568"/>
      <c r="AR501" s="568"/>
      <c r="AS501" s="828"/>
      <c r="AT501" s="568">
        <f t="shared" si="142"/>
        <v>6000</v>
      </c>
      <c r="AU501" s="568"/>
      <c r="AV501" s="432"/>
      <c r="AW501" s="432"/>
      <c r="AX501" s="432"/>
      <c r="AY501" s="432"/>
      <c r="AZ501" s="432">
        <f>I501</f>
        <v>6000</v>
      </c>
      <c r="BA501" s="568">
        <f>I501</f>
        <v>6000</v>
      </c>
      <c r="BB501" s="828"/>
      <c r="BC501" s="828"/>
      <c r="BD501" s="568"/>
      <c r="BE501" s="568">
        <f>I501/4</f>
        <v>1500</v>
      </c>
      <c r="BF501" s="828"/>
      <c r="BG501" s="828"/>
      <c r="BH501" s="828"/>
      <c r="BI501" s="828"/>
      <c r="BJ501" s="568"/>
      <c r="BK501" s="828"/>
      <c r="BL501" s="828"/>
      <c r="BM501" s="828"/>
      <c r="CF501" s="578"/>
      <c r="CG501" s="578"/>
      <c r="CH501" s="578"/>
      <c r="CI501" s="578"/>
      <c r="CJ501" s="578"/>
      <c r="CN501" s="578"/>
      <c r="CO501" s="578"/>
      <c r="CP501" s="578"/>
      <c r="CQ501" s="578"/>
      <c r="CR501" s="578"/>
      <c r="CS501" s="578"/>
    </row>
    <row r="502" s="773" customFormat="1" ht="31" hidden="1" customHeight="1" spans="1:97">
      <c r="A502" s="547">
        <v>45905</v>
      </c>
      <c r="B502" s="548" t="s">
        <v>275</v>
      </c>
      <c r="C502" s="539" t="s">
        <v>90</v>
      </c>
      <c r="D502" s="428">
        <v>4500178974</v>
      </c>
      <c r="E502" s="887" t="s">
        <v>1919</v>
      </c>
      <c r="F502" s="428" t="s">
        <v>1920</v>
      </c>
      <c r="G502" s="549" t="s">
        <v>64</v>
      </c>
      <c r="H502" s="539" t="s">
        <v>65</v>
      </c>
      <c r="I502" s="539">
        <v>1572</v>
      </c>
      <c r="J502" s="539">
        <v>0</v>
      </c>
      <c r="K502" s="539">
        <v>12</v>
      </c>
      <c r="L502" s="795">
        <f t="shared" si="133"/>
        <v>131</v>
      </c>
      <c r="M502" s="797">
        <v>45968</v>
      </c>
      <c r="N502" s="797">
        <v>45964</v>
      </c>
      <c r="O502" s="556"/>
      <c r="P502" s="556" t="s">
        <v>103</v>
      </c>
      <c r="Q502" s="562"/>
      <c r="R502" s="562">
        <v>45917</v>
      </c>
      <c r="S502" s="562" t="s">
        <v>66</v>
      </c>
      <c r="T502" s="570" t="s">
        <v>66</v>
      </c>
      <c r="U502" s="564"/>
      <c r="V502" s="564"/>
      <c r="W502" s="564" t="s">
        <v>1921</v>
      </c>
      <c r="X502" s="513" t="s">
        <v>794</v>
      </c>
      <c r="Y502" s="800">
        <v>2.4842</v>
      </c>
      <c r="Z502" s="801">
        <f t="shared" si="140"/>
        <v>3905.1624</v>
      </c>
      <c r="AA502" s="549" t="s">
        <v>1922</v>
      </c>
      <c r="AB502" s="568" t="s">
        <v>64</v>
      </c>
      <c r="AC502" s="539" t="s">
        <v>76</v>
      </c>
      <c r="AD502" s="549"/>
      <c r="AE502" s="549"/>
      <c r="AF502" s="549"/>
      <c r="AG502" s="549">
        <v>1572</v>
      </c>
      <c r="AH502" s="584">
        <f t="shared" ref="AH502:AH515" si="149">AG502-I502</f>
        <v>0</v>
      </c>
      <c r="AI502" s="549"/>
      <c r="AJ502" s="549"/>
      <c r="AK502" s="568"/>
      <c r="AL502" s="568">
        <f t="shared" si="146"/>
        <v>1572</v>
      </c>
      <c r="AM502" s="828"/>
      <c r="AN502" s="828"/>
      <c r="AO502" s="828"/>
      <c r="AP502" s="568">
        <f>I502</f>
        <v>1572</v>
      </c>
      <c r="AQ502" s="568"/>
      <c r="AR502" s="568">
        <f t="shared" ref="AR502:AR515" si="150">I502</f>
        <v>1572</v>
      </c>
      <c r="AS502" s="828"/>
      <c r="AT502" s="568">
        <f t="shared" ref="AT502:AT515" si="151">I502</f>
        <v>1572</v>
      </c>
      <c r="AU502" s="568"/>
      <c r="AV502" s="432"/>
      <c r="AW502" s="432"/>
      <c r="AX502" s="432"/>
      <c r="AY502" s="432"/>
      <c r="AZ502" s="432"/>
      <c r="BA502" s="568"/>
      <c r="BB502" s="828"/>
      <c r="BC502" s="828"/>
      <c r="BD502" s="568"/>
      <c r="BE502" s="568"/>
      <c r="BF502" s="828"/>
      <c r="BG502" s="828"/>
      <c r="BH502" s="828"/>
      <c r="BI502" s="828"/>
      <c r="BJ502" s="568"/>
      <c r="BK502" s="828"/>
      <c r="BL502" s="828"/>
      <c r="BM502" s="828"/>
      <c r="CF502" s="578"/>
      <c r="CG502" s="578"/>
      <c r="CH502" s="578"/>
      <c r="CI502" s="578"/>
      <c r="CJ502" s="578"/>
      <c r="CN502" s="578"/>
      <c r="CO502" s="578"/>
      <c r="CP502" s="578"/>
      <c r="CQ502" s="578"/>
      <c r="CR502" s="578"/>
      <c r="CS502" s="578"/>
    </row>
    <row r="503" s="773" customFormat="1" ht="31" hidden="1" customHeight="1" spans="1:97">
      <c r="A503" s="547">
        <v>45912</v>
      </c>
      <c r="B503" s="548" t="s">
        <v>128</v>
      </c>
      <c r="C503" s="539" t="s">
        <v>90</v>
      </c>
      <c r="D503" s="428">
        <v>4500179419</v>
      </c>
      <c r="E503" s="887" t="s">
        <v>1923</v>
      </c>
      <c r="F503" s="428" t="s">
        <v>1924</v>
      </c>
      <c r="G503" s="549" t="s">
        <v>93</v>
      </c>
      <c r="H503" s="539" t="s">
        <v>94</v>
      </c>
      <c r="I503" s="539">
        <v>3520</v>
      </c>
      <c r="J503" s="539">
        <v>0</v>
      </c>
      <c r="K503" s="539">
        <v>4</v>
      </c>
      <c r="L503" s="795">
        <f t="shared" si="133"/>
        <v>880</v>
      </c>
      <c r="M503" s="797">
        <v>45968</v>
      </c>
      <c r="N503" s="797">
        <v>45964</v>
      </c>
      <c r="O503" s="556" t="s">
        <v>1925</v>
      </c>
      <c r="P503" s="556" t="s">
        <v>103</v>
      </c>
      <c r="Q503" s="539"/>
      <c r="R503" s="570" t="s">
        <v>132</v>
      </c>
      <c r="S503" s="570" t="s">
        <v>66</v>
      </c>
      <c r="T503" s="570">
        <v>45926</v>
      </c>
      <c r="U503" s="570" t="s">
        <v>133</v>
      </c>
      <c r="V503" s="564"/>
      <c r="W503" s="564" t="s">
        <v>1281</v>
      </c>
      <c r="X503" s="513" t="s">
        <v>98</v>
      </c>
      <c r="Y503" s="800">
        <v>2.5768</v>
      </c>
      <c r="Z503" s="801">
        <f t="shared" si="140"/>
        <v>9070.336</v>
      </c>
      <c r="AA503" s="549" t="s">
        <v>1926</v>
      </c>
      <c r="AB503" s="539" t="s">
        <v>93</v>
      </c>
      <c r="AC503" s="539" t="s">
        <v>76</v>
      </c>
      <c r="AD503" s="549"/>
      <c r="AE503" s="549"/>
      <c r="AF503" s="549"/>
      <c r="AG503" s="549">
        <v>3520</v>
      </c>
      <c r="AH503" s="549">
        <f t="shared" si="149"/>
        <v>0</v>
      </c>
      <c r="AI503" s="549"/>
      <c r="AJ503" s="549"/>
      <c r="AK503" s="568"/>
      <c r="AL503" s="568">
        <f t="shared" si="146"/>
        <v>3520</v>
      </c>
      <c r="AM503" s="828"/>
      <c r="AN503" s="828"/>
      <c r="AO503" s="828"/>
      <c r="AP503" s="568">
        <f>I503</f>
        <v>3520</v>
      </c>
      <c r="AQ503" s="568"/>
      <c r="AR503" s="568">
        <f t="shared" si="150"/>
        <v>3520</v>
      </c>
      <c r="AS503" s="828"/>
      <c r="AT503" s="568">
        <f t="shared" si="151"/>
        <v>3520</v>
      </c>
      <c r="AU503" s="568"/>
      <c r="AV503" s="582"/>
      <c r="AW503" s="582"/>
      <c r="AX503" s="582"/>
      <c r="AY503" s="582"/>
      <c r="AZ503" s="582"/>
      <c r="BA503" s="568"/>
      <c r="BB503" s="828"/>
      <c r="BC503" s="828"/>
      <c r="BD503" s="568">
        <f>I503/4</f>
        <v>880</v>
      </c>
      <c r="BE503" s="568"/>
      <c r="BF503" s="828"/>
      <c r="BG503" s="828"/>
      <c r="BH503" s="828"/>
      <c r="BI503" s="828"/>
      <c r="BJ503" s="568"/>
      <c r="BK503" s="828"/>
      <c r="BL503" s="828"/>
      <c r="BM503" s="828"/>
      <c r="CF503" s="578"/>
      <c r="CG503" s="578"/>
      <c r="CH503" s="578"/>
      <c r="CI503" s="578"/>
      <c r="CJ503" s="578"/>
      <c r="CN503" s="578"/>
      <c r="CO503" s="578"/>
      <c r="CP503" s="578"/>
      <c r="CQ503" s="578"/>
      <c r="CR503" s="578"/>
      <c r="CS503" s="578"/>
    </row>
    <row r="504" s="773" customFormat="1" ht="31" hidden="1" customHeight="1" spans="1:97">
      <c r="A504" s="547">
        <v>45912</v>
      </c>
      <c r="B504" s="548" t="s">
        <v>128</v>
      </c>
      <c r="C504" s="539" t="s">
        <v>90</v>
      </c>
      <c r="D504" s="428">
        <v>4500179419</v>
      </c>
      <c r="E504" s="887" t="s">
        <v>1927</v>
      </c>
      <c r="F504" s="428" t="s">
        <v>1928</v>
      </c>
      <c r="G504" s="549" t="s">
        <v>93</v>
      </c>
      <c r="H504" s="539" t="s">
        <v>94</v>
      </c>
      <c r="I504" s="539">
        <v>1920</v>
      </c>
      <c r="J504" s="539">
        <v>0</v>
      </c>
      <c r="K504" s="539">
        <v>4</v>
      </c>
      <c r="L504" s="795">
        <f t="shared" si="133"/>
        <v>480</v>
      </c>
      <c r="M504" s="797">
        <v>45968</v>
      </c>
      <c r="N504" s="797">
        <v>45964</v>
      </c>
      <c r="O504" s="556" t="s">
        <v>1925</v>
      </c>
      <c r="P504" s="556" t="s">
        <v>103</v>
      </c>
      <c r="Q504" s="539"/>
      <c r="R504" s="570" t="s">
        <v>132</v>
      </c>
      <c r="S504" s="570" t="s">
        <v>66</v>
      </c>
      <c r="T504" s="570">
        <v>45926</v>
      </c>
      <c r="U504" s="570" t="s">
        <v>133</v>
      </c>
      <c r="V504" s="564"/>
      <c r="W504" s="564" t="s">
        <v>1281</v>
      </c>
      <c r="X504" s="513" t="s">
        <v>98</v>
      </c>
      <c r="Y504" s="800">
        <v>2.58</v>
      </c>
      <c r="Z504" s="801">
        <f t="shared" si="140"/>
        <v>4953.6</v>
      </c>
      <c r="AA504" s="549" t="s">
        <v>1929</v>
      </c>
      <c r="AB504" s="539" t="s">
        <v>93</v>
      </c>
      <c r="AC504" s="539" t="s">
        <v>76</v>
      </c>
      <c r="AD504" s="549"/>
      <c r="AE504" s="549"/>
      <c r="AF504" s="549"/>
      <c r="AG504" s="549">
        <v>1920</v>
      </c>
      <c r="AH504" s="549">
        <f t="shared" si="149"/>
        <v>0</v>
      </c>
      <c r="AI504" s="549"/>
      <c r="AJ504" s="549"/>
      <c r="AK504" s="568"/>
      <c r="AL504" s="568">
        <f t="shared" si="146"/>
        <v>1920</v>
      </c>
      <c r="AM504" s="828"/>
      <c r="AN504" s="828"/>
      <c r="AO504" s="828"/>
      <c r="AP504" s="568">
        <f>I504</f>
        <v>1920</v>
      </c>
      <c r="AQ504" s="568"/>
      <c r="AR504" s="568">
        <f t="shared" si="150"/>
        <v>1920</v>
      </c>
      <c r="AS504" s="828"/>
      <c r="AT504" s="568">
        <f t="shared" si="151"/>
        <v>1920</v>
      </c>
      <c r="AU504" s="568"/>
      <c r="AV504" s="432"/>
      <c r="AW504" s="432"/>
      <c r="AX504" s="432"/>
      <c r="AY504" s="432"/>
      <c r="AZ504" s="432"/>
      <c r="BA504" s="568"/>
      <c r="BB504" s="828"/>
      <c r="BC504" s="828"/>
      <c r="BD504" s="568">
        <f>I504/4</f>
        <v>480</v>
      </c>
      <c r="BE504" s="568"/>
      <c r="BF504" s="828"/>
      <c r="BG504" s="828"/>
      <c r="BH504" s="828"/>
      <c r="BI504" s="828"/>
      <c r="BJ504" s="568"/>
      <c r="BK504" s="828"/>
      <c r="BL504" s="828"/>
      <c r="BM504" s="828"/>
      <c r="CF504" s="578"/>
      <c r="CG504" s="578"/>
      <c r="CH504" s="578"/>
      <c r="CI504" s="578"/>
      <c r="CJ504" s="578"/>
      <c r="CN504" s="578"/>
      <c r="CO504" s="578"/>
      <c r="CP504" s="578"/>
      <c r="CQ504" s="578"/>
      <c r="CR504" s="578"/>
      <c r="CS504" s="578"/>
    </row>
    <row r="505" s="773" customFormat="1" ht="31" hidden="1" customHeight="1" spans="1:97">
      <c r="A505" s="547">
        <v>45919</v>
      </c>
      <c r="B505" s="548" t="s">
        <v>115</v>
      </c>
      <c r="C505" s="539" t="s">
        <v>116</v>
      </c>
      <c r="D505" s="428">
        <v>4500179872</v>
      </c>
      <c r="E505" s="539">
        <v>85018</v>
      </c>
      <c r="F505" s="428" t="s">
        <v>1930</v>
      </c>
      <c r="G505" s="549" t="s">
        <v>118</v>
      </c>
      <c r="H505" s="539" t="s">
        <v>119</v>
      </c>
      <c r="I505" s="539">
        <v>3000</v>
      </c>
      <c r="J505" s="539">
        <v>0</v>
      </c>
      <c r="K505" s="539">
        <v>6</v>
      </c>
      <c r="L505" s="795">
        <f t="shared" si="133"/>
        <v>500</v>
      </c>
      <c r="M505" s="797">
        <v>45968</v>
      </c>
      <c r="N505" s="797">
        <v>45964</v>
      </c>
      <c r="O505" s="556"/>
      <c r="P505" s="556" t="s">
        <v>103</v>
      </c>
      <c r="Q505" s="562"/>
      <c r="R505" s="570">
        <v>45919</v>
      </c>
      <c r="S505" s="570" t="s">
        <v>66</v>
      </c>
      <c r="T505" s="570" t="s">
        <v>1931</v>
      </c>
      <c r="U505" s="570"/>
      <c r="V505" s="564"/>
      <c r="W505" s="564" t="s">
        <v>1932</v>
      </c>
      <c r="X505" s="513" t="s">
        <v>196</v>
      </c>
      <c r="Y505" s="800">
        <v>4.2046</v>
      </c>
      <c r="Z505" s="801">
        <f t="shared" si="140"/>
        <v>12613.8</v>
      </c>
      <c r="AA505" s="549" t="s">
        <v>1933</v>
      </c>
      <c r="AB505" s="539" t="s">
        <v>402</v>
      </c>
      <c r="AC505" s="539" t="s">
        <v>76</v>
      </c>
      <c r="AD505" s="549"/>
      <c r="AE505" s="549"/>
      <c r="AF505" s="549"/>
      <c r="AG505" s="549">
        <v>3000</v>
      </c>
      <c r="AH505" s="584">
        <f t="shared" si="149"/>
        <v>0</v>
      </c>
      <c r="AI505" s="549"/>
      <c r="AJ505" s="549"/>
      <c r="AK505" s="568"/>
      <c r="AL505" s="568">
        <f t="shared" si="146"/>
        <v>3000</v>
      </c>
      <c r="AM505" s="828"/>
      <c r="AN505" s="828"/>
      <c r="AO505" s="828"/>
      <c r="AP505" s="568">
        <f>I505</f>
        <v>3000</v>
      </c>
      <c r="AQ505" s="568"/>
      <c r="AR505" s="568">
        <f t="shared" si="150"/>
        <v>3000</v>
      </c>
      <c r="AS505" s="828"/>
      <c r="AT505" s="568">
        <f t="shared" si="151"/>
        <v>3000</v>
      </c>
      <c r="AU505" s="568"/>
      <c r="AV505" s="432"/>
      <c r="AW505" s="432"/>
      <c r="AX505" s="432"/>
      <c r="AY505" s="432"/>
      <c r="AZ505" s="432"/>
      <c r="BA505" s="568"/>
      <c r="BB505" s="828"/>
      <c r="BC505" s="828"/>
      <c r="BD505" s="568"/>
      <c r="BE505" s="568"/>
      <c r="BF505" s="828"/>
      <c r="BG505" s="828"/>
      <c r="BH505" s="828"/>
      <c r="BI505" s="828"/>
      <c r="BJ505" s="568"/>
      <c r="BK505" s="828"/>
      <c r="BL505" s="828"/>
      <c r="BM505" s="828"/>
      <c r="CF505" s="578"/>
      <c r="CG505" s="578"/>
      <c r="CH505" s="578"/>
      <c r="CI505" s="578"/>
      <c r="CJ505" s="578"/>
      <c r="CN505" s="578"/>
      <c r="CO505" s="578"/>
      <c r="CP505" s="578"/>
      <c r="CQ505" s="578"/>
      <c r="CR505" s="578"/>
      <c r="CS505" s="578"/>
    </row>
    <row r="506" s="773" customFormat="1" ht="31" hidden="1" customHeight="1" spans="1:97">
      <c r="A506" s="547">
        <v>45917</v>
      </c>
      <c r="B506" s="548" t="s">
        <v>489</v>
      </c>
      <c r="C506" s="539" t="s">
        <v>139</v>
      </c>
      <c r="D506" s="428">
        <v>4500179736</v>
      </c>
      <c r="E506" s="539" t="s">
        <v>1934</v>
      </c>
      <c r="F506" s="428" t="s">
        <v>1935</v>
      </c>
      <c r="G506" s="549" t="s">
        <v>64</v>
      </c>
      <c r="H506" s="539" t="s">
        <v>65</v>
      </c>
      <c r="I506" s="539">
        <v>504</v>
      </c>
      <c r="J506" s="539">
        <v>0</v>
      </c>
      <c r="K506" s="539">
        <v>12</v>
      </c>
      <c r="L506" s="795">
        <f t="shared" si="133"/>
        <v>42</v>
      </c>
      <c r="M506" s="797">
        <v>45968</v>
      </c>
      <c r="N506" s="797">
        <v>45964</v>
      </c>
      <c r="O506" s="556"/>
      <c r="P506" s="556" t="s">
        <v>103</v>
      </c>
      <c r="Q506" s="562"/>
      <c r="R506" s="570" t="s">
        <v>1936</v>
      </c>
      <c r="S506" s="562" t="s">
        <v>96</v>
      </c>
      <c r="T506" s="570" t="s">
        <v>1937</v>
      </c>
      <c r="U506" s="570"/>
      <c r="V506" s="564"/>
      <c r="W506" s="564" t="s">
        <v>1938</v>
      </c>
      <c r="X506" s="513" t="s">
        <v>414</v>
      </c>
      <c r="Y506" s="800">
        <v>4.1456</v>
      </c>
      <c r="Z506" s="801">
        <f t="shared" si="140"/>
        <v>2089.3824</v>
      </c>
      <c r="AA506" s="549" t="s">
        <v>1939</v>
      </c>
      <c r="AB506" s="549" t="s">
        <v>165</v>
      </c>
      <c r="AC506" s="539" t="s">
        <v>76</v>
      </c>
      <c r="AD506" s="549"/>
      <c r="AE506" s="549"/>
      <c r="AF506" s="549"/>
      <c r="AG506" s="549">
        <v>504</v>
      </c>
      <c r="AH506" s="584">
        <f t="shared" si="149"/>
        <v>0</v>
      </c>
      <c r="AI506" s="549"/>
      <c r="AJ506" s="549"/>
      <c r="AK506" s="568"/>
      <c r="AL506" s="568">
        <f t="shared" si="146"/>
        <v>504</v>
      </c>
      <c r="AM506" s="828"/>
      <c r="AN506" s="828"/>
      <c r="AO506" s="828"/>
      <c r="AP506" s="568"/>
      <c r="AQ506" s="568">
        <f>I506</f>
        <v>504</v>
      </c>
      <c r="AR506" s="568">
        <f t="shared" si="150"/>
        <v>504</v>
      </c>
      <c r="AS506" s="828"/>
      <c r="AT506" s="568">
        <f t="shared" si="151"/>
        <v>504</v>
      </c>
      <c r="AU506" s="568"/>
      <c r="AV506" s="432"/>
      <c r="AW506" s="432"/>
      <c r="AX506" s="432"/>
      <c r="AY506" s="432"/>
      <c r="AZ506" s="432"/>
      <c r="BA506" s="568"/>
      <c r="BB506" s="828"/>
      <c r="BC506" s="828"/>
      <c r="BD506" s="568"/>
      <c r="BE506" s="568"/>
      <c r="BF506" s="828"/>
      <c r="BG506" s="828"/>
      <c r="BH506" s="828"/>
      <c r="BI506" s="828"/>
      <c r="BJ506" s="568"/>
      <c r="BK506" s="828"/>
      <c r="BL506" s="828"/>
      <c r="BM506" s="828"/>
      <c r="CF506" s="578"/>
      <c r="CG506" s="578"/>
      <c r="CH506" s="578"/>
      <c r="CI506" s="578"/>
      <c r="CJ506" s="578"/>
      <c r="CN506" s="578"/>
      <c r="CO506" s="578"/>
      <c r="CP506" s="578"/>
      <c r="CQ506" s="578"/>
      <c r="CR506" s="578"/>
      <c r="CS506" s="578"/>
    </row>
    <row r="507" s="773" customFormat="1" ht="31" hidden="1" customHeight="1" spans="1:97">
      <c r="A507" s="547">
        <v>45910</v>
      </c>
      <c r="B507" s="548" t="s">
        <v>1822</v>
      </c>
      <c r="C507" s="539" t="s">
        <v>726</v>
      </c>
      <c r="D507" s="428">
        <v>4500179170</v>
      </c>
      <c r="E507" s="539"/>
      <c r="F507" s="428" t="s">
        <v>1940</v>
      </c>
      <c r="G507" s="549" t="s">
        <v>102</v>
      </c>
      <c r="H507" s="539" t="s">
        <v>65</v>
      </c>
      <c r="I507" s="539">
        <v>1888</v>
      </c>
      <c r="J507" s="539">
        <v>0</v>
      </c>
      <c r="K507" s="539">
        <v>16</v>
      </c>
      <c r="L507" s="795">
        <f t="shared" ref="L507:L515" si="152">I507/K507</f>
        <v>118</v>
      </c>
      <c r="M507" s="798">
        <v>45968</v>
      </c>
      <c r="N507" s="798">
        <v>45964</v>
      </c>
      <c r="O507" s="556"/>
      <c r="P507" s="556" t="s">
        <v>103</v>
      </c>
      <c r="Q507" s="562"/>
      <c r="R507" s="562">
        <v>45910</v>
      </c>
      <c r="S507" s="570" t="s">
        <v>66</v>
      </c>
      <c r="T507" s="570" t="s">
        <v>1825</v>
      </c>
      <c r="U507" s="564"/>
      <c r="V507" s="564"/>
      <c r="W507" s="564" t="s">
        <v>1826</v>
      </c>
      <c r="X507" s="513" t="s">
        <v>207</v>
      </c>
      <c r="Y507" s="800">
        <v>4.3451</v>
      </c>
      <c r="Z507" s="801">
        <f t="shared" si="140"/>
        <v>8203.5488</v>
      </c>
      <c r="AA507" s="549" t="s">
        <v>1941</v>
      </c>
      <c r="AB507" s="549" t="s">
        <v>102</v>
      </c>
      <c r="AC507" s="539" t="s">
        <v>76</v>
      </c>
      <c r="AD507" s="549"/>
      <c r="AE507" s="549"/>
      <c r="AF507" s="549"/>
      <c r="AG507" s="549">
        <v>1888</v>
      </c>
      <c r="AH507" s="584">
        <f t="shared" si="149"/>
        <v>0</v>
      </c>
      <c r="AI507" s="549"/>
      <c r="AJ507" s="549"/>
      <c r="AK507" s="568"/>
      <c r="AL507" s="568">
        <f t="shared" si="146"/>
        <v>1888</v>
      </c>
      <c r="AM507" s="828"/>
      <c r="AN507" s="828"/>
      <c r="AO507" s="828"/>
      <c r="AP507" s="568">
        <f t="shared" ref="AP507:AP512" si="153">I507</f>
        <v>1888</v>
      </c>
      <c r="AQ507" s="568"/>
      <c r="AR507" s="568">
        <f t="shared" si="150"/>
        <v>1888</v>
      </c>
      <c r="AS507" s="828"/>
      <c r="AT507" s="568">
        <f t="shared" si="151"/>
        <v>1888</v>
      </c>
      <c r="AU507" s="568"/>
      <c r="AV507" s="582"/>
      <c r="AW507" s="582"/>
      <c r="AX507" s="582"/>
      <c r="AY507" s="582"/>
      <c r="AZ507" s="582"/>
      <c r="BA507" s="568"/>
      <c r="BB507" s="828"/>
      <c r="BC507" s="828"/>
      <c r="BD507" s="568">
        <f>I507/4</f>
        <v>472</v>
      </c>
      <c r="BE507" s="568"/>
      <c r="BF507" s="828"/>
      <c r="BG507" s="828"/>
      <c r="BH507" s="828"/>
      <c r="BI507" s="828"/>
      <c r="BJ507" s="568"/>
      <c r="BK507" s="828"/>
      <c r="BL507" s="828"/>
      <c r="BM507" s="828"/>
      <c r="CF507" s="578"/>
      <c r="CG507" s="578"/>
      <c r="CH507" s="578"/>
      <c r="CI507" s="578"/>
      <c r="CJ507" s="578"/>
      <c r="CN507" s="578"/>
      <c r="CO507" s="578"/>
      <c r="CP507" s="578"/>
      <c r="CQ507" s="578"/>
      <c r="CR507" s="578"/>
      <c r="CS507" s="578"/>
    </row>
    <row r="508" s="773" customFormat="1" ht="31" hidden="1" customHeight="1" spans="1:97">
      <c r="A508" s="547">
        <v>45922</v>
      </c>
      <c r="B508" s="548" t="s">
        <v>1942</v>
      </c>
      <c r="C508" s="539" t="s">
        <v>1943</v>
      </c>
      <c r="D508" s="428">
        <v>4500180054</v>
      </c>
      <c r="E508" s="539" t="s">
        <v>1944</v>
      </c>
      <c r="F508" s="428" t="s">
        <v>1945</v>
      </c>
      <c r="G508" s="549" t="s">
        <v>64</v>
      </c>
      <c r="H508" s="539" t="s">
        <v>65</v>
      </c>
      <c r="I508" s="539">
        <v>504</v>
      </c>
      <c r="J508" s="539">
        <v>0</v>
      </c>
      <c r="K508" s="539">
        <v>12</v>
      </c>
      <c r="L508" s="795">
        <f t="shared" si="152"/>
        <v>42</v>
      </c>
      <c r="M508" s="797">
        <v>45968</v>
      </c>
      <c r="N508" s="797">
        <v>45964</v>
      </c>
      <c r="O508" s="556"/>
      <c r="P508" s="556" t="s">
        <v>103</v>
      </c>
      <c r="Q508" s="562"/>
      <c r="R508" s="562">
        <v>45922</v>
      </c>
      <c r="S508" s="570" t="s">
        <v>66</v>
      </c>
      <c r="T508" s="570" t="s">
        <v>66</v>
      </c>
      <c r="U508" s="564"/>
      <c r="V508" s="564"/>
      <c r="W508" s="564" t="s">
        <v>1946</v>
      </c>
      <c r="X508" s="513" t="s">
        <v>207</v>
      </c>
      <c r="Y508" s="800">
        <v>4.2386</v>
      </c>
      <c r="Z508" s="801">
        <f t="shared" si="140"/>
        <v>2136.2544</v>
      </c>
      <c r="AA508" s="549"/>
      <c r="AB508" s="568" t="s">
        <v>64</v>
      </c>
      <c r="AC508" s="539" t="s">
        <v>76</v>
      </c>
      <c r="AD508" s="549"/>
      <c r="AE508" s="549"/>
      <c r="AF508" s="549"/>
      <c r="AG508" s="549">
        <v>504</v>
      </c>
      <c r="AH508" s="584">
        <f t="shared" si="149"/>
        <v>0</v>
      </c>
      <c r="AI508" s="549"/>
      <c r="AJ508" s="549"/>
      <c r="AK508" s="568"/>
      <c r="AL508" s="568">
        <f t="shared" si="146"/>
        <v>504</v>
      </c>
      <c r="AM508" s="828"/>
      <c r="AN508" s="828"/>
      <c r="AO508" s="828"/>
      <c r="AP508" s="568">
        <f t="shared" si="153"/>
        <v>504</v>
      </c>
      <c r="AQ508" s="568"/>
      <c r="AR508" s="568">
        <f t="shared" si="150"/>
        <v>504</v>
      </c>
      <c r="AS508" s="828"/>
      <c r="AT508" s="568">
        <f t="shared" si="151"/>
        <v>504</v>
      </c>
      <c r="AU508" s="568"/>
      <c r="AV508" s="432"/>
      <c r="AW508" s="432"/>
      <c r="AX508" s="432"/>
      <c r="AY508" s="432"/>
      <c r="AZ508" s="432"/>
      <c r="BA508" s="568"/>
      <c r="BB508" s="828"/>
      <c r="BC508" s="828"/>
      <c r="BD508" s="568"/>
      <c r="BE508" s="568"/>
      <c r="BF508" s="828"/>
      <c r="BG508" s="828"/>
      <c r="BH508" s="828"/>
      <c r="BI508" s="828"/>
      <c r="BJ508" s="568"/>
      <c r="BK508" s="828"/>
      <c r="BL508" s="828"/>
      <c r="BM508" s="828"/>
      <c r="CF508" s="578"/>
      <c r="CG508" s="578"/>
      <c r="CH508" s="578"/>
      <c r="CI508" s="578"/>
      <c r="CJ508" s="578"/>
      <c r="CN508" s="578"/>
      <c r="CO508" s="578"/>
      <c r="CP508" s="578"/>
      <c r="CQ508" s="578"/>
      <c r="CR508" s="578"/>
      <c r="CS508" s="578"/>
    </row>
    <row r="509" s="773" customFormat="1" ht="31" hidden="1" customHeight="1" spans="1:97">
      <c r="A509" s="547">
        <v>45908</v>
      </c>
      <c r="B509" s="548" t="s">
        <v>650</v>
      </c>
      <c r="C509" s="539" t="s">
        <v>249</v>
      </c>
      <c r="D509" s="428">
        <v>4500178992</v>
      </c>
      <c r="E509" s="539" t="s">
        <v>1947</v>
      </c>
      <c r="F509" s="428" t="s">
        <v>1948</v>
      </c>
      <c r="G509" s="549" t="s">
        <v>102</v>
      </c>
      <c r="H509" s="539" t="s">
        <v>65</v>
      </c>
      <c r="I509" s="539">
        <v>14688</v>
      </c>
      <c r="J509" s="539">
        <v>0</v>
      </c>
      <c r="K509" s="539">
        <v>16</v>
      </c>
      <c r="L509" s="795">
        <f t="shared" si="152"/>
        <v>918</v>
      </c>
      <c r="M509" s="797">
        <v>45971</v>
      </c>
      <c r="N509" s="797">
        <v>45967</v>
      </c>
      <c r="O509" s="556"/>
      <c r="P509" s="556" t="s">
        <v>103</v>
      </c>
      <c r="Q509" s="562"/>
      <c r="R509" s="562">
        <v>45908</v>
      </c>
      <c r="S509" s="570" t="s">
        <v>66</v>
      </c>
      <c r="T509" s="570" t="s">
        <v>66</v>
      </c>
      <c r="U509" s="564"/>
      <c r="V509" s="564"/>
      <c r="W509" s="564" t="s">
        <v>1949</v>
      </c>
      <c r="X509" s="513" t="s">
        <v>1499</v>
      </c>
      <c r="Y509" s="800">
        <v>4.2104</v>
      </c>
      <c r="Z509" s="801">
        <f t="shared" si="140"/>
        <v>61842.3552</v>
      </c>
      <c r="AA509" s="549" t="s">
        <v>1950</v>
      </c>
      <c r="AB509" s="549" t="s">
        <v>102</v>
      </c>
      <c r="AC509" s="539" t="s">
        <v>76</v>
      </c>
      <c r="AD509" s="549"/>
      <c r="AE509" s="549"/>
      <c r="AF509" s="549"/>
      <c r="AG509" s="549">
        <v>14688</v>
      </c>
      <c r="AH509" s="584">
        <f t="shared" si="149"/>
        <v>0</v>
      </c>
      <c r="AI509" s="549"/>
      <c r="AJ509" s="549"/>
      <c r="AK509" s="568"/>
      <c r="AL509" s="568">
        <f t="shared" si="146"/>
        <v>14688</v>
      </c>
      <c r="AM509" s="828"/>
      <c r="AN509" s="828"/>
      <c r="AO509" s="828"/>
      <c r="AP509" s="568">
        <f t="shared" si="153"/>
        <v>14688</v>
      </c>
      <c r="AQ509" s="568"/>
      <c r="AR509" s="568">
        <f t="shared" si="150"/>
        <v>14688</v>
      </c>
      <c r="AS509" s="828"/>
      <c r="AT509" s="568">
        <f t="shared" si="151"/>
        <v>14688</v>
      </c>
      <c r="AU509" s="568"/>
      <c r="AV509" s="432"/>
      <c r="AW509" s="432"/>
      <c r="AX509" s="432"/>
      <c r="AY509" s="432"/>
      <c r="AZ509" s="432"/>
      <c r="BA509" s="568"/>
      <c r="BB509" s="828"/>
      <c r="BC509" s="828"/>
      <c r="BD509" s="568">
        <f>I509/4</f>
        <v>3672</v>
      </c>
      <c r="BE509" s="568"/>
      <c r="BF509" s="828"/>
      <c r="BG509" s="828"/>
      <c r="BH509" s="828"/>
      <c r="BI509" s="828"/>
      <c r="BJ509" s="568"/>
      <c r="BK509" s="828"/>
      <c r="BL509" s="828"/>
      <c r="BM509" s="828"/>
      <c r="CF509" s="578"/>
      <c r="CG509" s="578"/>
      <c r="CH509" s="578"/>
      <c r="CI509" s="578"/>
      <c r="CJ509" s="578"/>
      <c r="CN509" s="578"/>
      <c r="CO509" s="578"/>
      <c r="CP509" s="578"/>
      <c r="CQ509" s="578"/>
      <c r="CR509" s="578"/>
      <c r="CS509" s="578"/>
    </row>
    <row r="510" s="773" customFormat="1" ht="31" hidden="1" customHeight="1" spans="1:97">
      <c r="A510" s="547">
        <v>45902</v>
      </c>
      <c r="B510" s="548" t="s">
        <v>1951</v>
      </c>
      <c r="C510" s="539" t="s">
        <v>90</v>
      </c>
      <c r="D510" s="428">
        <v>4500178515</v>
      </c>
      <c r="E510" s="539">
        <v>218139603</v>
      </c>
      <c r="F510" s="428" t="s">
        <v>1952</v>
      </c>
      <c r="G510" s="549" t="s">
        <v>186</v>
      </c>
      <c r="H510" s="539" t="s">
        <v>94</v>
      </c>
      <c r="I510" s="539">
        <v>3252</v>
      </c>
      <c r="J510" s="539">
        <v>0</v>
      </c>
      <c r="K510" s="539">
        <v>4</v>
      </c>
      <c r="L510" s="795">
        <f t="shared" si="152"/>
        <v>813</v>
      </c>
      <c r="M510" s="797">
        <v>45972</v>
      </c>
      <c r="N510" s="797">
        <v>45968</v>
      </c>
      <c r="O510" s="556"/>
      <c r="P510" s="556" t="s">
        <v>103</v>
      </c>
      <c r="Q510" s="562"/>
      <c r="R510" s="562">
        <v>45902</v>
      </c>
      <c r="S510" s="570" t="s">
        <v>66</v>
      </c>
      <c r="T510" s="562" t="s">
        <v>66</v>
      </c>
      <c r="U510" s="564"/>
      <c r="V510" s="564"/>
      <c r="W510" s="564" t="s">
        <v>187</v>
      </c>
      <c r="X510" s="513" t="s">
        <v>1953</v>
      </c>
      <c r="Y510" s="800">
        <v>2.6065</v>
      </c>
      <c r="Z510" s="801">
        <f t="shared" si="140"/>
        <v>8476.338</v>
      </c>
      <c r="AA510" s="549" t="s">
        <v>1954</v>
      </c>
      <c r="AB510" s="539" t="s">
        <v>186</v>
      </c>
      <c r="AC510" s="539" t="s">
        <v>76</v>
      </c>
      <c r="AD510" s="549"/>
      <c r="AE510" s="549"/>
      <c r="AF510" s="549"/>
      <c r="AG510" s="549">
        <f>1200+2052</f>
        <v>3252</v>
      </c>
      <c r="AH510" s="584">
        <f t="shared" si="149"/>
        <v>0</v>
      </c>
      <c r="AI510" s="549"/>
      <c r="AJ510" s="549"/>
      <c r="AK510" s="568"/>
      <c r="AL510" s="568">
        <f t="shared" si="146"/>
        <v>3252</v>
      </c>
      <c r="AM510" s="828"/>
      <c r="AN510" s="828"/>
      <c r="AO510" s="828"/>
      <c r="AP510" s="568">
        <f t="shared" si="153"/>
        <v>3252</v>
      </c>
      <c r="AQ510" s="568"/>
      <c r="AR510" s="568">
        <f t="shared" si="150"/>
        <v>3252</v>
      </c>
      <c r="AS510" s="828"/>
      <c r="AT510" s="568">
        <f t="shared" si="151"/>
        <v>3252</v>
      </c>
      <c r="AU510" s="568"/>
      <c r="AV510" s="432"/>
      <c r="AW510" s="432"/>
      <c r="AX510" s="432"/>
      <c r="AY510" s="432"/>
      <c r="AZ510" s="432"/>
      <c r="BA510" s="568"/>
      <c r="BB510" s="568"/>
      <c r="BC510" s="568"/>
      <c r="BD510" s="568"/>
      <c r="BE510" s="568"/>
      <c r="BF510" s="828"/>
      <c r="BG510" s="828"/>
      <c r="BH510" s="828"/>
      <c r="BI510" s="828"/>
      <c r="BJ510" s="568"/>
      <c r="BK510" s="828"/>
      <c r="BL510" s="828"/>
      <c r="BM510" s="828"/>
      <c r="CF510" s="578"/>
      <c r="CG510" s="578"/>
      <c r="CH510" s="578"/>
      <c r="CI510" s="578"/>
      <c r="CJ510" s="578"/>
      <c r="CN510" s="578"/>
      <c r="CO510" s="578"/>
      <c r="CP510" s="578"/>
      <c r="CQ510" s="578"/>
      <c r="CR510" s="578"/>
      <c r="CS510" s="578"/>
    </row>
    <row r="511" s="773" customFormat="1" ht="31" hidden="1" customHeight="1" spans="1:97">
      <c r="A511" s="547">
        <v>45902</v>
      </c>
      <c r="B511" s="548" t="s">
        <v>184</v>
      </c>
      <c r="C511" s="539" t="s">
        <v>90</v>
      </c>
      <c r="D511" s="428">
        <v>4500178517</v>
      </c>
      <c r="E511" s="539">
        <v>218139605</v>
      </c>
      <c r="F511" s="428" t="s">
        <v>1955</v>
      </c>
      <c r="G511" s="549" t="s">
        <v>186</v>
      </c>
      <c r="H511" s="539" t="s">
        <v>94</v>
      </c>
      <c r="I511" s="539">
        <v>1752</v>
      </c>
      <c r="J511" s="539">
        <v>0</v>
      </c>
      <c r="K511" s="539">
        <v>4</v>
      </c>
      <c r="L511" s="795">
        <f t="shared" si="152"/>
        <v>438</v>
      </c>
      <c r="M511" s="797">
        <v>45972</v>
      </c>
      <c r="N511" s="797">
        <v>45968</v>
      </c>
      <c r="O511" s="556"/>
      <c r="P511" s="556" t="s">
        <v>103</v>
      </c>
      <c r="Q511" s="562"/>
      <c r="R511" s="562">
        <v>45902</v>
      </c>
      <c r="S511" s="570" t="s">
        <v>66</v>
      </c>
      <c r="T511" s="562" t="s">
        <v>66</v>
      </c>
      <c r="U511" s="564"/>
      <c r="V511" s="564"/>
      <c r="W511" s="564" t="s">
        <v>187</v>
      </c>
      <c r="X511" s="513" t="s">
        <v>1850</v>
      </c>
      <c r="Y511" s="800">
        <v>2.6096</v>
      </c>
      <c r="Z511" s="801">
        <f t="shared" si="140"/>
        <v>4572.0192</v>
      </c>
      <c r="AA511" s="549" t="s">
        <v>1956</v>
      </c>
      <c r="AB511" s="539" t="s">
        <v>186</v>
      </c>
      <c r="AC511" s="539" t="s">
        <v>76</v>
      </c>
      <c r="AD511" s="549"/>
      <c r="AE511" s="549"/>
      <c r="AF511" s="549"/>
      <c r="AG511" s="549">
        <v>1752</v>
      </c>
      <c r="AH511" s="584">
        <f t="shared" si="149"/>
        <v>0</v>
      </c>
      <c r="AI511" s="549"/>
      <c r="AJ511" s="549"/>
      <c r="AK511" s="568"/>
      <c r="AL511" s="568">
        <f t="shared" si="146"/>
        <v>1752</v>
      </c>
      <c r="AM511" s="828"/>
      <c r="AN511" s="828"/>
      <c r="AO511" s="828"/>
      <c r="AP511" s="568">
        <f t="shared" si="153"/>
        <v>1752</v>
      </c>
      <c r="AQ511" s="568"/>
      <c r="AR511" s="568">
        <f t="shared" si="150"/>
        <v>1752</v>
      </c>
      <c r="AS511" s="828"/>
      <c r="AT511" s="568">
        <f t="shared" si="151"/>
        <v>1752</v>
      </c>
      <c r="AU511" s="568"/>
      <c r="AV511" s="582"/>
      <c r="AW511" s="582"/>
      <c r="AX511" s="582"/>
      <c r="AY511" s="582"/>
      <c r="AZ511" s="582"/>
      <c r="BA511" s="568"/>
      <c r="BB511" s="568"/>
      <c r="BC511" s="568"/>
      <c r="BD511" s="568"/>
      <c r="BE511" s="568"/>
      <c r="BF511" s="828"/>
      <c r="BG511" s="828"/>
      <c r="BH511" s="828"/>
      <c r="BI511" s="828"/>
      <c r="BJ511" s="568"/>
      <c r="BK511" s="828"/>
      <c r="BL511" s="828"/>
      <c r="BM511" s="828"/>
      <c r="CF511" s="578"/>
      <c r="CG511" s="578"/>
      <c r="CH511" s="578"/>
      <c r="CI511" s="578"/>
      <c r="CJ511" s="578"/>
      <c r="CN511" s="578"/>
      <c r="CO511" s="578"/>
      <c r="CP511" s="578"/>
      <c r="CQ511" s="578"/>
      <c r="CR511" s="578"/>
      <c r="CS511" s="578"/>
    </row>
    <row r="512" s="773" customFormat="1" ht="31" hidden="1" customHeight="1" spans="1:97">
      <c r="A512" s="547">
        <v>45911</v>
      </c>
      <c r="B512" s="548" t="s">
        <v>190</v>
      </c>
      <c r="C512" s="539" t="s">
        <v>191</v>
      </c>
      <c r="D512" s="428">
        <v>4500179336</v>
      </c>
      <c r="E512" s="539" t="s">
        <v>1957</v>
      </c>
      <c r="F512" s="428" t="s">
        <v>1958</v>
      </c>
      <c r="G512" s="549" t="s">
        <v>102</v>
      </c>
      <c r="H512" s="539" t="s">
        <v>65</v>
      </c>
      <c r="I512" s="539">
        <v>368</v>
      </c>
      <c r="J512" s="539">
        <v>0</v>
      </c>
      <c r="K512" s="539">
        <v>16</v>
      </c>
      <c r="L512" s="795">
        <f t="shared" si="152"/>
        <v>23</v>
      </c>
      <c r="M512" s="797">
        <v>45975</v>
      </c>
      <c r="N512" s="797">
        <v>45971</v>
      </c>
      <c r="O512" s="556"/>
      <c r="P512" s="556" t="s">
        <v>103</v>
      </c>
      <c r="Q512" s="562"/>
      <c r="R512" s="562">
        <v>45911</v>
      </c>
      <c r="S512" s="570" t="s">
        <v>66</v>
      </c>
      <c r="T512" s="562" t="s">
        <v>1959</v>
      </c>
      <c r="U512" s="564"/>
      <c r="V512" s="564"/>
      <c r="W512" s="564" t="s">
        <v>1960</v>
      </c>
      <c r="X512" s="513" t="s">
        <v>1663</v>
      </c>
      <c r="Y512" s="800">
        <v>4.2114</v>
      </c>
      <c r="Z512" s="801">
        <f t="shared" si="140"/>
        <v>1549.7952</v>
      </c>
      <c r="AA512" s="549" t="s">
        <v>1961</v>
      </c>
      <c r="AB512" s="549" t="s">
        <v>102</v>
      </c>
      <c r="AC512" s="539" t="s">
        <v>76</v>
      </c>
      <c r="AD512" s="549"/>
      <c r="AE512" s="549"/>
      <c r="AF512" s="549"/>
      <c r="AG512" s="549">
        <v>368</v>
      </c>
      <c r="AH512" s="584">
        <f t="shared" si="149"/>
        <v>0</v>
      </c>
      <c r="AI512" s="549"/>
      <c r="AJ512" s="549"/>
      <c r="AK512" s="568"/>
      <c r="AL512" s="568">
        <f t="shared" si="146"/>
        <v>368</v>
      </c>
      <c r="AM512" s="828"/>
      <c r="AN512" s="828"/>
      <c r="AO512" s="828"/>
      <c r="AP512" s="568">
        <f t="shared" si="153"/>
        <v>368</v>
      </c>
      <c r="AQ512" s="568"/>
      <c r="AR512" s="568">
        <f t="shared" si="150"/>
        <v>368</v>
      </c>
      <c r="AS512" s="828"/>
      <c r="AT512" s="568">
        <f t="shared" si="151"/>
        <v>368</v>
      </c>
      <c r="AU512" s="568"/>
      <c r="AV512" s="432"/>
      <c r="AW512" s="432"/>
      <c r="AX512" s="432"/>
      <c r="AY512" s="432"/>
      <c r="AZ512" s="432"/>
      <c r="BA512" s="568"/>
      <c r="BB512" s="568"/>
      <c r="BC512" s="568"/>
      <c r="BD512" s="568">
        <f>I512/4</f>
        <v>92</v>
      </c>
      <c r="BE512" s="568"/>
      <c r="BF512" s="828"/>
      <c r="BG512" s="828"/>
      <c r="BH512" s="828"/>
      <c r="BI512" s="828"/>
      <c r="BJ512" s="568"/>
      <c r="BK512" s="828"/>
      <c r="BL512" s="828"/>
      <c r="BM512" s="828"/>
      <c r="CF512" s="578"/>
      <c r="CG512" s="578"/>
      <c r="CH512" s="578"/>
      <c r="CI512" s="578"/>
      <c r="CJ512" s="578"/>
      <c r="CN512" s="578"/>
      <c r="CO512" s="578"/>
      <c r="CP512" s="578"/>
      <c r="CQ512" s="578"/>
      <c r="CR512" s="578"/>
      <c r="CS512" s="578"/>
    </row>
    <row r="513" s="773" customFormat="1" ht="31" hidden="1" customHeight="1" spans="1:65">
      <c r="A513" s="547">
        <v>45863</v>
      </c>
      <c r="B513" s="548" t="s">
        <v>1962</v>
      </c>
      <c r="C513" s="539" t="s">
        <v>468</v>
      </c>
      <c r="D513" s="568" t="s">
        <v>1963</v>
      </c>
      <c r="E513" s="539" t="s">
        <v>1964</v>
      </c>
      <c r="F513" s="568" t="s">
        <v>1965</v>
      </c>
      <c r="G513" s="551" t="s">
        <v>64</v>
      </c>
      <c r="H513" s="539" t="s">
        <v>65</v>
      </c>
      <c r="I513" s="539">
        <v>108</v>
      </c>
      <c r="J513" s="539">
        <v>0</v>
      </c>
      <c r="K513" s="539">
        <v>12</v>
      </c>
      <c r="L513" s="795">
        <f t="shared" si="152"/>
        <v>9</v>
      </c>
      <c r="M513" s="555">
        <v>45897</v>
      </c>
      <c r="N513" s="555">
        <v>45894</v>
      </c>
      <c r="O513" s="584"/>
      <c r="P513" s="584"/>
      <c r="Q513" s="539"/>
      <c r="R513" s="570" t="s">
        <v>1966</v>
      </c>
      <c r="S513" s="570" t="s">
        <v>96</v>
      </c>
      <c r="T513" s="570" t="s">
        <v>403</v>
      </c>
      <c r="U513" s="570"/>
      <c r="V513" s="570"/>
      <c r="W513" s="564" t="s">
        <v>1967</v>
      </c>
      <c r="X513" s="797" t="s">
        <v>1968</v>
      </c>
      <c r="Y513" s="800"/>
      <c r="Z513" s="801"/>
      <c r="AA513" s="539"/>
      <c r="AB513" s="568" t="s">
        <v>165</v>
      </c>
      <c r="AC513" s="539" t="s">
        <v>68</v>
      </c>
      <c r="AD513" s="539"/>
      <c r="AE513" s="539"/>
      <c r="AF513" s="539"/>
      <c r="AG513" s="584"/>
      <c r="AH513" s="584">
        <f t="shared" si="149"/>
        <v>-108</v>
      </c>
      <c r="AI513" s="539"/>
      <c r="AJ513" s="539"/>
      <c r="AK513" s="539"/>
      <c r="AL513" s="568">
        <f t="shared" si="146"/>
        <v>108</v>
      </c>
      <c r="AM513" s="828"/>
      <c r="AN513" s="828"/>
      <c r="AO513" s="828"/>
      <c r="AP513" s="828"/>
      <c r="AQ513" s="568">
        <f>I513</f>
        <v>108</v>
      </c>
      <c r="AR513" s="568">
        <f t="shared" si="150"/>
        <v>108</v>
      </c>
      <c r="AS513" s="828"/>
      <c r="AT513" s="543">
        <f t="shared" si="151"/>
        <v>108</v>
      </c>
      <c r="AU513" s="568"/>
      <c r="AV513" s="568"/>
      <c r="AW513" s="432"/>
      <c r="AX513" s="432"/>
      <c r="AY513" s="432"/>
      <c r="AZ513" s="432"/>
      <c r="BA513" s="568"/>
      <c r="BB513" s="828"/>
      <c r="BC513" s="828"/>
      <c r="BD513" s="568"/>
      <c r="BE513" s="568"/>
      <c r="BF513" s="828"/>
      <c r="BG513" s="828"/>
      <c r="BH513" s="828"/>
      <c r="BI513" s="568"/>
      <c r="BJ513" s="568"/>
      <c r="BK513" s="828"/>
      <c r="BL513" s="828"/>
      <c r="BM513" s="828"/>
    </row>
    <row r="514" s="773" customFormat="1" ht="31" hidden="1" customHeight="1" spans="1:65">
      <c r="A514" s="547">
        <v>45915</v>
      </c>
      <c r="B514" s="548"/>
      <c r="C514" s="539"/>
      <c r="D514" s="568" t="s">
        <v>1969</v>
      </c>
      <c r="E514" s="539"/>
      <c r="F514" s="828"/>
      <c r="G514" s="551" t="s">
        <v>423</v>
      </c>
      <c r="H514" s="539" t="s">
        <v>424</v>
      </c>
      <c r="I514" s="539">
        <v>60</v>
      </c>
      <c r="J514" s="539">
        <v>0</v>
      </c>
      <c r="K514" s="539">
        <v>6</v>
      </c>
      <c r="L514" s="795">
        <f t="shared" si="152"/>
        <v>10</v>
      </c>
      <c r="M514" s="555">
        <v>45929</v>
      </c>
      <c r="N514" s="555">
        <v>45925</v>
      </c>
      <c r="O514" s="584"/>
      <c r="P514" s="584"/>
      <c r="Q514" s="539"/>
      <c r="R514" s="570">
        <v>45915</v>
      </c>
      <c r="S514" s="570" t="s">
        <v>66</v>
      </c>
      <c r="T514" s="570" t="s">
        <v>66</v>
      </c>
      <c r="U514" s="570"/>
      <c r="V514" s="570"/>
      <c r="W514" s="564" t="s">
        <v>425</v>
      </c>
      <c r="X514" s="797" t="s">
        <v>79</v>
      </c>
      <c r="Y514" s="800"/>
      <c r="Z514" s="801"/>
      <c r="AA514" s="539"/>
      <c r="AB514" s="509" t="s">
        <v>427</v>
      </c>
      <c r="AC514" s="539" t="s">
        <v>76</v>
      </c>
      <c r="AD514" s="539"/>
      <c r="AE514" s="539"/>
      <c r="AF514" s="539"/>
      <c r="AG514" s="584">
        <v>60</v>
      </c>
      <c r="AH514" s="584">
        <f t="shared" si="149"/>
        <v>0</v>
      </c>
      <c r="AI514" s="539"/>
      <c r="AJ514" s="539"/>
      <c r="AK514" s="539"/>
      <c r="AL514" s="568">
        <f t="shared" si="146"/>
        <v>60</v>
      </c>
      <c r="AM514" s="828"/>
      <c r="AN514" s="828"/>
      <c r="AO514" s="828"/>
      <c r="AP514" s="828"/>
      <c r="AQ514" s="568">
        <f>I514</f>
        <v>60</v>
      </c>
      <c r="AR514" s="568">
        <f t="shared" si="150"/>
        <v>60</v>
      </c>
      <c r="AS514" s="828"/>
      <c r="AT514" s="568">
        <f t="shared" si="151"/>
        <v>60</v>
      </c>
      <c r="AU514" s="828"/>
      <c r="AV514" s="432"/>
      <c r="AW514" s="432"/>
      <c r="AX514" s="432"/>
      <c r="AY514" s="432"/>
      <c r="AZ514" s="432"/>
      <c r="BA514" s="568"/>
      <c r="BB514" s="828"/>
      <c r="BC514" s="828"/>
      <c r="BD514" s="568"/>
      <c r="BE514" s="568"/>
      <c r="BF514" s="828"/>
      <c r="BG514" s="828"/>
      <c r="BH514" s="828"/>
      <c r="BI514" s="568"/>
      <c r="BJ514" s="568">
        <f>I514</f>
        <v>60</v>
      </c>
      <c r="BK514" s="828"/>
      <c r="BL514" s="828"/>
      <c r="BM514" s="828"/>
    </row>
    <row r="515" s="773" customFormat="1" ht="31" hidden="1" customHeight="1" spans="1:97">
      <c r="A515" s="547">
        <v>45929</v>
      </c>
      <c r="B515" s="548"/>
      <c r="C515" s="539"/>
      <c r="D515" s="428" t="s">
        <v>1970</v>
      </c>
      <c r="E515" s="539"/>
      <c r="F515" s="828"/>
      <c r="G515" s="549" t="s">
        <v>64</v>
      </c>
      <c r="H515" s="539" t="s">
        <v>65</v>
      </c>
      <c r="I515" s="539">
        <v>192</v>
      </c>
      <c r="J515" s="539">
        <v>0</v>
      </c>
      <c r="K515" s="539">
        <v>12</v>
      </c>
      <c r="L515" s="795">
        <f t="shared" si="152"/>
        <v>16</v>
      </c>
      <c r="M515" s="797">
        <v>45950</v>
      </c>
      <c r="N515" s="797">
        <v>45946</v>
      </c>
      <c r="O515" s="556"/>
      <c r="P515" s="549"/>
      <c r="Q515" s="562"/>
      <c r="R515" s="562">
        <v>45929</v>
      </c>
      <c r="S515" s="562" t="s">
        <v>66</v>
      </c>
      <c r="T515" s="570" t="s">
        <v>66</v>
      </c>
      <c r="U515" s="564"/>
      <c r="V515" s="564"/>
      <c r="W515" s="564" t="s">
        <v>78</v>
      </c>
      <c r="X515" s="513" t="s">
        <v>79</v>
      </c>
      <c r="Y515" s="800"/>
      <c r="Z515" s="801"/>
      <c r="AA515" s="549"/>
      <c r="AB515" s="549" t="s">
        <v>64</v>
      </c>
      <c r="AC515" s="539" t="s">
        <v>76</v>
      </c>
      <c r="AD515" s="549"/>
      <c r="AE515" s="549"/>
      <c r="AF515" s="549"/>
      <c r="AG515" s="549">
        <v>192</v>
      </c>
      <c r="AH515" s="584">
        <f t="shared" si="149"/>
        <v>0</v>
      </c>
      <c r="AI515" s="549"/>
      <c r="AJ515" s="549"/>
      <c r="AK515" s="568"/>
      <c r="AL515" s="568">
        <f t="shared" si="146"/>
        <v>192</v>
      </c>
      <c r="AM515" s="828"/>
      <c r="AN515" s="828"/>
      <c r="AO515" s="828"/>
      <c r="AP515" s="568">
        <f>I515</f>
        <v>192</v>
      </c>
      <c r="AQ515" s="568"/>
      <c r="AR515" s="568">
        <f t="shared" si="150"/>
        <v>192</v>
      </c>
      <c r="AS515" s="828"/>
      <c r="AT515" s="568">
        <f t="shared" si="151"/>
        <v>192</v>
      </c>
      <c r="AU515" s="568"/>
      <c r="AV515" s="582"/>
      <c r="AW515" s="582"/>
      <c r="AX515" s="582"/>
      <c r="AY515" s="582"/>
      <c r="AZ515" s="582"/>
      <c r="BA515" s="568"/>
      <c r="BB515" s="828"/>
      <c r="BC515" s="828"/>
      <c r="BD515" s="568"/>
      <c r="BE515" s="568"/>
      <c r="BF515" s="828"/>
      <c r="BG515" s="828"/>
      <c r="BH515" s="828"/>
      <c r="BI515" s="568"/>
      <c r="BJ515" s="568"/>
      <c r="BK515" s="828"/>
      <c r="BL515" s="828"/>
      <c r="BM515" s="828"/>
      <c r="CF515" s="578"/>
      <c r="CG515" s="578"/>
      <c r="CH515" s="578"/>
      <c r="CI515" s="578"/>
      <c r="CJ515" s="578"/>
      <c r="CN515" s="578"/>
      <c r="CO515" s="578"/>
      <c r="CP515" s="578"/>
      <c r="CQ515" s="578"/>
      <c r="CR515" s="578"/>
      <c r="CS515" s="578"/>
    </row>
    <row r="516" s="773" customFormat="1" ht="31" hidden="1" customHeight="1" spans="1:97">
      <c r="A516" s="547">
        <v>45911</v>
      </c>
      <c r="B516" s="548" t="s">
        <v>190</v>
      </c>
      <c r="C516" s="539" t="s">
        <v>191</v>
      </c>
      <c r="D516" s="428">
        <v>4500179336</v>
      </c>
      <c r="E516" s="539" t="s">
        <v>1957</v>
      </c>
      <c r="F516" s="428" t="s">
        <v>1971</v>
      </c>
      <c r="G516" s="549" t="s">
        <v>463</v>
      </c>
      <c r="H516" s="539" t="s">
        <v>424</v>
      </c>
      <c r="I516" s="539">
        <v>720</v>
      </c>
      <c r="J516" s="539">
        <v>0</v>
      </c>
      <c r="K516" s="539">
        <v>6</v>
      </c>
      <c r="L516" s="795">
        <f t="shared" ref="L477:L579" si="154">I516/K516</f>
        <v>120</v>
      </c>
      <c r="M516" s="797">
        <v>45975</v>
      </c>
      <c r="N516" s="797">
        <v>45971</v>
      </c>
      <c r="O516" s="556"/>
      <c r="P516" s="556" t="s">
        <v>103</v>
      </c>
      <c r="Q516" s="562"/>
      <c r="R516" s="562">
        <v>45911</v>
      </c>
      <c r="S516" s="570" t="s">
        <v>66</v>
      </c>
      <c r="T516" s="562" t="s">
        <v>1959</v>
      </c>
      <c r="U516" s="564" t="s">
        <v>465</v>
      </c>
      <c r="V516" s="564"/>
      <c r="W516" s="564" t="s">
        <v>1972</v>
      </c>
      <c r="X516" s="513" t="s">
        <v>1663</v>
      </c>
      <c r="Y516" s="800">
        <v>6.5552</v>
      </c>
      <c r="Z516" s="801">
        <f t="shared" ref="Z490:Z569" si="155">Y516*I516</f>
        <v>4719.744</v>
      </c>
      <c r="AA516" s="549" t="s">
        <v>1961</v>
      </c>
      <c r="AB516" s="549" t="s">
        <v>1742</v>
      </c>
      <c r="AC516" s="539" t="s">
        <v>76</v>
      </c>
      <c r="AD516" s="549"/>
      <c r="AE516" s="549"/>
      <c r="AF516" s="549"/>
      <c r="AG516" s="549">
        <v>720</v>
      </c>
      <c r="AH516" s="584">
        <f t="shared" ref="AH512:AH529" si="156">AG516-I516</f>
        <v>0</v>
      </c>
      <c r="AI516" s="549"/>
      <c r="AJ516" s="549"/>
      <c r="AK516" s="568"/>
      <c r="AL516" s="568">
        <f t="shared" si="146"/>
        <v>720</v>
      </c>
      <c r="AM516" s="828"/>
      <c r="AN516" s="828"/>
      <c r="AO516" s="828"/>
      <c r="AP516" s="568">
        <f>I516</f>
        <v>720</v>
      </c>
      <c r="AQ516" s="568"/>
      <c r="AR516" s="568">
        <f t="shared" ref="AR505:AR539" si="157">I516</f>
        <v>720</v>
      </c>
      <c r="AS516" s="828"/>
      <c r="AT516" s="568">
        <f t="shared" ref="AT512:AT524" si="158">I516</f>
        <v>720</v>
      </c>
      <c r="AU516" s="568"/>
      <c r="AV516" s="432"/>
      <c r="AW516" s="432"/>
      <c r="AX516" s="432"/>
      <c r="AY516" s="432"/>
      <c r="AZ516" s="432"/>
      <c r="BA516" s="568"/>
      <c r="BB516" s="568"/>
      <c r="BC516" s="568"/>
      <c r="BD516" s="568"/>
      <c r="BE516" s="568"/>
      <c r="BF516" s="828"/>
      <c r="BG516" s="828"/>
      <c r="BH516" s="828"/>
      <c r="BI516" s="568"/>
      <c r="BJ516" s="428">
        <f>I516</f>
        <v>720</v>
      </c>
      <c r="BK516" s="828"/>
      <c r="BL516" s="828"/>
      <c r="BM516" s="828"/>
      <c r="CF516" s="578"/>
      <c r="CG516" s="578"/>
      <c r="CH516" s="578"/>
      <c r="CI516" s="578"/>
      <c r="CJ516" s="578"/>
      <c r="CN516" s="578"/>
      <c r="CO516" s="578"/>
      <c r="CP516" s="578"/>
      <c r="CQ516" s="578"/>
      <c r="CR516" s="578"/>
      <c r="CS516" s="578"/>
    </row>
    <row r="517" s="773" customFormat="1" ht="31" hidden="1" customHeight="1" spans="1:97">
      <c r="A517" s="547">
        <v>45919</v>
      </c>
      <c r="B517" s="548" t="s">
        <v>128</v>
      </c>
      <c r="C517" s="539" t="s">
        <v>90</v>
      </c>
      <c r="D517" s="428">
        <v>4500179921</v>
      </c>
      <c r="E517" s="887" t="s">
        <v>1973</v>
      </c>
      <c r="F517" s="428" t="s">
        <v>1974</v>
      </c>
      <c r="G517" s="549" t="s">
        <v>93</v>
      </c>
      <c r="H517" s="539" t="s">
        <v>94</v>
      </c>
      <c r="I517" s="539">
        <v>6720</v>
      </c>
      <c r="J517" s="539">
        <v>0</v>
      </c>
      <c r="K517" s="539">
        <v>4</v>
      </c>
      <c r="L517" s="795">
        <f t="shared" si="154"/>
        <v>1680</v>
      </c>
      <c r="M517" s="797">
        <v>45975</v>
      </c>
      <c r="N517" s="797">
        <v>45971</v>
      </c>
      <c r="O517" s="556" t="s">
        <v>1975</v>
      </c>
      <c r="P517" s="556" t="s">
        <v>103</v>
      </c>
      <c r="Q517" s="539"/>
      <c r="R517" s="570" t="s">
        <v>132</v>
      </c>
      <c r="S517" s="570" t="s">
        <v>66</v>
      </c>
      <c r="T517" s="570">
        <v>45950</v>
      </c>
      <c r="U517" s="570" t="s">
        <v>133</v>
      </c>
      <c r="V517" s="564"/>
      <c r="W517" s="564" t="s">
        <v>1976</v>
      </c>
      <c r="X517" s="513" t="s">
        <v>98</v>
      </c>
      <c r="Y517" s="800">
        <v>2.5439</v>
      </c>
      <c r="Z517" s="801">
        <f t="shared" si="155"/>
        <v>17095.008</v>
      </c>
      <c r="AA517" s="549" t="s">
        <v>1977</v>
      </c>
      <c r="AB517" s="539" t="s">
        <v>93</v>
      </c>
      <c r="AC517" s="539" t="s">
        <v>76</v>
      </c>
      <c r="AD517" s="549"/>
      <c r="AE517" s="549"/>
      <c r="AF517" s="549"/>
      <c r="AG517" s="549">
        <f>3120+3600</f>
        <v>6720</v>
      </c>
      <c r="AH517" s="549">
        <f t="shared" si="156"/>
        <v>0</v>
      </c>
      <c r="AI517" s="549"/>
      <c r="AJ517" s="549"/>
      <c r="AK517" s="568"/>
      <c r="AL517" s="568">
        <f t="shared" si="146"/>
        <v>6720</v>
      </c>
      <c r="AM517" s="828"/>
      <c r="AN517" s="828"/>
      <c r="AO517" s="828"/>
      <c r="AP517" s="568">
        <f t="shared" ref="AP517:AP529" si="159">I517</f>
        <v>6720</v>
      </c>
      <c r="AQ517" s="568"/>
      <c r="AR517" s="568">
        <f t="shared" si="157"/>
        <v>6720</v>
      </c>
      <c r="AS517" s="828"/>
      <c r="AT517" s="568">
        <f t="shared" si="158"/>
        <v>6720</v>
      </c>
      <c r="AU517" s="568"/>
      <c r="AV517" s="432"/>
      <c r="AW517" s="432"/>
      <c r="AX517" s="432"/>
      <c r="AY517" s="432"/>
      <c r="AZ517" s="432"/>
      <c r="BA517" s="568"/>
      <c r="BB517" s="568"/>
      <c r="BC517" s="568"/>
      <c r="BD517" s="568">
        <f t="shared" ref="BD517:BD524" si="160">I517/4</f>
        <v>1680</v>
      </c>
      <c r="BE517" s="568"/>
      <c r="BF517" s="828"/>
      <c r="BG517" s="828"/>
      <c r="BH517" s="828"/>
      <c r="BI517" s="568"/>
      <c r="BJ517" s="568"/>
      <c r="BK517" s="828"/>
      <c r="BL517" s="828"/>
      <c r="BM517" s="828"/>
      <c r="CF517" s="578"/>
      <c r="CG517" s="578"/>
      <c r="CH517" s="578"/>
      <c r="CI517" s="578"/>
      <c r="CJ517" s="578"/>
      <c r="CN517" s="578"/>
      <c r="CO517" s="578"/>
      <c r="CP517" s="578"/>
      <c r="CQ517" s="578"/>
      <c r="CR517" s="578"/>
      <c r="CS517" s="578"/>
    </row>
    <row r="518" s="773" customFormat="1" ht="31" hidden="1" customHeight="1" spans="1:97">
      <c r="A518" s="547">
        <v>45919</v>
      </c>
      <c r="B518" s="548" t="s">
        <v>128</v>
      </c>
      <c r="C518" s="539" t="s">
        <v>90</v>
      </c>
      <c r="D518" s="428">
        <v>4500179921</v>
      </c>
      <c r="E518" s="887" t="s">
        <v>1978</v>
      </c>
      <c r="F518" s="428" t="s">
        <v>1979</v>
      </c>
      <c r="G518" s="549" t="s">
        <v>93</v>
      </c>
      <c r="H518" s="539" t="s">
        <v>94</v>
      </c>
      <c r="I518" s="539">
        <v>5760</v>
      </c>
      <c r="J518" s="539">
        <v>0</v>
      </c>
      <c r="K518" s="539">
        <v>4</v>
      </c>
      <c r="L518" s="795">
        <f t="shared" si="154"/>
        <v>1440</v>
      </c>
      <c r="M518" s="797">
        <v>45975</v>
      </c>
      <c r="N518" s="797">
        <v>45971</v>
      </c>
      <c r="O518" s="556" t="s">
        <v>1975</v>
      </c>
      <c r="P518" s="556" t="s">
        <v>103</v>
      </c>
      <c r="Q518" s="539"/>
      <c r="R518" s="570" t="s">
        <v>132</v>
      </c>
      <c r="S518" s="570" t="s">
        <v>66</v>
      </c>
      <c r="T518" s="570">
        <v>45950</v>
      </c>
      <c r="U518" s="570" t="s">
        <v>133</v>
      </c>
      <c r="V518" s="564"/>
      <c r="W518" s="564" t="s">
        <v>1976</v>
      </c>
      <c r="X518" s="513" t="s">
        <v>98</v>
      </c>
      <c r="Y518" s="800">
        <v>2.5439</v>
      </c>
      <c r="Z518" s="801">
        <f t="shared" si="155"/>
        <v>14652.864</v>
      </c>
      <c r="AA518" s="549" t="s">
        <v>1980</v>
      </c>
      <c r="AB518" s="539" t="s">
        <v>93</v>
      </c>
      <c r="AC518" s="539" t="s">
        <v>76</v>
      </c>
      <c r="AD518" s="549"/>
      <c r="AE518" s="549"/>
      <c r="AF518" s="549"/>
      <c r="AG518" s="549">
        <v>5760</v>
      </c>
      <c r="AH518" s="549">
        <f t="shared" si="156"/>
        <v>0</v>
      </c>
      <c r="AI518" s="549"/>
      <c r="AJ518" s="549"/>
      <c r="AK518" s="568"/>
      <c r="AL518" s="568">
        <f t="shared" si="146"/>
        <v>5760</v>
      </c>
      <c r="AM518" s="828"/>
      <c r="AN518" s="828"/>
      <c r="AO518" s="828"/>
      <c r="AP518" s="568">
        <f t="shared" si="159"/>
        <v>5760</v>
      </c>
      <c r="AQ518" s="568"/>
      <c r="AR518" s="568">
        <f t="shared" si="157"/>
        <v>5760</v>
      </c>
      <c r="AS518" s="828"/>
      <c r="AT518" s="568">
        <f t="shared" si="158"/>
        <v>5760</v>
      </c>
      <c r="AU518" s="568"/>
      <c r="AV518" s="432"/>
      <c r="AW518" s="432"/>
      <c r="AX518" s="432"/>
      <c r="AY518" s="432"/>
      <c r="AZ518" s="432"/>
      <c r="BA518" s="568"/>
      <c r="BB518" s="568"/>
      <c r="BC518" s="568"/>
      <c r="BD518" s="568">
        <f t="shared" si="160"/>
        <v>1440</v>
      </c>
      <c r="BE518" s="568"/>
      <c r="BF518" s="828"/>
      <c r="BG518" s="828"/>
      <c r="BH518" s="828"/>
      <c r="BI518" s="568"/>
      <c r="BJ518" s="568"/>
      <c r="BK518" s="828"/>
      <c r="BL518" s="828"/>
      <c r="BM518" s="828"/>
      <c r="CF518" s="578"/>
      <c r="CG518" s="578"/>
      <c r="CH518" s="578"/>
      <c r="CI518" s="578"/>
      <c r="CJ518" s="578"/>
      <c r="CN518" s="578"/>
      <c r="CO518" s="578"/>
      <c r="CP518" s="578"/>
      <c r="CQ518" s="578"/>
      <c r="CR518" s="578"/>
      <c r="CS518" s="578"/>
    </row>
    <row r="519" s="773" customFormat="1" ht="31" hidden="1" customHeight="1" spans="1:97">
      <c r="A519" s="547">
        <v>45919</v>
      </c>
      <c r="B519" s="548" t="s">
        <v>128</v>
      </c>
      <c r="C519" s="539" t="s">
        <v>90</v>
      </c>
      <c r="D519" s="428">
        <v>4500179921</v>
      </c>
      <c r="E519" s="887" t="s">
        <v>1981</v>
      </c>
      <c r="F519" s="428" t="s">
        <v>1982</v>
      </c>
      <c r="G519" s="549" t="s">
        <v>93</v>
      </c>
      <c r="H519" s="539" t="s">
        <v>94</v>
      </c>
      <c r="I519" s="539">
        <v>4800</v>
      </c>
      <c r="J519" s="539">
        <v>0</v>
      </c>
      <c r="K519" s="539">
        <v>4</v>
      </c>
      <c r="L519" s="795">
        <f t="shared" si="154"/>
        <v>1200</v>
      </c>
      <c r="M519" s="797">
        <v>45975</v>
      </c>
      <c r="N519" s="797">
        <v>45971</v>
      </c>
      <c r="O519" s="556" t="s">
        <v>1975</v>
      </c>
      <c r="P519" s="556" t="s">
        <v>103</v>
      </c>
      <c r="Q519" s="539"/>
      <c r="R519" s="570" t="s">
        <v>132</v>
      </c>
      <c r="S519" s="570" t="s">
        <v>66</v>
      </c>
      <c r="T519" s="570">
        <v>45950</v>
      </c>
      <c r="U519" s="570" t="s">
        <v>133</v>
      </c>
      <c r="V519" s="564"/>
      <c r="W519" s="564" t="s">
        <v>1976</v>
      </c>
      <c r="X519" s="513" t="s">
        <v>98</v>
      </c>
      <c r="Y519" s="800">
        <v>2.5439</v>
      </c>
      <c r="Z519" s="801">
        <f t="shared" si="155"/>
        <v>12210.72</v>
      </c>
      <c r="AA519" s="549" t="s">
        <v>1983</v>
      </c>
      <c r="AB519" s="539" t="s">
        <v>93</v>
      </c>
      <c r="AC519" s="539" t="s">
        <v>76</v>
      </c>
      <c r="AD519" s="549"/>
      <c r="AE519" s="549"/>
      <c r="AF519" s="549"/>
      <c r="AG519" s="549">
        <v>4800</v>
      </c>
      <c r="AH519" s="549">
        <f t="shared" si="156"/>
        <v>0</v>
      </c>
      <c r="AI519" s="549"/>
      <c r="AJ519" s="549"/>
      <c r="AK519" s="568"/>
      <c r="AL519" s="568">
        <f t="shared" si="146"/>
        <v>4800</v>
      </c>
      <c r="AM519" s="828"/>
      <c r="AN519" s="828"/>
      <c r="AO519" s="828"/>
      <c r="AP519" s="568">
        <f t="shared" si="159"/>
        <v>4800</v>
      </c>
      <c r="AQ519" s="568"/>
      <c r="AR519" s="568">
        <f t="shared" si="157"/>
        <v>4800</v>
      </c>
      <c r="AS519" s="828"/>
      <c r="AT519" s="568">
        <f t="shared" si="158"/>
        <v>4800</v>
      </c>
      <c r="AU519" s="568"/>
      <c r="AV519" s="582"/>
      <c r="AW519" s="582"/>
      <c r="AX519" s="582"/>
      <c r="AY519" s="582"/>
      <c r="AZ519" s="582"/>
      <c r="BA519" s="568"/>
      <c r="BB519" s="568"/>
      <c r="BC519" s="568"/>
      <c r="BD519" s="568">
        <f t="shared" si="160"/>
        <v>1200</v>
      </c>
      <c r="BE519" s="568"/>
      <c r="BF519" s="828"/>
      <c r="BG519" s="828"/>
      <c r="BH519" s="828"/>
      <c r="BI519" s="568"/>
      <c r="BJ519" s="568"/>
      <c r="BK519" s="828"/>
      <c r="BL519" s="828"/>
      <c r="BM519" s="828"/>
      <c r="CF519" s="578"/>
      <c r="CG519" s="578"/>
      <c r="CH519" s="578"/>
      <c r="CI519" s="578"/>
      <c r="CJ519" s="578"/>
      <c r="CN519" s="578"/>
      <c r="CO519" s="578"/>
      <c r="CP519" s="578"/>
      <c r="CQ519" s="578"/>
      <c r="CR519" s="578"/>
      <c r="CS519" s="578"/>
    </row>
    <row r="520" s="773" customFormat="1" ht="31" hidden="1" customHeight="1" spans="1:97">
      <c r="A520" s="547">
        <v>45919</v>
      </c>
      <c r="B520" s="548" t="s">
        <v>128</v>
      </c>
      <c r="C520" s="539" t="s">
        <v>90</v>
      </c>
      <c r="D520" s="428">
        <v>4500179921</v>
      </c>
      <c r="E520" s="887" t="s">
        <v>1984</v>
      </c>
      <c r="F520" s="428" t="s">
        <v>1985</v>
      </c>
      <c r="G520" s="549" t="s">
        <v>93</v>
      </c>
      <c r="H520" s="539" t="s">
        <v>94</v>
      </c>
      <c r="I520" s="539">
        <v>4480</v>
      </c>
      <c r="J520" s="539">
        <v>0</v>
      </c>
      <c r="K520" s="539">
        <v>4</v>
      </c>
      <c r="L520" s="795">
        <f t="shared" si="154"/>
        <v>1120</v>
      </c>
      <c r="M520" s="797">
        <v>45975</v>
      </c>
      <c r="N520" s="797">
        <v>45971</v>
      </c>
      <c r="O520" s="556" t="s">
        <v>1975</v>
      </c>
      <c r="P520" s="556" t="s">
        <v>103</v>
      </c>
      <c r="Q520" s="539"/>
      <c r="R520" s="570" t="s">
        <v>132</v>
      </c>
      <c r="S520" s="570" t="s">
        <v>66</v>
      </c>
      <c r="T520" s="570">
        <v>45950</v>
      </c>
      <c r="U520" s="570" t="s">
        <v>133</v>
      </c>
      <c r="V520" s="564"/>
      <c r="W520" s="564" t="s">
        <v>1976</v>
      </c>
      <c r="X520" s="513" t="s">
        <v>98</v>
      </c>
      <c r="Y520" s="800">
        <v>2.5439</v>
      </c>
      <c r="Z520" s="801">
        <f t="shared" si="155"/>
        <v>11396.672</v>
      </c>
      <c r="AA520" s="549" t="s">
        <v>1986</v>
      </c>
      <c r="AB520" s="539" t="s">
        <v>93</v>
      </c>
      <c r="AC520" s="539" t="s">
        <v>76</v>
      </c>
      <c r="AD520" s="549"/>
      <c r="AE520" s="549"/>
      <c r="AF520" s="549"/>
      <c r="AG520" s="549">
        <v>4480</v>
      </c>
      <c r="AH520" s="549">
        <f t="shared" si="156"/>
        <v>0</v>
      </c>
      <c r="AI520" s="549"/>
      <c r="AJ520" s="549"/>
      <c r="AK520" s="568"/>
      <c r="AL520" s="568">
        <f t="shared" si="146"/>
        <v>4480</v>
      </c>
      <c r="AM520" s="828"/>
      <c r="AN520" s="828"/>
      <c r="AO520" s="828"/>
      <c r="AP520" s="568">
        <f t="shared" si="159"/>
        <v>4480</v>
      </c>
      <c r="AQ520" s="568"/>
      <c r="AR520" s="568">
        <f t="shared" si="157"/>
        <v>4480</v>
      </c>
      <c r="AS520" s="828"/>
      <c r="AT520" s="568">
        <f t="shared" si="158"/>
        <v>4480</v>
      </c>
      <c r="AU520" s="568"/>
      <c r="AV520" s="432"/>
      <c r="AW520" s="432"/>
      <c r="AX520" s="432"/>
      <c r="AY520" s="432"/>
      <c r="AZ520" s="432"/>
      <c r="BA520" s="568"/>
      <c r="BB520" s="568"/>
      <c r="BC520" s="568"/>
      <c r="BD520" s="568">
        <f t="shared" si="160"/>
        <v>1120</v>
      </c>
      <c r="BE520" s="568"/>
      <c r="BF520" s="828"/>
      <c r="BG520" s="828"/>
      <c r="BH520" s="828"/>
      <c r="BI520" s="568"/>
      <c r="BJ520" s="568"/>
      <c r="BK520" s="828"/>
      <c r="BL520" s="828"/>
      <c r="BM520" s="828"/>
      <c r="CF520" s="578"/>
      <c r="CG520" s="578"/>
      <c r="CH520" s="578"/>
      <c r="CI520" s="578"/>
      <c r="CJ520" s="578"/>
      <c r="CN520" s="578"/>
      <c r="CO520" s="578"/>
      <c r="CP520" s="578"/>
      <c r="CQ520" s="578"/>
      <c r="CR520" s="578"/>
      <c r="CS520" s="578"/>
    </row>
    <row r="521" s="773" customFormat="1" ht="31" hidden="1" customHeight="1" spans="1:97">
      <c r="A521" s="547">
        <v>45919</v>
      </c>
      <c r="B521" s="548" t="s">
        <v>128</v>
      </c>
      <c r="C521" s="539" t="s">
        <v>90</v>
      </c>
      <c r="D521" s="428">
        <v>4500179921</v>
      </c>
      <c r="E521" s="887" t="s">
        <v>1987</v>
      </c>
      <c r="F521" s="428" t="s">
        <v>1988</v>
      </c>
      <c r="G521" s="549" t="s">
        <v>93</v>
      </c>
      <c r="H521" s="539" t="s">
        <v>94</v>
      </c>
      <c r="I521" s="539">
        <v>3520</v>
      </c>
      <c r="J521" s="539">
        <v>0</v>
      </c>
      <c r="K521" s="539">
        <v>4</v>
      </c>
      <c r="L521" s="795">
        <f t="shared" si="154"/>
        <v>880</v>
      </c>
      <c r="M521" s="797">
        <v>45975</v>
      </c>
      <c r="N521" s="797">
        <v>45971</v>
      </c>
      <c r="O521" s="556" t="s">
        <v>1975</v>
      </c>
      <c r="P521" s="556" t="s">
        <v>103</v>
      </c>
      <c r="Q521" s="562"/>
      <c r="R521" s="570" t="s">
        <v>132</v>
      </c>
      <c r="S521" s="570" t="s">
        <v>66</v>
      </c>
      <c r="T521" s="570">
        <v>45950</v>
      </c>
      <c r="U521" s="570" t="s">
        <v>133</v>
      </c>
      <c r="V521" s="564"/>
      <c r="W521" s="564" t="s">
        <v>1976</v>
      </c>
      <c r="X521" s="513" t="s">
        <v>98</v>
      </c>
      <c r="Y521" s="800">
        <v>2.5439</v>
      </c>
      <c r="Z521" s="801">
        <f t="shared" si="155"/>
        <v>8954.528</v>
      </c>
      <c r="AA521" s="549" t="s">
        <v>1989</v>
      </c>
      <c r="AB521" s="539" t="s">
        <v>93</v>
      </c>
      <c r="AC521" s="539" t="s">
        <v>76</v>
      </c>
      <c r="AD521" s="549"/>
      <c r="AE521" s="549"/>
      <c r="AF521" s="549"/>
      <c r="AG521" s="549">
        <v>3520</v>
      </c>
      <c r="AH521" s="549">
        <f t="shared" si="156"/>
        <v>0</v>
      </c>
      <c r="AI521" s="549"/>
      <c r="AJ521" s="549"/>
      <c r="AK521" s="568"/>
      <c r="AL521" s="568">
        <f t="shared" si="146"/>
        <v>3520</v>
      </c>
      <c r="AM521" s="828"/>
      <c r="AN521" s="828"/>
      <c r="AO521" s="828"/>
      <c r="AP521" s="568">
        <f t="shared" si="159"/>
        <v>3520</v>
      </c>
      <c r="AQ521" s="568"/>
      <c r="AR521" s="568">
        <f t="shared" si="157"/>
        <v>3520</v>
      </c>
      <c r="AS521" s="828"/>
      <c r="AT521" s="568">
        <f t="shared" si="158"/>
        <v>3520</v>
      </c>
      <c r="AU521" s="568"/>
      <c r="AV521" s="432"/>
      <c r="AW521" s="432"/>
      <c r="AX521" s="432"/>
      <c r="AY521" s="432"/>
      <c r="AZ521" s="432"/>
      <c r="BA521" s="568"/>
      <c r="BB521" s="568"/>
      <c r="BC521" s="568"/>
      <c r="BD521" s="568">
        <f t="shared" si="160"/>
        <v>880</v>
      </c>
      <c r="BE521" s="568"/>
      <c r="BF521" s="828"/>
      <c r="BG521" s="828"/>
      <c r="BH521" s="828"/>
      <c r="BI521" s="568"/>
      <c r="BJ521" s="568"/>
      <c r="BK521" s="828"/>
      <c r="BL521" s="828"/>
      <c r="BM521" s="828"/>
      <c r="CF521" s="578"/>
      <c r="CG521" s="578"/>
      <c r="CH521" s="578"/>
      <c r="CI521" s="578"/>
      <c r="CJ521" s="578"/>
      <c r="CN521" s="578"/>
      <c r="CO521" s="578"/>
      <c r="CP521" s="578"/>
      <c r="CQ521" s="578"/>
      <c r="CR521" s="578"/>
      <c r="CS521" s="578"/>
    </row>
    <row r="522" s="773" customFormat="1" ht="31" hidden="1" customHeight="1" spans="1:97">
      <c r="A522" s="547">
        <v>45919</v>
      </c>
      <c r="B522" s="548" t="s">
        <v>128</v>
      </c>
      <c r="C522" s="539" t="s">
        <v>90</v>
      </c>
      <c r="D522" s="428">
        <v>4500179921</v>
      </c>
      <c r="E522" s="887" t="s">
        <v>1990</v>
      </c>
      <c r="F522" s="428" t="s">
        <v>1991</v>
      </c>
      <c r="G522" s="549" t="s">
        <v>93</v>
      </c>
      <c r="H522" s="539" t="s">
        <v>94</v>
      </c>
      <c r="I522" s="539">
        <v>4160</v>
      </c>
      <c r="J522" s="539">
        <v>0</v>
      </c>
      <c r="K522" s="539">
        <v>4</v>
      </c>
      <c r="L522" s="795">
        <f t="shared" si="154"/>
        <v>1040</v>
      </c>
      <c r="M522" s="797">
        <v>45975</v>
      </c>
      <c r="N522" s="797">
        <v>45971</v>
      </c>
      <c r="O522" s="556" t="s">
        <v>1975</v>
      </c>
      <c r="P522" s="556" t="s">
        <v>103</v>
      </c>
      <c r="Q522" s="562"/>
      <c r="R522" s="570" t="s">
        <v>132</v>
      </c>
      <c r="S522" s="570" t="s">
        <v>66</v>
      </c>
      <c r="T522" s="570">
        <v>45950</v>
      </c>
      <c r="U522" s="570" t="s">
        <v>133</v>
      </c>
      <c r="V522" s="564"/>
      <c r="W522" s="564" t="s">
        <v>1976</v>
      </c>
      <c r="X522" s="513" t="s">
        <v>98</v>
      </c>
      <c r="Y522" s="800">
        <v>2.5439</v>
      </c>
      <c r="Z522" s="801">
        <f t="shared" si="155"/>
        <v>10582.624</v>
      </c>
      <c r="AA522" s="549"/>
      <c r="AB522" s="539" t="s">
        <v>93</v>
      </c>
      <c r="AC522" s="539" t="s">
        <v>76</v>
      </c>
      <c r="AD522" s="549"/>
      <c r="AE522" s="549"/>
      <c r="AF522" s="549"/>
      <c r="AG522" s="549">
        <f>3600+560</f>
        <v>4160</v>
      </c>
      <c r="AH522" s="549">
        <f t="shared" si="156"/>
        <v>0</v>
      </c>
      <c r="AI522" s="549"/>
      <c r="AJ522" s="549"/>
      <c r="AK522" s="568"/>
      <c r="AL522" s="568">
        <f t="shared" si="146"/>
        <v>4160</v>
      </c>
      <c r="AM522" s="828"/>
      <c r="AN522" s="828"/>
      <c r="AO522" s="828"/>
      <c r="AP522" s="568">
        <f t="shared" si="159"/>
        <v>4160</v>
      </c>
      <c r="AQ522" s="568"/>
      <c r="AR522" s="568">
        <f t="shared" si="157"/>
        <v>4160</v>
      </c>
      <c r="AS522" s="828"/>
      <c r="AT522" s="568">
        <f t="shared" si="158"/>
        <v>4160</v>
      </c>
      <c r="AU522" s="568"/>
      <c r="AV522" s="432"/>
      <c r="AW522" s="432"/>
      <c r="AX522" s="432"/>
      <c r="AY522" s="432"/>
      <c r="AZ522" s="432"/>
      <c r="BA522" s="568"/>
      <c r="BB522" s="568"/>
      <c r="BC522" s="568"/>
      <c r="BD522" s="568">
        <f t="shared" si="160"/>
        <v>1040</v>
      </c>
      <c r="BE522" s="568"/>
      <c r="BF522" s="828"/>
      <c r="BG522" s="828"/>
      <c r="BH522" s="828"/>
      <c r="BI522" s="568"/>
      <c r="BJ522" s="568"/>
      <c r="BK522" s="828"/>
      <c r="BL522" s="828"/>
      <c r="BM522" s="828"/>
      <c r="CF522" s="578"/>
      <c r="CG522" s="578"/>
      <c r="CH522" s="578"/>
      <c r="CI522" s="578"/>
      <c r="CJ522" s="578"/>
      <c r="CN522" s="578"/>
      <c r="CO522" s="578"/>
      <c r="CP522" s="578"/>
      <c r="CQ522" s="578"/>
      <c r="CR522" s="578"/>
      <c r="CS522" s="578"/>
    </row>
    <row r="523" s="773" customFormat="1" ht="31" hidden="1" customHeight="1" spans="1:97">
      <c r="A523" s="547">
        <v>45919</v>
      </c>
      <c r="B523" s="548" t="s">
        <v>128</v>
      </c>
      <c r="C523" s="539" t="s">
        <v>90</v>
      </c>
      <c r="D523" s="428">
        <v>4500179921</v>
      </c>
      <c r="E523" s="887" t="s">
        <v>1992</v>
      </c>
      <c r="F523" s="428" t="s">
        <v>1993</v>
      </c>
      <c r="G523" s="549" t="s">
        <v>93</v>
      </c>
      <c r="H523" s="539" t="s">
        <v>94</v>
      </c>
      <c r="I523" s="539">
        <v>5440</v>
      </c>
      <c r="J523" s="539">
        <v>0</v>
      </c>
      <c r="K523" s="539">
        <v>4</v>
      </c>
      <c r="L523" s="795">
        <f t="shared" si="154"/>
        <v>1360</v>
      </c>
      <c r="M523" s="797">
        <v>45975</v>
      </c>
      <c r="N523" s="797">
        <v>45971</v>
      </c>
      <c r="O523" s="556" t="s">
        <v>1975</v>
      </c>
      <c r="P523" s="556" t="s">
        <v>103</v>
      </c>
      <c r="Q523" s="562"/>
      <c r="R523" s="570" t="s">
        <v>132</v>
      </c>
      <c r="S523" s="570" t="s">
        <v>66</v>
      </c>
      <c r="T523" s="570">
        <v>45950</v>
      </c>
      <c r="U523" s="570" t="s">
        <v>133</v>
      </c>
      <c r="V523" s="564"/>
      <c r="W523" s="564" t="s">
        <v>1976</v>
      </c>
      <c r="X523" s="513" t="s">
        <v>98</v>
      </c>
      <c r="Y523" s="800">
        <v>2.514</v>
      </c>
      <c r="Z523" s="801">
        <f t="shared" si="155"/>
        <v>13676.16</v>
      </c>
      <c r="AA523" s="549" t="s">
        <v>1994</v>
      </c>
      <c r="AB523" s="539" t="s">
        <v>93</v>
      </c>
      <c r="AC523" s="539" t="s">
        <v>76</v>
      </c>
      <c r="AD523" s="549"/>
      <c r="AE523" s="549"/>
      <c r="AF523" s="549"/>
      <c r="AG523" s="549">
        <v>5440</v>
      </c>
      <c r="AH523" s="549">
        <f t="shared" si="156"/>
        <v>0</v>
      </c>
      <c r="AI523" s="549"/>
      <c r="AJ523" s="549"/>
      <c r="AK523" s="568"/>
      <c r="AL523" s="568">
        <f t="shared" si="146"/>
        <v>5440</v>
      </c>
      <c r="AM523" s="828"/>
      <c r="AN523" s="828"/>
      <c r="AO523" s="828"/>
      <c r="AP523" s="568">
        <f t="shared" si="159"/>
        <v>5440</v>
      </c>
      <c r="AQ523" s="568"/>
      <c r="AR523" s="568">
        <f t="shared" si="157"/>
        <v>5440</v>
      </c>
      <c r="AS523" s="828"/>
      <c r="AT523" s="568">
        <f t="shared" si="158"/>
        <v>5440</v>
      </c>
      <c r="AU523" s="568"/>
      <c r="AV523" s="582"/>
      <c r="AW523" s="582"/>
      <c r="AX523" s="582"/>
      <c r="AY523" s="582"/>
      <c r="AZ523" s="582"/>
      <c r="BA523" s="568"/>
      <c r="BB523" s="568"/>
      <c r="BC523" s="568"/>
      <c r="BD523" s="568">
        <f t="shared" si="160"/>
        <v>1360</v>
      </c>
      <c r="BE523" s="568"/>
      <c r="BF523" s="828"/>
      <c r="BG523" s="828"/>
      <c r="BH523" s="828"/>
      <c r="BI523" s="568"/>
      <c r="BJ523" s="568"/>
      <c r="BK523" s="828"/>
      <c r="BL523" s="828"/>
      <c r="BM523" s="828"/>
      <c r="CF523" s="578"/>
      <c r="CG523" s="578"/>
      <c r="CH523" s="578"/>
      <c r="CI523" s="578"/>
      <c r="CJ523" s="578"/>
      <c r="CN523" s="578"/>
      <c r="CO523" s="578"/>
      <c r="CP523" s="578"/>
      <c r="CQ523" s="578"/>
      <c r="CR523" s="578"/>
      <c r="CS523" s="578"/>
    </row>
    <row r="524" s="773" customFormat="1" ht="31" hidden="1" customHeight="1" spans="1:97">
      <c r="A524" s="547">
        <v>45925</v>
      </c>
      <c r="B524" s="548" t="s">
        <v>1643</v>
      </c>
      <c r="C524" s="539" t="s">
        <v>249</v>
      </c>
      <c r="D524" s="428">
        <v>4500180232</v>
      </c>
      <c r="E524" s="539" t="s">
        <v>1995</v>
      </c>
      <c r="F524" s="428" t="s">
        <v>1996</v>
      </c>
      <c r="G524" s="549" t="s">
        <v>251</v>
      </c>
      <c r="H524" s="539" t="s">
        <v>252</v>
      </c>
      <c r="I524" s="539">
        <v>512</v>
      </c>
      <c r="J524" s="539">
        <v>4</v>
      </c>
      <c r="K524" s="539">
        <v>16</v>
      </c>
      <c r="L524" s="795">
        <f t="shared" si="154"/>
        <v>32</v>
      </c>
      <c r="M524" s="798">
        <v>45977</v>
      </c>
      <c r="N524" s="798">
        <v>45975</v>
      </c>
      <c r="O524" s="556"/>
      <c r="P524" s="556" t="s">
        <v>103</v>
      </c>
      <c r="Q524" s="562"/>
      <c r="R524" s="562">
        <v>45925</v>
      </c>
      <c r="S524" s="562" t="s">
        <v>66</v>
      </c>
      <c r="T524" s="570" t="s">
        <v>66</v>
      </c>
      <c r="U524" s="564"/>
      <c r="V524" s="564"/>
      <c r="W524" s="564" t="s">
        <v>1997</v>
      </c>
      <c r="X524" s="513" t="s">
        <v>269</v>
      </c>
      <c r="Y524" s="800">
        <v>4.3217</v>
      </c>
      <c r="Z524" s="801">
        <f t="shared" si="155"/>
        <v>2212.7104</v>
      </c>
      <c r="AA524" s="833" t="s">
        <v>1998</v>
      </c>
      <c r="AB524" s="549" t="s">
        <v>251</v>
      </c>
      <c r="AC524" s="539" t="s">
        <v>76</v>
      </c>
      <c r="AD524" s="549"/>
      <c r="AE524" s="549"/>
      <c r="AF524" s="549"/>
      <c r="AG524" s="549">
        <v>512</v>
      </c>
      <c r="AH524" s="584">
        <f t="shared" si="156"/>
        <v>0</v>
      </c>
      <c r="AI524" s="549"/>
      <c r="AJ524" s="549"/>
      <c r="AK524" s="568"/>
      <c r="AL524" s="568">
        <f t="shared" si="146"/>
        <v>512</v>
      </c>
      <c r="AM524" s="828"/>
      <c r="AN524" s="828"/>
      <c r="AO524" s="828"/>
      <c r="AP524" s="568">
        <f t="shared" si="159"/>
        <v>512</v>
      </c>
      <c r="AQ524" s="568"/>
      <c r="AR524" s="568">
        <f t="shared" si="157"/>
        <v>512</v>
      </c>
      <c r="AS524" s="828"/>
      <c r="AT524" s="568">
        <f t="shared" si="158"/>
        <v>512</v>
      </c>
      <c r="AU524" s="568"/>
      <c r="AV524" s="432"/>
      <c r="AW524" s="432"/>
      <c r="AX524" s="432"/>
      <c r="AY524" s="432"/>
      <c r="AZ524" s="432"/>
      <c r="BA524" s="568"/>
      <c r="BB524" s="828"/>
      <c r="BC524" s="828"/>
      <c r="BD524" s="568">
        <f t="shared" si="160"/>
        <v>128</v>
      </c>
      <c r="BE524" s="568"/>
      <c r="BF524" s="828"/>
      <c r="BG524" s="828"/>
      <c r="BH524" s="828"/>
      <c r="BI524" s="568"/>
      <c r="BJ524" s="568"/>
      <c r="BK524" s="828"/>
      <c r="BL524" s="828"/>
      <c r="BM524" s="828"/>
      <c r="CF524" s="578"/>
      <c r="CG524" s="578"/>
      <c r="CH524" s="578"/>
      <c r="CI524" s="578"/>
      <c r="CJ524" s="578"/>
      <c r="CN524" s="578"/>
      <c r="CO524" s="578"/>
      <c r="CP524" s="578"/>
      <c r="CQ524" s="578"/>
      <c r="CR524" s="578"/>
      <c r="CS524" s="578"/>
    </row>
    <row r="525" s="773" customFormat="1" ht="31" hidden="1" customHeight="1" spans="1:97">
      <c r="A525" s="547">
        <v>45912</v>
      </c>
      <c r="B525" s="548" t="s">
        <v>360</v>
      </c>
      <c r="C525" s="539" t="s">
        <v>249</v>
      </c>
      <c r="D525" s="428">
        <v>4500179424</v>
      </c>
      <c r="E525" s="539">
        <v>122989</v>
      </c>
      <c r="F525" s="428" t="s">
        <v>1999</v>
      </c>
      <c r="G525" s="549" t="s">
        <v>64</v>
      </c>
      <c r="H525" s="539" t="s">
        <v>65</v>
      </c>
      <c r="I525" s="539">
        <v>504</v>
      </c>
      <c r="J525" s="539">
        <v>0</v>
      </c>
      <c r="K525" s="539">
        <v>12</v>
      </c>
      <c r="L525" s="795">
        <f t="shared" si="154"/>
        <v>42</v>
      </c>
      <c r="M525" s="797">
        <v>45978</v>
      </c>
      <c r="N525" s="797">
        <v>45974</v>
      </c>
      <c r="O525" s="556"/>
      <c r="P525" s="556" t="s">
        <v>103</v>
      </c>
      <c r="Q525" s="562"/>
      <c r="R525" s="562">
        <v>45912</v>
      </c>
      <c r="S525" s="570" t="s">
        <v>66</v>
      </c>
      <c r="T525" s="562" t="s">
        <v>2000</v>
      </c>
      <c r="U525" s="564"/>
      <c r="V525" s="564"/>
      <c r="W525" s="566" t="s">
        <v>2001</v>
      </c>
      <c r="X525" s="513" t="s">
        <v>451</v>
      </c>
      <c r="Y525" s="800">
        <v>4.2386</v>
      </c>
      <c r="Z525" s="801">
        <f t="shared" si="155"/>
        <v>2136.2544</v>
      </c>
      <c r="AA525" s="549" t="s">
        <v>2002</v>
      </c>
      <c r="AB525" s="568" t="s">
        <v>64</v>
      </c>
      <c r="AC525" s="539" t="s">
        <v>76</v>
      </c>
      <c r="AD525" s="549"/>
      <c r="AE525" s="549"/>
      <c r="AF525" s="549"/>
      <c r="AG525" s="549">
        <v>504</v>
      </c>
      <c r="AH525" s="584">
        <f t="shared" si="156"/>
        <v>0</v>
      </c>
      <c r="AI525" s="549"/>
      <c r="AJ525" s="549"/>
      <c r="AK525" s="568"/>
      <c r="AL525" s="568">
        <f t="shared" si="146"/>
        <v>504</v>
      </c>
      <c r="AM525" s="828"/>
      <c r="AN525" s="828"/>
      <c r="AO525" s="828"/>
      <c r="AP525" s="568">
        <f t="shared" si="159"/>
        <v>504</v>
      </c>
      <c r="AQ525" s="568"/>
      <c r="AR525" s="568">
        <f t="shared" si="157"/>
        <v>504</v>
      </c>
      <c r="AS525" s="828"/>
      <c r="AT525" s="568">
        <f t="shared" ref="AT518:AT539" si="161">I525</f>
        <v>504</v>
      </c>
      <c r="AU525" s="568"/>
      <c r="AV525" s="432"/>
      <c r="AW525" s="432"/>
      <c r="AX525" s="432"/>
      <c r="AY525" s="432"/>
      <c r="AZ525" s="432"/>
      <c r="BA525" s="568"/>
      <c r="BB525" s="568"/>
      <c r="BC525" s="568"/>
      <c r="BD525" s="568"/>
      <c r="BE525" s="568"/>
      <c r="BF525" s="828"/>
      <c r="BG525" s="828"/>
      <c r="BH525" s="828"/>
      <c r="BI525" s="568"/>
      <c r="BJ525" s="568"/>
      <c r="BK525" s="828"/>
      <c r="BL525" s="828"/>
      <c r="BM525" s="828"/>
      <c r="CF525" s="578"/>
      <c r="CG525" s="578"/>
      <c r="CH525" s="578"/>
      <c r="CI525" s="578"/>
      <c r="CJ525" s="578"/>
      <c r="CN525" s="578"/>
      <c r="CO525" s="578"/>
      <c r="CP525" s="578"/>
      <c r="CQ525" s="578"/>
      <c r="CR525" s="578"/>
      <c r="CS525" s="578"/>
    </row>
    <row r="526" s="773" customFormat="1" ht="31" hidden="1" customHeight="1" spans="1:97">
      <c r="A526" s="547">
        <v>45891</v>
      </c>
      <c r="B526" s="548" t="s">
        <v>184</v>
      </c>
      <c r="C526" s="539" t="s">
        <v>90</v>
      </c>
      <c r="D526" s="428">
        <v>4500177588</v>
      </c>
      <c r="E526" s="539">
        <v>218057645</v>
      </c>
      <c r="F526" s="428" t="s">
        <v>2003</v>
      </c>
      <c r="G526" s="549" t="s">
        <v>186</v>
      </c>
      <c r="H526" s="539" t="s">
        <v>94</v>
      </c>
      <c r="I526" s="539">
        <v>1952</v>
      </c>
      <c r="J526" s="539">
        <v>0</v>
      </c>
      <c r="K526" s="539">
        <v>4</v>
      </c>
      <c r="L526" s="795">
        <f t="shared" si="154"/>
        <v>488</v>
      </c>
      <c r="M526" s="797">
        <v>45979</v>
      </c>
      <c r="N526" s="797">
        <v>45975</v>
      </c>
      <c r="O526" s="556"/>
      <c r="P526" s="556" t="s">
        <v>103</v>
      </c>
      <c r="Q526" s="562"/>
      <c r="R526" s="562">
        <v>45940</v>
      </c>
      <c r="S526" s="562" t="s">
        <v>66</v>
      </c>
      <c r="T526" s="570" t="s">
        <v>66</v>
      </c>
      <c r="U526" s="564"/>
      <c r="V526" s="564"/>
      <c r="W526" s="564" t="s">
        <v>187</v>
      </c>
      <c r="X526" s="513" t="s">
        <v>1850</v>
      </c>
      <c r="Y526" s="800">
        <v>2.6096</v>
      </c>
      <c r="Z526" s="801">
        <f t="shared" si="155"/>
        <v>5093.9392</v>
      </c>
      <c r="AA526" s="549" t="s">
        <v>2004</v>
      </c>
      <c r="AB526" s="539" t="s">
        <v>186</v>
      </c>
      <c r="AC526" s="539" t="s">
        <v>76</v>
      </c>
      <c r="AD526" s="549"/>
      <c r="AE526" s="549"/>
      <c r="AF526" s="549"/>
      <c r="AG526" s="549">
        <v>1952</v>
      </c>
      <c r="AH526" s="584">
        <f t="shared" si="156"/>
        <v>0</v>
      </c>
      <c r="AI526" s="549"/>
      <c r="AJ526" s="549"/>
      <c r="AK526" s="568"/>
      <c r="AL526" s="568">
        <f t="shared" si="146"/>
        <v>1952</v>
      </c>
      <c r="AM526" s="828"/>
      <c r="AN526" s="828"/>
      <c r="AO526" s="828"/>
      <c r="AP526" s="568">
        <f t="shared" si="159"/>
        <v>1952</v>
      </c>
      <c r="AQ526" s="568"/>
      <c r="AR526" s="568">
        <f t="shared" si="157"/>
        <v>1952</v>
      </c>
      <c r="AS526" s="828"/>
      <c r="AT526" s="568">
        <f t="shared" si="161"/>
        <v>1952</v>
      </c>
      <c r="AU526" s="568"/>
      <c r="AV526" s="432"/>
      <c r="AW526" s="432"/>
      <c r="AX526" s="432"/>
      <c r="AY526" s="432"/>
      <c r="AZ526" s="432"/>
      <c r="BA526" s="568"/>
      <c r="BB526" s="828"/>
      <c r="BC526" s="828"/>
      <c r="BD526" s="568"/>
      <c r="BE526" s="568"/>
      <c r="BF526" s="828"/>
      <c r="BG526" s="828"/>
      <c r="BH526" s="828"/>
      <c r="BI526" s="568"/>
      <c r="BJ526" s="568"/>
      <c r="BK526" s="828"/>
      <c r="BL526" s="828"/>
      <c r="BM526" s="828"/>
      <c r="CF526" s="578"/>
      <c r="CG526" s="578"/>
      <c r="CH526" s="578"/>
      <c r="CI526" s="578"/>
      <c r="CJ526" s="578"/>
      <c r="CN526" s="578"/>
      <c r="CO526" s="578"/>
      <c r="CP526" s="578"/>
      <c r="CQ526" s="578"/>
      <c r="CR526" s="578"/>
      <c r="CS526" s="578"/>
    </row>
    <row r="527" s="773" customFormat="1" ht="31" hidden="1" customHeight="1" spans="1:97">
      <c r="A527" s="547">
        <v>45891</v>
      </c>
      <c r="B527" s="548" t="s">
        <v>184</v>
      </c>
      <c r="C527" s="539" t="s">
        <v>90</v>
      </c>
      <c r="D527" s="428">
        <v>4500177589</v>
      </c>
      <c r="E527" s="539">
        <v>218057656</v>
      </c>
      <c r="F527" s="428" t="s">
        <v>2005</v>
      </c>
      <c r="G527" s="549" t="s">
        <v>186</v>
      </c>
      <c r="H527" s="539" t="s">
        <v>94</v>
      </c>
      <c r="I527" s="539">
        <v>1048</v>
      </c>
      <c r="J527" s="539">
        <v>0</v>
      </c>
      <c r="K527" s="539">
        <v>4</v>
      </c>
      <c r="L527" s="795">
        <f t="shared" si="154"/>
        <v>262</v>
      </c>
      <c r="M527" s="797">
        <v>45979</v>
      </c>
      <c r="N527" s="797">
        <v>45975</v>
      </c>
      <c r="O527" s="556"/>
      <c r="P527" s="556" t="s">
        <v>103</v>
      </c>
      <c r="Q527" s="562"/>
      <c r="R527" s="562">
        <v>45940</v>
      </c>
      <c r="S527" s="562" t="s">
        <v>66</v>
      </c>
      <c r="T527" s="570" t="s">
        <v>66</v>
      </c>
      <c r="U527" s="564"/>
      <c r="V527" s="564"/>
      <c r="W527" s="564" t="s">
        <v>187</v>
      </c>
      <c r="X527" s="513" t="s">
        <v>1850</v>
      </c>
      <c r="Y527" s="800">
        <v>2.6096</v>
      </c>
      <c r="Z527" s="801">
        <f t="shared" si="155"/>
        <v>2734.8608</v>
      </c>
      <c r="AA527" s="549" t="s">
        <v>2006</v>
      </c>
      <c r="AB527" s="539" t="s">
        <v>186</v>
      </c>
      <c r="AC527" s="539" t="s">
        <v>76</v>
      </c>
      <c r="AD527" s="549"/>
      <c r="AE527" s="549"/>
      <c r="AF527" s="549"/>
      <c r="AG527" s="549">
        <v>1048</v>
      </c>
      <c r="AH527" s="584">
        <f t="shared" si="156"/>
        <v>0</v>
      </c>
      <c r="AI527" s="549"/>
      <c r="AJ527" s="549"/>
      <c r="AK527" s="568"/>
      <c r="AL527" s="568">
        <f t="shared" si="146"/>
        <v>1048</v>
      </c>
      <c r="AM527" s="828"/>
      <c r="AN527" s="828"/>
      <c r="AO527" s="828"/>
      <c r="AP527" s="568">
        <f t="shared" si="159"/>
        <v>1048</v>
      </c>
      <c r="AQ527" s="568"/>
      <c r="AR527" s="568">
        <f t="shared" si="157"/>
        <v>1048</v>
      </c>
      <c r="AS527" s="828"/>
      <c r="AT527" s="568">
        <f t="shared" si="161"/>
        <v>1048</v>
      </c>
      <c r="AU527" s="568"/>
      <c r="AV527" s="582"/>
      <c r="AW527" s="582"/>
      <c r="AX527" s="582"/>
      <c r="AY527" s="582"/>
      <c r="AZ527" s="582"/>
      <c r="BA527" s="568"/>
      <c r="BB527" s="828"/>
      <c r="BC527" s="828"/>
      <c r="BD527" s="568"/>
      <c r="BE527" s="568"/>
      <c r="BF527" s="828"/>
      <c r="BG527" s="828"/>
      <c r="BH527" s="828"/>
      <c r="BI527" s="568"/>
      <c r="BJ527" s="568"/>
      <c r="BK527" s="828"/>
      <c r="BL527" s="828"/>
      <c r="BM527" s="828"/>
      <c r="CF527" s="578"/>
      <c r="CG527" s="578"/>
      <c r="CH527" s="578"/>
      <c r="CI527" s="578"/>
      <c r="CJ527" s="578"/>
      <c r="CN527" s="578"/>
      <c r="CO527" s="578"/>
      <c r="CP527" s="578"/>
      <c r="CQ527" s="578"/>
      <c r="CR527" s="578"/>
      <c r="CS527" s="578"/>
    </row>
    <row r="528" s="773" customFormat="1" ht="31" hidden="1" customHeight="1" spans="1:97">
      <c r="A528" s="547">
        <v>45912</v>
      </c>
      <c r="B528" s="548" t="s">
        <v>1224</v>
      </c>
      <c r="C528" s="539" t="s">
        <v>524</v>
      </c>
      <c r="D528" s="552">
        <v>4500180194</v>
      </c>
      <c r="E528" s="539"/>
      <c r="F528" s="428" t="s">
        <v>2007</v>
      </c>
      <c r="G528" s="549" t="s">
        <v>64</v>
      </c>
      <c r="H528" s="539" t="s">
        <v>65</v>
      </c>
      <c r="I528" s="539">
        <v>1008</v>
      </c>
      <c r="J528" s="539">
        <v>0</v>
      </c>
      <c r="K528" s="539">
        <v>12</v>
      </c>
      <c r="L528" s="795">
        <f t="shared" si="154"/>
        <v>84</v>
      </c>
      <c r="M528" s="798">
        <v>45979</v>
      </c>
      <c r="N528" s="798">
        <v>45975</v>
      </c>
      <c r="O528" s="556"/>
      <c r="P528" s="556" t="s">
        <v>103</v>
      </c>
      <c r="Q528" s="562"/>
      <c r="R528" s="562">
        <v>45923</v>
      </c>
      <c r="S528" s="570" t="s">
        <v>66</v>
      </c>
      <c r="T528" s="570" t="s">
        <v>2008</v>
      </c>
      <c r="U528" s="564"/>
      <c r="V528" s="564"/>
      <c r="W528" s="566" t="s">
        <v>2009</v>
      </c>
      <c r="X528" s="513" t="s">
        <v>207</v>
      </c>
      <c r="Y528" s="800">
        <v>4.18</v>
      </c>
      <c r="Z528" s="801">
        <f t="shared" si="155"/>
        <v>4213.44</v>
      </c>
      <c r="AA528" s="549" t="s">
        <v>2010</v>
      </c>
      <c r="AB528" s="568" t="s">
        <v>64</v>
      </c>
      <c r="AC528" s="539" t="s">
        <v>76</v>
      </c>
      <c r="AD528" s="549"/>
      <c r="AE528" s="549"/>
      <c r="AF528" s="549"/>
      <c r="AG528" s="549">
        <v>1008</v>
      </c>
      <c r="AH528" s="584">
        <f t="shared" si="156"/>
        <v>0</v>
      </c>
      <c r="AI528" s="549"/>
      <c r="AJ528" s="549"/>
      <c r="AK528" s="568"/>
      <c r="AL528" s="568">
        <f t="shared" si="146"/>
        <v>1008</v>
      </c>
      <c r="AM528" s="828"/>
      <c r="AN528" s="828"/>
      <c r="AO528" s="828"/>
      <c r="AP528" s="568">
        <f t="shared" si="159"/>
        <v>1008</v>
      </c>
      <c r="AQ528" s="568"/>
      <c r="AR528" s="568">
        <f t="shared" si="157"/>
        <v>1008</v>
      </c>
      <c r="AS528" s="828"/>
      <c r="AT528" s="568">
        <f t="shared" si="161"/>
        <v>1008</v>
      </c>
      <c r="AU528" s="577"/>
      <c r="AV528" s="432"/>
      <c r="AW528" s="432"/>
      <c r="AX528" s="432"/>
      <c r="AY528" s="432"/>
      <c r="AZ528" s="432"/>
      <c r="BA528" s="568"/>
      <c r="BB528" s="828"/>
      <c r="BC528" s="828"/>
      <c r="BD528" s="568"/>
      <c r="BE528" s="568"/>
      <c r="BF528" s="828"/>
      <c r="BG528" s="828"/>
      <c r="BH528" s="828"/>
      <c r="BI528" s="568"/>
      <c r="BJ528" s="568"/>
      <c r="BK528" s="828"/>
      <c r="BL528" s="828"/>
      <c r="BM528" s="828"/>
      <c r="CF528" s="578"/>
      <c r="CG528" s="578"/>
      <c r="CH528" s="578"/>
      <c r="CI528" s="578"/>
      <c r="CJ528" s="578"/>
      <c r="CN528" s="578"/>
      <c r="CO528" s="578"/>
      <c r="CP528" s="578"/>
      <c r="CQ528" s="578"/>
      <c r="CR528" s="578"/>
      <c r="CS528" s="578"/>
    </row>
    <row r="529" s="773" customFormat="1" ht="31" hidden="1" customHeight="1" spans="1:97">
      <c r="A529" s="547">
        <v>45912</v>
      </c>
      <c r="B529" s="548" t="s">
        <v>1224</v>
      </c>
      <c r="C529" s="539" t="s">
        <v>524</v>
      </c>
      <c r="D529" s="552">
        <v>4500180194</v>
      </c>
      <c r="E529" s="539"/>
      <c r="F529" s="428" t="s">
        <v>2011</v>
      </c>
      <c r="G529" s="549" t="s">
        <v>64</v>
      </c>
      <c r="H529" s="539" t="s">
        <v>65</v>
      </c>
      <c r="I529" s="539">
        <v>804</v>
      </c>
      <c r="J529" s="539">
        <v>0</v>
      </c>
      <c r="K529" s="539">
        <v>12</v>
      </c>
      <c r="L529" s="795">
        <f t="shared" si="154"/>
        <v>67</v>
      </c>
      <c r="M529" s="798">
        <v>45979</v>
      </c>
      <c r="N529" s="798">
        <v>45975</v>
      </c>
      <c r="O529" s="556"/>
      <c r="P529" s="556" t="s">
        <v>103</v>
      </c>
      <c r="Q529" s="562"/>
      <c r="R529" s="562">
        <v>45923</v>
      </c>
      <c r="S529" s="570" t="s">
        <v>66</v>
      </c>
      <c r="T529" s="570" t="s">
        <v>2008</v>
      </c>
      <c r="U529" s="564"/>
      <c r="V529" s="564"/>
      <c r="W529" s="566" t="s">
        <v>2009</v>
      </c>
      <c r="X529" s="513" t="s">
        <v>207</v>
      </c>
      <c r="Y529" s="800">
        <v>4.18</v>
      </c>
      <c r="Z529" s="801">
        <f t="shared" si="155"/>
        <v>3360.72</v>
      </c>
      <c r="AA529" s="549" t="s">
        <v>2010</v>
      </c>
      <c r="AB529" s="568" t="s">
        <v>64</v>
      </c>
      <c r="AC529" s="539" t="s">
        <v>76</v>
      </c>
      <c r="AD529" s="549"/>
      <c r="AE529" s="549"/>
      <c r="AF529" s="549"/>
      <c r="AG529" s="549">
        <v>804</v>
      </c>
      <c r="AH529" s="584">
        <f t="shared" si="156"/>
        <v>0</v>
      </c>
      <c r="AI529" s="549"/>
      <c r="AJ529" s="549"/>
      <c r="AK529" s="568"/>
      <c r="AL529" s="568">
        <f t="shared" si="146"/>
        <v>804</v>
      </c>
      <c r="AM529" s="828"/>
      <c r="AN529" s="828"/>
      <c r="AO529" s="828"/>
      <c r="AP529" s="568">
        <f t="shared" si="159"/>
        <v>804</v>
      </c>
      <c r="AQ529" s="568"/>
      <c r="AR529" s="568">
        <f t="shared" si="157"/>
        <v>804</v>
      </c>
      <c r="AS529" s="828"/>
      <c r="AT529" s="568">
        <f t="shared" si="161"/>
        <v>804</v>
      </c>
      <c r="AU529" s="577"/>
      <c r="AV529" s="432"/>
      <c r="AW529" s="432"/>
      <c r="AX529" s="432"/>
      <c r="AY529" s="432"/>
      <c r="AZ529" s="432"/>
      <c r="BA529" s="568"/>
      <c r="BB529" s="828"/>
      <c r="BC529" s="828"/>
      <c r="BD529" s="568"/>
      <c r="BE529" s="568"/>
      <c r="BF529" s="828"/>
      <c r="BG529" s="828"/>
      <c r="BH529" s="828"/>
      <c r="BI529" s="568"/>
      <c r="BJ529" s="568"/>
      <c r="BK529" s="828"/>
      <c r="BL529" s="828"/>
      <c r="BM529" s="828"/>
      <c r="CF529" s="578"/>
      <c r="CG529" s="578"/>
      <c r="CH529" s="578"/>
      <c r="CI529" s="578"/>
      <c r="CJ529" s="578"/>
      <c r="CN529" s="578"/>
      <c r="CO529" s="578"/>
      <c r="CP529" s="578"/>
      <c r="CQ529" s="578"/>
      <c r="CR529" s="578"/>
      <c r="CS529" s="578"/>
    </row>
    <row r="530" s="773" customFormat="1" ht="31" hidden="1" customHeight="1" spans="1:97">
      <c r="A530" s="547">
        <v>45919</v>
      </c>
      <c r="B530" s="548" t="s">
        <v>539</v>
      </c>
      <c r="C530" s="539" t="s">
        <v>356</v>
      </c>
      <c r="D530" s="428">
        <v>4500179936</v>
      </c>
      <c r="E530" s="539">
        <v>2236250204</v>
      </c>
      <c r="F530" s="428" t="s">
        <v>2012</v>
      </c>
      <c r="G530" s="549" t="s">
        <v>64</v>
      </c>
      <c r="H530" s="539" t="s">
        <v>65</v>
      </c>
      <c r="I530" s="539">
        <v>5004</v>
      </c>
      <c r="J530" s="539">
        <v>0</v>
      </c>
      <c r="K530" s="539">
        <v>12</v>
      </c>
      <c r="L530" s="795">
        <f t="shared" si="154"/>
        <v>417</v>
      </c>
      <c r="M530" s="797">
        <v>45981</v>
      </c>
      <c r="N530" s="797">
        <v>45977</v>
      </c>
      <c r="O530" s="556"/>
      <c r="P530" s="556" t="s">
        <v>103</v>
      </c>
      <c r="Q530" s="562"/>
      <c r="R530" s="562">
        <v>45940</v>
      </c>
      <c r="S530" s="570" t="s">
        <v>66</v>
      </c>
      <c r="T530" s="570" t="s">
        <v>406</v>
      </c>
      <c r="U530" s="564"/>
      <c r="V530" s="564"/>
      <c r="W530" s="564" t="s">
        <v>2013</v>
      </c>
      <c r="X530" s="513" t="s">
        <v>395</v>
      </c>
      <c r="Y530" s="800">
        <v>4.2333</v>
      </c>
      <c r="Z530" s="801">
        <f t="shared" si="155"/>
        <v>21183.4332</v>
      </c>
      <c r="AA530" s="549" t="s">
        <v>2014</v>
      </c>
      <c r="AB530" s="549" t="s">
        <v>165</v>
      </c>
      <c r="AC530" s="539" t="s">
        <v>76</v>
      </c>
      <c r="AD530" s="549"/>
      <c r="AE530" s="549"/>
      <c r="AF530" s="549"/>
      <c r="AG530" s="549">
        <v>5004</v>
      </c>
      <c r="AH530" s="584">
        <f t="shared" ref="AH530:AH583" si="162">AG530-I530</f>
        <v>0</v>
      </c>
      <c r="AI530" s="549"/>
      <c r="AJ530" s="549"/>
      <c r="AK530" s="568"/>
      <c r="AL530" s="568">
        <f t="shared" si="146"/>
        <v>5004</v>
      </c>
      <c r="AM530" s="828"/>
      <c r="AN530" s="828"/>
      <c r="AO530" s="828"/>
      <c r="AP530" s="568"/>
      <c r="AQ530" s="568">
        <f>I530</f>
        <v>5004</v>
      </c>
      <c r="AR530" s="568">
        <f t="shared" si="157"/>
        <v>5004</v>
      </c>
      <c r="AS530" s="828"/>
      <c r="AT530" s="568">
        <f t="shared" si="161"/>
        <v>5004</v>
      </c>
      <c r="AU530" s="568"/>
      <c r="AV530" s="432"/>
      <c r="AW530" s="432"/>
      <c r="AX530" s="432"/>
      <c r="AY530" s="432"/>
      <c r="AZ530" s="432"/>
      <c r="BA530" s="568"/>
      <c r="BB530" s="828"/>
      <c r="BC530" s="828"/>
      <c r="BD530" s="568"/>
      <c r="BE530" s="568"/>
      <c r="BF530" s="828"/>
      <c r="BG530" s="828"/>
      <c r="BH530" s="828"/>
      <c r="BI530" s="568"/>
      <c r="BJ530" s="568"/>
      <c r="BK530" s="828"/>
      <c r="BL530" s="828"/>
      <c r="BM530" s="828"/>
      <c r="CF530" s="578"/>
      <c r="CG530" s="578"/>
      <c r="CH530" s="578"/>
      <c r="CI530" s="578"/>
      <c r="CJ530" s="578"/>
      <c r="CN530" s="578"/>
      <c r="CO530" s="578"/>
      <c r="CP530" s="578"/>
      <c r="CQ530" s="578"/>
      <c r="CR530" s="578"/>
      <c r="CS530" s="578"/>
    </row>
    <row r="531" s="773" customFormat="1" ht="31" hidden="1" customHeight="1" spans="1:97">
      <c r="A531" s="547">
        <v>45929</v>
      </c>
      <c r="B531" s="548" t="s">
        <v>338</v>
      </c>
      <c r="C531" s="539" t="s">
        <v>90</v>
      </c>
      <c r="D531" s="428">
        <v>4500177771</v>
      </c>
      <c r="E531" s="539" t="s">
        <v>2015</v>
      </c>
      <c r="F531" s="428" t="s">
        <v>2016</v>
      </c>
      <c r="G531" s="549" t="s">
        <v>102</v>
      </c>
      <c r="H531" s="539" t="s">
        <v>65</v>
      </c>
      <c r="I531" s="539">
        <v>2080</v>
      </c>
      <c r="J531" s="539">
        <v>0</v>
      </c>
      <c r="K531" s="539">
        <v>16</v>
      </c>
      <c r="L531" s="795">
        <f t="shared" si="154"/>
        <v>130</v>
      </c>
      <c r="M531" s="797">
        <v>45981</v>
      </c>
      <c r="N531" s="797">
        <v>45977</v>
      </c>
      <c r="O531" s="556"/>
      <c r="P531" s="556" t="s">
        <v>103</v>
      </c>
      <c r="Q531" s="562"/>
      <c r="R531" s="562">
        <v>45940</v>
      </c>
      <c r="S531" s="570" t="s">
        <v>66</v>
      </c>
      <c r="T531" s="570" t="s">
        <v>66</v>
      </c>
      <c r="U531" s="564"/>
      <c r="V531" s="564"/>
      <c r="W531" s="564" t="s">
        <v>1651</v>
      </c>
      <c r="X531" s="513" t="s">
        <v>1652</v>
      </c>
      <c r="Y531" s="800">
        <v>2.5525</v>
      </c>
      <c r="Z531" s="801">
        <f t="shared" si="155"/>
        <v>5309.2</v>
      </c>
      <c r="AA531" s="549" t="s">
        <v>2017</v>
      </c>
      <c r="AB531" s="549" t="s">
        <v>102</v>
      </c>
      <c r="AC531" s="539" t="s">
        <v>76</v>
      </c>
      <c r="AD531" s="549"/>
      <c r="AE531" s="549"/>
      <c r="AF531" s="549"/>
      <c r="AG531" s="549">
        <v>2080</v>
      </c>
      <c r="AH531" s="584">
        <f t="shared" si="162"/>
        <v>0</v>
      </c>
      <c r="AI531" s="549"/>
      <c r="AJ531" s="549"/>
      <c r="AK531" s="568"/>
      <c r="AL531" s="568">
        <f t="shared" si="146"/>
        <v>2080</v>
      </c>
      <c r="AM531" s="828"/>
      <c r="AN531" s="828"/>
      <c r="AO531" s="828"/>
      <c r="AP531" s="568">
        <f t="shared" ref="AP531:AP541" si="163">I531</f>
        <v>2080</v>
      </c>
      <c r="AQ531" s="568"/>
      <c r="AR531" s="568">
        <f t="shared" si="157"/>
        <v>2080</v>
      </c>
      <c r="AS531" s="828"/>
      <c r="AT531" s="568">
        <f t="shared" si="161"/>
        <v>2080</v>
      </c>
      <c r="AU531" s="568"/>
      <c r="AV531" s="582"/>
      <c r="AW531" s="582"/>
      <c r="AX531" s="582"/>
      <c r="AY531" s="582"/>
      <c r="AZ531" s="582"/>
      <c r="BA531" s="568"/>
      <c r="BB531" s="828"/>
      <c r="BC531" s="828"/>
      <c r="BD531" s="568">
        <f>I531/4</f>
        <v>520</v>
      </c>
      <c r="BE531" s="568"/>
      <c r="BF531" s="828"/>
      <c r="BG531" s="828"/>
      <c r="BH531" s="828"/>
      <c r="BI531" s="568"/>
      <c r="BJ531" s="568"/>
      <c r="BK531" s="828"/>
      <c r="BL531" s="828"/>
      <c r="BM531" s="828"/>
      <c r="CF531" s="578"/>
      <c r="CG531" s="578"/>
      <c r="CH531" s="578"/>
      <c r="CI531" s="578"/>
      <c r="CJ531" s="578"/>
      <c r="CN531" s="578"/>
      <c r="CO531" s="578"/>
      <c r="CP531" s="578"/>
      <c r="CQ531" s="578"/>
      <c r="CR531" s="578"/>
      <c r="CS531" s="578"/>
    </row>
    <row r="532" s="773" customFormat="1" ht="31" hidden="1" customHeight="1" spans="1:97">
      <c r="A532" s="547">
        <v>45930</v>
      </c>
      <c r="B532" s="548" t="s">
        <v>128</v>
      </c>
      <c r="C532" s="539" t="s">
        <v>90</v>
      </c>
      <c r="D532" s="428">
        <v>4500181115</v>
      </c>
      <c r="E532" s="887" t="s">
        <v>2018</v>
      </c>
      <c r="F532" s="428" t="s">
        <v>2019</v>
      </c>
      <c r="G532" s="549" t="s">
        <v>93</v>
      </c>
      <c r="H532" s="539" t="s">
        <v>94</v>
      </c>
      <c r="I532" s="539">
        <v>2240</v>
      </c>
      <c r="J532" s="539">
        <v>0</v>
      </c>
      <c r="K532" s="539">
        <v>4</v>
      </c>
      <c r="L532" s="795">
        <f t="shared" si="154"/>
        <v>560</v>
      </c>
      <c r="M532" s="797">
        <v>45981</v>
      </c>
      <c r="N532" s="797">
        <v>45977</v>
      </c>
      <c r="O532" s="565" t="s">
        <v>2020</v>
      </c>
      <c r="P532" s="556" t="s">
        <v>103</v>
      </c>
      <c r="Q532" s="562"/>
      <c r="R532" s="562" t="s">
        <v>2021</v>
      </c>
      <c r="S532" s="570" t="s">
        <v>66</v>
      </c>
      <c r="T532" s="570" t="s">
        <v>403</v>
      </c>
      <c r="U532" s="570" t="s">
        <v>133</v>
      </c>
      <c r="V532" s="564"/>
      <c r="W532" s="564" t="s">
        <v>1281</v>
      </c>
      <c r="X532" s="513" t="s">
        <v>98</v>
      </c>
      <c r="Y532" s="800">
        <v>2.5656</v>
      </c>
      <c r="Z532" s="801">
        <f t="shared" si="155"/>
        <v>5746.944</v>
      </c>
      <c r="AA532" s="549" t="s">
        <v>2022</v>
      </c>
      <c r="AB532" s="539" t="s">
        <v>93</v>
      </c>
      <c r="AC532" s="539" t="s">
        <v>76</v>
      </c>
      <c r="AD532" s="549"/>
      <c r="AE532" s="549"/>
      <c r="AF532" s="549"/>
      <c r="AG532" s="549">
        <v>2240</v>
      </c>
      <c r="AH532" s="549">
        <f t="shared" si="162"/>
        <v>0</v>
      </c>
      <c r="AI532" s="549"/>
      <c r="AJ532" s="549"/>
      <c r="AK532" s="568"/>
      <c r="AL532" s="568">
        <f t="shared" si="146"/>
        <v>2240</v>
      </c>
      <c r="AM532" s="828"/>
      <c r="AN532" s="828"/>
      <c r="AO532" s="828"/>
      <c r="AP532" s="568">
        <f t="shared" si="163"/>
        <v>2240</v>
      </c>
      <c r="AQ532" s="568"/>
      <c r="AR532" s="568">
        <f t="shared" si="157"/>
        <v>2240</v>
      </c>
      <c r="AS532" s="428"/>
      <c r="AT532" s="568">
        <f t="shared" si="161"/>
        <v>2240</v>
      </c>
      <c r="AU532" s="568"/>
      <c r="AV532" s="432"/>
      <c r="AW532" s="432"/>
      <c r="AX532" s="432"/>
      <c r="AY532" s="432"/>
      <c r="AZ532" s="432"/>
      <c r="BA532" s="568"/>
      <c r="BB532" s="428"/>
      <c r="BC532" s="428"/>
      <c r="BD532" s="568">
        <f>I532/4</f>
        <v>560</v>
      </c>
      <c r="BE532" s="568"/>
      <c r="BF532" s="428"/>
      <c r="BG532" s="428"/>
      <c r="BH532" s="428"/>
      <c r="BI532" s="428"/>
      <c r="BJ532" s="428"/>
      <c r="BK532" s="428"/>
      <c r="BL532" s="428"/>
      <c r="BM532" s="428"/>
      <c r="BN532" s="813"/>
      <c r="BO532" s="428"/>
      <c r="BP532" s="428"/>
      <c r="BQ532" s="428"/>
      <c r="BR532" s="428"/>
      <c r="BS532" s="428"/>
      <c r="BT532" s="428"/>
      <c r="BU532" s="428"/>
      <c r="BV532" s="428"/>
      <c r="BW532" s="428"/>
      <c r="BX532" s="428"/>
      <c r="BY532" s="428"/>
      <c r="BZ532" s="428"/>
      <c r="CA532" s="428"/>
      <c r="CB532" s="428"/>
      <c r="CC532" s="428"/>
      <c r="CD532" s="428"/>
      <c r="CE532" s="428"/>
      <c r="CF532" s="578"/>
      <c r="CG532" s="578"/>
      <c r="CH532" s="578"/>
      <c r="CI532" s="578"/>
      <c r="CJ532" s="578"/>
      <c r="CK532" s="428"/>
      <c r="CL532" s="428"/>
      <c r="CM532" s="428"/>
      <c r="CN532" s="578"/>
      <c r="CO532" s="578"/>
      <c r="CP532" s="578"/>
      <c r="CQ532" s="578"/>
      <c r="CR532" s="578"/>
      <c r="CS532" s="578"/>
    </row>
    <row r="533" s="773" customFormat="1" ht="31" hidden="1" customHeight="1" spans="1:97">
      <c r="A533" s="547">
        <v>45930</v>
      </c>
      <c r="B533" s="548" t="s">
        <v>128</v>
      </c>
      <c r="C533" s="539" t="s">
        <v>90</v>
      </c>
      <c r="D533" s="428">
        <v>4500181115</v>
      </c>
      <c r="E533" s="887" t="s">
        <v>2023</v>
      </c>
      <c r="F533" s="428" t="s">
        <v>2024</v>
      </c>
      <c r="G533" s="549" t="s">
        <v>93</v>
      </c>
      <c r="H533" s="539" t="s">
        <v>94</v>
      </c>
      <c r="I533" s="539">
        <v>2880</v>
      </c>
      <c r="J533" s="539">
        <v>0</v>
      </c>
      <c r="K533" s="539">
        <v>4</v>
      </c>
      <c r="L533" s="795">
        <f t="shared" si="154"/>
        <v>720</v>
      </c>
      <c r="M533" s="797">
        <v>45981</v>
      </c>
      <c r="N533" s="797">
        <v>45977</v>
      </c>
      <c r="O533" s="565" t="s">
        <v>2020</v>
      </c>
      <c r="P533" s="556" t="s">
        <v>103</v>
      </c>
      <c r="Q533" s="562"/>
      <c r="R533" s="562" t="s">
        <v>2021</v>
      </c>
      <c r="S533" s="570" t="s">
        <v>66</v>
      </c>
      <c r="T533" s="570" t="s">
        <v>403</v>
      </c>
      <c r="U533" s="570" t="s">
        <v>133</v>
      </c>
      <c r="V533" s="564"/>
      <c r="W533" s="564" t="s">
        <v>1281</v>
      </c>
      <c r="X533" s="513" t="s">
        <v>98</v>
      </c>
      <c r="Y533" s="800">
        <v>2.5656</v>
      </c>
      <c r="Z533" s="801">
        <f t="shared" si="155"/>
        <v>7388.928</v>
      </c>
      <c r="AA533" s="549" t="s">
        <v>2025</v>
      </c>
      <c r="AB533" s="539" t="s">
        <v>93</v>
      </c>
      <c r="AC533" s="539" t="s">
        <v>76</v>
      </c>
      <c r="AD533" s="549"/>
      <c r="AE533" s="549"/>
      <c r="AF533" s="549"/>
      <c r="AG533" s="549">
        <v>2880</v>
      </c>
      <c r="AH533" s="549">
        <f t="shared" si="162"/>
        <v>0</v>
      </c>
      <c r="AI533" s="549"/>
      <c r="AJ533" s="549"/>
      <c r="AK533" s="568"/>
      <c r="AL533" s="568">
        <f t="shared" si="146"/>
        <v>2880</v>
      </c>
      <c r="AM533" s="828"/>
      <c r="AN533" s="828"/>
      <c r="AO533" s="828"/>
      <c r="AP533" s="568">
        <f t="shared" si="163"/>
        <v>2880</v>
      </c>
      <c r="AQ533" s="568"/>
      <c r="AR533" s="568">
        <f t="shared" si="157"/>
        <v>2880</v>
      </c>
      <c r="AS533" s="428"/>
      <c r="AT533" s="568">
        <f t="shared" si="161"/>
        <v>2880</v>
      </c>
      <c r="AU533" s="568"/>
      <c r="AV533" s="432"/>
      <c r="AW533" s="432"/>
      <c r="AX533" s="432"/>
      <c r="AY533" s="432"/>
      <c r="AZ533" s="432"/>
      <c r="BA533" s="568"/>
      <c r="BB533" s="428"/>
      <c r="BC533" s="428"/>
      <c r="BD533" s="568">
        <f>I533/4</f>
        <v>720</v>
      </c>
      <c r="BE533" s="568"/>
      <c r="BF533" s="428"/>
      <c r="BG533" s="428"/>
      <c r="BH533" s="428"/>
      <c r="BI533" s="428"/>
      <c r="BJ533" s="428"/>
      <c r="BK533" s="428"/>
      <c r="BL533" s="428"/>
      <c r="BM533" s="428"/>
      <c r="BN533" s="813"/>
      <c r="BO533" s="428"/>
      <c r="BP533" s="428"/>
      <c r="BQ533" s="428"/>
      <c r="BR533" s="428"/>
      <c r="BS533" s="428"/>
      <c r="BT533" s="428"/>
      <c r="BU533" s="428"/>
      <c r="BV533" s="428"/>
      <c r="BW533" s="428"/>
      <c r="BX533" s="428"/>
      <c r="BY533" s="428"/>
      <c r="BZ533" s="428"/>
      <c r="CA533" s="428"/>
      <c r="CB533" s="428"/>
      <c r="CC533" s="428"/>
      <c r="CD533" s="428"/>
      <c r="CE533" s="428"/>
      <c r="CF533" s="578"/>
      <c r="CG533" s="578"/>
      <c r="CH533" s="578"/>
      <c r="CI533" s="578"/>
      <c r="CJ533" s="578"/>
      <c r="CK533" s="428"/>
      <c r="CL533" s="428"/>
      <c r="CM533" s="428"/>
      <c r="CN533" s="578"/>
      <c r="CO533" s="578"/>
      <c r="CP533" s="578"/>
      <c r="CQ533" s="578"/>
      <c r="CR533" s="578"/>
      <c r="CS533" s="578"/>
    </row>
    <row r="534" s="773" customFormat="1" ht="31" hidden="1" customHeight="1" spans="1:97">
      <c r="A534" s="547">
        <v>45930</v>
      </c>
      <c r="B534" s="548" t="s">
        <v>128</v>
      </c>
      <c r="C534" s="539" t="s">
        <v>90</v>
      </c>
      <c r="D534" s="428">
        <v>4500181115</v>
      </c>
      <c r="E534" s="887" t="s">
        <v>2026</v>
      </c>
      <c r="F534" s="428" t="s">
        <v>2027</v>
      </c>
      <c r="G534" s="549" t="s">
        <v>93</v>
      </c>
      <c r="H534" s="539" t="s">
        <v>94</v>
      </c>
      <c r="I534" s="539">
        <v>2560</v>
      </c>
      <c r="J534" s="539">
        <v>0</v>
      </c>
      <c r="K534" s="539">
        <v>4</v>
      </c>
      <c r="L534" s="795">
        <f t="shared" si="154"/>
        <v>640</v>
      </c>
      <c r="M534" s="797">
        <v>45981</v>
      </c>
      <c r="N534" s="797">
        <v>45977</v>
      </c>
      <c r="O534" s="565" t="s">
        <v>2020</v>
      </c>
      <c r="P534" s="556" t="s">
        <v>103</v>
      </c>
      <c r="Q534" s="562"/>
      <c r="R534" s="562" t="s">
        <v>2021</v>
      </c>
      <c r="S534" s="570" t="s">
        <v>66</v>
      </c>
      <c r="T534" s="570" t="s">
        <v>403</v>
      </c>
      <c r="U534" s="570" t="s">
        <v>133</v>
      </c>
      <c r="V534" s="564"/>
      <c r="W534" s="564" t="s">
        <v>1281</v>
      </c>
      <c r="X534" s="513" t="s">
        <v>98</v>
      </c>
      <c r="Y534" s="800">
        <v>2.5656</v>
      </c>
      <c r="Z534" s="801">
        <f t="shared" si="155"/>
        <v>6567.936</v>
      </c>
      <c r="AA534" s="549" t="s">
        <v>2028</v>
      </c>
      <c r="AB534" s="539" t="s">
        <v>93</v>
      </c>
      <c r="AC534" s="539" t="s">
        <v>76</v>
      </c>
      <c r="AD534" s="549"/>
      <c r="AE534" s="549"/>
      <c r="AF534" s="549"/>
      <c r="AG534" s="549">
        <v>2560</v>
      </c>
      <c r="AH534" s="549">
        <f t="shared" si="162"/>
        <v>0</v>
      </c>
      <c r="AI534" s="549"/>
      <c r="AJ534" s="549"/>
      <c r="AK534" s="568"/>
      <c r="AL534" s="568">
        <f t="shared" si="146"/>
        <v>2560</v>
      </c>
      <c r="AM534" s="828"/>
      <c r="AN534" s="828"/>
      <c r="AO534" s="828"/>
      <c r="AP534" s="568">
        <f t="shared" si="163"/>
        <v>2560</v>
      </c>
      <c r="AQ534" s="568"/>
      <c r="AR534" s="568">
        <f t="shared" si="157"/>
        <v>2560</v>
      </c>
      <c r="AS534" s="428"/>
      <c r="AT534" s="568">
        <f t="shared" si="161"/>
        <v>2560</v>
      </c>
      <c r="AU534" s="568"/>
      <c r="AV534" s="432"/>
      <c r="AW534" s="432"/>
      <c r="AX534" s="432"/>
      <c r="AY534" s="432"/>
      <c r="AZ534" s="432"/>
      <c r="BA534" s="568"/>
      <c r="BB534" s="428"/>
      <c r="BC534" s="428"/>
      <c r="BD534" s="568">
        <f>I534/4</f>
        <v>640</v>
      </c>
      <c r="BE534" s="568"/>
      <c r="BF534" s="428"/>
      <c r="BG534" s="428"/>
      <c r="BH534" s="428"/>
      <c r="BI534" s="428"/>
      <c r="BJ534" s="428"/>
      <c r="BK534" s="428"/>
      <c r="BL534" s="428"/>
      <c r="BM534" s="428"/>
      <c r="BN534" s="813"/>
      <c r="BO534" s="428"/>
      <c r="BP534" s="428"/>
      <c r="BQ534" s="428"/>
      <c r="BR534" s="428"/>
      <c r="BS534" s="428"/>
      <c r="BT534" s="428"/>
      <c r="BU534" s="428"/>
      <c r="BV534" s="428"/>
      <c r="BW534" s="428"/>
      <c r="BX534" s="428"/>
      <c r="BY534" s="428"/>
      <c r="BZ534" s="428"/>
      <c r="CA534" s="428"/>
      <c r="CB534" s="428"/>
      <c r="CC534" s="428"/>
      <c r="CD534" s="428"/>
      <c r="CE534" s="428"/>
      <c r="CF534" s="578"/>
      <c r="CG534" s="578"/>
      <c r="CH534" s="578"/>
      <c r="CI534" s="578"/>
      <c r="CJ534" s="578"/>
      <c r="CK534" s="428"/>
      <c r="CL534" s="428"/>
      <c r="CM534" s="428"/>
      <c r="CN534" s="578"/>
      <c r="CO534" s="578"/>
      <c r="CP534" s="578"/>
      <c r="CQ534" s="578"/>
      <c r="CR534" s="578"/>
      <c r="CS534" s="578"/>
    </row>
    <row r="535" s="773" customFormat="1" ht="31" hidden="1" customHeight="1" spans="1:97">
      <c r="A535" s="547">
        <v>45940</v>
      </c>
      <c r="B535" s="548" t="s">
        <v>108</v>
      </c>
      <c r="C535" s="539" t="s">
        <v>90</v>
      </c>
      <c r="D535" s="428">
        <v>4500181255</v>
      </c>
      <c r="E535" s="539" t="s">
        <v>109</v>
      </c>
      <c r="F535" s="428" t="s">
        <v>2029</v>
      </c>
      <c r="G535" s="549" t="s">
        <v>111</v>
      </c>
      <c r="H535" s="539" t="s">
        <v>65</v>
      </c>
      <c r="I535" s="539">
        <v>3000</v>
      </c>
      <c r="J535" s="539">
        <v>0</v>
      </c>
      <c r="K535" s="539">
        <v>12</v>
      </c>
      <c r="L535" s="795">
        <f t="shared" si="154"/>
        <v>250</v>
      </c>
      <c r="M535" s="797">
        <v>45981</v>
      </c>
      <c r="N535" s="797">
        <v>45977</v>
      </c>
      <c r="O535" s="556"/>
      <c r="P535" s="556" t="s">
        <v>103</v>
      </c>
      <c r="Q535" s="562"/>
      <c r="R535" s="562">
        <v>45940</v>
      </c>
      <c r="S535" s="570" t="s">
        <v>66</v>
      </c>
      <c r="T535" s="570" t="s">
        <v>66</v>
      </c>
      <c r="U535" s="564"/>
      <c r="V535" s="564"/>
      <c r="W535" s="564" t="s">
        <v>2030</v>
      </c>
      <c r="X535" s="513" t="s">
        <v>1512</v>
      </c>
      <c r="Y535" s="800">
        <v>2.4579</v>
      </c>
      <c r="Z535" s="801">
        <f t="shared" si="155"/>
        <v>7373.7</v>
      </c>
      <c r="AA535" s="549" t="s">
        <v>2031</v>
      </c>
      <c r="AB535" s="539" t="s">
        <v>64</v>
      </c>
      <c r="AC535" s="539" t="s">
        <v>76</v>
      </c>
      <c r="AD535" s="549"/>
      <c r="AE535" s="549"/>
      <c r="AF535" s="549"/>
      <c r="AG535" s="549">
        <v>3000</v>
      </c>
      <c r="AH535" s="584">
        <f t="shared" si="162"/>
        <v>0</v>
      </c>
      <c r="AI535" s="549"/>
      <c r="AJ535" s="549"/>
      <c r="AK535" s="539"/>
      <c r="AL535" s="568">
        <f t="shared" si="146"/>
        <v>3000</v>
      </c>
      <c r="AM535" s="828"/>
      <c r="AN535" s="828"/>
      <c r="AO535" s="828"/>
      <c r="AP535" s="568">
        <f t="shared" si="163"/>
        <v>3000</v>
      </c>
      <c r="AQ535" s="568"/>
      <c r="AR535" s="568">
        <f t="shared" si="157"/>
        <v>3000</v>
      </c>
      <c r="AS535" s="828"/>
      <c r="AT535" s="568">
        <f t="shared" si="161"/>
        <v>3000</v>
      </c>
      <c r="AU535" s="568"/>
      <c r="AV535" s="582"/>
      <c r="AW535" s="582"/>
      <c r="AX535" s="582"/>
      <c r="AY535" s="582"/>
      <c r="AZ535" s="582"/>
      <c r="BA535" s="568"/>
      <c r="BB535" s="828"/>
      <c r="BC535" s="828"/>
      <c r="BD535" s="568"/>
      <c r="BE535" s="568"/>
      <c r="BF535" s="828"/>
      <c r="BG535" s="828"/>
      <c r="BH535" s="828"/>
      <c r="BI535" s="568"/>
      <c r="BJ535" s="568"/>
      <c r="BK535" s="828"/>
      <c r="BL535" s="828"/>
      <c r="BM535" s="828"/>
      <c r="CF535" s="578"/>
      <c r="CG535" s="578"/>
      <c r="CH535" s="578"/>
      <c r="CI535" s="578"/>
      <c r="CJ535" s="578"/>
      <c r="CN535" s="578"/>
      <c r="CO535" s="578"/>
      <c r="CP535" s="578"/>
      <c r="CQ535" s="578"/>
      <c r="CR535" s="578"/>
      <c r="CS535" s="578"/>
    </row>
    <row r="536" s="773" customFormat="1" ht="31" hidden="1" customHeight="1" spans="1:97">
      <c r="A536" s="547">
        <v>45957</v>
      </c>
      <c r="B536" s="548" t="s">
        <v>280</v>
      </c>
      <c r="C536" s="539" t="s">
        <v>249</v>
      </c>
      <c r="D536" s="428">
        <v>4500183275</v>
      </c>
      <c r="E536" s="539" t="s">
        <v>2032</v>
      </c>
      <c r="F536" s="428" t="s">
        <v>2033</v>
      </c>
      <c r="G536" s="549" t="s">
        <v>102</v>
      </c>
      <c r="H536" s="539" t="s">
        <v>65</v>
      </c>
      <c r="I536" s="539">
        <v>3200</v>
      </c>
      <c r="J536" s="539">
        <v>0</v>
      </c>
      <c r="K536" s="539">
        <v>16</v>
      </c>
      <c r="L536" s="795">
        <f t="shared" si="154"/>
        <v>200</v>
      </c>
      <c r="M536" s="797">
        <v>45985</v>
      </c>
      <c r="N536" s="797">
        <v>45981</v>
      </c>
      <c r="O536" s="556"/>
      <c r="P536" s="556" t="s">
        <v>103</v>
      </c>
      <c r="Q536" s="562"/>
      <c r="R536" s="562">
        <v>45957</v>
      </c>
      <c r="S536" s="570" t="s">
        <v>66</v>
      </c>
      <c r="T536" s="570" t="s">
        <v>2034</v>
      </c>
      <c r="U536" s="564"/>
      <c r="V536" s="564"/>
      <c r="W536" s="564" t="s">
        <v>2035</v>
      </c>
      <c r="X536" s="513" t="s">
        <v>2036</v>
      </c>
      <c r="Y536" s="800">
        <v>4.2489</v>
      </c>
      <c r="Z536" s="801">
        <f t="shared" si="155"/>
        <v>13596.48</v>
      </c>
      <c r="AA536" s="834" t="s">
        <v>2037</v>
      </c>
      <c r="AB536" s="549" t="s">
        <v>102</v>
      </c>
      <c r="AC536" s="539" t="s">
        <v>76</v>
      </c>
      <c r="AD536" s="549"/>
      <c r="AE536" s="549"/>
      <c r="AF536" s="549"/>
      <c r="AG536" s="549">
        <v>3200</v>
      </c>
      <c r="AH536" s="584">
        <f t="shared" si="162"/>
        <v>0</v>
      </c>
      <c r="AI536" s="549"/>
      <c r="AJ536" s="549"/>
      <c r="AK536" s="539"/>
      <c r="AL536" s="568">
        <f t="shared" si="146"/>
        <v>3200</v>
      </c>
      <c r="AM536" s="828"/>
      <c r="AN536" s="828"/>
      <c r="AO536" s="828"/>
      <c r="AP536" s="568">
        <f t="shared" si="163"/>
        <v>3200</v>
      </c>
      <c r="AQ536" s="568"/>
      <c r="AR536" s="568">
        <f t="shared" si="157"/>
        <v>3200</v>
      </c>
      <c r="AS536" s="828"/>
      <c r="AT536" s="568">
        <f t="shared" si="161"/>
        <v>3200</v>
      </c>
      <c r="AU536" s="568"/>
      <c r="AV536" s="432"/>
      <c r="AW536" s="432"/>
      <c r="AX536" s="432"/>
      <c r="AY536" s="432"/>
      <c r="AZ536" s="432"/>
      <c r="BA536" s="568"/>
      <c r="BB536" s="828"/>
      <c r="BC536" s="828"/>
      <c r="BD536" s="568">
        <f>I536/4</f>
        <v>800</v>
      </c>
      <c r="BE536" s="568"/>
      <c r="BF536" s="828"/>
      <c r="BG536" s="828"/>
      <c r="BH536" s="828"/>
      <c r="BI536" s="568"/>
      <c r="BJ536" s="568"/>
      <c r="BK536" s="828"/>
      <c r="BL536" s="828"/>
      <c r="BM536" s="828"/>
      <c r="CF536" s="578"/>
      <c r="CG536" s="578"/>
      <c r="CH536" s="578"/>
      <c r="CI536" s="578"/>
      <c r="CJ536" s="578"/>
      <c r="CN536" s="578"/>
      <c r="CO536" s="578"/>
      <c r="CP536" s="578"/>
      <c r="CQ536" s="578"/>
      <c r="CR536" s="578"/>
      <c r="CS536" s="578"/>
    </row>
    <row r="537" s="773" customFormat="1" ht="31" hidden="1" customHeight="1" spans="1:97">
      <c r="A537" s="547">
        <v>45918</v>
      </c>
      <c r="B537" s="548" t="s">
        <v>190</v>
      </c>
      <c r="C537" s="539" t="s">
        <v>191</v>
      </c>
      <c r="D537" s="428">
        <v>4500179825</v>
      </c>
      <c r="E537" s="539" t="s">
        <v>2038</v>
      </c>
      <c r="F537" s="428" t="s">
        <v>2039</v>
      </c>
      <c r="G537" s="549" t="s">
        <v>102</v>
      </c>
      <c r="H537" s="539" t="s">
        <v>65</v>
      </c>
      <c r="I537" s="539">
        <v>960</v>
      </c>
      <c r="J537" s="539">
        <v>0</v>
      </c>
      <c r="K537" s="539">
        <v>16</v>
      </c>
      <c r="L537" s="795">
        <f t="shared" si="154"/>
        <v>60</v>
      </c>
      <c r="M537" s="797">
        <v>45985</v>
      </c>
      <c r="N537" s="797">
        <v>45981</v>
      </c>
      <c r="O537" s="556"/>
      <c r="P537" s="556" t="s">
        <v>103</v>
      </c>
      <c r="Q537" s="562"/>
      <c r="R537" s="562">
        <v>45918</v>
      </c>
      <c r="S537" s="570" t="s">
        <v>66</v>
      </c>
      <c r="T537" s="570" t="s">
        <v>2040</v>
      </c>
      <c r="U537" s="564"/>
      <c r="V537" s="564"/>
      <c r="W537" s="564" t="s">
        <v>2041</v>
      </c>
      <c r="X537" s="513" t="s">
        <v>1663</v>
      </c>
      <c r="Y537" s="800">
        <v>4.2114</v>
      </c>
      <c r="Z537" s="801">
        <f t="shared" si="155"/>
        <v>4042.944</v>
      </c>
      <c r="AA537" s="549" t="s">
        <v>2042</v>
      </c>
      <c r="AB537" s="549" t="s">
        <v>102</v>
      </c>
      <c r="AC537" s="539" t="s">
        <v>76</v>
      </c>
      <c r="AD537" s="549"/>
      <c r="AE537" s="549"/>
      <c r="AF537" s="549"/>
      <c r="AG537" s="549">
        <v>960</v>
      </c>
      <c r="AH537" s="584">
        <f t="shared" si="162"/>
        <v>0</v>
      </c>
      <c r="AI537" s="549"/>
      <c r="AJ537" s="549"/>
      <c r="AK537" s="568"/>
      <c r="AL537" s="568">
        <f t="shared" si="146"/>
        <v>960</v>
      </c>
      <c r="AM537" s="828"/>
      <c r="AN537" s="828"/>
      <c r="AO537" s="828"/>
      <c r="AP537" s="568">
        <f t="shared" si="163"/>
        <v>960</v>
      </c>
      <c r="AQ537" s="568"/>
      <c r="AR537" s="568">
        <f t="shared" si="157"/>
        <v>960</v>
      </c>
      <c r="AS537" s="828"/>
      <c r="AT537" s="568">
        <f t="shared" si="161"/>
        <v>960</v>
      </c>
      <c r="AU537" s="568"/>
      <c r="AV537" s="432"/>
      <c r="AW537" s="432"/>
      <c r="AX537" s="432"/>
      <c r="AY537" s="432"/>
      <c r="AZ537" s="432"/>
      <c r="BA537" s="568"/>
      <c r="BB537" s="828"/>
      <c r="BC537" s="828"/>
      <c r="BD537" s="568">
        <f>I537/4</f>
        <v>240</v>
      </c>
      <c r="BE537" s="568"/>
      <c r="BF537" s="828"/>
      <c r="BG537" s="828"/>
      <c r="BH537" s="828"/>
      <c r="BI537" s="568"/>
      <c r="BJ537" s="568"/>
      <c r="BK537" s="828"/>
      <c r="BL537" s="828"/>
      <c r="BM537" s="828"/>
      <c r="CF537" s="578"/>
      <c r="CG537" s="578"/>
      <c r="CH537" s="578"/>
      <c r="CI537" s="578"/>
      <c r="CJ537" s="578"/>
      <c r="CN537" s="578"/>
      <c r="CO537" s="578"/>
      <c r="CP537" s="578"/>
      <c r="CQ537" s="578"/>
      <c r="CR537" s="578"/>
      <c r="CS537" s="578"/>
    </row>
    <row r="538" s="773" customFormat="1" ht="31" hidden="1" customHeight="1" spans="1:97">
      <c r="A538" s="547">
        <v>45909</v>
      </c>
      <c r="B538" s="548" t="s">
        <v>1669</v>
      </c>
      <c r="C538" s="539" t="s">
        <v>663</v>
      </c>
      <c r="D538" s="428">
        <v>4500178919</v>
      </c>
      <c r="E538" s="539">
        <v>5000001988</v>
      </c>
      <c r="F538" s="428" t="s">
        <v>2043</v>
      </c>
      <c r="G538" s="549" t="s">
        <v>118</v>
      </c>
      <c r="H538" s="539" t="s">
        <v>119</v>
      </c>
      <c r="I538" s="539">
        <v>504</v>
      </c>
      <c r="J538" s="539">
        <v>0</v>
      </c>
      <c r="K538" s="539">
        <v>6</v>
      </c>
      <c r="L538" s="795">
        <f t="shared" si="154"/>
        <v>84</v>
      </c>
      <c r="M538" s="797">
        <v>45986</v>
      </c>
      <c r="N538" s="797">
        <v>45982</v>
      </c>
      <c r="O538" s="556"/>
      <c r="P538" s="556" t="s">
        <v>103</v>
      </c>
      <c r="Q538" s="562"/>
      <c r="R538" s="562">
        <v>45960</v>
      </c>
      <c r="S538" s="784" t="s">
        <v>96</v>
      </c>
      <c r="T538" s="570" t="s">
        <v>2044</v>
      </c>
      <c r="U538" s="564"/>
      <c r="V538" s="564"/>
      <c r="W538" s="566" t="s">
        <v>2045</v>
      </c>
      <c r="X538" s="513" t="s">
        <v>1674</v>
      </c>
      <c r="Y538" s="800">
        <v>4.1576</v>
      </c>
      <c r="Z538" s="801">
        <f t="shared" si="155"/>
        <v>2095.4304</v>
      </c>
      <c r="AA538" s="549" t="s">
        <v>2046</v>
      </c>
      <c r="AB538" s="568" t="s">
        <v>2047</v>
      </c>
      <c r="AC538" s="539" t="s">
        <v>76</v>
      </c>
      <c r="AD538" s="549"/>
      <c r="AE538" s="549"/>
      <c r="AF538" s="549"/>
      <c r="AG538" s="549">
        <v>504</v>
      </c>
      <c r="AH538" s="584">
        <f t="shared" si="162"/>
        <v>0</v>
      </c>
      <c r="AI538" s="549"/>
      <c r="AJ538" s="549"/>
      <c r="AK538" s="568"/>
      <c r="AL538" s="568">
        <f t="shared" si="146"/>
        <v>504</v>
      </c>
      <c r="AM538" s="828"/>
      <c r="AN538" s="828"/>
      <c r="AO538" s="828"/>
      <c r="AP538" s="568">
        <f t="shared" si="163"/>
        <v>504</v>
      </c>
      <c r="AQ538" s="568"/>
      <c r="AR538" s="568"/>
      <c r="AS538" s="568">
        <f>I538</f>
        <v>504</v>
      </c>
      <c r="AT538" s="568"/>
      <c r="AU538" s="791">
        <f>I538</f>
        <v>504</v>
      </c>
      <c r="AV538" s="432"/>
      <c r="AW538" s="432"/>
      <c r="AX538" s="432"/>
      <c r="AY538" s="432"/>
      <c r="AZ538" s="432"/>
      <c r="BA538" s="568"/>
      <c r="BB538" s="828"/>
      <c r="BC538" s="828"/>
      <c r="BD538" s="568"/>
      <c r="BE538" s="568"/>
      <c r="BF538" s="828"/>
      <c r="BG538" s="828"/>
      <c r="BH538" s="828"/>
      <c r="BI538" s="568"/>
      <c r="BJ538" s="568"/>
      <c r="BK538" s="828"/>
      <c r="BL538" s="828"/>
      <c r="BM538" s="828"/>
      <c r="CF538" s="578"/>
      <c r="CG538" s="578"/>
      <c r="CH538" s="578"/>
      <c r="CI538" s="578"/>
      <c r="CJ538" s="578"/>
      <c r="CN538" s="578"/>
      <c r="CO538" s="578"/>
      <c r="CP538" s="578"/>
      <c r="CQ538" s="578"/>
      <c r="CR538" s="578"/>
      <c r="CS538" s="578"/>
    </row>
    <row r="539" s="773" customFormat="1" ht="31" hidden="1" customHeight="1" spans="1:97">
      <c r="A539" s="547">
        <v>45909</v>
      </c>
      <c r="B539" s="548" t="s">
        <v>1669</v>
      </c>
      <c r="C539" s="539" t="s">
        <v>663</v>
      </c>
      <c r="D539" s="428">
        <v>4500178919</v>
      </c>
      <c r="E539" s="539">
        <v>5000001988</v>
      </c>
      <c r="F539" s="428" t="s">
        <v>2048</v>
      </c>
      <c r="G539" s="549" t="s">
        <v>118</v>
      </c>
      <c r="H539" s="539" t="s">
        <v>119</v>
      </c>
      <c r="I539" s="539">
        <v>1680</v>
      </c>
      <c r="J539" s="539">
        <v>0</v>
      </c>
      <c r="K539" s="539">
        <v>6</v>
      </c>
      <c r="L539" s="795">
        <f t="shared" si="154"/>
        <v>280</v>
      </c>
      <c r="M539" s="797">
        <v>45986</v>
      </c>
      <c r="N539" s="797">
        <v>45982</v>
      </c>
      <c r="O539" s="556"/>
      <c r="P539" s="556" t="s">
        <v>103</v>
      </c>
      <c r="Q539" s="562"/>
      <c r="R539" s="562">
        <v>45960</v>
      </c>
      <c r="S539" s="784" t="s">
        <v>96</v>
      </c>
      <c r="T539" s="570" t="s">
        <v>2044</v>
      </c>
      <c r="U539" s="564"/>
      <c r="V539" s="564"/>
      <c r="W539" s="566" t="s">
        <v>2045</v>
      </c>
      <c r="X539" s="513" t="s">
        <v>1674</v>
      </c>
      <c r="Y539" s="800">
        <v>4.1576</v>
      </c>
      <c r="Z539" s="801">
        <f t="shared" si="155"/>
        <v>6984.768</v>
      </c>
      <c r="AA539" s="549" t="s">
        <v>2046</v>
      </c>
      <c r="AB539" s="568" t="s">
        <v>2047</v>
      </c>
      <c r="AC539" s="539" t="s">
        <v>76</v>
      </c>
      <c r="AD539" s="549"/>
      <c r="AE539" s="549"/>
      <c r="AF539" s="549"/>
      <c r="AG539" s="549">
        <v>1680</v>
      </c>
      <c r="AH539" s="584">
        <f t="shared" si="162"/>
        <v>0</v>
      </c>
      <c r="AI539" s="549"/>
      <c r="AJ539" s="549"/>
      <c r="AK539" s="568"/>
      <c r="AL539" s="568">
        <f t="shared" si="146"/>
        <v>1680</v>
      </c>
      <c r="AM539" s="828"/>
      <c r="AN539" s="828"/>
      <c r="AO539" s="828"/>
      <c r="AP539" s="568">
        <f t="shared" si="163"/>
        <v>1680</v>
      </c>
      <c r="AQ539" s="568"/>
      <c r="AR539" s="568"/>
      <c r="AS539" s="568">
        <f>I539</f>
        <v>1680</v>
      </c>
      <c r="AT539" s="568"/>
      <c r="AU539" s="791">
        <f>I539</f>
        <v>1680</v>
      </c>
      <c r="AV539" s="582"/>
      <c r="AW539" s="582"/>
      <c r="AX539" s="582"/>
      <c r="AY539" s="582"/>
      <c r="AZ539" s="582"/>
      <c r="BA539" s="568"/>
      <c r="BB539" s="828"/>
      <c r="BC539" s="828"/>
      <c r="BD539" s="568"/>
      <c r="BE539" s="568"/>
      <c r="BF539" s="828"/>
      <c r="BG539" s="828"/>
      <c r="BH539" s="828"/>
      <c r="BI539" s="568"/>
      <c r="BJ539" s="568"/>
      <c r="BK539" s="828"/>
      <c r="BL539" s="828"/>
      <c r="BM539" s="828"/>
      <c r="CF539" s="578"/>
      <c r="CG539" s="578"/>
      <c r="CH539" s="578"/>
      <c r="CI539" s="578"/>
      <c r="CJ539" s="578"/>
      <c r="CN539" s="578"/>
      <c r="CO539" s="578"/>
      <c r="CP539" s="578"/>
      <c r="CQ539" s="578"/>
      <c r="CR539" s="578"/>
      <c r="CS539" s="578"/>
    </row>
    <row r="540" s="773" customFormat="1" ht="31" hidden="1" customHeight="1" spans="1:97">
      <c r="A540" s="547">
        <v>45911</v>
      </c>
      <c r="B540" s="548" t="s">
        <v>2049</v>
      </c>
      <c r="C540" s="539" t="s">
        <v>2050</v>
      </c>
      <c r="D540" s="428">
        <v>4500179260</v>
      </c>
      <c r="E540" s="539" t="s">
        <v>2051</v>
      </c>
      <c r="F540" s="428" t="s">
        <v>2052</v>
      </c>
      <c r="G540" s="549" t="s">
        <v>64</v>
      </c>
      <c r="H540" s="539" t="s">
        <v>65</v>
      </c>
      <c r="I540" s="539">
        <v>10008</v>
      </c>
      <c r="J540" s="539">
        <v>0</v>
      </c>
      <c r="K540" s="539">
        <v>12</v>
      </c>
      <c r="L540" s="795">
        <f t="shared" si="154"/>
        <v>834</v>
      </c>
      <c r="M540" s="797">
        <v>45986</v>
      </c>
      <c r="N540" s="797">
        <v>45982</v>
      </c>
      <c r="O540" s="556"/>
      <c r="P540" s="556" t="s">
        <v>103</v>
      </c>
      <c r="Q540" s="562"/>
      <c r="R540" s="562">
        <v>45967</v>
      </c>
      <c r="S540" s="570" t="s">
        <v>66</v>
      </c>
      <c r="T540" s="570" t="s">
        <v>2053</v>
      </c>
      <c r="U540" s="564"/>
      <c r="V540" s="564"/>
      <c r="W540" s="566" t="s">
        <v>2054</v>
      </c>
      <c r="X540" s="513" t="s">
        <v>853</v>
      </c>
      <c r="Y540" s="800">
        <v>4.135</v>
      </c>
      <c r="Z540" s="801">
        <f t="shared" si="155"/>
        <v>41383.08</v>
      </c>
      <c r="AA540" s="549"/>
      <c r="AB540" s="539" t="s">
        <v>165</v>
      </c>
      <c r="AC540" s="539" t="s">
        <v>76</v>
      </c>
      <c r="AD540" s="549"/>
      <c r="AE540" s="549"/>
      <c r="AF540" s="549"/>
      <c r="AG540" s="549">
        <v>10008</v>
      </c>
      <c r="AH540" s="584">
        <f t="shared" si="162"/>
        <v>0</v>
      </c>
      <c r="AI540" s="549"/>
      <c r="AJ540" s="549"/>
      <c r="AK540" s="568"/>
      <c r="AL540" s="568">
        <f t="shared" si="146"/>
        <v>10008</v>
      </c>
      <c r="AM540" s="828"/>
      <c r="AN540" s="828"/>
      <c r="AO540" s="828"/>
      <c r="AP540" s="568"/>
      <c r="AQ540" s="568">
        <f>I540</f>
        <v>10008</v>
      </c>
      <c r="AR540" s="568">
        <f>I540</f>
        <v>10008</v>
      </c>
      <c r="AS540" s="568"/>
      <c r="AT540" s="568">
        <f>I540</f>
        <v>10008</v>
      </c>
      <c r="AU540" s="577"/>
      <c r="AV540" s="428"/>
      <c r="AW540" s="828"/>
      <c r="AX540" s="828"/>
      <c r="AY540" s="828"/>
      <c r="AZ540" s="568"/>
      <c r="BA540" s="568"/>
      <c r="BB540" s="828"/>
      <c r="BC540" s="828"/>
      <c r="BD540" s="568"/>
      <c r="BE540" s="568"/>
      <c r="BF540" s="828"/>
      <c r="BG540" s="828"/>
      <c r="BH540" s="828"/>
      <c r="BI540" s="568"/>
      <c r="BJ540" s="568"/>
      <c r="BK540" s="828"/>
      <c r="BL540" s="828"/>
      <c r="BM540" s="828"/>
      <c r="CF540" s="578"/>
      <c r="CG540" s="578"/>
      <c r="CH540" s="578"/>
      <c r="CI540" s="578"/>
      <c r="CJ540" s="578"/>
      <c r="CN540" s="578"/>
      <c r="CO540" s="578"/>
      <c r="CP540" s="578"/>
      <c r="CQ540" s="578"/>
      <c r="CR540" s="578"/>
      <c r="CS540" s="578"/>
    </row>
    <row r="541" s="773" customFormat="1" ht="31" hidden="1" customHeight="1" spans="1:97">
      <c r="A541" s="547">
        <v>45912</v>
      </c>
      <c r="B541" s="548" t="s">
        <v>152</v>
      </c>
      <c r="C541" s="539" t="s">
        <v>153</v>
      </c>
      <c r="D541" s="428">
        <v>4500179455</v>
      </c>
      <c r="E541" s="539">
        <v>2700959705</v>
      </c>
      <c r="F541" s="428" t="s">
        <v>2055</v>
      </c>
      <c r="G541" s="549" t="s">
        <v>155</v>
      </c>
      <c r="H541" s="539" t="s">
        <v>65</v>
      </c>
      <c r="I541" s="539">
        <v>18000</v>
      </c>
      <c r="J541" s="539">
        <v>0</v>
      </c>
      <c r="K541" s="539">
        <v>2</v>
      </c>
      <c r="L541" s="795">
        <f t="shared" si="154"/>
        <v>9000</v>
      </c>
      <c r="M541" s="797">
        <v>45986</v>
      </c>
      <c r="N541" s="797">
        <v>45982</v>
      </c>
      <c r="O541" s="556"/>
      <c r="P541" s="556" t="s">
        <v>103</v>
      </c>
      <c r="Q541" s="562"/>
      <c r="R541" s="562">
        <v>45946</v>
      </c>
      <c r="S541" s="570" t="s">
        <v>66</v>
      </c>
      <c r="T541" s="570" t="s">
        <v>1830</v>
      </c>
      <c r="U541" s="564"/>
      <c r="V541" s="564"/>
      <c r="W541" s="564" t="s">
        <v>1911</v>
      </c>
      <c r="X541" s="513" t="s">
        <v>1912</v>
      </c>
      <c r="Y541" s="800">
        <v>4.2525</v>
      </c>
      <c r="Z541" s="801">
        <f t="shared" si="155"/>
        <v>76545</v>
      </c>
      <c r="AA541" s="549" t="s">
        <v>2056</v>
      </c>
      <c r="AB541" s="539" t="s">
        <v>155</v>
      </c>
      <c r="AC541" s="539" t="s">
        <v>76</v>
      </c>
      <c r="AD541" s="549"/>
      <c r="AE541" s="549"/>
      <c r="AF541" s="549"/>
      <c r="AG541" s="549">
        <f>13440+4560</f>
        <v>18000</v>
      </c>
      <c r="AH541" s="584">
        <f t="shared" si="162"/>
        <v>0</v>
      </c>
      <c r="AI541" s="549"/>
      <c r="AJ541" s="549"/>
      <c r="AK541" s="568"/>
      <c r="AL541" s="568">
        <f t="shared" si="146"/>
        <v>18000</v>
      </c>
      <c r="AM541" s="828"/>
      <c r="AN541" s="828"/>
      <c r="AO541" s="828"/>
      <c r="AP541" s="568"/>
      <c r="AQ541" s="568">
        <f>I541</f>
        <v>18000</v>
      </c>
      <c r="AR541" s="568">
        <f>I541</f>
        <v>18000</v>
      </c>
      <c r="AS541" s="568"/>
      <c r="AT541" s="568">
        <f>I541</f>
        <v>18000</v>
      </c>
      <c r="AU541" s="577"/>
      <c r="AV541" s="428"/>
      <c r="AW541" s="828"/>
      <c r="AX541" s="828"/>
      <c r="AY541" s="828"/>
      <c r="AZ541" s="568"/>
      <c r="BA541" s="568"/>
      <c r="BB541" s="828"/>
      <c r="BC541" s="828"/>
      <c r="BD541" s="568"/>
      <c r="BE541" s="568"/>
      <c r="BF541" s="828"/>
      <c r="BG541" s="828"/>
      <c r="BH541" s="828"/>
      <c r="BI541" s="568"/>
      <c r="BJ541" s="568"/>
      <c r="BK541" s="828"/>
      <c r="BL541" s="828"/>
      <c r="BM541" s="828"/>
      <c r="CF541" s="578"/>
      <c r="CG541" s="578"/>
      <c r="CH541" s="578"/>
      <c r="CI541" s="578"/>
      <c r="CJ541" s="578"/>
      <c r="CN541" s="578"/>
      <c r="CO541" s="578"/>
      <c r="CP541" s="578"/>
      <c r="CQ541" s="578"/>
      <c r="CR541" s="578"/>
      <c r="CS541" s="578"/>
    </row>
    <row r="542" s="773" customFormat="1" ht="31" hidden="1" customHeight="1" spans="1:97">
      <c r="A542" s="547">
        <v>45929</v>
      </c>
      <c r="B542" s="548" t="s">
        <v>1595</v>
      </c>
      <c r="C542" s="539" t="s">
        <v>139</v>
      </c>
      <c r="D542" s="428">
        <v>4500180792</v>
      </c>
      <c r="E542" s="539" t="s">
        <v>2057</v>
      </c>
      <c r="F542" s="428" t="s">
        <v>2058</v>
      </c>
      <c r="G542" s="549" t="s">
        <v>148</v>
      </c>
      <c r="H542" s="539" t="s">
        <v>65</v>
      </c>
      <c r="I542" s="539">
        <v>2000</v>
      </c>
      <c r="J542" s="539">
        <v>0</v>
      </c>
      <c r="K542" s="539">
        <v>8</v>
      </c>
      <c r="L542" s="795">
        <f t="shared" si="154"/>
        <v>250</v>
      </c>
      <c r="M542" s="797">
        <v>45986</v>
      </c>
      <c r="N542" s="797">
        <v>45982</v>
      </c>
      <c r="O542" s="556"/>
      <c r="P542" s="556" t="s">
        <v>103</v>
      </c>
      <c r="Q542" s="562"/>
      <c r="R542" s="562">
        <v>45941</v>
      </c>
      <c r="S542" s="570" t="s">
        <v>66</v>
      </c>
      <c r="T542" s="570" t="s">
        <v>2059</v>
      </c>
      <c r="U542" s="564"/>
      <c r="V542" s="564" t="s">
        <v>2060</v>
      </c>
      <c r="W542" s="564" t="s">
        <v>2061</v>
      </c>
      <c r="X542" s="513" t="s">
        <v>1424</v>
      </c>
      <c r="Y542" s="800">
        <v>4.2714</v>
      </c>
      <c r="Z542" s="801">
        <f t="shared" si="155"/>
        <v>8542.8</v>
      </c>
      <c r="AA542" s="549" t="s">
        <v>2062</v>
      </c>
      <c r="AB542" s="568" t="s">
        <v>148</v>
      </c>
      <c r="AC542" s="539" t="s">
        <v>76</v>
      </c>
      <c r="AD542" s="549"/>
      <c r="AE542" s="549"/>
      <c r="AF542" s="549"/>
      <c r="AG542" s="549">
        <v>2000</v>
      </c>
      <c r="AH542" s="549">
        <f t="shared" si="162"/>
        <v>0</v>
      </c>
      <c r="AI542" s="549"/>
      <c r="AJ542" s="549"/>
      <c r="AK542" s="568"/>
      <c r="AL542" s="568">
        <f t="shared" si="146"/>
        <v>2000</v>
      </c>
      <c r="AM542" s="828"/>
      <c r="AN542" s="828"/>
      <c r="AO542" s="828"/>
      <c r="AP542" s="568"/>
      <c r="AQ542" s="568"/>
      <c r="AR542" s="428"/>
      <c r="AS542" s="568"/>
      <c r="AT542" s="568">
        <f>I542</f>
        <v>2000</v>
      </c>
      <c r="AU542" s="568"/>
      <c r="AV542" s="428"/>
      <c r="AW542" s="828"/>
      <c r="AX542" s="828"/>
      <c r="AY542" s="828"/>
      <c r="AZ542" s="568">
        <f>I542</f>
        <v>2000</v>
      </c>
      <c r="BA542" s="568">
        <f>I542</f>
        <v>2000</v>
      </c>
      <c r="BB542" s="828"/>
      <c r="BC542" s="828"/>
      <c r="BD542" s="568"/>
      <c r="BE542" s="568">
        <f>I542/4</f>
        <v>500</v>
      </c>
      <c r="BF542" s="828"/>
      <c r="BG542" s="828"/>
      <c r="BH542" s="828"/>
      <c r="BI542" s="568"/>
      <c r="BJ542" s="568"/>
      <c r="BK542" s="828"/>
      <c r="BL542" s="828"/>
      <c r="BM542" s="828"/>
      <c r="CF542" s="578"/>
      <c r="CG542" s="578"/>
      <c r="CH542" s="578"/>
      <c r="CI542" s="578"/>
      <c r="CJ542" s="578"/>
      <c r="CN542" s="578"/>
      <c r="CO542" s="578"/>
      <c r="CP542" s="578"/>
      <c r="CQ542" s="578"/>
      <c r="CR542" s="578"/>
      <c r="CS542" s="578"/>
    </row>
    <row r="543" s="773" customFormat="1" ht="31" hidden="1" customHeight="1" spans="1:97">
      <c r="A543" s="547">
        <v>45929</v>
      </c>
      <c r="B543" s="548" t="s">
        <v>1877</v>
      </c>
      <c r="C543" s="539" t="s">
        <v>356</v>
      </c>
      <c r="D543" s="428">
        <v>4500180519</v>
      </c>
      <c r="E543" s="539" t="s">
        <v>2063</v>
      </c>
      <c r="F543" s="428" t="s">
        <v>2064</v>
      </c>
      <c r="G543" s="549" t="s">
        <v>344</v>
      </c>
      <c r="H543" s="539" t="s">
        <v>65</v>
      </c>
      <c r="I543" s="539">
        <v>4400</v>
      </c>
      <c r="J543" s="539">
        <v>0</v>
      </c>
      <c r="K543" s="539">
        <v>4</v>
      </c>
      <c r="L543" s="795">
        <f t="shared" si="154"/>
        <v>1100</v>
      </c>
      <c r="M543" s="797">
        <v>45988</v>
      </c>
      <c r="N543" s="797">
        <v>45985</v>
      </c>
      <c r="O543" s="556"/>
      <c r="P543" s="556" t="s">
        <v>103</v>
      </c>
      <c r="Q543" s="562"/>
      <c r="R543" s="562">
        <v>45947</v>
      </c>
      <c r="S543" s="570" t="s">
        <v>66</v>
      </c>
      <c r="T543" s="570" t="s">
        <v>1879</v>
      </c>
      <c r="U543" s="570"/>
      <c r="V543" s="564"/>
      <c r="W543" s="564" t="s">
        <v>2065</v>
      </c>
      <c r="X543" s="513" t="s">
        <v>274</v>
      </c>
      <c r="Y543" s="800">
        <v>4.1739</v>
      </c>
      <c r="Z543" s="801">
        <f t="shared" si="155"/>
        <v>18365.16</v>
      </c>
      <c r="AA543" s="549"/>
      <c r="AB543" s="539" t="s">
        <v>559</v>
      </c>
      <c r="AC543" s="539" t="s">
        <v>76</v>
      </c>
      <c r="AD543" s="549"/>
      <c r="AE543" s="549"/>
      <c r="AF543" s="549"/>
      <c r="AG543" s="549">
        <v>4400</v>
      </c>
      <c r="AH543" s="584">
        <f t="shared" si="162"/>
        <v>0</v>
      </c>
      <c r="AI543" s="549"/>
      <c r="AJ543" s="549"/>
      <c r="AK543" s="568"/>
      <c r="AL543" s="568">
        <f t="shared" si="146"/>
        <v>4400</v>
      </c>
      <c r="AM543" s="828"/>
      <c r="AN543" s="828"/>
      <c r="AO543" s="828"/>
      <c r="AP543" s="568"/>
      <c r="AQ543" s="568">
        <f>I543</f>
        <v>4400</v>
      </c>
      <c r="AR543" s="568">
        <f>I543</f>
        <v>4400</v>
      </c>
      <c r="AS543" s="568"/>
      <c r="AT543" s="568">
        <f>I543</f>
        <v>4400</v>
      </c>
      <c r="AU543" s="577"/>
      <c r="AV543" s="428"/>
      <c r="AW543" s="828"/>
      <c r="AX543" s="828"/>
      <c r="AY543" s="828"/>
      <c r="AZ543" s="568"/>
      <c r="BA543" s="568"/>
      <c r="BB543" s="828"/>
      <c r="BC543" s="828"/>
      <c r="BD543" s="568"/>
      <c r="BE543" s="568"/>
      <c r="BF543" s="828"/>
      <c r="BG543" s="828"/>
      <c r="BH543" s="828"/>
      <c r="BI543" s="568"/>
      <c r="BJ543" s="568"/>
      <c r="BK543" s="828"/>
      <c r="BL543" s="828"/>
      <c r="BM543" s="828"/>
      <c r="CF543" s="578"/>
      <c r="CG543" s="578"/>
      <c r="CH543" s="578"/>
      <c r="CI543" s="578"/>
      <c r="CJ543" s="578"/>
      <c r="CN543" s="578"/>
      <c r="CO543" s="578"/>
      <c r="CP543" s="578"/>
      <c r="CQ543" s="578"/>
      <c r="CR543" s="578"/>
      <c r="CS543" s="578"/>
    </row>
    <row r="544" s="431" customFormat="1" ht="31" hidden="1" customHeight="1" spans="1:97">
      <c r="A544" s="518">
        <v>45905</v>
      </c>
      <c r="B544" s="519" t="s">
        <v>1669</v>
      </c>
      <c r="C544" s="520" t="s">
        <v>663</v>
      </c>
      <c r="D544" s="427">
        <v>4500178919</v>
      </c>
      <c r="E544" s="520">
        <v>5000001988</v>
      </c>
      <c r="F544" s="427" t="s">
        <v>2066</v>
      </c>
      <c r="G544" s="521" t="s">
        <v>463</v>
      </c>
      <c r="H544" s="520" t="s">
        <v>424</v>
      </c>
      <c r="I544" s="520">
        <v>10008</v>
      </c>
      <c r="J544" s="520">
        <v>0</v>
      </c>
      <c r="K544" s="520">
        <v>6</v>
      </c>
      <c r="L544" s="804">
        <f t="shared" si="154"/>
        <v>1668</v>
      </c>
      <c r="M544" s="537">
        <v>45986</v>
      </c>
      <c r="N544" s="537">
        <v>45982</v>
      </c>
      <c r="O544" s="526"/>
      <c r="P544" s="526" t="s">
        <v>103</v>
      </c>
      <c r="Q544" s="530"/>
      <c r="R544" s="530">
        <v>45960</v>
      </c>
      <c r="S544" s="784" t="s">
        <v>96</v>
      </c>
      <c r="T544" s="533" t="s">
        <v>2067</v>
      </c>
      <c r="U544" s="533"/>
      <c r="V544" s="532"/>
      <c r="W544" s="532" t="s">
        <v>2068</v>
      </c>
      <c r="X544" s="540" t="s">
        <v>1674</v>
      </c>
      <c r="Y544" s="538">
        <v>6.3409</v>
      </c>
      <c r="Z544" s="808">
        <f t="shared" si="155"/>
        <v>63459.7272</v>
      </c>
      <c r="AA544" s="549" t="s">
        <v>2046</v>
      </c>
      <c r="AB544" s="520" t="s">
        <v>2069</v>
      </c>
      <c r="AC544" s="520" t="s">
        <v>76</v>
      </c>
      <c r="AD544" s="521"/>
      <c r="AE544" s="521"/>
      <c r="AF544" s="521"/>
      <c r="AG544" s="521">
        <f>5472+4536</f>
        <v>10008</v>
      </c>
      <c r="AH544" s="521">
        <f t="shared" si="162"/>
        <v>0</v>
      </c>
      <c r="AI544" s="521"/>
      <c r="AJ544" s="521"/>
      <c r="AK544" s="543"/>
      <c r="AL544" s="543">
        <f t="shared" si="146"/>
        <v>10008</v>
      </c>
      <c r="AM544" s="828"/>
      <c r="AN544" s="828"/>
      <c r="AO544" s="828"/>
      <c r="AP544" s="543">
        <f>I544</f>
        <v>10008</v>
      </c>
      <c r="AQ544" s="543"/>
      <c r="AR544" s="543"/>
      <c r="AS544" s="543">
        <f>I544</f>
        <v>10008</v>
      </c>
      <c r="AT544" s="543"/>
      <c r="AU544" s="791">
        <f>I544</f>
        <v>10008</v>
      </c>
      <c r="AV544" s="427"/>
      <c r="AW544" s="427"/>
      <c r="AX544" s="427"/>
      <c r="AY544" s="427"/>
      <c r="AZ544" s="543"/>
      <c r="BA544" s="543"/>
      <c r="BB544" s="427"/>
      <c r="BC544" s="427"/>
      <c r="BD544" s="543"/>
      <c r="BE544" s="543"/>
      <c r="BF544" s="427"/>
      <c r="BG544" s="427"/>
      <c r="BH544" s="427"/>
      <c r="BI544" s="427"/>
      <c r="BJ544" s="427">
        <f>I544</f>
        <v>10008</v>
      </c>
      <c r="BK544" s="427"/>
      <c r="BL544" s="427"/>
      <c r="BM544" s="427"/>
      <c r="BN544" s="835"/>
      <c r="BO544" s="427"/>
      <c r="BP544" s="427"/>
      <c r="BQ544" s="427"/>
      <c r="BR544" s="427"/>
      <c r="BS544" s="427"/>
      <c r="BT544" s="427"/>
      <c r="BU544" s="427"/>
      <c r="BV544" s="427"/>
      <c r="BW544" s="427"/>
      <c r="BX544" s="427"/>
      <c r="BY544" s="427"/>
      <c r="BZ544" s="427"/>
      <c r="CA544" s="427"/>
      <c r="CB544" s="427"/>
      <c r="CC544" s="427"/>
      <c r="CD544" s="427"/>
      <c r="CE544" s="427"/>
      <c r="CF544" s="544"/>
      <c r="CG544" s="544"/>
      <c r="CH544" s="544"/>
      <c r="CI544" s="544"/>
      <c r="CJ544" s="544"/>
      <c r="CK544" s="427"/>
      <c r="CL544" s="427"/>
      <c r="CM544" s="427"/>
      <c r="CN544" s="544"/>
      <c r="CO544" s="544"/>
      <c r="CP544" s="544"/>
      <c r="CQ544" s="544"/>
      <c r="CR544" s="544"/>
      <c r="CS544" s="544"/>
    </row>
    <row r="545" s="431" customFormat="1" ht="31" hidden="1" customHeight="1" spans="1:97">
      <c r="A545" s="518">
        <v>45909</v>
      </c>
      <c r="B545" s="519" t="s">
        <v>1669</v>
      </c>
      <c r="C545" s="520" t="s">
        <v>663</v>
      </c>
      <c r="D545" s="427">
        <v>4500178919</v>
      </c>
      <c r="E545" s="520">
        <v>5000001988</v>
      </c>
      <c r="F545" s="427" t="s">
        <v>2070</v>
      </c>
      <c r="G545" s="521" t="s">
        <v>463</v>
      </c>
      <c r="H545" s="520" t="s">
        <v>424</v>
      </c>
      <c r="I545" s="520">
        <v>660</v>
      </c>
      <c r="J545" s="520">
        <v>0</v>
      </c>
      <c r="K545" s="520">
        <v>6</v>
      </c>
      <c r="L545" s="804">
        <f t="shared" si="154"/>
        <v>110</v>
      </c>
      <c r="M545" s="537">
        <v>45986</v>
      </c>
      <c r="N545" s="537">
        <v>45982</v>
      </c>
      <c r="O545" s="526"/>
      <c r="P545" s="526" t="s">
        <v>103</v>
      </c>
      <c r="Q545" s="530"/>
      <c r="R545" s="530">
        <v>45960</v>
      </c>
      <c r="S545" s="784" t="s">
        <v>96</v>
      </c>
      <c r="T545" s="533" t="s">
        <v>2067</v>
      </c>
      <c r="U545" s="533"/>
      <c r="V545" s="532"/>
      <c r="W545" s="532" t="s">
        <v>2068</v>
      </c>
      <c r="X545" s="540" t="s">
        <v>1674</v>
      </c>
      <c r="Y545" s="538">
        <v>6.3409</v>
      </c>
      <c r="Z545" s="808">
        <f t="shared" si="155"/>
        <v>4184.994</v>
      </c>
      <c r="AA545" s="549" t="s">
        <v>2046</v>
      </c>
      <c r="AB545" s="520" t="s">
        <v>2069</v>
      </c>
      <c r="AC545" s="520" t="s">
        <v>76</v>
      </c>
      <c r="AD545" s="521"/>
      <c r="AE545" s="521"/>
      <c r="AF545" s="521"/>
      <c r="AG545" s="521">
        <v>660</v>
      </c>
      <c r="AH545" s="521">
        <f t="shared" si="162"/>
        <v>0</v>
      </c>
      <c r="AI545" s="521"/>
      <c r="AJ545" s="521"/>
      <c r="AK545" s="543"/>
      <c r="AL545" s="543">
        <f t="shared" si="146"/>
        <v>660</v>
      </c>
      <c r="AM545" s="828"/>
      <c r="AN545" s="828"/>
      <c r="AO545" s="828"/>
      <c r="AP545" s="543">
        <f>I545</f>
        <v>660</v>
      </c>
      <c r="AQ545" s="543"/>
      <c r="AR545" s="543"/>
      <c r="AS545" s="543">
        <f>I545</f>
        <v>660</v>
      </c>
      <c r="AT545" s="543"/>
      <c r="AU545" s="791">
        <f>I545</f>
        <v>660</v>
      </c>
      <c r="AV545" s="427"/>
      <c r="AW545" s="427"/>
      <c r="AX545" s="427"/>
      <c r="AY545" s="427"/>
      <c r="AZ545" s="543"/>
      <c r="BA545" s="543"/>
      <c r="BB545" s="427"/>
      <c r="BC545" s="427"/>
      <c r="BD545" s="543"/>
      <c r="BE545" s="543"/>
      <c r="BF545" s="427"/>
      <c r="BG545" s="427"/>
      <c r="BH545" s="427"/>
      <c r="BI545" s="427"/>
      <c r="BJ545" s="427">
        <f>I545</f>
        <v>660</v>
      </c>
      <c r="BK545" s="427"/>
      <c r="BL545" s="427"/>
      <c r="BM545" s="427"/>
      <c r="BN545" s="835"/>
      <c r="BO545" s="427"/>
      <c r="BP545" s="427"/>
      <c r="BQ545" s="427"/>
      <c r="BR545" s="427"/>
      <c r="BS545" s="427"/>
      <c r="BT545" s="427"/>
      <c r="BU545" s="427"/>
      <c r="BV545" s="427"/>
      <c r="BW545" s="427"/>
      <c r="BX545" s="427"/>
      <c r="BY545" s="427"/>
      <c r="BZ545" s="427"/>
      <c r="CA545" s="427"/>
      <c r="CB545" s="427"/>
      <c r="CC545" s="427"/>
      <c r="CD545" s="427"/>
      <c r="CE545" s="427"/>
      <c r="CF545" s="544"/>
      <c r="CG545" s="544"/>
      <c r="CH545" s="544"/>
      <c r="CI545" s="544"/>
      <c r="CJ545" s="544"/>
      <c r="CK545" s="427"/>
      <c r="CL545" s="427"/>
      <c r="CM545" s="427"/>
      <c r="CN545" s="544"/>
      <c r="CO545" s="544"/>
      <c r="CP545" s="544"/>
      <c r="CQ545" s="544"/>
      <c r="CR545" s="544"/>
      <c r="CS545" s="544"/>
    </row>
    <row r="546" s="431" customFormat="1" ht="31" hidden="1" customHeight="1" spans="1:97">
      <c r="A546" s="518">
        <v>45946</v>
      </c>
      <c r="B546" s="519" t="s">
        <v>128</v>
      </c>
      <c r="C546" s="520" t="s">
        <v>90</v>
      </c>
      <c r="D546" s="427">
        <v>4500182101</v>
      </c>
      <c r="E546" s="890" t="s">
        <v>2071</v>
      </c>
      <c r="F546" s="427" t="s">
        <v>2072</v>
      </c>
      <c r="G546" s="521" t="s">
        <v>93</v>
      </c>
      <c r="H546" s="520" t="s">
        <v>94</v>
      </c>
      <c r="I546" s="520">
        <v>4160</v>
      </c>
      <c r="J546" s="520">
        <v>0</v>
      </c>
      <c r="K546" s="520">
        <v>4</v>
      </c>
      <c r="L546" s="804">
        <f t="shared" si="154"/>
        <v>1040</v>
      </c>
      <c r="M546" s="537">
        <v>45989</v>
      </c>
      <c r="N546" s="537">
        <v>45985</v>
      </c>
      <c r="O546" s="526" t="s">
        <v>2073</v>
      </c>
      <c r="P546" s="526" t="s">
        <v>103</v>
      </c>
      <c r="Q546" s="530"/>
      <c r="R546" s="530" t="s">
        <v>2021</v>
      </c>
      <c r="S546" s="533" t="s">
        <v>66</v>
      </c>
      <c r="T546" s="533">
        <v>45959</v>
      </c>
      <c r="U546" s="533" t="s">
        <v>133</v>
      </c>
      <c r="V546" s="532"/>
      <c r="W546" s="532" t="s">
        <v>1281</v>
      </c>
      <c r="X546" s="540" t="s">
        <v>98</v>
      </c>
      <c r="Y546" s="538">
        <v>2.5439</v>
      </c>
      <c r="Z546" s="808">
        <f t="shared" si="155"/>
        <v>10582.624</v>
      </c>
      <c r="AA546" s="521"/>
      <c r="AB546" s="520" t="s">
        <v>93</v>
      </c>
      <c r="AC546" s="520" t="s">
        <v>76</v>
      </c>
      <c r="AD546" s="521"/>
      <c r="AE546" s="521"/>
      <c r="AF546" s="521"/>
      <c r="AG546" s="521">
        <f>1440+2720</f>
        <v>4160</v>
      </c>
      <c r="AH546" s="521">
        <f t="shared" si="162"/>
        <v>0</v>
      </c>
      <c r="AI546" s="521"/>
      <c r="AJ546" s="521"/>
      <c r="AK546" s="543"/>
      <c r="AL546" s="543">
        <f t="shared" ref="AL546:AL558" si="164">I546</f>
        <v>4160</v>
      </c>
      <c r="AM546" s="828"/>
      <c r="AN546" s="828"/>
      <c r="AO546" s="828"/>
      <c r="AP546" s="543">
        <f t="shared" ref="AP546:AP558" si="165">I546</f>
        <v>4160</v>
      </c>
      <c r="AQ546" s="543"/>
      <c r="AR546" s="543">
        <f t="shared" ref="AR546:AR561" si="166">I546</f>
        <v>4160</v>
      </c>
      <c r="AS546" s="543"/>
      <c r="AT546" s="543">
        <f t="shared" ref="AT546:AT561" si="167">I546</f>
        <v>4160</v>
      </c>
      <c r="AU546" s="546"/>
      <c r="AV546" s="427"/>
      <c r="AW546" s="427"/>
      <c r="AX546" s="427"/>
      <c r="AY546" s="427"/>
      <c r="AZ546" s="543"/>
      <c r="BA546" s="543"/>
      <c r="BB546" s="427"/>
      <c r="BC546" s="427"/>
      <c r="BD546" s="543">
        <f t="shared" ref="BD546:BD553" si="168">I546/4</f>
        <v>1040</v>
      </c>
      <c r="BE546" s="543"/>
      <c r="BF546" s="427"/>
      <c r="BG546" s="427"/>
      <c r="BH546" s="427"/>
      <c r="BI546" s="427"/>
      <c r="BJ546" s="427"/>
      <c r="BK546" s="427"/>
      <c r="BL546" s="427"/>
      <c r="BM546" s="427"/>
      <c r="BN546" s="835"/>
      <c r="BO546" s="427"/>
      <c r="BP546" s="427"/>
      <c r="BQ546" s="427"/>
      <c r="BR546" s="427"/>
      <c r="BS546" s="427"/>
      <c r="BT546" s="427"/>
      <c r="BU546" s="427"/>
      <c r="BV546" s="427"/>
      <c r="BW546" s="427"/>
      <c r="BX546" s="427"/>
      <c r="BY546" s="427"/>
      <c r="BZ546" s="427"/>
      <c r="CA546" s="427"/>
      <c r="CB546" s="427"/>
      <c r="CC546" s="427"/>
      <c r="CD546" s="427"/>
      <c r="CE546" s="427"/>
      <c r="CF546" s="544"/>
      <c r="CG546" s="544"/>
      <c r="CH546" s="544"/>
      <c r="CI546" s="544"/>
      <c r="CJ546" s="544"/>
      <c r="CK546" s="427"/>
      <c r="CL546" s="427"/>
      <c r="CM546" s="427"/>
      <c r="CN546" s="544"/>
      <c r="CO546" s="544"/>
      <c r="CP546" s="544"/>
      <c r="CQ546" s="544"/>
      <c r="CR546" s="544"/>
      <c r="CS546" s="544"/>
    </row>
    <row r="547" s="431" customFormat="1" ht="31" hidden="1" customHeight="1" spans="1:97">
      <c r="A547" s="518">
        <v>45946</v>
      </c>
      <c r="B547" s="519" t="s">
        <v>128</v>
      </c>
      <c r="C547" s="520" t="s">
        <v>90</v>
      </c>
      <c r="D547" s="427">
        <v>4500182101</v>
      </c>
      <c r="E547" s="890" t="s">
        <v>2074</v>
      </c>
      <c r="F547" s="427" t="s">
        <v>2075</v>
      </c>
      <c r="G547" s="521" t="s">
        <v>93</v>
      </c>
      <c r="H547" s="520" t="s">
        <v>94</v>
      </c>
      <c r="I547" s="520">
        <v>5760</v>
      </c>
      <c r="J547" s="520">
        <v>0</v>
      </c>
      <c r="K547" s="520">
        <v>4</v>
      </c>
      <c r="L547" s="804">
        <f t="shared" si="154"/>
        <v>1440</v>
      </c>
      <c r="M547" s="537">
        <v>45989</v>
      </c>
      <c r="N547" s="537">
        <v>45985</v>
      </c>
      <c r="O547" s="526" t="s">
        <v>2073</v>
      </c>
      <c r="P547" s="526" t="s">
        <v>103</v>
      </c>
      <c r="Q547" s="530"/>
      <c r="R547" s="530" t="s">
        <v>2021</v>
      </c>
      <c r="S547" s="533" t="s">
        <v>66</v>
      </c>
      <c r="T547" s="533">
        <v>45959</v>
      </c>
      <c r="U547" s="533" t="s">
        <v>133</v>
      </c>
      <c r="V547" s="532"/>
      <c r="W547" s="532" t="s">
        <v>1281</v>
      </c>
      <c r="X547" s="540" t="s">
        <v>98</v>
      </c>
      <c r="Y547" s="538">
        <v>2.5439</v>
      </c>
      <c r="Z547" s="808">
        <f t="shared" si="155"/>
        <v>14652.864</v>
      </c>
      <c r="AA547" s="521"/>
      <c r="AB547" s="520" t="s">
        <v>93</v>
      </c>
      <c r="AC547" s="520" t="s">
        <v>76</v>
      </c>
      <c r="AD547" s="521"/>
      <c r="AE547" s="521"/>
      <c r="AF547" s="521"/>
      <c r="AG547" s="521">
        <v>5760</v>
      </c>
      <c r="AH547" s="521">
        <f t="shared" si="162"/>
        <v>0</v>
      </c>
      <c r="AI547" s="521"/>
      <c r="AJ547" s="521"/>
      <c r="AK547" s="543"/>
      <c r="AL547" s="543">
        <f t="shared" si="164"/>
        <v>5760</v>
      </c>
      <c r="AM547" s="828"/>
      <c r="AN547" s="828"/>
      <c r="AO547" s="828"/>
      <c r="AP547" s="543">
        <f t="shared" si="165"/>
        <v>5760</v>
      </c>
      <c r="AQ547" s="543"/>
      <c r="AR547" s="543">
        <f t="shared" si="166"/>
        <v>5760</v>
      </c>
      <c r="AS547" s="543"/>
      <c r="AT547" s="543">
        <f t="shared" si="167"/>
        <v>5760</v>
      </c>
      <c r="AU547" s="546"/>
      <c r="AV547" s="427"/>
      <c r="AW547" s="427"/>
      <c r="AX547" s="427"/>
      <c r="AY547" s="427"/>
      <c r="AZ547" s="543"/>
      <c r="BA547" s="543"/>
      <c r="BB547" s="427"/>
      <c r="BC547" s="427"/>
      <c r="BD547" s="543">
        <f t="shared" si="168"/>
        <v>1440</v>
      </c>
      <c r="BE547" s="543"/>
      <c r="BF547" s="427"/>
      <c r="BG547" s="427"/>
      <c r="BH547" s="427"/>
      <c r="BI547" s="427"/>
      <c r="BJ547" s="427"/>
      <c r="BK547" s="427"/>
      <c r="BL547" s="427"/>
      <c r="BM547" s="427"/>
      <c r="BN547" s="835"/>
      <c r="BO547" s="427"/>
      <c r="BP547" s="427"/>
      <c r="BQ547" s="427"/>
      <c r="BR547" s="427"/>
      <c r="BS547" s="427"/>
      <c r="BT547" s="427"/>
      <c r="BU547" s="427"/>
      <c r="BV547" s="427"/>
      <c r="BW547" s="427"/>
      <c r="BX547" s="427"/>
      <c r="BY547" s="427"/>
      <c r="BZ547" s="427"/>
      <c r="CA547" s="427"/>
      <c r="CB547" s="427"/>
      <c r="CC547" s="427"/>
      <c r="CD547" s="427"/>
      <c r="CE547" s="427"/>
      <c r="CF547" s="544"/>
      <c r="CG547" s="544"/>
      <c r="CH547" s="544"/>
      <c r="CI547" s="544"/>
      <c r="CJ547" s="544"/>
      <c r="CK547" s="427"/>
      <c r="CL547" s="427"/>
      <c r="CM547" s="427"/>
      <c r="CN547" s="544"/>
      <c r="CO547" s="544"/>
      <c r="CP547" s="544"/>
      <c r="CQ547" s="544"/>
      <c r="CR547" s="544"/>
      <c r="CS547" s="544"/>
    </row>
    <row r="548" s="431" customFormat="1" ht="31" hidden="1" customHeight="1" spans="1:97">
      <c r="A548" s="518">
        <v>45946</v>
      </c>
      <c r="B548" s="519" t="s">
        <v>128</v>
      </c>
      <c r="C548" s="520" t="s">
        <v>90</v>
      </c>
      <c r="D548" s="427">
        <v>4500182101</v>
      </c>
      <c r="E548" s="890" t="s">
        <v>2076</v>
      </c>
      <c r="F548" s="427" t="s">
        <v>2077</v>
      </c>
      <c r="G548" s="521" t="s">
        <v>93</v>
      </c>
      <c r="H548" s="520" t="s">
        <v>94</v>
      </c>
      <c r="I548" s="520">
        <v>5760</v>
      </c>
      <c r="J548" s="520">
        <v>0</v>
      </c>
      <c r="K548" s="520">
        <v>4</v>
      </c>
      <c r="L548" s="804">
        <f t="shared" si="154"/>
        <v>1440</v>
      </c>
      <c r="M548" s="537">
        <v>45989</v>
      </c>
      <c r="N548" s="537">
        <v>45985</v>
      </c>
      <c r="O548" s="526" t="s">
        <v>2073</v>
      </c>
      <c r="P548" s="526" t="s">
        <v>103</v>
      </c>
      <c r="Q548" s="530"/>
      <c r="R548" s="530" t="s">
        <v>2021</v>
      </c>
      <c r="S548" s="533" t="s">
        <v>66</v>
      </c>
      <c r="T548" s="533">
        <v>45959</v>
      </c>
      <c r="U548" s="533" t="s">
        <v>133</v>
      </c>
      <c r="V548" s="532"/>
      <c r="W548" s="532" t="s">
        <v>1281</v>
      </c>
      <c r="X548" s="540" t="s">
        <v>98</v>
      </c>
      <c r="Y548" s="538">
        <v>2.5439</v>
      </c>
      <c r="Z548" s="808">
        <f t="shared" si="155"/>
        <v>14652.864</v>
      </c>
      <c r="AA548" s="521"/>
      <c r="AB548" s="520" t="s">
        <v>93</v>
      </c>
      <c r="AC548" s="520" t="s">
        <v>76</v>
      </c>
      <c r="AD548" s="521"/>
      <c r="AE548" s="521"/>
      <c r="AF548" s="521"/>
      <c r="AG548" s="521">
        <v>5760</v>
      </c>
      <c r="AH548" s="521">
        <f t="shared" si="162"/>
        <v>0</v>
      </c>
      <c r="AI548" s="521"/>
      <c r="AJ548" s="521"/>
      <c r="AK548" s="543"/>
      <c r="AL548" s="543">
        <f t="shared" si="164"/>
        <v>5760</v>
      </c>
      <c r="AM548" s="828"/>
      <c r="AN548" s="828"/>
      <c r="AO548" s="828"/>
      <c r="AP548" s="543">
        <f t="shared" si="165"/>
        <v>5760</v>
      </c>
      <c r="AQ548" s="543"/>
      <c r="AR548" s="543">
        <f t="shared" si="166"/>
        <v>5760</v>
      </c>
      <c r="AS548" s="543"/>
      <c r="AT548" s="543">
        <f t="shared" si="167"/>
        <v>5760</v>
      </c>
      <c r="AU548" s="546"/>
      <c r="AV548" s="427"/>
      <c r="AW548" s="427"/>
      <c r="AX548" s="427"/>
      <c r="AY548" s="427"/>
      <c r="AZ548" s="543"/>
      <c r="BA548" s="543"/>
      <c r="BB548" s="427"/>
      <c r="BC548" s="427"/>
      <c r="BD548" s="543">
        <f t="shared" si="168"/>
        <v>1440</v>
      </c>
      <c r="BE548" s="543"/>
      <c r="BF548" s="427"/>
      <c r="BG548" s="427"/>
      <c r="BH548" s="427"/>
      <c r="BI548" s="427"/>
      <c r="BJ548" s="427"/>
      <c r="BK548" s="427"/>
      <c r="BL548" s="427"/>
      <c r="BM548" s="427"/>
      <c r="BN548" s="835"/>
      <c r="BO548" s="427"/>
      <c r="BP548" s="427"/>
      <c r="BQ548" s="427"/>
      <c r="BR548" s="427"/>
      <c r="BS548" s="427"/>
      <c r="BT548" s="427"/>
      <c r="BU548" s="427"/>
      <c r="BV548" s="427"/>
      <c r="BW548" s="427"/>
      <c r="BX548" s="427"/>
      <c r="BY548" s="427"/>
      <c r="BZ548" s="427"/>
      <c r="CA548" s="427"/>
      <c r="CB548" s="427"/>
      <c r="CC548" s="427"/>
      <c r="CD548" s="427"/>
      <c r="CE548" s="427"/>
      <c r="CF548" s="544"/>
      <c r="CG548" s="544"/>
      <c r="CH548" s="544"/>
      <c r="CI548" s="544"/>
      <c r="CJ548" s="544"/>
      <c r="CK548" s="427"/>
      <c r="CL548" s="427"/>
      <c r="CM548" s="427"/>
      <c r="CN548" s="544"/>
      <c r="CO548" s="544"/>
      <c r="CP548" s="544"/>
      <c r="CQ548" s="544"/>
      <c r="CR548" s="544"/>
      <c r="CS548" s="544"/>
    </row>
    <row r="549" s="431" customFormat="1" ht="31" hidden="1" customHeight="1" spans="1:97">
      <c r="A549" s="518">
        <v>45946</v>
      </c>
      <c r="B549" s="519" t="s">
        <v>128</v>
      </c>
      <c r="C549" s="520" t="s">
        <v>90</v>
      </c>
      <c r="D549" s="427">
        <v>4500182101</v>
      </c>
      <c r="E549" s="890" t="s">
        <v>2078</v>
      </c>
      <c r="F549" s="427" t="s">
        <v>2079</v>
      </c>
      <c r="G549" s="521" t="s">
        <v>93</v>
      </c>
      <c r="H549" s="520" t="s">
        <v>94</v>
      </c>
      <c r="I549" s="520">
        <v>4480</v>
      </c>
      <c r="J549" s="520">
        <v>0</v>
      </c>
      <c r="K549" s="520">
        <v>4</v>
      </c>
      <c r="L549" s="804">
        <f t="shared" si="154"/>
        <v>1120</v>
      </c>
      <c r="M549" s="537">
        <v>45989</v>
      </c>
      <c r="N549" s="537">
        <v>45985</v>
      </c>
      <c r="O549" s="526" t="s">
        <v>2073</v>
      </c>
      <c r="P549" s="526" t="s">
        <v>103</v>
      </c>
      <c r="Q549" s="530"/>
      <c r="R549" s="530" t="s">
        <v>2021</v>
      </c>
      <c r="S549" s="533" t="s">
        <v>66</v>
      </c>
      <c r="T549" s="533">
        <v>45959</v>
      </c>
      <c r="U549" s="533" t="s">
        <v>133</v>
      </c>
      <c r="V549" s="532"/>
      <c r="W549" s="532" t="s">
        <v>1281</v>
      </c>
      <c r="X549" s="540" t="s">
        <v>98</v>
      </c>
      <c r="Y549" s="538">
        <v>2.5439</v>
      </c>
      <c r="Z549" s="808">
        <f t="shared" si="155"/>
        <v>11396.672</v>
      </c>
      <c r="AA549" s="521"/>
      <c r="AB549" s="520" t="s">
        <v>93</v>
      </c>
      <c r="AC549" s="520" t="s">
        <v>76</v>
      </c>
      <c r="AD549" s="521"/>
      <c r="AE549" s="521"/>
      <c r="AF549" s="521"/>
      <c r="AG549" s="521">
        <v>4480</v>
      </c>
      <c r="AH549" s="521">
        <f t="shared" si="162"/>
        <v>0</v>
      </c>
      <c r="AI549" s="521"/>
      <c r="AJ549" s="521"/>
      <c r="AK549" s="543"/>
      <c r="AL549" s="543">
        <f t="shared" si="164"/>
        <v>4480</v>
      </c>
      <c r="AM549" s="828"/>
      <c r="AN549" s="828"/>
      <c r="AO549" s="828"/>
      <c r="AP549" s="543">
        <f t="shared" si="165"/>
        <v>4480</v>
      </c>
      <c r="AQ549" s="543"/>
      <c r="AR549" s="543">
        <f t="shared" si="166"/>
        <v>4480</v>
      </c>
      <c r="AS549" s="543"/>
      <c r="AT549" s="543">
        <f t="shared" si="167"/>
        <v>4480</v>
      </c>
      <c r="AU549" s="546"/>
      <c r="AV549" s="427"/>
      <c r="AW549" s="427"/>
      <c r="AX549" s="427"/>
      <c r="AY549" s="427"/>
      <c r="AZ549" s="543"/>
      <c r="BA549" s="543"/>
      <c r="BB549" s="427"/>
      <c r="BC549" s="427"/>
      <c r="BD549" s="543">
        <f t="shared" si="168"/>
        <v>1120</v>
      </c>
      <c r="BE549" s="543"/>
      <c r="BF549" s="427"/>
      <c r="BG549" s="427"/>
      <c r="BH549" s="427"/>
      <c r="BI549" s="427"/>
      <c r="BJ549" s="427"/>
      <c r="BK549" s="427"/>
      <c r="BL549" s="427"/>
      <c r="BM549" s="427"/>
      <c r="BN549" s="835"/>
      <c r="BO549" s="427"/>
      <c r="BP549" s="427"/>
      <c r="BQ549" s="427"/>
      <c r="BR549" s="427"/>
      <c r="BS549" s="427"/>
      <c r="BT549" s="427"/>
      <c r="BU549" s="427"/>
      <c r="BV549" s="427"/>
      <c r="BW549" s="427"/>
      <c r="BX549" s="427"/>
      <c r="BY549" s="427"/>
      <c r="BZ549" s="427"/>
      <c r="CA549" s="427"/>
      <c r="CB549" s="427"/>
      <c r="CC549" s="427"/>
      <c r="CD549" s="427"/>
      <c r="CE549" s="427"/>
      <c r="CF549" s="544"/>
      <c r="CG549" s="544"/>
      <c r="CH549" s="544"/>
      <c r="CI549" s="544"/>
      <c r="CJ549" s="544"/>
      <c r="CK549" s="427"/>
      <c r="CL549" s="427"/>
      <c r="CM549" s="427"/>
      <c r="CN549" s="544"/>
      <c r="CO549" s="544"/>
      <c r="CP549" s="544"/>
      <c r="CQ549" s="544"/>
      <c r="CR549" s="544"/>
      <c r="CS549" s="544"/>
    </row>
    <row r="550" s="431" customFormat="1" ht="31" hidden="1" customHeight="1" spans="1:97">
      <c r="A550" s="518">
        <v>45946</v>
      </c>
      <c r="B550" s="519" t="s">
        <v>128</v>
      </c>
      <c r="C550" s="520" t="s">
        <v>90</v>
      </c>
      <c r="D550" s="427">
        <v>4500182101</v>
      </c>
      <c r="E550" s="890" t="s">
        <v>2080</v>
      </c>
      <c r="F550" s="427" t="s">
        <v>2081</v>
      </c>
      <c r="G550" s="521" t="s">
        <v>93</v>
      </c>
      <c r="H550" s="520" t="s">
        <v>94</v>
      </c>
      <c r="I550" s="520">
        <v>4160</v>
      </c>
      <c r="J550" s="520">
        <v>0</v>
      </c>
      <c r="K550" s="520">
        <v>4</v>
      </c>
      <c r="L550" s="804">
        <f t="shared" si="154"/>
        <v>1040</v>
      </c>
      <c r="M550" s="537">
        <v>45989</v>
      </c>
      <c r="N550" s="537">
        <v>45985</v>
      </c>
      <c r="O550" s="526" t="s">
        <v>2073</v>
      </c>
      <c r="P550" s="526" t="s">
        <v>103</v>
      </c>
      <c r="Q550" s="530"/>
      <c r="R550" s="530" t="s">
        <v>2021</v>
      </c>
      <c r="S550" s="533" t="s">
        <v>66</v>
      </c>
      <c r="T550" s="533">
        <v>45959</v>
      </c>
      <c r="U550" s="533" t="s">
        <v>133</v>
      </c>
      <c r="V550" s="532"/>
      <c r="W550" s="532" t="s">
        <v>1281</v>
      </c>
      <c r="X550" s="540" t="s">
        <v>98</v>
      </c>
      <c r="Y550" s="538">
        <v>2.5439</v>
      </c>
      <c r="Z550" s="808">
        <f t="shared" si="155"/>
        <v>10582.624</v>
      </c>
      <c r="AA550" s="521"/>
      <c r="AB550" s="520" t="s">
        <v>93</v>
      </c>
      <c r="AC550" s="520" t="s">
        <v>76</v>
      </c>
      <c r="AD550" s="521"/>
      <c r="AE550" s="521"/>
      <c r="AF550" s="521"/>
      <c r="AG550" s="521">
        <v>4160</v>
      </c>
      <c r="AH550" s="521">
        <f t="shared" si="162"/>
        <v>0</v>
      </c>
      <c r="AI550" s="521"/>
      <c r="AJ550" s="521"/>
      <c r="AK550" s="543"/>
      <c r="AL550" s="543">
        <f t="shared" si="164"/>
        <v>4160</v>
      </c>
      <c r="AM550" s="828"/>
      <c r="AN550" s="828"/>
      <c r="AO550" s="828"/>
      <c r="AP550" s="543">
        <f t="shared" si="165"/>
        <v>4160</v>
      </c>
      <c r="AQ550" s="543"/>
      <c r="AR550" s="543">
        <f t="shared" si="166"/>
        <v>4160</v>
      </c>
      <c r="AS550" s="543"/>
      <c r="AT550" s="543">
        <f t="shared" si="167"/>
        <v>4160</v>
      </c>
      <c r="AU550" s="546"/>
      <c r="AV550" s="427"/>
      <c r="AW550" s="427"/>
      <c r="AX550" s="427"/>
      <c r="AY550" s="427"/>
      <c r="AZ550" s="543"/>
      <c r="BA550" s="543"/>
      <c r="BB550" s="427"/>
      <c r="BC550" s="427"/>
      <c r="BD550" s="543">
        <f t="shared" si="168"/>
        <v>1040</v>
      </c>
      <c r="BE550" s="543"/>
      <c r="BF550" s="427"/>
      <c r="BG550" s="427"/>
      <c r="BH550" s="427"/>
      <c r="BI550" s="427"/>
      <c r="BJ550" s="427"/>
      <c r="BK550" s="427"/>
      <c r="BL550" s="427"/>
      <c r="BM550" s="427"/>
      <c r="BN550" s="835"/>
      <c r="BO550" s="427"/>
      <c r="BP550" s="427"/>
      <c r="BQ550" s="427"/>
      <c r="BR550" s="427"/>
      <c r="BS550" s="427"/>
      <c r="BT550" s="427"/>
      <c r="BU550" s="427"/>
      <c r="BV550" s="427"/>
      <c r="BW550" s="427"/>
      <c r="BX550" s="427"/>
      <c r="BY550" s="427"/>
      <c r="BZ550" s="427"/>
      <c r="CA550" s="427"/>
      <c r="CB550" s="427"/>
      <c r="CC550" s="427"/>
      <c r="CD550" s="427"/>
      <c r="CE550" s="427"/>
      <c r="CF550" s="544"/>
      <c r="CG550" s="544"/>
      <c r="CH550" s="544"/>
      <c r="CI550" s="544"/>
      <c r="CJ550" s="544"/>
      <c r="CK550" s="427"/>
      <c r="CL550" s="427"/>
      <c r="CM550" s="427"/>
      <c r="CN550" s="544"/>
      <c r="CO550" s="544"/>
      <c r="CP550" s="544"/>
      <c r="CQ550" s="544"/>
      <c r="CR550" s="544"/>
      <c r="CS550" s="544"/>
    </row>
    <row r="551" s="431" customFormat="1" ht="31" hidden="1" customHeight="1" spans="1:97">
      <c r="A551" s="518">
        <v>45946</v>
      </c>
      <c r="B551" s="519" t="s">
        <v>128</v>
      </c>
      <c r="C551" s="520" t="s">
        <v>90</v>
      </c>
      <c r="D551" s="427">
        <v>4500182101</v>
      </c>
      <c r="E551" s="890" t="s">
        <v>2082</v>
      </c>
      <c r="F551" s="427" t="s">
        <v>2083</v>
      </c>
      <c r="G551" s="521" t="s">
        <v>93</v>
      </c>
      <c r="H551" s="520" t="s">
        <v>94</v>
      </c>
      <c r="I551" s="520">
        <v>3200</v>
      </c>
      <c r="J551" s="520">
        <v>0</v>
      </c>
      <c r="K551" s="520">
        <v>4</v>
      </c>
      <c r="L551" s="804">
        <f t="shared" si="154"/>
        <v>800</v>
      </c>
      <c r="M551" s="537">
        <v>45989</v>
      </c>
      <c r="N551" s="537">
        <v>45985</v>
      </c>
      <c r="O551" s="526" t="s">
        <v>2073</v>
      </c>
      <c r="P551" s="526" t="s">
        <v>103</v>
      </c>
      <c r="Q551" s="530"/>
      <c r="R551" s="530" t="s">
        <v>2021</v>
      </c>
      <c r="S551" s="533" t="s">
        <v>66</v>
      </c>
      <c r="T551" s="533">
        <v>45959</v>
      </c>
      <c r="U551" s="533" t="s">
        <v>133</v>
      </c>
      <c r="V551" s="532"/>
      <c r="W551" s="532" t="s">
        <v>1281</v>
      </c>
      <c r="X551" s="540" t="s">
        <v>98</v>
      </c>
      <c r="Y551" s="538">
        <v>2.5439</v>
      </c>
      <c r="Z551" s="808">
        <f t="shared" si="155"/>
        <v>8140.48</v>
      </c>
      <c r="AA551" s="521"/>
      <c r="AB551" s="520" t="s">
        <v>93</v>
      </c>
      <c r="AC551" s="520" t="s">
        <v>76</v>
      </c>
      <c r="AD551" s="521"/>
      <c r="AE551" s="521"/>
      <c r="AF551" s="521"/>
      <c r="AG551" s="521">
        <f>1440+1760</f>
        <v>3200</v>
      </c>
      <c r="AH551" s="521">
        <f t="shared" si="162"/>
        <v>0</v>
      </c>
      <c r="AI551" s="521"/>
      <c r="AJ551" s="521"/>
      <c r="AK551" s="543"/>
      <c r="AL551" s="543">
        <f t="shared" si="164"/>
        <v>3200</v>
      </c>
      <c r="AM551" s="828"/>
      <c r="AN551" s="828"/>
      <c r="AO551" s="828"/>
      <c r="AP551" s="543">
        <f t="shared" si="165"/>
        <v>3200</v>
      </c>
      <c r="AQ551" s="543"/>
      <c r="AR551" s="543">
        <f t="shared" si="166"/>
        <v>3200</v>
      </c>
      <c r="AS551" s="543"/>
      <c r="AT551" s="543">
        <f t="shared" si="167"/>
        <v>3200</v>
      </c>
      <c r="AU551" s="546"/>
      <c r="AV551" s="427"/>
      <c r="AW551" s="427"/>
      <c r="AX551" s="427"/>
      <c r="AY551" s="427"/>
      <c r="AZ551" s="543"/>
      <c r="BA551" s="543"/>
      <c r="BB551" s="427"/>
      <c r="BC551" s="427"/>
      <c r="BD551" s="543">
        <f t="shared" si="168"/>
        <v>800</v>
      </c>
      <c r="BE551" s="543"/>
      <c r="BF551" s="427"/>
      <c r="BG551" s="427"/>
      <c r="BH551" s="427"/>
      <c r="BI551" s="427"/>
      <c r="BJ551" s="427"/>
      <c r="BK551" s="427"/>
      <c r="BL551" s="427"/>
      <c r="BM551" s="427"/>
      <c r="BN551" s="835"/>
      <c r="BO551" s="427"/>
      <c r="BP551" s="427"/>
      <c r="BQ551" s="427"/>
      <c r="BR551" s="427"/>
      <c r="BS551" s="427"/>
      <c r="BT551" s="427"/>
      <c r="BU551" s="427"/>
      <c r="BV551" s="427"/>
      <c r="BW551" s="427"/>
      <c r="BX551" s="427"/>
      <c r="BY551" s="427"/>
      <c r="BZ551" s="427"/>
      <c r="CA551" s="427"/>
      <c r="CB551" s="427"/>
      <c r="CC551" s="427"/>
      <c r="CD551" s="427"/>
      <c r="CE551" s="427"/>
      <c r="CF551" s="544"/>
      <c r="CG551" s="544"/>
      <c r="CH551" s="544"/>
      <c r="CI551" s="544"/>
      <c r="CJ551" s="544"/>
      <c r="CK551" s="427"/>
      <c r="CL551" s="427"/>
      <c r="CM551" s="427"/>
      <c r="CN551" s="544"/>
      <c r="CO551" s="544"/>
      <c r="CP551" s="544"/>
      <c r="CQ551" s="544"/>
      <c r="CR551" s="544"/>
      <c r="CS551" s="544"/>
    </row>
    <row r="552" s="431" customFormat="1" ht="31" hidden="1" customHeight="1" spans="1:97">
      <c r="A552" s="518">
        <v>45946</v>
      </c>
      <c r="B552" s="519" t="s">
        <v>128</v>
      </c>
      <c r="C552" s="520" t="s">
        <v>90</v>
      </c>
      <c r="D552" s="427">
        <v>4500182101</v>
      </c>
      <c r="E552" s="890" t="s">
        <v>2084</v>
      </c>
      <c r="F552" s="427" t="s">
        <v>2085</v>
      </c>
      <c r="G552" s="521" t="s">
        <v>93</v>
      </c>
      <c r="H552" s="520" t="s">
        <v>94</v>
      </c>
      <c r="I552" s="520">
        <v>3520</v>
      </c>
      <c r="J552" s="520">
        <v>0</v>
      </c>
      <c r="K552" s="520">
        <v>4</v>
      </c>
      <c r="L552" s="804">
        <f t="shared" si="154"/>
        <v>880</v>
      </c>
      <c r="M552" s="537">
        <v>45989</v>
      </c>
      <c r="N552" s="537">
        <v>45985</v>
      </c>
      <c r="O552" s="526" t="s">
        <v>2073</v>
      </c>
      <c r="P552" s="526" t="s">
        <v>103</v>
      </c>
      <c r="Q552" s="530"/>
      <c r="R552" s="530" t="s">
        <v>2021</v>
      </c>
      <c r="S552" s="533" t="s">
        <v>66</v>
      </c>
      <c r="T552" s="533">
        <v>45959</v>
      </c>
      <c r="U552" s="533" t="s">
        <v>133</v>
      </c>
      <c r="V552" s="532"/>
      <c r="W552" s="532" t="s">
        <v>1281</v>
      </c>
      <c r="X552" s="540" t="s">
        <v>98</v>
      </c>
      <c r="Y552" s="538">
        <v>2.5439</v>
      </c>
      <c r="Z552" s="808">
        <f t="shared" si="155"/>
        <v>8954.528</v>
      </c>
      <c r="AA552" s="521"/>
      <c r="AB552" s="520" t="s">
        <v>93</v>
      </c>
      <c r="AC552" s="520" t="s">
        <v>76</v>
      </c>
      <c r="AD552" s="521"/>
      <c r="AE552" s="521"/>
      <c r="AF552" s="521"/>
      <c r="AG552" s="521">
        <v>3520</v>
      </c>
      <c r="AH552" s="521">
        <f t="shared" si="162"/>
        <v>0</v>
      </c>
      <c r="AI552" s="521"/>
      <c r="AJ552" s="521"/>
      <c r="AK552" s="543"/>
      <c r="AL552" s="543">
        <f t="shared" si="164"/>
        <v>3520</v>
      </c>
      <c r="AM552" s="828"/>
      <c r="AN552" s="828"/>
      <c r="AO552" s="828"/>
      <c r="AP552" s="543">
        <f t="shared" si="165"/>
        <v>3520</v>
      </c>
      <c r="AQ552" s="543"/>
      <c r="AR552" s="543">
        <f t="shared" si="166"/>
        <v>3520</v>
      </c>
      <c r="AS552" s="543"/>
      <c r="AT552" s="543">
        <f t="shared" si="167"/>
        <v>3520</v>
      </c>
      <c r="AU552" s="546"/>
      <c r="AV552" s="427"/>
      <c r="AW552" s="427"/>
      <c r="AX552" s="427"/>
      <c r="AY552" s="427"/>
      <c r="AZ552" s="543"/>
      <c r="BA552" s="543"/>
      <c r="BB552" s="427"/>
      <c r="BC552" s="427"/>
      <c r="BD552" s="543">
        <f t="shared" si="168"/>
        <v>880</v>
      </c>
      <c r="BE552" s="543"/>
      <c r="BF552" s="427"/>
      <c r="BG552" s="427"/>
      <c r="BH552" s="427"/>
      <c r="BI552" s="427"/>
      <c r="BJ552" s="427"/>
      <c r="BK552" s="427"/>
      <c r="BL552" s="427"/>
      <c r="BM552" s="427"/>
      <c r="BN552" s="835"/>
      <c r="BO552" s="427"/>
      <c r="BP552" s="427"/>
      <c r="BQ552" s="427"/>
      <c r="BR552" s="427"/>
      <c r="BS552" s="427"/>
      <c r="BT552" s="427"/>
      <c r="BU552" s="427"/>
      <c r="BV552" s="427"/>
      <c r="BW552" s="427"/>
      <c r="BX552" s="427"/>
      <c r="BY552" s="427"/>
      <c r="BZ552" s="427"/>
      <c r="CA552" s="427"/>
      <c r="CB552" s="427"/>
      <c r="CC552" s="427"/>
      <c r="CD552" s="427"/>
      <c r="CE552" s="427"/>
      <c r="CF552" s="544"/>
      <c r="CG552" s="544"/>
      <c r="CH552" s="544"/>
      <c r="CI552" s="544"/>
      <c r="CJ552" s="544"/>
      <c r="CK552" s="427"/>
      <c r="CL552" s="427"/>
      <c r="CM552" s="427"/>
      <c r="CN552" s="544"/>
      <c r="CO552" s="544"/>
      <c r="CP552" s="544"/>
      <c r="CQ552" s="544"/>
      <c r="CR552" s="544"/>
      <c r="CS552" s="544"/>
    </row>
    <row r="553" s="431" customFormat="1" ht="31" hidden="1" customHeight="1" spans="1:97">
      <c r="A553" s="518">
        <v>45925</v>
      </c>
      <c r="B553" s="519" t="s">
        <v>783</v>
      </c>
      <c r="C553" s="520" t="s">
        <v>90</v>
      </c>
      <c r="D553" s="427">
        <v>4500180252</v>
      </c>
      <c r="E553" s="520" t="s">
        <v>2086</v>
      </c>
      <c r="F553" s="427" t="s">
        <v>2087</v>
      </c>
      <c r="G553" s="521" t="s">
        <v>93</v>
      </c>
      <c r="H553" s="520" t="s">
        <v>94</v>
      </c>
      <c r="I553" s="520">
        <v>3200</v>
      </c>
      <c r="J553" s="520">
        <v>0</v>
      </c>
      <c r="K553" s="520">
        <v>4</v>
      </c>
      <c r="L553" s="804">
        <f t="shared" si="154"/>
        <v>800</v>
      </c>
      <c r="M553" s="537">
        <v>45991</v>
      </c>
      <c r="N553" s="537">
        <v>45989</v>
      </c>
      <c r="O553" s="526"/>
      <c r="P553" s="526" t="s">
        <v>103</v>
      </c>
      <c r="Q553" s="530"/>
      <c r="R553" s="530">
        <v>45924</v>
      </c>
      <c r="S553" s="533" t="s">
        <v>66</v>
      </c>
      <c r="T553" s="533" t="s">
        <v>66</v>
      </c>
      <c r="U553" s="533" t="s">
        <v>66</v>
      </c>
      <c r="V553" s="532"/>
      <c r="W553" s="532" t="s">
        <v>2088</v>
      </c>
      <c r="X553" s="540" t="s">
        <v>316</v>
      </c>
      <c r="Y553" s="538">
        <v>2.5768</v>
      </c>
      <c r="Z553" s="808">
        <f t="shared" si="155"/>
        <v>8245.76</v>
      </c>
      <c r="AA553" s="521"/>
      <c r="AB553" s="520" t="s">
        <v>93</v>
      </c>
      <c r="AC553" s="520" t="s">
        <v>76</v>
      </c>
      <c r="AD553" s="521"/>
      <c r="AE553" s="521"/>
      <c r="AF553" s="521"/>
      <c r="AG553" s="521">
        <f>720+2480</f>
        <v>3200</v>
      </c>
      <c r="AH553" s="521">
        <f t="shared" si="162"/>
        <v>0</v>
      </c>
      <c r="AI553" s="521"/>
      <c r="AJ553" s="521"/>
      <c r="AK553" s="543"/>
      <c r="AL553" s="543">
        <f t="shared" si="164"/>
        <v>3200</v>
      </c>
      <c r="AM553" s="828"/>
      <c r="AN553" s="828"/>
      <c r="AO553" s="828"/>
      <c r="AP553" s="543">
        <f t="shared" si="165"/>
        <v>3200</v>
      </c>
      <c r="AQ553" s="543"/>
      <c r="AR553" s="543">
        <f t="shared" si="166"/>
        <v>3200</v>
      </c>
      <c r="AS553" s="543"/>
      <c r="AT553" s="543">
        <f t="shared" si="167"/>
        <v>3200</v>
      </c>
      <c r="AU553" s="546"/>
      <c r="AV553" s="427"/>
      <c r="AW553" s="628"/>
      <c r="AX553" s="628"/>
      <c r="AY553" s="628"/>
      <c r="AZ553" s="543"/>
      <c r="BA553" s="543"/>
      <c r="BB553" s="628"/>
      <c r="BC553" s="628"/>
      <c r="BD553" s="543">
        <f t="shared" si="168"/>
        <v>800</v>
      </c>
      <c r="BE553" s="543"/>
      <c r="BF553" s="628"/>
      <c r="BG553" s="628"/>
      <c r="BH553" s="628"/>
      <c r="BI553" s="543"/>
      <c r="BJ553" s="543"/>
      <c r="BK553" s="628"/>
      <c r="BL553" s="628"/>
      <c r="BM553" s="628"/>
      <c r="CF553" s="544"/>
      <c r="CG553" s="544"/>
      <c r="CH553" s="544"/>
      <c r="CI553" s="544"/>
      <c r="CJ553" s="544"/>
      <c r="CN553" s="544"/>
      <c r="CO553" s="544"/>
      <c r="CP553" s="544"/>
      <c r="CQ553" s="544"/>
      <c r="CR553" s="544"/>
      <c r="CS553" s="544"/>
    </row>
    <row r="554" s="431" customFormat="1" ht="31" hidden="1" customHeight="1" spans="1:97">
      <c r="A554" s="518">
        <v>45925</v>
      </c>
      <c r="B554" s="519" t="s">
        <v>2089</v>
      </c>
      <c r="C554" s="520" t="s">
        <v>1234</v>
      </c>
      <c r="D554" s="427">
        <v>4500180424</v>
      </c>
      <c r="E554" s="520" t="s">
        <v>2090</v>
      </c>
      <c r="F554" s="427" t="s">
        <v>2091</v>
      </c>
      <c r="G554" s="521" t="s">
        <v>64</v>
      </c>
      <c r="H554" s="520" t="s">
        <v>65</v>
      </c>
      <c r="I554" s="520">
        <v>600</v>
      </c>
      <c r="J554" s="520">
        <v>0</v>
      </c>
      <c r="K554" s="520">
        <v>12</v>
      </c>
      <c r="L554" s="804">
        <f t="shared" si="154"/>
        <v>50</v>
      </c>
      <c r="M554" s="806">
        <v>45985</v>
      </c>
      <c r="N554" s="806">
        <v>45981</v>
      </c>
      <c r="O554" s="526"/>
      <c r="P554" s="526" t="s">
        <v>103</v>
      </c>
      <c r="Q554" s="530"/>
      <c r="R554" s="530">
        <v>45926</v>
      </c>
      <c r="S554" s="533" t="s">
        <v>66</v>
      </c>
      <c r="T554" s="533" t="s">
        <v>2092</v>
      </c>
      <c r="U554" s="533"/>
      <c r="V554" s="532"/>
      <c r="W554" s="531" t="s">
        <v>2093</v>
      </c>
      <c r="X554" s="540" t="s">
        <v>196</v>
      </c>
      <c r="Y554" s="538">
        <v>4.1018</v>
      </c>
      <c r="Z554" s="808">
        <f t="shared" si="155"/>
        <v>2461.08</v>
      </c>
      <c r="AA554" s="521" t="s">
        <v>2094</v>
      </c>
      <c r="AB554" s="520" t="s">
        <v>64</v>
      </c>
      <c r="AC554" s="520" t="s">
        <v>76</v>
      </c>
      <c r="AD554" s="521"/>
      <c r="AE554" s="521"/>
      <c r="AF554" s="521"/>
      <c r="AG554" s="521">
        <v>600</v>
      </c>
      <c r="AH554" s="522">
        <f t="shared" si="162"/>
        <v>0</v>
      </c>
      <c r="AI554" s="521"/>
      <c r="AJ554" s="521"/>
      <c r="AK554" s="543"/>
      <c r="AL554" s="543">
        <f t="shared" si="164"/>
        <v>600</v>
      </c>
      <c r="AM554" s="828"/>
      <c r="AN554" s="828"/>
      <c r="AO554" s="828"/>
      <c r="AP554" s="543">
        <f t="shared" si="165"/>
        <v>600</v>
      </c>
      <c r="AQ554" s="543"/>
      <c r="AR554" s="543">
        <f t="shared" si="166"/>
        <v>600</v>
      </c>
      <c r="AS554" s="543"/>
      <c r="AT554" s="543">
        <f t="shared" si="167"/>
        <v>600</v>
      </c>
      <c r="AU554" s="543"/>
      <c r="AV554" s="427"/>
      <c r="AW554" s="628"/>
      <c r="AX554" s="628"/>
      <c r="AY554" s="628"/>
      <c r="AZ554" s="543"/>
      <c r="BA554" s="543"/>
      <c r="BB554" s="628"/>
      <c r="BC554" s="628"/>
      <c r="BD554" s="543"/>
      <c r="BE554" s="543"/>
      <c r="BF554" s="628"/>
      <c r="BG554" s="628"/>
      <c r="BH554" s="628"/>
      <c r="BI554" s="543"/>
      <c r="BJ554" s="543"/>
      <c r="BK554" s="628"/>
      <c r="BL554" s="628"/>
      <c r="BM554" s="628"/>
      <c r="CF554" s="544"/>
      <c r="CG554" s="544"/>
      <c r="CH554" s="544"/>
      <c r="CI554" s="544"/>
      <c r="CJ554" s="544"/>
      <c r="CN554" s="544"/>
      <c r="CO554" s="544"/>
      <c r="CP554" s="544"/>
      <c r="CQ554" s="544"/>
      <c r="CR554" s="544"/>
      <c r="CS554" s="544"/>
    </row>
    <row r="555" s="431" customFormat="1" ht="31" hidden="1" customHeight="1" spans="1:97">
      <c r="A555" s="518">
        <v>45925</v>
      </c>
      <c r="B555" s="519" t="s">
        <v>2089</v>
      </c>
      <c r="C555" s="520" t="s">
        <v>1234</v>
      </c>
      <c r="D555" s="427">
        <v>4500180424</v>
      </c>
      <c r="E555" s="520" t="s">
        <v>2090</v>
      </c>
      <c r="F555" s="427" t="s">
        <v>2095</v>
      </c>
      <c r="G555" s="521" t="s">
        <v>64</v>
      </c>
      <c r="H555" s="520" t="s">
        <v>65</v>
      </c>
      <c r="I555" s="520">
        <v>1404</v>
      </c>
      <c r="J555" s="520">
        <v>0</v>
      </c>
      <c r="K555" s="520">
        <v>12</v>
      </c>
      <c r="L555" s="804">
        <f t="shared" si="154"/>
        <v>117</v>
      </c>
      <c r="M555" s="806">
        <v>45985</v>
      </c>
      <c r="N555" s="806">
        <v>45981</v>
      </c>
      <c r="O555" s="526"/>
      <c r="P555" s="526" t="s">
        <v>103</v>
      </c>
      <c r="Q555" s="530"/>
      <c r="R555" s="530">
        <v>45926</v>
      </c>
      <c r="S555" s="533" t="s">
        <v>66</v>
      </c>
      <c r="T555" s="533" t="s">
        <v>2092</v>
      </c>
      <c r="U555" s="533"/>
      <c r="V555" s="532"/>
      <c r="W555" s="531" t="s">
        <v>2093</v>
      </c>
      <c r="X555" s="540" t="s">
        <v>196</v>
      </c>
      <c r="Y555" s="538">
        <v>4.2386</v>
      </c>
      <c r="Z555" s="808">
        <f t="shared" si="155"/>
        <v>5950.9944</v>
      </c>
      <c r="AA555" s="521" t="s">
        <v>2094</v>
      </c>
      <c r="AB555" s="520" t="s">
        <v>64</v>
      </c>
      <c r="AC555" s="520" t="s">
        <v>76</v>
      </c>
      <c r="AD555" s="521"/>
      <c r="AE555" s="521"/>
      <c r="AF555" s="521"/>
      <c r="AG555" s="521">
        <v>1404</v>
      </c>
      <c r="AH555" s="522">
        <f t="shared" si="162"/>
        <v>0</v>
      </c>
      <c r="AI555" s="521"/>
      <c r="AJ555" s="521"/>
      <c r="AK555" s="543"/>
      <c r="AL555" s="543">
        <f t="shared" si="164"/>
        <v>1404</v>
      </c>
      <c r="AM555" s="828"/>
      <c r="AN555" s="828"/>
      <c r="AO555" s="828"/>
      <c r="AP555" s="543">
        <f t="shared" si="165"/>
        <v>1404</v>
      </c>
      <c r="AQ555" s="543"/>
      <c r="AR555" s="543">
        <f t="shared" si="166"/>
        <v>1404</v>
      </c>
      <c r="AS555" s="543"/>
      <c r="AT555" s="543">
        <f t="shared" si="167"/>
        <v>1404</v>
      </c>
      <c r="AU555" s="543"/>
      <c r="AV555" s="427"/>
      <c r="AW555" s="628"/>
      <c r="AX555" s="628"/>
      <c r="AY555" s="628"/>
      <c r="AZ555" s="543"/>
      <c r="BA555" s="543"/>
      <c r="BB555" s="628"/>
      <c r="BC555" s="628"/>
      <c r="BD555" s="543"/>
      <c r="BE555" s="543"/>
      <c r="BF555" s="628"/>
      <c r="BG555" s="628"/>
      <c r="BH555" s="628"/>
      <c r="BI555" s="543"/>
      <c r="BJ555" s="543"/>
      <c r="BK555" s="628"/>
      <c r="BL555" s="628"/>
      <c r="BM555" s="628"/>
      <c r="CF555" s="544"/>
      <c r="CG555" s="544"/>
      <c r="CH555" s="544"/>
      <c r="CI555" s="544"/>
      <c r="CJ555" s="544"/>
      <c r="CN555" s="544"/>
      <c r="CO555" s="544"/>
      <c r="CP555" s="544"/>
      <c r="CQ555" s="544"/>
      <c r="CR555" s="544"/>
      <c r="CS555" s="544"/>
    </row>
    <row r="556" s="431" customFormat="1" ht="34" hidden="1" customHeight="1" spans="1:97">
      <c r="A556" s="518">
        <v>45950</v>
      </c>
      <c r="B556" s="519" t="s">
        <v>122</v>
      </c>
      <c r="C556" s="520" t="s">
        <v>116</v>
      </c>
      <c r="D556" s="427">
        <v>4500182434</v>
      </c>
      <c r="E556" s="520">
        <v>21098930</v>
      </c>
      <c r="F556" s="427" t="s">
        <v>2096</v>
      </c>
      <c r="G556" s="521" t="s">
        <v>64</v>
      </c>
      <c r="H556" s="520" t="s">
        <v>65</v>
      </c>
      <c r="I556" s="520">
        <v>4200</v>
      </c>
      <c r="J556" s="520">
        <v>0</v>
      </c>
      <c r="K556" s="520">
        <v>12</v>
      </c>
      <c r="L556" s="804">
        <f t="shared" si="154"/>
        <v>350</v>
      </c>
      <c r="M556" s="537">
        <v>45992</v>
      </c>
      <c r="N556" s="537">
        <f>M556-4</f>
        <v>45988</v>
      </c>
      <c r="O556" s="526"/>
      <c r="P556" s="526" t="s">
        <v>103</v>
      </c>
      <c r="Q556" s="530"/>
      <c r="R556" s="530">
        <v>45960</v>
      </c>
      <c r="S556" s="533" t="s">
        <v>66</v>
      </c>
      <c r="T556" s="533" t="s">
        <v>2097</v>
      </c>
      <c r="U556" s="533"/>
      <c r="V556" s="532"/>
      <c r="W556" s="597" t="s">
        <v>2098</v>
      </c>
      <c r="X556" s="540" t="s">
        <v>121</v>
      </c>
      <c r="Y556" s="538">
        <v>4.2333</v>
      </c>
      <c r="Z556" s="808">
        <f t="shared" si="155"/>
        <v>17779.86</v>
      </c>
      <c r="AA556" s="521"/>
      <c r="AB556" s="543" t="s">
        <v>64</v>
      </c>
      <c r="AC556" s="520" t="s">
        <v>76</v>
      </c>
      <c r="AD556" s="521"/>
      <c r="AE556" s="521"/>
      <c r="AF556" s="521"/>
      <c r="AG556" s="521">
        <v>4200</v>
      </c>
      <c r="AH556" s="522">
        <f t="shared" si="162"/>
        <v>0</v>
      </c>
      <c r="AI556" s="521"/>
      <c r="AJ556" s="521"/>
      <c r="AK556" s="543"/>
      <c r="AL556" s="543">
        <f t="shared" si="164"/>
        <v>4200</v>
      </c>
      <c r="AM556" s="828"/>
      <c r="AN556" s="828"/>
      <c r="AO556" s="828"/>
      <c r="AP556" s="543">
        <f t="shared" si="165"/>
        <v>4200</v>
      </c>
      <c r="AQ556" s="543"/>
      <c r="AR556" s="543">
        <f t="shared" si="166"/>
        <v>4200</v>
      </c>
      <c r="AS556" s="543"/>
      <c r="AT556" s="543">
        <f t="shared" si="167"/>
        <v>4200</v>
      </c>
      <c r="AU556" s="546"/>
      <c r="AV556" s="427"/>
      <c r="AW556" s="427"/>
      <c r="AX556" s="427"/>
      <c r="AY556" s="427"/>
      <c r="AZ556" s="543"/>
      <c r="BA556" s="543"/>
      <c r="BB556" s="427"/>
      <c r="BC556" s="427"/>
      <c r="BD556" s="543"/>
      <c r="BE556" s="543"/>
      <c r="BF556" s="427"/>
      <c r="BG556" s="427"/>
      <c r="BH556" s="427"/>
      <c r="BI556" s="427"/>
      <c r="BJ556" s="427"/>
      <c r="BK556" s="427"/>
      <c r="BL556" s="427"/>
      <c r="BM556" s="427"/>
      <c r="BN556" s="835"/>
      <c r="BO556" s="427"/>
      <c r="BP556" s="427"/>
      <c r="BQ556" s="427"/>
      <c r="BR556" s="427"/>
      <c r="BS556" s="427"/>
      <c r="BT556" s="427"/>
      <c r="BU556" s="427"/>
      <c r="BV556" s="427"/>
      <c r="BW556" s="427"/>
      <c r="BX556" s="427"/>
      <c r="BY556" s="427"/>
      <c r="BZ556" s="427"/>
      <c r="CA556" s="427"/>
      <c r="CB556" s="427"/>
      <c r="CC556" s="427"/>
      <c r="CD556" s="427"/>
      <c r="CE556" s="427"/>
      <c r="CF556" s="544"/>
      <c r="CG556" s="544"/>
      <c r="CH556" s="544"/>
      <c r="CI556" s="544"/>
      <c r="CJ556" s="544"/>
      <c r="CK556" s="427"/>
      <c r="CL556" s="427"/>
      <c r="CM556" s="427"/>
      <c r="CN556" s="544"/>
      <c r="CO556" s="544"/>
      <c r="CP556" s="544"/>
      <c r="CQ556" s="544"/>
      <c r="CR556" s="544"/>
      <c r="CS556" s="544"/>
    </row>
    <row r="557" s="431" customFormat="1" ht="34" hidden="1" customHeight="1" spans="1:97">
      <c r="A557" s="518">
        <v>45950</v>
      </c>
      <c r="B557" s="519" t="s">
        <v>125</v>
      </c>
      <c r="C557" s="520" t="s">
        <v>71</v>
      </c>
      <c r="D557" s="427">
        <v>4500182442</v>
      </c>
      <c r="E557" s="520">
        <v>21098931</v>
      </c>
      <c r="F557" s="427" t="s">
        <v>2099</v>
      </c>
      <c r="G557" s="521" t="s">
        <v>64</v>
      </c>
      <c r="H557" s="520" t="s">
        <v>65</v>
      </c>
      <c r="I557" s="520">
        <v>420</v>
      </c>
      <c r="J557" s="520">
        <v>0</v>
      </c>
      <c r="K557" s="520">
        <v>12</v>
      </c>
      <c r="L557" s="804">
        <f t="shared" si="154"/>
        <v>35</v>
      </c>
      <c r="M557" s="537">
        <v>45992</v>
      </c>
      <c r="N557" s="537">
        <f>M557-4</f>
        <v>45988</v>
      </c>
      <c r="O557" s="526"/>
      <c r="P557" s="526" t="s">
        <v>103</v>
      </c>
      <c r="Q557" s="530"/>
      <c r="R557" s="530">
        <v>45960</v>
      </c>
      <c r="S557" s="533" t="s">
        <v>66</v>
      </c>
      <c r="T557" s="533" t="s">
        <v>2100</v>
      </c>
      <c r="U557" s="533"/>
      <c r="V557" s="532"/>
      <c r="W557" s="597" t="s">
        <v>2101</v>
      </c>
      <c r="X557" s="540" t="s">
        <v>121</v>
      </c>
      <c r="Y557" s="538">
        <v>4.2386</v>
      </c>
      <c r="Z557" s="808">
        <f t="shared" si="155"/>
        <v>1780.212</v>
      </c>
      <c r="AA557" s="521" t="s">
        <v>2102</v>
      </c>
      <c r="AB557" s="543" t="s">
        <v>64</v>
      </c>
      <c r="AC557" s="520" t="s">
        <v>76</v>
      </c>
      <c r="AD557" s="521"/>
      <c r="AE557" s="521"/>
      <c r="AF557" s="521"/>
      <c r="AG557" s="521">
        <v>420</v>
      </c>
      <c r="AH557" s="522">
        <f t="shared" si="162"/>
        <v>0</v>
      </c>
      <c r="AI557" s="521"/>
      <c r="AJ557" s="521"/>
      <c r="AK557" s="543"/>
      <c r="AL557" s="543">
        <f t="shared" si="164"/>
        <v>420</v>
      </c>
      <c r="AM557" s="828"/>
      <c r="AN557" s="828"/>
      <c r="AO557" s="828"/>
      <c r="AP557" s="543">
        <f t="shared" si="165"/>
        <v>420</v>
      </c>
      <c r="AQ557" s="543"/>
      <c r="AR557" s="543">
        <f t="shared" si="166"/>
        <v>420</v>
      </c>
      <c r="AS557" s="543"/>
      <c r="AT557" s="543">
        <f t="shared" si="167"/>
        <v>420</v>
      </c>
      <c r="AU557" s="546"/>
      <c r="AV557" s="427"/>
      <c r="AW557" s="427"/>
      <c r="AX557" s="427"/>
      <c r="AY557" s="427"/>
      <c r="AZ557" s="543"/>
      <c r="BA557" s="543"/>
      <c r="BB557" s="427"/>
      <c r="BC557" s="427"/>
      <c r="BD557" s="543"/>
      <c r="BE557" s="543"/>
      <c r="BF557" s="427"/>
      <c r="BG557" s="427"/>
      <c r="BH557" s="427"/>
      <c r="BI557" s="427"/>
      <c r="BJ557" s="427"/>
      <c r="BK557" s="427"/>
      <c r="BL557" s="427"/>
      <c r="BM557" s="427"/>
      <c r="BN557" s="835"/>
      <c r="BO557" s="427"/>
      <c r="BP557" s="427"/>
      <c r="BQ557" s="427"/>
      <c r="BR557" s="427"/>
      <c r="BS557" s="427"/>
      <c r="BT557" s="427"/>
      <c r="BU557" s="427"/>
      <c r="BV557" s="427"/>
      <c r="BW557" s="427"/>
      <c r="BX557" s="427"/>
      <c r="BY557" s="427"/>
      <c r="BZ557" s="427"/>
      <c r="CA557" s="427"/>
      <c r="CB557" s="427"/>
      <c r="CC557" s="427"/>
      <c r="CD557" s="427"/>
      <c r="CE557" s="427"/>
      <c r="CF557" s="544"/>
      <c r="CG557" s="544"/>
      <c r="CH557" s="544"/>
      <c r="CI557" s="544"/>
      <c r="CJ557" s="544"/>
      <c r="CK557" s="427"/>
      <c r="CL557" s="427"/>
      <c r="CM557" s="427"/>
      <c r="CN557" s="544"/>
      <c r="CO557" s="544"/>
      <c r="CP557" s="544"/>
      <c r="CQ557" s="544"/>
      <c r="CR557" s="544"/>
      <c r="CS557" s="544"/>
    </row>
    <row r="558" s="431" customFormat="1" ht="34" hidden="1" customHeight="1" spans="1:97">
      <c r="A558" s="518">
        <v>45959</v>
      </c>
      <c r="B558" s="519" t="s">
        <v>220</v>
      </c>
      <c r="C558" s="520" t="s">
        <v>90</v>
      </c>
      <c r="D558" s="427">
        <v>4500183607</v>
      </c>
      <c r="E558" s="520" t="s">
        <v>2103</v>
      </c>
      <c r="F558" s="427" t="s">
        <v>2104</v>
      </c>
      <c r="G558" s="521" t="s">
        <v>223</v>
      </c>
      <c r="H558" s="520" t="s">
        <v>224</v>
      </c>
      <c r="I558" s="520">
        <v>10516</v>
      </c>
      <c r="J558" s="520">
        <v>0</v>
      </c>
      <c r="K558" s="520">
        <v>4</v>
      </c>
      <c r="L558" s="804">
        <f t="shared" si="154"/>
        <v>2629</v>
      </c>
      <c r="M558" s="537">
        <v>45992</v>
      </c>
      <c r="N558" s="537">
        <f>M558-4</f>
        <v>45988</v>
      </c>
      <c r="O558" s="526" t="s">
        <v>2105</v>
      </c>
      <c r="P558" s="526" t="s">
        <v>103</v>
      </c>
      <c r="Q558" s="530"/>
      <c r="R558" s="530">
        <v>45959</v>
      </c>
      <c r="S558" s="533" t="s">
        <v>96</v>
      </c>
      <c r="T558" s="533" t="s">
        <v>2106</v>
      </c>
      <c r="U558" s="533"/>
      <c r="V558" s="532"/>
      <c r="W558" s="532" t="s">
        <v>2107</v>
      </c>
      <c r="X558" s="540" t="s">
        <v>226</v>
      </c>
      <c r="Y558" s="538">
        <v>2.7832</v>
      </c>
      <c r="Z558" s="808">
        <f t="shared" si="155"/>
        <v>29268.1312</v>
      </c>
      <c r="AA558" s="521"/>
      <c r="AB558" s="520" t="s">
        <v>223</v>
      </c>
      <c r="AC558" s="520" t="s">
        <v>76</v>
      </c>
      <c r="AD558" s="521"/>
      <c r="AE558" s="521"/>
      <c r="AF558" s="521">
        <v>1</v>
      </c>
      <c r="AG558" s="521">
        <f>1440+9076</f>
        <v>10516</v>
      </c>
      <c r="AH558" s="522">
        <f t="shared" si="162"/>
        <v>0</v>
      </c>
      <c r="AI558" s="521"/>
      <c r="AJ558" s="521"/>
      <c r="AK558" s="543"/>
      <c r="AL558" s="543"/>
      <c r="AM558" s="427"/>
      <c r="AN558" s="543">
        <f>I558</f>
        <v>10516</v>
      </c>
      <c r="AO558" s="427"/>
      <c r="AP558" s="543">
        <f t="shared" si="165"/>
        <v>10516</v>
      </c>
      <c r="AQ558" s="543"/>
      <c r="AR558" s="543">
        <f t="shared" si="166"/>
        <v>10516</v>
      </c>
      <c r="AS558" s="543"/>
      <c r="AT558" s="543">
        <f t="shared" si="167"/>
        <v>10516</v>
      </c>
      <c r="AU558" s="546"/>
      <c r="AV558" s="427"/>
      <c r="AW558" s="427"/>
      <c r="AX558" s="427"/>
      <c r="AY558" s="427"/>
      <c r="AZ558" s="543"/>
      <c r="BA558" s="543"/>
      <c r="BB558" s="543">
        <f>I558</f>
        <v>10516</v>
      </c>
      <c r="BC558" s="543">
        <f>I558</f>
        <v>10516</v>
      </c>
      <c r="BD558" s="543">
        <f>I558/4</f>
        <v>2629</v>
      </c>
      <c r="BE558" s="543"/>
      <c r="BF558" s="427"/>
      <c r="BG558" s="427"/>
      <c r="BH558" s="427"/>
      <c r="BI558" s="427"/>
      <c r="BJ558" s="427"/>
      <c r="BK558" s="427"/>
      <c r="BL558" s="427"/>
      <c r="BM558" s="427"/>
      <c r="BN558" s="835"/>
      <c r="BO558" s="427"/>
      <c r="BP558" s="427"/>
      <c r="BQ558" s="427"/>
      <c r="BR558" s="427"/>
      <c r="BS558" s="427"/>
      <c r="BT558" s="427"/>
      <c r="BU558" s="427"/>
      <c r="BV558" s="427"/>
      <c r="BW558" s="427"/>
      <c r="BX558" s="427"/>
      <c r="BY558" s="427"/>
      <c r="BZ558" s="427"/>
      <c r="CA558" s="427"/>
      <c r="CB558" s="427"/>
      <c r="CC558" s="427"/>
      <c r="CD558" s="427"/>
      <c r="CE558" s="427"/>
      <c r="CF558" s="544"/>
      <c r="CG558" s="544"/>
      <c r="CH558" s="544"/>
      <c r="CI558" s="544"/>
      <c r="CJ558" s="544"/>
      <c r="CK558" s="427"/>
      <c r="CL558" s="427"/>
      <c r="CM558" s="427"/>
      <c r="CN558" s="544"/>
      <c r="CO558" s="544"/>
      <c r="CP558" s="544"/>
      <c r="CQ558" s="544"/>
      <c r="CR558" s="544"/>
      <c r="CS558" s="544"/>
    </row>
    <row r="559" s="431" customFormat="1" ht="31" hidden="1" customHeight="1" spans="1:97">
      <c r="A559" s="518">
        <v>45943</v>
      </c>
      <c r="B559" s="831" t="s">
        <v>579</v>
      </c>
      <c r="C559" s="520" t="s">
        <v>377</v>
      </c>
      <c r="D559" s="427">
        <v>4500176686</v>
      </c>
      <c r="E559" s="520">
        <v>300581433</v>
      </c>
      <c r="F559" s="427" t="s">
        <v>2108</v>
      </c>
      <c r="G559" s="521" t="s">
        <v>186</v>
      </c>
      <c r="H559" s="520" t="s">
        <v>94</v>
      </c>
      <c r="I559" s="520">
        <v>360</v>
      </c>
      <c r="J559" s="520">
        <v>0</v>
      </c>
      <c r="K559" s="520">
        <v>4</v>
      </c>
      <c r="L559" s="804">
        <f t="shared" si="154"/>
        <v>90</v>
      </c>
      <c r="M559" s="537">
        <v>45993</v>
      </c>
      <c r="N559" s="537">
        <f>M559-4</f>
        <v>45989</v>
      </c>
      <c r="O559" s="526"/>
      <c r="P559" s="526" t="s">
        <v>103</v>
      </c>
      <c r="Q559" s="530"/>
      <c r="R559" s="530">
        <v>45946</v>
      </c>
      <c r="S559" s="533" t="s">
        <v>66</v>
      </c>
      <c r="T559" s="533" t="s">
        <v>2109</v>
      </c>
      <c r="U559" s="532"/>
      <c r="V559" s="532"/>
      <c r="W559" s="597" t="s">
        <v>2110</v>
      </c>
      <c r="X559" s="540" t="s">
        <v>381</v>
      </c>
      <c r="Y559" s="538">
        <v>4.2337</v>
      </c>
      <c r="Z559" s="808">
        <f t="shared" si="155"/>
        <v>1524.132</v>
      </c>
      <c r="AA559" s="521"/>
      <c r="AB559" s="520" t="s">
        <v>348</v>
      </c>
      <c r="AC559" s="520" t="s">
        <v>76</v>
      </c>
      <c r="AD559" s="521"/>
      <c r="AE559" s="521"/>
      <c r="AF559" s="521"/>
      <c r="AG559" s="521">
        <v>360</v>
      </c>
      <c r="AH559" s="522">
        <f t="shared" si="162"/>
        <v>0</v>
      </c>
      <c r="AI559" s="521"/>
      <c r="AJ559" s="521"/>
      <c r="AK559" s="543"/>
      <c r="AL559" s="543">
        <f t="shared" ref="AL559:AL570" si="169">I559</f>
        <v>360</v>
      </c>
      <c r="AM559" s="427"/>
      <c r="AN559" s="543"/>
      <c r="AO559" s="427"/>
      <c r="AP559" s="543"/>
      <c r="AQ559" s="543">
        <f>I559</f>
        <v>360</v>
      </c>
      <c r="AR559" s="543">
        <f t="shared" si="166"/>
        <v>360</v>
      </c>
      <c r="AS559" s="543"/>
      <c r="AT559" s="543">
        <f t="shared" si="167"/>
        <v>360</v>
      </c>
      <c r="AU559" s="546"/>
      <c r="AV559" s="427"/>
      <c r="AW559" s="427"/>
      <c r="AX559" s="427"/>
      <c r="AY559" s="427"/>
      <c r="AZ559" s="543"/>
      <c r="BA559" s="543"/>
      <c r="BB559" s="427"/>
      <c r="BC559" s="427"/>
      <c r="BD559" s="543"/>
      <c r="BE559" s="543"/>
      <c r="BF559" s="427"/>
      <c r="BG559" s="427"/>
      <c r="BH559" s="427"/>
      <c r="BI559" s="427"/>
      <c r="BJ559" s="427"/>
      <c r="BK559" s="427"/>
      <c r="BL559" s="427"/>
      <c r="BM559" s="427"/>
      <c r="BN559" s="835"/>
      <c r="BO559" s="427"/>
      <c r="BP559" s="427"/>
      <c r="BQ559" s="427"/>
      <c r="BR559" s="427"/>
      <c r="BS559" s="427"/>
      <c r="BT559" s="427"/>
      <c r="BU559" s="427"/>
      <c r="BV559" s="427"/>
      <c r="BW559" s="427"/>
      <c r="BX559" s="427"/>
      <c r="BY559" s="427"/>
      <c r="BZ559" s="427"/>
      <c r="CA559" s="427"/>
      <c r="CB559" s="427"/>
      <c r="CC559" s="427"/>
      <c r="CD559" s="427"/>
      <c r="CE559" s="427"/>
      <c r="CF559" s="544"/>
      <c r="CG559" s="544"/>
      <c r="CH559" s="544"/>
      <c r="CI559" s="544"/>
      <c r="CJ559" s="544"/>
      <c r="CK559" s="427"/>
      <c r="CL559" s="427"/>
      <c r="CM559" s="427"/>
      <c r="CN559" s="544"/>
      <c r="CO559" s="544"/>
      <c r="CP559" s="544"/>
      <c r="CQ559" s="544"/>
      <c r="CR559" s="544"/>
      <c r="CS559" s="544"/>
    </row>
    <row r="560" s="431" customFormat="1" ht="31" hidden="1" customHeight="1" spans="1:97">
      <c r="A560" s="518">
        <v>45928</v>
      </c>
      <c r="B560" s="519" t="s">
        <v>489</v>
      </c>
      <c r="C560" s="520" t="s">
        <v>249</v>
      </c>
      <c r="D560" s="427">
        <v>4500180754</v>
      </c>
      <c r="E560" s="520" t="s">
        <v>2111</v>
      </c>
      <c r="F560" s="427" t="s">
        <v>2112</v>
      </c>
      <c r="G560" s="521" t="s">
        <v>64</v>
      </c>
      <c r="H560" s="520" t="s">
        <v>65</v>
      </c>
      <c r="I560" s="520">
        <v>1068</v>
      </c>
      <c r="J560" s="520">
        <v>0</v>
      </c>
      <c r="K560" s="520">
        <v>12</v>
      </c>
      <c r="L560" s="804">
        <f t="shared" si="154"/>
        <v>89</v>
      </c>
      <c r="M560" s="537">
        <v>45995</v>
      </c>
      <c r="N560" s="537">
        <f>M560-3</f>
        <v>45992</v>
      </c>
      <c r="O560" s="526"/>
      <c r="P560" s="526" t="s">
        <v>103</v>
      </c>
      <c r="Q560" s="530"/>
      <c r="R560" s="530" t="s">
        <v>411</v>
      </c>
      <c r="S560" s="533" t="s">
        <v>96</v>
      </c>
      <c r="T560" s="832" t="s">
        <v>2113</v>
      </c>
      <c r="U560" s="533"/>
      <c r="V560" s="532"/>
      <c r="W560" s="531" t="s">
        <v>2114</v>
      </c>
      <c r="X560" s="540" t="s">
        <v>414</v>
      </c>
      <c r="Y560" s="538">
        <v>4.135</v>
      </c>
      <c r="Z560" s="808">
        <f t="shared" si="155"/>
        <v>4416.18</v>
      </c>
      <c r="AA560" s="521"/>
      <c r="AB560" s="520" t="s">
        <v>165</v>
      </c>
      <c r="AC560" s="520" t="s">
        <v>76</v>
      </c>
      <c r="AD560" s="521"/>
      <c r="AE560" s="521"/>
      <c r="AF560" s="521">
        <v>1</v>
      </c>
      <c r="AG560" s="521">
        <v>1068</v>
      </c>
      <c r="AH560" s="522">
        <f t="shared" si="162"/>
        <v>0</v>
      </c>
      <c r="AI560" s="521"/>
      <c r="AJ560" s="521"/>
      <c r="AK560" s="543"/>
      <c r="AL560" s="543">
        <f t="shared" si="169"/>
        <v>1068</v>
      </c>
      <c r="AM560" s="427"/>
      <c r="AN560" s="543"/>
      <c r="AO560" s="427"/>
      <c r="AP560" s="543"/>
      <c r="AQ560" s="543">
        <f>I560</f>
        <v>1068</v>
      </c>
      <c r="AR560" s="543">
        <f t="shared" si="166"/>
        <v>1068</v>
      </c>
      <c r="AS560" s="543"/>
      <c r="AT560" s="543">
        <f t="shared" si="167"/>
        <v>1068</v>
      </c>
      <c r="AU560" s="546"/>
      <c r="AV560" s="427"/>
      <c r="AW560" s="628"/>
      <c r="AX560" s="628"/>
      <c r="AY560" s="628"/>
      <c r="AZ560" s="543"/>
      <c r="BA560" s="543"/>
      <c r="BB560" s="628"/>
      <c r="BC560" s="628"/>
      <c r="BD560" s="543"/>
      <c r="BE560" s="543"/>
      <c r="BF560" s="628"/>
      <c r="BG560" s="628"/>
      <c r="BH560" s="628"/>
      <c r="BI560" s="543"/>
      <c r="BJ560" s="543"/>
      <c r="BK560" s="628"/>
      <c r="BL560" s="628"/>
      <c r="BM560" s="628"/>
      <c r="CF560" s="544"/>
      <c r="CG560" s="544"/>
      <c r="CH560" s="544"/>
      <c r="CI560" s="544"/>
      <c r="CJ560" s="544"/>
      <c r="CN560" s="544"/>
      <c r="CO560" s="544"/>
      <c r="CP560" s="544"/>
      <c r="CQ560" s="544"/>
      <c r="CR560" s="544"/>
      <c r="CS560" s="544"/>
    </row>
    <row r="561" s="431" customFormat="1" ht="31" hidden="1" customHeight="1" spans="1:97">
      <c r="A561" s="518">
        <v>45905</v>
      </c>
      <c r="B561" s="519" t="s">
        <v>1669</v>
      </c>
      <c r="C561" s="520" t="s">
        <v>663</v>
      </c>
      <c r="D561" s="427">
        <v>4500178919</v>
      </c>
      <c r="E561" s="520">
        <v>5000001988</v>
      </c>
      <c r="F561" s="427" t="s">
        <v>2115</v>
      </c>
      <c r="G561" s="521" t="s">
        <v>463</v>
      </c>
      <c r="H561" s="520" t="s">
        <v>424</v>
      </c>
      <c r="I561" s="520">
        <v>10002</v>
      </c>
      <c r="J561" s="520">
        <v>0</v>
      </c>
      <c r="K561" s="520">
        <v>6</v>
      </c>
      <c r="L561" s="804">
        <f t="shared" si="154"/>
        <v>1667</v>
      </c>
      <c r="M561" s="537">
        <v>45996</v>
      </c>
      <c r="N561" s="537">
        <v>45992</v>
      </c>
      <c r="O561" s="526"/>
      <c r="P561" s="526" t="s">
        <v>103</v>
      </c>
      <c r="Q561" s="530"/>
      <c r="R561" s="530">
        <v>45960</v>
      </c>
      <c r="S561" s="784" t="s">
        <v>96</v>
      </c>
      <c r="T561" s="533" t="s">
        <v>2067</v>
      </c>
      <c r="U561" s="532"/>
      <c r="V561" s="532"/>
      <c r="W561" s="531" t="s">
        <v>2068</v>
      </c>
      <c r="X561" s="540" t="s">
        <v>1674</v>
      </c>
      <c r="Y561" s="538">
        <v>6.3409</v>
      </c>
      <c r="Z561" s="808">
        <f t="shared" si="155"/>
        <v>63421.6818</v>
      </c>
      <c r="AA561" s="521" t="s">
        <v>2116</v>
      </c>
      <c r="AB561" s="521" t="s">
        <v>2069</v>
      </c>
      <c r="AC561" s="520" t="s">
        <v>76</v>
      </c>
      <c r="AD561" s="521"/>
      <c r="AE561" s="521"/>
      <c r="AF561" s="521">
        <v>1</v>
      </c>
      <c r="AG561" s="521">
        <f>534+9450+18</f>
        <v>10002</v>
      </c>
      <c r="AH561" s="522">
        <f t="shared" si="162"/>
        <v>0</v>
      </c>
      <c r="AI561" s="521"/>
      <c r="AJ561" s="521"/>
      <c r="AK561" s="543"/>
      <c r="AL561" s="543">
        <f t="shared" si="169"/>
        <v>10002</v>
      </c>
      <c r="AM561" s="427"/>
      <c r="AN561" s="543"/>
      <c r="AO561" s="427"/>
      <c r="AP561" s="543">
        <f>I561</f>
        <v>10002</v>
      </c>
      <c r="AQ561" s="543"/>
      <c r="AR561" s="543"/>
      <c r="AS561" s="543">
        <f>I561</f>
        <v>10002</v>
      </c>
      <c r="AT561" s="543"/>
      <c r="AU561" s="791">
        <f>I561</f>
        <v>10002</v>
      </c>
      <c r="AV561" s="427"/>
      <c r="AW561" s="628"/>
      <c r="AX561" s="628"/>
      <c r="AY561" s="628"/>
      <c r="AZ561" s="543"/>
      <c r="BA561" s="543"/>
      <c r="BB561" s="628"/>
      <c r="BC561" s="628"/>
      <c r="BD561" s="543"/>
      <c r="BE561" s="543"/>
      <c r="BF561" s="628"/>
      <c r="BG561" s="628"/>
      <c r="BH561" s="628"/>
      <c r="BI561" s="543"/>
      <c r="BJ561" s="427">
        <f>I561</f>
        <v>10002</v>
      </c>
      <c r="BK561" s="628"/>
      <c r="BL561" s="628"/>
      <c r="BM561" s="628"/>
      <c r="CF561" s="544"/>
      <c r="CG561" s="544"/>
      <c r="CH561" s="544"/>
      <c r="CI561" s="544"/>
      <c r="CJ561" s="544"/>
      <c r="CN561" s="544"/>
      <c r="CO561" s="544"/>
      <c r="CP561" s="544"/>
      <c r="CQ561" s="544"/>
      <c r="CR561" s="544"/>
      <c r="CS561" s="544"/>
    </row>
    <row r="562" s="431" customFormat="1" ht="31" hidden="1" customHeight="1" spans="1:97">
      <c r="A562" s="518">
        <v>45930</v>
      </c>
      <c r="B562" s="519" t="s">
        <v>2117</v>
      </c>
      <c r="C562" s="520" t="s">
        <v>2118</v>
      </c>
      <c r="D562" s="427">
        <v>4500181141</v>
      </c>
      <c r="E562" s="520" t="s">
        <v>2119</v>
      </c>
      <c r="F562" s="427" t="s">
        <v>2120</v>
      </c>
      <c r="G562" s="521" t="s">
        <v>64</v>
      </c>
      <c r="H562" s="520" t="s">
        <v>65</v>
      </c>
      <c r="I562" s="520">
        <v>408</v>
      </c>
      <c r="J562" s="520">
        <v>0</v>
      </c>
      <c r="K562" s="520">
        <v>12</v>
      </c>
      <c r="L562" s="804">
        <f t="shared" si="154"/>
        <v>34</v>
      </c>
      <c r="M562" s="537">
        <v>45996</v>
      </c>
      <c r="N562" s="537">
        <v>45992</v>
      </c>
      <c r="O562" s="526"/>
      <c r="P562" s="526" t="s">
        <v>103</v>
      </c>
      <c r="Q562" s="530"/>
      <c r="R562" s="530">
        <v>45930</v>
      </c>
      <c r="S562" s="533" t="s">
        <v>66</v>
      </c>
      <c r="T562" s="533" t="s">
        <v>2121</v>
      </c>
      <c r="U562" s="532"/>
      <c r="V562" s="532"/>
      <c r="W562" s="532" t="s">
        <v>2122</v>
      </c>
      <c r="X562" s="540" t="s">
        <v>473</v>
      </c>
      <c r="Y562" s="538">
        <v>4.1018</v>
      </c>
      <c r="Z562" s="808">
        <f t="shared" si="155"/>
        <v>1673.5344</v>
      </c>
      <c r="AA562" s="521" t="s">
        <v>2123</v>
      </c>
      <c r="AB562" s="520" t="s">
        <v>165</v>
      </c>
      <c r="AC562" s="520" t="s">
        <v>76</v>
      </c>
      <c r="AD562" s="521"/>
      <c r="AE562" s="521"/>
      <c r="AF562" s="521">
        <v>1</v>
      </c>
      <c r="AG562" s="521">
        <v>408</v>
      </c>
      <c r="AH562" s="522">
        <f t="shared" si="162"/>
        <v>0</v>
      </c>
      <c r="AI562" s="521"/>
      <c r="AJ562" s="521"/>
      <c r="AK562" s="543"/>
      <c r="AL562" s="543">
        <f t="shared" si="169"/>
        <v>408</v>
      </c>
      <c r="AM562" s="427"/>
      <c r="AN562" s="543"/>
      <c r="AO562" s="427"/>
      <c r="AP562" s="543"/>
      <c r="AQ562" s="543">
        <f>I562</f>
        <v>408</v>
      </c>
      <c r="AR562" s="543">
        <f t="shared" ref="AR562:AR569" si="170">I562</f>
        <v>408</v>
      </c>
      <c r="AS562" s="543"/>
      <c r="AT562" s="543">
        <f t="shared" ref="AT562:AT569" si="171">I562</f>
        <v>408</v>
      </c>
      <c r="AU562" s="546"/>
      <c r="AV562" s="427"/>
      <c r="AW562" s="427"/>
      <c r="AX562" s="427"/>
      <c r="AY562" s="427"/>
      <c r="AZ562" s="543"/>
      <c r="BA562" s="543"/>
      <c r="BB562" s="427"/>
      <c r="BC562" s="427"/>
      <c r="BD562" s="543"/>
      <c r="BE562" s="543"/>
      <c r="BF562" s="427"/>
      <c r="BG562" s="427"/>
      <c r="BH562" s="427"/>
      <c r="BI562" s="427"/>
      <c r="BJ562" s="427"/>
      <c r="BK562" s="427"/>
      <c r="BL562" s="427"/>
      <c r="BM562" s="427"/>
      <c r="BN562" s="835"/>
      <c r="BO562" s="427"/>
      <c r="BP562" s="427"/>
      <c r="BQ562" s="427"/>
      <c r="BR562" s="427"/>
      <c r="BS562" s="427"/>
      <c r="BT562" s="427"/>
      <c r="BU562" s="427"/>
      <c r="BV562" s="427"/>
      <c r="BW562" s="427"/>
      <c r="BX562" s="427"/>
      <c r="BY562" s="427"/>
      <c r="BZ562" s="427"/>
      <c r="CA562" s="427"/>
      <c r="CB562" s="427"/>
      <c r="CC562" s="427"/>
      <c r="CD562" s="427"/>
      <c r="CE562" s="427"/>
      <c r="CF562" s="544"/>
      <c r="CG562" s="544"/>
      <c r="CH562" s="544"/>
      <c r="CI562" s="544"/>
      <c r="CJ562" s="544"/>
      <c r="CK562" s="427"/>
      <c r="CL562" s="427"/>
      <c r="CM562" s="427"/>
      <c r="CN562" s="544"/>
      <c r="CO562" s="544"/>
      <c r="CP562" s="544"/>
      <c r="CQ562" s="544"/>
      <c r="CR562" s="544"/>
      <c r="CS562" s="544"/>
    </row>
    <row r="563" s="431" customFormat="1" ht="31" hidden="1" customHeight="1" spans="1:97">
      <c r="A563" s="518">
        <v>45944</v>
      </c>
      <c r="B563" s="831" t="s">
        <v>190</v>
      </c>
      <c r="C563" s="520" t="s">
        <v>191</v>
      </c>
      <c r="D563" s="427">
        <v>4500181824</v>
      </c>
      <c r="E563" s="520" t="s">
        <v>2124</v>
      </c>
      <c r="F563" s="427" t="s">
        <v>2125</v>
      </c>
      <c r="G563" s="521" t="s">
        <v>102</v>
      </c>
      <c r="H563" s="520" t="s">
        <v>65</v>
      </c>
      <c r="I563" s="520">
        <v>576</v>
      </c>
      <c r="J563" s="520">
        <v>0</v>
      </c>
      <c r="K563" s="520">
        <v>16</v>
      </c>
      <c r="L563" s="804">
        <f t="shared" si="154"/>
        <v>36</v>
      </c>
      <c r="M563" s="537">
        <v>45996</v>
      </c>
      <c r="N563" s="537">
        <v>45992</v>
      </c>
      <c r="O563" s="526"/>
      <c r="P563" s="526" t="s">
        <v>103</v>
      </c>
      <c r="Q563" s="530"/>
      <c r="R563" s="530">
        <v>45944</v>
      </c>
      <c r="S563" s="533" t="s">
        <v>66</v>
      </c>
      <c r="T563" s="533" t="s">
        <v>2126</v>
      </c>
      <c r="U563" s="532"/>
      <c r="V563" s="532"/>
      <c r="W563" s="532" t="s">
        <v>2127</v>
      </c>
      <c r="X563" s="540" t="s">
        <v>1663</v>
      </c>
      <c r="Y563" s="538">
        <v>4.2114</v>
      </c>
      <c r="Z563" s="808">
        <f t="shared" si="155"/>
        <v>2425.7664</v>
      </c>
      <c r="AA563" s="521"/>
      <c r="AB563" s="521" t="s">
        <v>102</v>
      </c>
      <c r="AC563" s="520" t="s">
        <v>76</v>
      </c>
      <c r="AD563" s="521"/>
      <c r="AE563" s="521"/>
      <c r="AF563" s="521">
        <v>1</v>
      </c>
      <c r="AG563" s="521">
        <v>576</v>
      </c>
      <c r="AH563" s="522">
        <f t="shared" si="162"/>
        <v>0</v>
      </c>
      <c r="AI563" s="521"/>
      <c r="AJ563" s="521"/>
      <c r="AK563" s="543"/>
      <c r="AL563" s="543">
        <f t="shared" si="169"/>
        <v>576</v>
      </c>
      <c r="AM563" s="427"/>
      <c r="AN563" s="543"/>
      <c r="AO563" s="427"/>
      <c r="AP563" s="543">
        <f t="shared" ref="AP563:AP569" si="172">I563</f>
        <v>576</v>
      </c>
      <c r="AQ563" s="543"/>
      <c r="AR563" s="543">
        <f t="shared" si="170"/>
        <v>576</v>
      </c>
      <c r="AS563" s="543"/>
      <c r="AT563" s="543">
        <f t="shared" si="171"/>
        <v>576</v>
      </c>
      <c r="AU563" s="546"/>
      <c r="AV563" s="427"/>
      <c r="AW563" s="427"/>
      <c r="AX563" s="427"/>
      <c r="AY563" s="427"/>
      <c r="AZ563" s="543"/>
      <c r="BA563" s="543"/>
      <c r="BB563" s="427"/>
      <c r="BC563" s="427"/>
      <c r="BD563" s="543">
        <f>I563/4</f>
        <v>144</v>
      </c>
      <c r="BE563" s="543"/>
      <c r="BF563" s="427"/>
      <c r="BG563" s="427"/>
      <c r="BH563" s="427"/>
      <c r="BI563" s="427"/>
      <c r="BJ563" s="427"/>
      <c r="BK563" s="427"/>
      <c r="BL563" s="427"/>
      <c r="BM563" s="427"/>
      <c r="BN563" s="836"/>
      <c r="BO563" s="836"/>
      <c r="BP563" s="836"/>
      <c r="BQ563" s="836"/>
      <c r="BR563" s="836"/>
      <c r="BS563" s="836"/>
      <c r="BT563" s="836"/>
      <c r="BU563" s="836"/>
      <c r="BV563" s="836"/>
      <c r="BW563" s="836"/>
      <c r="BX563" s="836"/>
      <c r="BY563" s="836"/>
      <c r="BZ563" s="836"/>
      <c r="CA563" s="836"/>
      <c r="CB563" s="836"/>
      <c r="CC563" s="836"/>
      <c r="CD563" s="836"/>
      <c r="CE563" s="836"/>
      <c r="CF563" s="544"/>
      <c r="CG563" s="544"/>
      <c r="CH563" s="544"/>
      <c r="CI563" s="544"/>
      <c r="CJ563" s="544"/>
      <c r="CK563" s="836"/>
      <c r="CL563" s="836"/>
      <c r="CM563" s="836"/>
      <c r="CN563" s="544"/>
      <c r="CO563" s="544"/>
      <c r="CP563" s="544"/>
      <c r="CQ563" s="544"/>
      <c r="CR563" s="544"/>
      <c r="CS563" s="544"/>
    </row>
    <row r="564" s="431" customFormat="1" ht="31" hidden="1" customHeight="1" spans="1:97">
      <c r="A564" s="518">
        <v>45944</v>
      </c>
      <c r="B564" s="831" t="s">
        <v>190</v>
      </c>
      <c r="C564" s="520" t="s">
        <v>191</v>
      </c>
      <c r="D564" s="427">
        <v>4500181824</v>
      </c>
      <c r="E564" s="520" t="s">
        <v>2124</v>
      </c>
      <c r="F564" s="427" t="s">
        <v>2128</v>
      </c>
      <c r="G564" s="521" t="s">
        <v>463</v>
      </c>
      <c r="H564" s="520" t="s">
        <v>424</v>
      </c>
      <c r="I564" s="520">
        <v>300</v>
      </c>
      <c r="J564" s="520">
        <v>0</v>
      </c>
      <c r="K564" s="520">
        <v>6</v>
      </c>
      <c r="L564" s="804">
        <f t="shared" si="154"/>
        <v>50</v>
      </c>
      <c r="M564" s="537">
        <v>45996</v>
      </c>
      <c r="N564" s="537">
        <v>45992</v>
      </c>
      <c r="O564" s="526"/>
      <c r="P564" s="526" t="s">
        <v>103</v>
      </c>
      <c r="Q564" s="530"/>
      <c r="R564" s="530">
        <v>45944</v>
      </c>
      <c r="S564" s="533" t="s">
        <v>66</v>
      </c>
      <c r="T564" s="533" t="s">
        <v>2126</v>
      </c>
      <c r="U564" s="532"/>
      <c r="V564" s="532"/>
      <c r="W564" s="532" t="s">
        <v>2129</v>
      </c>
      <c r="X564" s="540" t="s">
        <v>1663</v>
      </c>
      <c r="Y564" s="538">
        <v>6.5552</v>
      </c>
      <c r="Z564" s="808">
        <f t="shared" si="155"/>
        <v>1966.56</v>
      </c>
      <c r="AA564" s="521"/>
      <c r="AB564" s="521" t="s">
        <v>2069</v>
      </c>
      <c r="AC564" s="520" t="s">
        <v>76</v>
      </c>
      <c r="AD564" s="521"/>
      <c r="AE564" s="521"/>
      <c r="AF564" s="521">
        <v>1</v>
      </c>
      <c r="AG564" s="521">
        <v>300</v>
      </c>
      <c r="AH564" s="522">
        <f t="shared" si="162"/>
        <v>0</v>
      </c>
      <c r="AI564" s="521"/>
      <c r="AJ564" s="521"/>
      <c r="AK564" s="543"/>
      <c r="AL564" s="543">
        <f t="shared" si="169"/>
        <v>300</v>
      </c>
      <c r="AM564" s="427"/>
      <c r="AN564" s="543"/>
      <c r="AO564" s="427"/>
      <c r="AP564" s="543">
        <f t="shared" si="172"/>
        <v>300</v>
      </c>
      <c r="AQ564" s="543"/>
      <c r="AR564" s="543">
        <f t="shared" si="170"/>
        <v>300</v>
      </c>
      <c r="AS564" s="543"/>
      <c r="AT564" s="543">
        <f t="shared" si="171"/>
        <v>300</v>
      </c>
      <c r="AU564" s="546"/>
      <c r="AV564" s="427"/>
      <c r="AW564" s="427"/>
      <c r="AX564" s="427"/>
      <c r="AY564" s="427"/>
      <c r="AZ564" s="543"/>
      <c r="BA564" s="543"/>
      <c r="BB564" s="427"/>
      <c r="BC564" s="427"/>
      <c r="BD564" s="543"/>
      <c r="BE564" s="543"/>
      <c r="BF564" s="427"/>
      <c r="BG564" s="427"/>
      <c r="BH564" s="427"/>
      <c r="BI564" s="427"/>
      <c r="BJ564" s="427">
        <f>I564</f>
        <v>300</v>
      </c>
      <c r="BK564" s="427"/>
      <c r="BL564" s="427"/>
      <c r="BM564" s="427"/>
      <c r="BN564" s="835"/>
      <c r="BO564" s="427"/>
      <c r="BP564" s="427"/>
      <c r="BQ564" s="427"/>
      <c r="BR564" s="427"/>
      <c r="BS564" s="427"/>
      <c r="BT564" s="427"/>
      <c r="BU564" s="427"/>
      <c r="BV564" s="427"/>
      <c r="BW564" s="427"/>
      <c r="BX564" s="427"/>
      <c r="BY564" s="427"/>
      <c r="BZ564" s="427"/>
      <c r="CA564" s="427"/>
      <c r="CB564" s="427"/>
      <c r="CC564" s="427"/>
      <c r="CD564" s="427"/>
      <c r="CE564" s="427"/>
      <c r="CF564" s="544"/>
      <c r="CG564" s="544"/>
      <c r="CH564" s="544"/>
      <c r="CI564" s="544"/>
      <c r="CJ564" s="544"/>
      <c r="CK564" s="427"/>
      <c r="CL564" s="427"/>
      <c r="CM564" s="427"/>
      <c r="CN564" s="544"/>
      <c r="CO564" s="544"/>
      <c r="CP564" s="544"/>
      <c r="CQ564" s="544"/>
      <c r="CR564" s="544"/>
      <c r="CS564" s="544"/>
    </row>
    <row r="565" s="431" customFormat="1" ht="31" hidden="1" customHeight="1" spans="1:97">
      <c r="A565" s="518">
        <v>45960</v>
      </c>
      <c r="B565" s="831" t="s">
        <v>128</v>
      </c>
      <c r="C565" s="520" t="s">
        <v>90</v>
      </c>
      <c r="D565" s="427">
        <v>4500183715</v>
      </c>
      <c r="E565" s="891" t="s">
        <v>2130</v>
      </c>
      <c r="F565" s="427" t="s">
        <v>2131</v>
      </c>
      <c r="G565" s="521" t="s">
        <v>93</v>
      </c>
      <c r="H565" s="520" t="s">
        <v>94</v>
      </c>
      <c r="I565" s="520">
        <v>3520</v>
      </c>
      <c r="J565" s="520">
        <v>0</v>
      </c>
      <c r="K565" s="520">
        <v>4</v>
      </c>
      <c r="L565" s="804">
        <f t="shared" si="154"/>
        <v>880</v>
      </c>
      <c r="M565" s="537">
        <v>45996</v>
      </c>
      <c r="N565" s="537">
        <v>45992</v>
      </c>
      <c r="O565" s="526"/>
      <c r="P565" s="526" t="s">
        <v>103</v>
      </c>
      <c r="Q565" s="530"/>
      <c r="R565" s="530" t="s">
        <v>2021</v>
      </c>
      <c r="S565" s="533" t="s">
        <v>66</v>
      </c>
      <c r="T565" s="533" t="s">
        <v>133</v>
      </c>
      <c r="U565" s="533"/>
      <c r="V565" s="532"/>
      <c r="W565" s="532" t="s">
        <v>1281</v>
      </c>
      <c r="X565" s="540" t="s">
        <v>98</v>
      </c>
      <c r="Y565" s="538">
        <v>2.5439</v>
      </c>
      <c r="Z565" s="808">
        <f t="shared" si="155"/>
        <v>8954.528</v>
      </c>
      <c r="AA565" s="521"/>
      <c r="AB565" s="520" t="s">
        <v>93</v>
      </c>
      <c r="AC565" s="520" t="s">
        <v>76</v>
      </c>
      <c r="AD565" s="521"/>
      <c r="AE565" s="521"/>
      <c r="AF565" s="521">
        <v>1</v>
      </c>
      <c r="AG565" s="521">
        <v>3520</v>
      </c>
      <c r="AH565" s="522">
        <f t="shared" si="162"/>
        <v>0</v>
      </c>
      <c r="AI565" s="521"/>
      <c r="AJ565" s="521"/>
      <c r="AK565" s="543"/>
      <c r="AL565" s="543">
        <f t="shared" si="169"/>
        <v>3520</v>
      </c>
      <c r="AM565" s="427"/>
      <c r="AN565" s="543"/>
      <c r="AO565" s="427"/>
      <c r="AP565" s="543">
        <f t="shared" si="172"/>
        <v>3520</v>
      </c>
      <c r="AQ565" s="543"/>
      <c r="AR565" s="543">
        <f t="shared" si="170"/>
        <v>3520</v>
      </c>
      <c r="AS565" s="543"/>
      <c r="AT565" s="543">
        <f t="shared" si="171"/>
        <v>3520</v>
      </c>
      <c r="AU565" s="546"/>
      <c r="AV565" s="427"/>
      <c r="AW565" s="427"/>
      <c r="AX565" s="427"/>
      <c r="AY565" s="427"/>
      <c r="AZ565" s="543"/>
      <c r="BA565" s="543"/>
      <c r="BB565" s="427"/>
      <c r="BC565" s="427"/>
      <c r="BD565" s="543">
        <f>I565/4</f>
        <v>880</v>
      </c>
      <c r="BE565" s="543"/>
      <c r="BF565" s="427"/>
      <c r="BG565" s="427"/>
      <c r="BH565" s="427"/>
      <c r="BI565" s="427"/>
      <c r="BJ565" s="427"/>
      <c r="BK565" s="427"/>
      <c r="BL565" s="427"/>
      <c r="BM565" s="427"/>
      <c r="BN565" s="836"/>
      <c r="BO565" s="836"/>
      <c r="BP565" s="836"/>
      <c r="BQ565" s="836"/>
      <c r="BR565" s="836"/>
      <c r="BS565" s="836"/>
      <c r="BT565" s="836"/>
      <c r="BU565" s="836"/>
      <c r="BV565" s="836"/>
      <c r="BW565" s="836"/>
      <c r="BX565" s="836"/>
      <c r="BY565" s="836"/>
      <c r="BZ565" s="836"/>
      <c r="CA565" s="836"/>
      <c r="CB565" s="836"/>
      <c r="CC565" s="836"/>
      <c r="CD565" s="836"/>
      <c r="CE565" s="836"/>
      <c r="CF565" s="544"/>
      <c r="CG565" s="544"/>
      <c r="CH565" s="544"/>
      <c r="CI565" s="544"/>
      <c r="CJ565" s="544"/>
      <c r="CK565" s="836"/>
      <c r="CL565" s="836"/>
      <c r="CM565" s="836"/>
      <c r="CN565" s="544"/>
      <c r="CO565" s="544"/>
      <c r="CP565" s="544"/>
      <c r="CQ565" s="544"/>
      <c r="CR565" s="544"/>
      <c r="CS565" s="544"/>
    </row>
    <row r="566" s="431" customFormat="1" ht="31" hidden="1" customHeight="1" spans="1:97">
      <c r="A566" s="518">
        <v>45960</v>
      </c>
      <c r="B566" s="831" t="s">
        <v>128</v>
      </c>
      <c r="C566" s="520" t="s">
        <v>90</v>
      </c>
      <c r="D566" s="427">
        <v>4500183715</v>
      </c>
      <c r="E566" s="890" t="s">
        <v>2132</v>
      </c>
      <c r="F566" s="427" t="s">
        <v>2133</v>
      </c>
      <c r="G566" s="521" t="s">
        <v>93</v>
      </c>
      <c r="H566" s="520" t="s">
        <v>94</v>
      </c>
      <c r="I566" s="520">
        <v>3840</v>
      </c>
      <c r="J566" s="520">
        <v>0</v>
      </c>
      <c r="K566" s="520">
        <v>4</v>
      </c>
      <c r="L566" s="804">
        <f t="shared" si="154"/>
        <v>960</v>
      </c>
      <c r="M566" s="537">
        <v>45996</v>
      </c>
      <c r="N566" s="537">
        <v>45992</v>
      </c>
      <c r="O566" s="526"/>
      <c r="P566" s="526" t="s">
        <v>103</v>
      </c>
      <c r="Q566" s="530"/>
      <c r="R566" s="530" t="s">
        <v>2021</v>
      </c>
      <c r="S566" s="533" t="s">
        <v>66</v>
      </c>
      <c r="T566" s="533" t="s">
        <v>133</v>
      </c>
      <c r="U566" s="533"/>
      <c r="V566" s="532"/>
      <c r="W566" s="532" t="s">
        <v>1281</v>
      </c>
      <c r="X566" s="540" t="s">
        <v>98</v>
      </c>
      <c r="Y566" s="538">
        <v>2.5439</v>
      </c>
      <c r="Z566" s="808">
        <f t="shared" si="155"/>
        <v>9768.576</v>
      </c>
      <c r="AA566" s="521"/>
      <c r="AB566" s="520" t="s">
        <v>93</v>
      </c>
      <c r="AC566" s="520" t="s">
        <v>76</v>
      </c>
      <c r="AD566" s="521"/>
      <c r="AE566" s="521"/>
      <c r="AF566" s="521">
        <v>1</v>
      </c>
      <c r="AG566" s="521">
        <f>720+3120</f>
        <v>3840</v>
      </c>
      <c r="AH566" s="522">
        <f t="shared" si="162"/>
        <v>0</v>
      </c>
      <c r="AI566" s="521"/>
      <c r="AJ566" s="521"/>
      <c r="AK566" s="543"/>
      <c r="AL566" s="543">
        <f t="shared" si="169"/>
        <v>3840</v>
      </c>
      <c r="AM566" s="427"/>
      <c r="AN566" s="543"/>
      <c r="AO566" s="427"/>
      <c r="AP566" s="543">
        <f t="shared" si="172"/>
        <v>3840</v>
      </c>
      <c r="AQ566" s="543"/>
      <c r="AR566" s="543">
        <f t="shared" si="170"/>
        <v>3840</v>
      </c>
      <c r="AS566" s="543"/>
      <c r="AT566" s="543">
        <f t="shared" si="171"/>
        <v>3840</v>
      </c>
      <c r="AU566" s="546"/>
      <c r="AV566" s="427"/>
      <c r="AW566" s="427"/>
      <c r="AX566" s="427"/>
      <c r="AY566" s="427"/>
      <c r="AZ566" s="543"/>
      <c r="BA566" s="543"/>
      <c r="BB566" s="427"/>
      <c r="BC566" s="427"/>
      <c r="BD566" s="543">
        <f>I566/4</f>
        <v>960</v>
      </c>
      <c r="BE566" s="543"/>
      <c r="BF566" s="427"/>
      <c r="BG566" s="427"/>
      <c r="BH566" s="427"/>
      <c r="BI566" s="427"/>
      <c r="BJ566" s="427"/>
      <c r="BK566" s="427"/>
      <c r="BL566" s="427"/>
      <c r="BM566" s="427"/>
      <c r="BN566" s="836"/>
      <c r="BO566" s="836"/>
      <c r="BP566" s="836"/>
      <c r="BQ566" s="836"/>
      <c r="BR566" s="836"/>
      <c r="BS566" s="836"/>
      <c r="BT566" s="836"/>
      <c r="BU566" s="836"/>
      <c r="BV566" s="836"/>
      <c r="BW566" s="836"/>
      <c r="BX566" s="836"/>
      <c r="BY566" s="836"/>
      <c r="BZ566" s="836"/>
      <c r="CA566" s="836"/>
      <c r="CB566" s="836"/>
      <c r="CC566" s="836"/>
      <c r="CD566" s="836"/>
      <c r="CE566" s="836"/>
      <c r="CF566" s="544"/>
      <c r="CG566" s="544"/>
      <c r="CH566" s="544"/>
      <c r="CI566" s="544"/>
      <c r="CJ566" s="544"/>
      <c r="CK566" s="836"/>
      <c r="CL566" s="836"/>
      <c r="CM566" s="836"/>
      <c r="CN566" s="544"/>
      <c r="CO566" s="544"/>
      <c r="CP566" s="544"/>
      <c r="CQ566" s="544"/>
      <c r="CR566" s="544"/>
      <c r="CS566" s="544"/>
    </row>
    <row r="567" s="431" customFormat="1" ht="31" hidden="1" customHeight="1" spans="1:97">
      <c r="A567" s="518">
        <v>45960</v>
      </c>
      <c r="B567" s="831" t="s">
        <v>128</v>
      </c>
      <c r="C567" s="520" t="s">
        <v>90</v>
      </c>
      <c r="D567" s="427">
        <v>4500183715</v>
      </c>
      <c r="E567" s="890" t="s">
        <v>2134</v>
      </c>
      <c r="F567" s="427" t="s">
        <v>2135</v>
      </c>
      <c r="G567" s="521" t="s">
        <v>93</v>
      </c>
      <c r="H567" s="520" t="s">
        <v>94</v>
      </c>
      <c r="I567" s="520">
        <v>4160</v>
      </c>
      <c r="J567" s="520">
        <v>0</v>
      </c>
      <c r="K567" s="520">
        <v>4</v>
      </c>
      <c r="L567" s="804">
        <f t="shared" si="154"/>
        <v>1040</v>
      </c>
      <c r="M567" s="537">
        <v>45996</v>
      </c>
      <c r="N567" s="537">
        <v>45992</v>
      </c>
      <c r="O567" s="526"/>
      <c r="P567" s="526" t="s">
        <v>103</v>
      </c>
      <c r="Q567" s="530"/>
      <c r="R567" s="530" t="s">
        <v>2021</v>
      </c>
      <c r="S567" s="533" t="s">
        <v>66</v>
      </c>
      <c r="T567" s="533" t="s">
        <v>133</v>
      </c>
      <c r="U567" s="533"/>
      <c r="V567" s="532"/>
      <c r="W567" s="532" t="s">
        <v>1281</v>
      </c>
      <c r="X567" s="540" t="s">
        <v>98</v>
      </c>
      <c r="Y567" s="538">
        <v>2.5439</v>
      </c>
      <c r="Z567" s="808">
        <f t="shared" si="155"/>
        <v>10582.624</v>
      </c>
      <c r="AA567" s="521"/>
      <c r="AB567" s="520" t="s">
        <v>93</v>
      </c>
      <c r="AC567" s="520" t="s">
        <v>76</v>
      </c>
      <c r="AD567" s="521"/>
      <c r="AE567" s="521"/>
      <c r="AF567" s="521">
        <v>1</v>
      </c>
      <c r="AG567" s="521">
        <v>4160</v>
      </c>
      <c r="AH567" s="522">
        <f t="shared" si="162"/>
        <v>0</v>
      </c>
      <c r="AI567" s="521"/>
      <c r="AJ567" s="521"/>
      <c r="AK567" s="543"/>
      <c r="AL567" s="543">
        <f t="shared" si="169"/>
        <v>4160</v>
      </c>
      <c r="AM567" s="427"/>
      <c r="AN567" s="543"/>
      <c r="AO567" s="427"/>
      <c r="AP567" s="543">
        <f t="shared" si="172"/>
        <v>4160</v>
      </c>
      <c r="AQ567" s="543"/>
      <c r="AR567" s="543">
        <f t="shared" si="170"/>
        <v>4160</v>
      </c>
      <c r="AS567" s="543"/>
      <c r="AT567" s="543">
        <f t="shared" si="171"/>
        <v>4160</v>
      </c>
      <c r="AU567" s="546"/>
      <c r="AV567" s="427"/>
      <c r="AW567" s="427"/>
      <c r="AX567" s="427"/>
      <c r="AY567" s="427"/>
      <c r="AZ567" s="543"/>
      <c r="BA567" s="543"/>
      <c r="BB567" s="427"/>
      <c r="BC567" s="427"/>
      <c r="BD567" s="543">
        <f>I567/4</f>
        <v>1040</v>
      </c>
      <c r="BE567" s="543"/>
      <c r="BF567" s="427"/>
      <c r="BG567" s="427"/>
      <c r="BH567" s="427"/>
      <c r="BI567" s="427"/>
      <c r="BJ567" s="427"/>
      <c r="BK567" s="427"/>
      <c r="BL567" s="427"/>
      <c r="BM567" s="427"/>
      <c r="BN567" s="836"/>
      <c r="BO567" s="836"/>
      <c r="BP567" s="836"/>
      <c r="BQ567" s="836"/>
      <c r="BR567" s="836"/>
      <c r="BS567" s="836"/>
      <c r="BT567" s="836"/>
      <c r="BU567" s="836"/>
      <c r="BV567" s="836"/>
      <c r="BW567" s="836"/>
      <c r="BX567" s="836"/>
      <c r="BY567" s="836"/>
      <c r="BZ567" s="836"/>
      <c r="CA567" s="836"/>
      <c r="CB567" s="836"/>
      <c r="CC567" s="836"/>
      <c r="CD567" s="836"/>
      <c r="CE567" s="836"/>
      <c r="CF567" s="544"/>
      <c r="CG567" s="544"/>
      <c r="CH567" s="544"/>
      <c r="CI567" s="544"/>
      <c r="CJ567" s="544"/>
      <c r="CK567" s="836"/>
      <c r="CL567" s="836"/>
      <c r="CM567" s="836"/>
      <c r="CN567" s="544"/>
      <c r="CO567" s="544"/>
      <c r="CP567" s="544"/>
      <c r="CQ567" s="544"/>
      <c r="CR567" s="544"/>
      <c r="CS567" s="544"/>
    </row>
    <row r="568" s="431" customFormat="1" ht="31" hidden="1" customHeight="1" spans="1:97">
      <c r="A568" s="518">
        <v>45960</v>
      </c>
      <c r="B568" s="831" t="s">
        <v>128</v>
      </c>
      <c r="C568" s="520" t="s">
        <v>90</v>
      </c>
      <c r="D568" s="427">
        <v>4500183715</v>
      </c>
      <c r="E568" s="890" t="s">
        <v>2136</v>
      </c>
      <c r="F568" s="427" t="s">
        <v>2137</v>
      </c>
      <c r="G568" s="521" t="s">
        <v>93</v>
      </c>
      <c r="H568" s="520" t="s">
        <v>94</v>
      </c>
      <c r="I568" s="520">
        <v>5760</v>
      </c>
      <c r="J568" s="520">
        <v>0</v>
      </c>
      <c r="K568" s="520">
        <v>4</v>
      </c>
      <c r="L568" s="804">
        <f t="shared" si="154"/>
        <v>1440</v>
      </c>
      <c r="M568" s="537">
        <v>45996</v>
      </c>
      <c r="N568" s="537">
        <v>45992</v>
      </c>
      <c r="O568" s="526"/>
      <c r="P568" s="526" t="s">
        <v>103</v>
      </c>
      <c r="Q568" s="530"/>
      <c r="R568" s="530" t="s">
        <v>2021</v>
      </c>
      <c r="S568" s="533" t="s">
        <v>66</v>
      </c>
      <c r="T568" s="533" t="s">
        <v>133</v>
      </c>
      <c r="U568" s="533"/>
      <c r="V568" s="532"/>
      <c r="W568" s="532" t="s">
        <v>1281</v>
      </c>
      <c r="X568" s="540" t="s">
        <v>98</v>
      </c>
      <c r="Y568" s="538">
        <v>2.5439</v>
      </c>
      <c r="Z568" s="808">
        <f t="shared" si="155"/>
        <v>14652.864</v>
      </c>
      <c r="AA568" s="521"/>
      <c r="AB568" s="520" t="s">
        <v>93</v>
      </c>
      <c r="AC568" s="520" t="s">
        <v>76</v>
      </c>
      <c r="AD568" s="521"/>
      <c r="AE568" s="521"/>
      <c r="AF568" s="521">
        <v>1</v>
      </c>
      <c r="AG568" s="521">
        <v>5760</v>
      </c>
      <c r="AH568" s="522">
        <f t="shared" si="162"/>
        <v>0</v>
      </c>
      <c r="AI568" s="521"/>
      <c r="AJ568" s="521"/>
      <c r="AK568" s="543"/>
      <c r="AL568" s="543">
        <f t="shared" si="169"/>
        <v>5760</v>
      </c>
      <c r="AM568" s="427"/>
      <c r="AN568" s="543"/>
      <c r="AO568" s="427"/>
      <c r="AP568" s="543">
        <f t="shared" si="172"/>
        <v>5760</v>
      </c>
      <c r="AQ568" s="543"/>
      <c r="AR568" s="543">
        <f t="shared" si="170"/>
        <v>5760</v>
      </c>
      <c r="AS568" s="543"/>
      <c r="AT568" s="543">
        <f t="shared" si="171"/>
        <v>5760</v>
      </c>
      <c r="AU568" s="546"/>
      <c r="AV568" s="427"/>
      <c r="AW568" s="427"/>
      <c r="AX568" s="427"/>
      <c r="AY568" s="427"/>
      <c r="AZ568" s="543"/>
      <c r="BA568" s="543"/>
      <c r="BB568" s="427"/>
      <c r="BC568" s="427"/>
      <c r="BD568" s="543">
        <f>I568/4</f>
        <v>1440</v>
      </c>
      <c r="BE568" s="543"/>
      <c r="BF568" s="427"/>
      <c r="BG568" s="427"/>
      <c r="BH568" s="427"/>
      <c r="BI568" s="427"/>
      <c r="BJ568" s="427"/>
      <c r="BK568" s="427"/>
      <c r="BL568" s="427"/>
      <c r="BM568" s="427"/>
      <c r="BN568" s="836"/>
      <c r="BO568" s="836"/>
      <c r="BP568" s="836"/>
      <c r="BQ568" s="836"/>
      <c r="BR568" s="836"/>
      <c r="BS568" s="836"/>
      <c r="BT568" s="836"/>
      <c r="BU568" s="836"/>
      <c r="BV568" s="836"/>
      <c r="BW568" s="836"/>
      <c r="BX568" s="836"/>
      <c r="BY568" s="836"/>
      <c r="BZ568" s="836"/>
      <c r="CA568" s="836"/>
      <c r="CB568" s="836"/>
      <c r="CC568" s="836"/>
      <c r="CD568" s="836"/>
      <c r="CE568" s="836"/>
      <c r="CF568" s="544"/>
      <c r="CG568" s="544"/>
      <c r="CH568" s="544"/>
      <c r="CI568" s="544"/>
      <c r="CJ568" s="544"/>
      <c r="CK568" s="836"/>
      <c r="CL568" s="836"/>
      <c r="CM568" s="836"/>
      <c r="CN568" s="544"/>
      <c r="CO568" s="544"/>
      <c r="CP568" s="544"/>
      <c r="CQ568" s="544"/>
      <c r="CR568" s="544"/>
      <c r="CS568" s="544"/>
    </row>
    <row r="569" s="431" customFormat="1" ht="31" hidden="1" customHeight="1" spans="1:97">
      <c r="A569" s="518">
        <v>45960</v>
      </c>
      <c r="B569" s="831" t="s">
        <v>128</v>
      </c>
      <c r="C569" s="520" t="s">
        <v>90</v>
      </c>
      <c r="D569" s="427">
        <v>4500183715</v>
      </c>
      <c r="E569" s="890" t="s">
        <v>2138</v>
      </c>
      <c r="F569" s="427" t="s">
        <v>2139</v>
      </c>
      <c r="G569" s="521" t="s">
        <v>93</v>
      </c>
      <c r="H569" s="520" t="s">
        <v>94</v>
      </c>
      <c r="I569" s="520">
        <v>6720</v>
      </c>
      <c r="J569" s="520">
        <v>0</v>
      </c>
      <c r="K569" s="520">
        <v>4</v>
      </c>
      <c r="L569" s="804">
        <f t="shared" si="154"/>
        <v>1680</v>
      </c>
      <c r="M569" s="537">
        <v>45996</v>
      </c>
      <c r="N569" s="537">
        <v>45992</v>
      </c>
      <c r="O569" s="526"/>
      <c r="P569" s="526" t="s">
        <v>103</v>
      </c>
      <c r="Q569" s="530"/>
      <c r="R569" s="530" t="s">
        <v>2021</v>
      </c>
      <c r="S569" s="533" t="s">
        <v>66</v>
      </c>
      <c r="T569" s="533" t="s">
        <v>133</v>
      </c>
      <c r="U569" s="533"/>
      <c r="V569" s="532"/>
      <c r="W569" s="532" t="s">
        <v>1281</v>
      </c>
      <c r="X569" s="540" t="s">
        <v>98</v>
      </c>
      <c r="Y569" s="538">
        <v>2.5439</v>
      </c>
      <c r="Z569" s="808">
        <f t="shared" si="155"/>
        <v>17095.008</v>
      </c>
      <c r="AA569" s="521"/>
      <c r="AB569" s="520" t="s">
        <v>93</v>
      </c>
      <c r="AC569" s="520" t="s">
        <v>76</v>
      </c>
      <c r="AD569" s="521"/>
      <c r="AE569" s="521"/>
      <c r="AF569" s="521">
        <v>1</v>
      </c>
      <c r="AG569" s="521">
        <f>6000+720</f>
        <v>6720</v>
      </c>
      <c r="AH569" s="522">
        <f t="shared" si="162"/>
        <v>0</v>
      </c>
      <c r="AI569" s="521"/>
      <c r="AJ569" s="521"/>
      <c r="AK569" s="543"/>
      <c r="AL569" s="543">
        <f t="shared" si="169"/>
        <v>6720</v>
      </c>
      <c r="AM569" s="427"/>
      <c r="AN569" s="543"/>
      <c r="AO569" s="427"/>
      <c r="AP569" s="543">
        <f t="shared" si="172"/>
        <v>6720</v>
      </c>
      <c r="AQ569" s="543"/>
      <c r="AR569" s="543">
        <f t="shared" si="170"/>
        <v>6720</v>
      </c>
      <c r="AS569" s="543"/>
      <c r="AT569" s="543">
        <f t="shared" si="171"/>
        <v>6720</v>
      </c>
      <c r="AU569" s="546"/>
      <c r="AV569" s="427"/>
      <c r="AW569" s="427"/>
      <c r="AX569" s="427"/>
      <c r="AY569" s="427"/>
      <c r="AZ569" s="543"/>
      <c r="BA569" s="543"/>
      <c r="BB569" s="427"/>
      <c r="BC569" s="427"/>
      <c r="BD569" s="543">
        <f>I569/4</f>
        <v>1680</v>
      </c>
      <c r="BE569" s="543"/>
      <c r="BF569" s="427"/>
      <c r="BG569" s="427"/>
      <c r="BH569" s="427"/>
      <c r="BI569" s="427"/>
      <c r="BJ569" s="427"/>
      <c r="BK569" s="427"/>
      <c r="BL569" s="427"/>
      <c r="BM569" s="427"/>
      <c r="BN569" s="836"/>
      <c r="BO569" s="836"/>
      <c r="BP569" s="836"/>
      <c r="BQ569" s="836"/>
      <c r="BR569" s="836"/>
      <c r="BS569" s="836"/>
      <c r="BT569" s="836"/>
      <c r="BU569" s="836"/>
      <c r="BV569" s="836"/>
      <c r="BW569" s="836"/>
      <c r="BX569" s="836"/>
      <c r="BY569" s="836"/>
      <c r="BZ569" s="836"/>
      <c r="CA569" s="836"/>
      <c r="CB569" s="836"/>
      <c r="CC569" s="836"/>
      <c r="CD569" s="836"/>
      <c r="CE569" s="836"/>
      <c r="CF569" s="544"/>
      <c r="CG569" s="544"/>
      <c r="CH569" s="544"/>
      <c r="CI569" s="544"/>
      <c r="CJ569" s="544"/>
      <c r="CK569" s="836"/>
      <c r="CL569" s="836"/>
      <c r="CM569" s="836"/>
      <c r="CN569" s="544"/>
      <c r="CO569" s="544"/>
      <c r="CP569" s="544"/>
      <c r="CQ569" s="544"/>
      <c r="CR569" s="544"/>
      <c r="CS569" s="544"/>
    </row>
    <row r="570" s="431" customFormat="1" ht="31" hidden="1" customHeight="1" spans="1:97">
      <c r="A570" s="518">
        <v>45957</v>
      </c>
      <c r="B570" s="519" t="s">
        <v>125</v>
      </c>
      <c r="C570" s="520" t="s">
        <v>71</v>
      </c>
      <c r="D570" s="427">
        <v>4500183185</v>
      </c>
      <c r="E570" s="520">
        <v>21201494</v>
      </c>
      <c r="F570" s="427" t="s">
        <v>2140</v>
      </c>
      <c r="G570" s="521" t="s">
        <v>64</v>
      </c>
      <c r="H570" s="520" t="s">
        <v>65</v>
      </c>
      <c r="I570" s="520">
        <v>120</v>
      </c>
      <c r="J570" s="520">
        <v>0</v>
      </c>
      <c r="K570" s="520">
        <v>12</v>
      </c>
      <c r="L570" s="804">
        <f t="shared" si="154"/>
        <v>10</v>
      </c>
      <c r="M570" s="537">
        <v>45999</v>
      </c>
      <c r="N570" s="537">
        <v>45995</v>
      </c>
      <c r="O570" s="526"/>
      <c r="P570" s="526" t="s">
        <v>103</v>
      </c>
      <c r="Q570" s="530"/>
      <c r="R570" s="530">
        <v>45967</v>
      </c>
      <c r="S570" s="533" t="s">
        <v>96</v>
      </c>
      <c r="T570" s="533" t="s">
        <v>2141</v>
      </c>
      <c r="U570" s="532"/>
      <c r="V570" s="532"/>
      <c r="W570" s="597" t="s">
        <v>2142</v>
      </c>
      <c r="X570" s="540" t="s">
        <v>121</v>
      </c>
      <c r="Y570" s="538">
        <v>4.2552</v>
      </c>
      <c r="Z570" s="808">
        <f t="shared" ref="Z570:Z583" si="173">Y570*I570</f>
        <v>510.624</v>
      </c>
      <c r="AA570" s="521"/>
      <c r="AB570" s="543" t="s">
        <v>64</v>
      </c>
      <c r="AC570" s="520" t="s">
        <v>76</v>
      </c>
      <c r="AD570" s="521"/>
      <c r="AE570" s="521"/>
      <c r="AF570" s="521">
        <v>1</v>
      </c>
      <c r="AG570" s="521">
        <v>120</v>
      </c>
      <c r="AH570" s="522">
        <f t="shared" si="162"/>
        <v>0</v>
      </c>
      <c r="AI570" s="521"/>
      <c r="AJ570" s="521"/>
      <c r="AK570" s="543"/>
      <c r="AL570" s="543">
        <f t="shared" ref="AL570:AL583" si="174">I570</f>
        <v>120</v>
      </c>
      <c r="AM570" s="427"/>
      <c r="AN570" s="543"/>
      <c r="AO570" s="427"/>
      <c r="AP570" s="543">
        <f t="shared" ref="AP570:AP580" si="175">I570</f>
        <v>120</v>
      </c>
      <c r="AQ570" s="543"/>
      <c r="AR570" s="543">
        <f t="shared" ref="AR570:AR580" si="176">I570</f>
        <v>120</v>
      </c>
      <c r="AS570" s="543"/>
      <c r="AT570" s="543">
        <f t="shared" ref="AT570:AT580" si="177">I570</f>
        <v>120</v>
      </c>
      <c r="AU570" s="546"/>
      <c r="AV570" s="628"/>
      <c r="AW570" s="427"/>
      <c r="AX570" s="427"/>
      <c r="AY570" s="427"/>
      <c r="AZ570" s="543"/>
      <c r="BA570" s="543"/>
      <c r="BB570" s="427"/>
      <c r="BC570" s="427"/>
      <c r="BD570" s="543"/>
      <c r="BE570" s="543"/>
      <c r="BF570" s="628"/>
      <c r="BG570" s="628"/>
      <c r="BH570" s="628"/>
      <c r="BI570" s="543"/>
      <c r="BJ570" s="543"/>
      <c r="BK570" s="628"/>
      <c r="BL570" s="628"/>
      <c r="BM570" s="628"/>
      <c r="CF570" s="544"/>
      <c r="CG570" s="544"/>
      <c r="CH570" s="544"/>
      <c r="CI570" s="544"/>
      <c r="CJ570" s="544"/>
      <c r="CN570" s="544"/>
      <c r="CO570" s="544"/>
      <c r="CP570" s="544"/>
      <c r="CQ570" s="544"/>
      <c r="CR570" s="544"/>
      <c r="CS570" s="544"/>
    </row>
    <row r="571" s="431" customFormat="1" ht="31" hidden="1" customHeight="1" spans="1:97">
      <c r="A571" s="518">
        <v>45957</v>
      </c>
      <c r="B571" s="519" t="s">
        <v>122</v>
      </c>
      <c r="C571" s="520" t="s">
        <v>71</v>
      </c>
      <c r="D571" s="427">
        <v>4500183184</v>
      </c>
      <c r="E571" s="520">
        <v>21201489</v>
      </c>
      <c r="F571" s="427" t="s">
        <v>2143</v>
      </c>
      <c r="G571" s="521" t="s">
        <v>64</v>
      </c>
      <c r="H571" s="520" t="s">
        <v>65</v>
      </c>
      <c r="I571" s="520">
        <v>1380</v>
      </c>
      <c r="J571" s="520">
        <v>0</v>
      </c>
      <c r="K571" s="520">
        <v>12</v>
      </c>
      <c r="L571" s="804">
        <f t="shared" si="154"/>
        <v>115</v>
      </c>
      <c r="M571" s="537">
        <v>45999</v>
      </c>
      <c r="N571" s="537">
        <v>45995</v>
      </c>
      <c r="O571" s="526"/>
      <c r="P571" s="526" t="s">
        <v>103</v>
      </c>
      <c r="Q571" s="530"/>
      <c r="R571" s="530">
        <v>45967</v>
      </c>
      <c r="S571" s="533" t="s">
        <v>96</v>
      </c>
      <c r="T571" s="533" t="s">
        <v>2141</v>
      </c>
      <c r="U571" s="532"/>
      <c r="V571" s="532"/>
      <c r="W571" s="597" t="s">
        <v>2144</v>
      </c>
      <c r="X571" s="540" t="s">
        <v>121</v>
      </c>
      <c r="Y571" s="538">
        <v>4.1185</v>
      </c>
      <c r="Z571" s="808">
        <f t="shared" si="173"/>
        <v>5683.53</v>
      </c>
      <c r="AA571" s="521"/>
      <c r="AB571" s="543" t="s">
        <v>64</v>
      </c>
      <c r="AC571" s="520" t="s">
        <v>76</v>
      </c>
      <c r="AD571" s="521"/>
      <c r="AE571" s="521"/>
      <c r="AF571" s="521">
        <v>1</v>
      </c>
      <c r="AG571" s="521">
        <v>1380</v>
      </c>
      <c r="AH571" s="522">
        <f t="shared" si="162"/>
        <v>0</v>
      </c>
      <c r="AI571" s="521"/>
      <c r="AJ571" s="521"/>
      <c r="AK571" s="543"/>
      <c r="AL571" s="543">
        <f t="shared" si="174"/>
        <v>1380</v>
      </c>
      <c r="AM571" s="427"/>
      <c r="AN571" s="543"/>
      <c r="AO571" s="427"/>
      <c r="AP571" s="543">
        <f t="shared" si="175"/>
        <v>1380</v>
      </c>
      <c r="AQ571" s="543"/>
      <c r="AR571" s="543">
        <f t="shared" si="176"/>
        <v>1380</v>
      </c>
      <c r="AS571" s="543"/>
      <c r="AT571" s="543">
        <f t="shared" si="177"/>
        <v>1380</v>
      </c>
      <c r="AU571" s="546"/>
      <c r="AV571" s="628"/>
      <c r="AW571" s="427"/>
      <c r="AX571" s="427"/>
      <c r="AY571" s="427"/>
      <c r="AZ571" s="543"/>
      <c r="BA571" s="543"/>
      <c r="BB571" s="427"/>
      <c r="BC571" s="427"/>
      <c r="BD571" s="543"/>
      <c r="BE571" s="543"/>
      <c r="BF571" s="628"/>
      <c r="BG571" s="628"/>
      <c r="BH571" s="628"/>
      <c r="BI571" s="543"/>
      <c r="BJ571" s="543"/>
      <c r="BK571" s="628"/>
      <c r="BL571" s="628"/>
      <c r="BM571" s="628"/>
      <c r="CF571" s="544"/>
      <c r="CG571" s="544"/>
      <c r="CH571" s="544"/>
      <c r="CI571" s="544"/>
      <c r="CJ571" s="544"/>
      <c r="CN571" s="544"/>
      <c r="CO571" s="544"/>
      <c r="CP571" s="544"/>
      <c r="CQ571" s="544"/>
      <c r="CR571" s="544"/>
      <c r="CS571" s="544"/>
    </row>
    <row r="572" s="431" customFormat="1" ht="31" hidden="1" customHeight="1" spans="1:97">
      <c r="A572" s="518">
        <v>45960</v>
      </c>
      <c r="B572" s="831" t="s">
        <v>2145</v>
      </c>
      <c r="C572" s="520" t="s">
        <v>90</v>
      </c>
      <c r="D572" s="427">
        <v>4500183696</v>
      </c>
      <c r="E572" s="890" t="s">
        <v>2146</v>
      </c>
      <c r="F572" s="427" t="s">
        <v>2147</v>
      </c>
      <c r="G572" s="521" t="s">
        <v>93</v>
      </c>
      <c r="H572" s="520" t="s">
        <v>94</v>
      </c>
      <c r="I572" s="520">
        <v>208</v>
      </c>
      <c r="J572" s="520">
        <v>0</v>
      </c>
      <c r="K572" s="520">
        <v>4</v>
      </c>
      <c r="L572" s="804">
        <f t="shared" si="154"/>
        <v>52</v>
      </c>
      <c r="M572" s="537">
        <v>45999</v>
      </c>
      <c r="N572" s="537">
        <v>45995</v>
      </c>
      <c r="O572" s="526"/>
      <c r="P572" s="526" t="s">
        <v>103</v>
      </c>
      <c r="Q572" s="530"/>
      <c r="R572" s="530">
        <v>45967</v>
      </c>
      <c r="S572" s="533" t="s">
        <v>96</v>
      </c>
      <c r="T572" s="532" t="s">
        <v>2148</v>
      </c>
      <c r="U572" s="532"/>
      <c r="V572" s="532"/>
      <c r="W572" s="532" t="s">
        <v>2149</v>
      </c>
      <c r="X572" s="540" t="s">
        <v>734</v>
      </c>
      <c r="Y572" s="538">
        <v>2.5439</v>
      </c>
      <c r="Z572" s="808">
        <f t="shared" si="173"/>
        <v>529.1312</v>
      </c>
      <c r="AA572" s="521"/>
      <c r="AB572" s="520" t="s">
        <v>93</v>
      </c>
      <c r="AC572" s="520" t="s">
        <v>76</v>
      </c>
      <c r="AD572" s="521"/>
      <c r="AE572" s="521"/>
      <c r="AF572" s="521">
        <v>1</v>
      </c>
      <c r="AG572" s="521">
        <v>208</v>
      </c>
      <c r="AH572" s="522">
        <f t="shared" si="162"/>
        <v>0</v>
      </c>
      <c r="AI572" s="521"/>
      <c r="AJ572" s="521"/>
      <c r="AK572" s="543"/>
      <c r="AL572" s="543">
        <f t="shared" si="174"/>
        <v>208</v>
      </c>
      <c r="AM572" s="427"/>
      <c r="AN572" s="543"/>
      <c r="AO572" s="427"/>
      <c r="AP572" s="543">
        <f t="shared" si="175"/>
        <v>208</v>
      </c>
      <c r="AQ572" s="543"/>
      <c r="AR572" s="543">
        <f t="shared" si="176"/>
        <v>208</v>
      </c>
      <c r="AS572" s="543"/>
      <c r="AT572" s="543">
        <f t="shared" si="177"/>
        <v>208</v>
      </c>
      <c r="AU572" s="546"/>
      <c r="AV572" s="427"/>
      <c r="AW572" s="427"/>
      <c r="AX572" s="427"/>
      <c r="AY572" s="427"/>
      <c r="AZ572" s="543"/>
      <c r="BA572" s="543"/>
      <c r="BB572" s="427"/>
      <c r="BC572" s="427"/>
      <c r="BD572" s="543">
        <f>I572/4</f>
        <v>52</v>
      </c>
      <c r="BE572" s="543"/>
      <c r="BF572" s="427"/>
      <c r="BG572" s="427"/>
      <c r="BH572" s="427"/>
      <c r="BI572" s="427"/>
      <c r="BJ572" s="427"/>
      <c r="BK572" s="427"/>
      <c r="BL572" s="427"/>
      <c r="BM572" s="427"/>
      <c r="BN572" s="836"/>
      <c r="BO572" s="836"/>
      <c r="BP572" s="836"/>
      <c r="BQ572" s="836"/>
      <c r="BR572" s="836"/>
      <c r="BS572" s="836"/>
      <c r="BT572" s="836"/>
      <c r="BU572" s="836"/>
      <c r="BV572" s="836"/>
      <c r="BW572" s="836"/>
      <c r="BX572" s="836"/>
      <c r="BY572" s="836"/>
      <c r="BZ572" s="836"/>
      <c r="CA572" s="836"/>
      <c r="CB572" s="836"/>
      <c r="CC572" s="836"/>
      <c r="CD572" s="836"/>
      <c r="CE572" s="836"/>
      <c r="CF572" s="544"/>
      <c r="CG572" s="544"/>
      <c r="CH572" s="544"/>
      <c r="CI572" s="544"/>
      <c r="CJ572" s="544"/>
      <c r="CK572" s="836"/>
      <c r="CL572" s="836"/>
      <c r="CM572" s="836"/>
      <c r="CN572" s="544"/>
      <c r="CO572" s="544"/>
      <c r="CP572" s="544"/>
      <c r="CQ572" s="544"/>
      <c r="CR572" s="544"/>
      <c r="CS572" s="544"/>
    </row>
    <row r="573" s="431" customFormat="1" ht="31" hidden="1" customHeight="1" spans="1:97">
      <c r="A573" s="518">
        <v>45960</v>
      </c>
      <c r="B573" s="831" t="s">
        <v>2145</v>
      </c>
      <c r="C573" s="520" t="s">
        <v>90</v>
      </c>
      <c r="D573" s="427">
        <v>4500183696</v>
      </c>
      <c r="E573" s="892" t="s">
        <v>2150</v>
      </c>
      <c r="F573" s="427" t="s">
        <v>2151</v>
      </c>
      <c r="G573" s="521" t="s">
        <v>93</v>
      </c>
      <c r="H573" s="520" t="s">
        <v>94</v>
      </c>
      <c r="I573" s="520">
        <v>324</v>
      </c>
      <c r="J573" s="520">
        <v>0</v>
      </c>
      <c r="K573" s="520">
        <v>4</v>
      </c>
      <c r="L573" s="804">
        <f t="shared" si="154"/>
        <v>81</v>
      </c>
      <c r="M573" s="537">
        <v>45999</v>
      </c>
      <c r="N573" s="537">
        <v>45995</v>
      </c>
      <c r="O573" s="526"/>
      <c r="P573" s="526" t="s">
        <v>103</v>
      </c>
      <c r="Q573" s="530"/>
      <c r="R573" s="530">
        <v>45967</v>
      </c>
      <c r="S573" s="533" t="s">
        <v>96</v>
      </c>
      <c r="T573" s="532" t="s">
        <v>2148</v>
      </c>
      <c r="U573" s="532"/>
      <c r="V573" s="532"/>
      <c r="W573" s="532" t="s">
        <v>2149</v>
      </c>
      <c r="X573" s="540" t="s">
        <v>734</v>
      </c>
      <c r="Y573" s="538">
        <v>2.5439</v>
      </c>
      <c r="Z573" s="808">
        <f t="shared" si="173"/>
        <v>824.2236</v>
      </c>
      <c r="AA573" s="521"/>
      <c r="AB573" s="520" t="s">
        <v>93</v>
      </c>
      <c r="AC573" s="520" t="s">
        <v>76</v>
      </c>
      <c r="AD573" s="521"/>
      <c r="AE573" s="521"/>
      <c r="AF573" s="521">
        <v>1</v>
      </c>
      <c r="AG573" s="521">
        <v>324</v>
      </c>
      <c r="AH573" s="522">
        <f t="shared" si="162"/>
        <v>0</v>
      </c>
      <c r="AI573" s="521"/>
      <c r="AJ573" s="521"/>
      <c r="AK573" s="543"/>
      <c r="AL573" s="543">
        <f t="shared" si="174"/>
        <v>324</v>
      </c>
      <c r="AM573" s="427"/>
      <c r="AN573" s="543"/>
      <c r="AO573" s="427"/>
      <c r="AP573" s="543">
        <f t="shared" si="175"/>
        <v>324</v>
      </c>
      <c r="AQ573" s="543"/>
      <c r="AR573" s="543">
        <f t="shared" si="176"/>
        <v>324</v>
      </c>
      <c r="AS573" s="543"/>
      <c r="AT573" s="543">
        <f t="shared" si="177"/>
        <v>324</v>
      </c>
      <c r="AU573" s="546"/>
      <c r="AV573" s="628"/>
      <c r="AW573" s="427"/>
      <c r="AX573" s="427"/>
      <c r="AY573" s="427"/>
      <c r="AZ573" s="543"/>
      <c r="BA573" s="543"/>
      <c r="BB573" s="427"/>
      <c r="BC573" s="427"/>
      <c r="BD573" s="543">
        <f>I573/4</f>
        <v>81</v>
      </c>
      <c r="BE573" s="543"/>
      <c r="BF573" s="628"/>
      <c r="BG573" s="628"/>
      <c r="BH573" s="628"/>
      <c r="BI573" s="543"/>
      <c r="BJ573" s="543"/>
      <c r="BK573" s="628"/>
      <c r="BL573" s="628"/>
      <c r="BM573" s="628"/>
      <c r="CF573" s="544"/>
      <c r="CG573" s="544"/>
      <c r="CH573" s="544"/>
      <c r="CI573" s="544"/>
      <c r="CJ573" s="544"/>
      <c r="CN573" s="544"/>
      <c r="CO573" s="544"/>
      <c r="CP573" s="544"/>
      <c r="CQ573" s="544"/>
      <c r="CR573" s="544"/>
      <c r="CS573" s="544"/>
    </row>
    <row r="574" s="431" customFormat="1" ht="31" hidden="1" customHeight="1" spans="1:97">
      <c r="A574" s="518">
        <v>45960</v>
      </c>
      <c r="B574" s="831" t="s">
        <v>2145</v>
      </c>
      <c r="C574" s="520" t="s">
        <v>90</v>
      </c>
      <c r="D574" s="427">
        <v>4500183696</v>
      </c>
      <c r="E574" s="892" t="s">
        <v>2152</v>
      </c>
      <c r="F574" s="427" t="s">
        <v>2153</v>
      </c>
      <c r="G574" s="521" t="s">
        <v>93</v>
      </c>
      <c r="H574" s="520" t="s">
        <v>94</v>
      </c>
      <c r="I574" s="520">
        <v>244</v>
      </c>
      <c r="J574" s="520">
        <v>0</v>
      </c>
      <c r="K574" s="520">
        <v>4</v>
      </c>
      <c r="L574" s="804">
        <f t="shared" si="154"/>
        <v>61</v>
      </c>
      <c r="M574" s="537">
        <v>45999</v>
      </c>
      <c r="N574" s="537">
        <v>45995</v>
      </c>
      <c r="O574" s="526"/>
      <c r="P574" s="526" t="s">
        <v>103</v>
      </c>
      <c r="Q574" s="530"/>
      <c r="R574" s="530">
        <v>45967</v>
      </c>
      <c r="S574" s="533" t="s">
        <v>96</v>
      </c>
      <c r="T574" s="532" t="s">
        <v>2148</v>
      </c>
      <c r="U574" s="532"/>
      <c r="V574" s="532"/>
      <c r="W574" s="532" t="s">
        <v>2149</v>
      </c>
      <c r="X574" s="540" t="s">
        <v>734</v>
      </c>
      <c r="Y574" s="538">
        <v>2.5439</v>
      </c>
      <c r="Z574" s="808">
        <f t="shared" si="173"/>
        <v>620.7116</v>
      </c>
      <c r="AA574" s="521"/>
      <c r="AB574" s="520" t="s">
        <v>93</v>
      </c>
      <c r="AC574" s="520" t="s">
        <v>76</v>
      </c>
      <c r="AD574" s="521"/>
      <c r="AE574" s="521"/>
      <c r="AF574" s="521">
        <v>1</v>
      </c>
      <c r="AG574" s="521">
        <v>244</v>
      </c>
      <c r="AH574" s="522">
        <f t="shared" si="162"/>
        <v>0</v>
      </c>
      <c r="AI574" s="521"/>
      <c r="AJ574" s="521"/>
      <c r="AK574" s="543"/>
      <c r="AL574" s="543">
        <f t="shared" si="174"/>
        <v>244</v>
      </c>
      <c r="AM574" s="427"/>
      <c r="AN574" s="543"/>
      <c r="AO574" s="427"/>
      <c r="AP574" s="543">
        <f t="shared" si="175"/>
        <v>244</v>
      </c>
      <c r="AQ574" s="543"/>
      <c r="AR574" s="543">
        <f t="shared" si="176"/>
        <v>244</v>
      </c>
      <c r="AS574" s="543"/>
      <c r="AT574" s="543">
        <f t="shared" si="177"/>
        <v>244</v>
      </c>
      <c r="AU574" s="546"/>
      <c r="AV574" s="628"/>
      <c r="AW574" s="427"/>
      <c r="AX574" s="427"/>
      <c r="AY574" s="427"/>
      <c r="AZ574" s="543"/>
      <c r="BA574" s="543"/>
      <c r="BB574" s="427"/>
      <c r="BC574" s="427"/>
      <c r="BD574" s="543">
        <f>I574/4</f>
        <v>61</v>
      </c>
      <c r="BE574" s="543"/>
      <c r="BF574" s="628"/>
      <c r="BG574" s="628"/>
      <c r="BH574" s="628"/>
      <c r="BI574" s="543"/>
      <c r="BJ574" s="543"/>
      <c r="BK574" s="628"/>
      <c r="BL574" s="628"/>
      <c r="BM574" s="628"/>
      <c r="CF574" s="544"/>
      <c r="CG574" s="544"/>
      <c r="CH574" s="544"/>
      <c r="CI574" s="544"/>
      <c r="CJ574" s="544"/>
      <c r="CN574" s="544"/>
      <c r="CO574" s="544"/>
      <c r="CP574" s="544"/>
      <c r="CQ574" s="544"/>
      <c r="CR574" s="544"/>
      <c r="CS574" s="544"/>
    </row>
    <row r="575" s="431" customFormat="1" ht="31" hidden="1" customHeight="1" spans="1:97">
      <c r="A575" s="518">
        <v>45960</v>
      </c>
      <c r="B575" s="831" t="s">
        <v>2145</v>
      </c>
      <c r="C575" s="520" t="s">
        <v>90</v>
      </c>
      <c r="D575" s="427">
        <v>4500183696</v>
      </c>
      <c r="E575" s="892" t="s">
        <v>2154</v>
      </c>
      <c r="F575" s="427" t="s">
        <v>2155</v>
      </c>
      <c r="G575" s="521" t="s">
        <v>93</v>
      </c>
      <c r="H575" s="520" t="s">
        <v>94</v>
      </c>
      <c r="I575" s="520">
        <v>204</v>
      </c>
      <c r="J575" s="520">
        <v>0</v>
      </c>
      <c r="K575" s="520">
        <v>4</v>
      </c>
      <c r="L575" s="804">
        <f t="shared" si="154"/>
        <v>51</v>
      </c>
      <c r="M575" s="537">
        <v>45999</v>
      </c>
      <c r="N575" s="537">
        <v>45995</v>
      </c>
      <c r="O575" s="526"/>
      <c r="P575" s="526" t="s">
        <v>103</v>
      </c>
      <c r="Q575" s="530"/>
      <c r="R575" s="530">
        <v>45967</v>
      </c>
      <c r="S575" s="533" t="s">
        <v>96</v>
      </c>
      <c r="T575" s="532" t="s">
        <v>2148</v>
      </c>
      <c r="U575" s="532"/>
      <c r="V575" s="532"/>
      <c r="W575" s="532" t="s">
        <v>2149</v>
      </c>
      <c r="X575" s="540" t="s">
        <v>734</v>
      </c>
      <c r="Y575" s="538">
        <v>2.5439</v>
      </c>
      <c r="Z575" s="808">
        <f t="shared" si="173"/>
        <v>518.9556</v>
      </c>
      <c r="AA575" s="521"/>
      <c r="AB575" s="520" t="s">
        <v>93</v>
      </c>
      <c r="AC575" s="520" t="s">
        <v>76</v>
      </c>
      <c r="AD575" s="521"/>
      <c r="AE575" s="521"/>
      <c r="AF575" s="521">
        <v>1</v>
      </c>
      <c r="AG575" s="521">
        <v>204</v>
      </c>
      <c r="AH575" s="522">
        <f t="shared" si="162"/>
        <v>0</v>
      </c>
      <c r="AI575" s="521"/>
      <c r="AJ575" s="521"/>
      <c r="AK575" s="543"/>
      <c r="AL575" s="543">
        <f t="shared" si="174"/>
        <v>204</v>
      </c>
      <c r="AM575" s="427"/>
      <c r="AN575" s="543"/>
      <c r="AO575" s="427"/>
      <c r="AP575" s="543">
        <f t="shared" si="175"/>
        <v>204</v>
      </c>
      <c r="AQ575" s="543"/>
      <c r="AR575" s="543">
        <f t="shared" si="176"/>
        <v>204</v>
      </c>
      <c r="AS575" s="543"/>
      <c r="AT575" s="543">
        <f t="shared" si="177"/>
        <v>204</v>
      </c>
      <c r="AU575" s="546"/>
      <c r="AV575" s="628"/>
      <c r="AW575" s="427"/>
      <c r="AX575" s="427"/>
      <c r="AY575" s="427"/>
      <c r="AZ575" s="543"/>
      <c r="BA575" s="543"/>
      <c r="BB575" s="427"/>
      <c r="BC575" s="427"/>
      <c r="BD575" s="543">
        <f>I575/4</f>
        <v>51</v>
      </c>
      <c r="BE575" s="543"/>
      <c r="BF575" s="628"/>
      <c r="BG575" s="628"/>
      <c r="BH575" s="628"/>
      <c r="BI575" s="543"/>
      <c r="BJ575" s="543"/>
      <c r="BK575" s="628"/>
      <c r="BL575" s="628"/>
      <c r="BM575" s="628"/>
      <c r="CF575" s="544"/>
      <c r="CG575" s="544"/>
      <c r="CH575" s="544"/>
      <c r="CI575" s="544"/>
      <c r="CJ575" s="544"/>
      <c r="CN575" s="544"/>
      <c r="CO575" s="544"/>
      <c r="CP575" s="544"/>
      <c r="CQ575" s="544"/>
      <c r="CR575" s="544"/>
      <c r="CS575" s="544"/>
    </row>
    <row r="576" s="431" customFormat="1" ht="31" hidden="1" customHeight="1" spans="1:97">
      <c r="A576" s="518">
        <v>45960</v>
      </c>
      <c r="B576" s="831" t="s">
        <v>2145</v>
      </c>
      <c r="C576" s="520" t="s">
        <v>90</v>
      </c>
      <c r="D576" s="427">
        <v>4500183696</v>
      </c>
      <c r="E576" s="890" t="s">
        <v>2156</v>
      </c>
      <c r="F576" s="427" t="s">
        <v>2157</v>
      </c>
      <c r="G576" s="521" t="s">
        <v>93</v>
      </c>
      <c r="H576" s="520" t="s">
        <v>94</v>
      </c>
      <c r="I576" s="520">
        <v>220</v>
      </c>
      <c r="J576" s="520">
        <v>0</v>
      </c>
      <c r="K576" s="520">
        <v>4</v>
      </c>
      <c r="L576" s="804">
        <f t="shared" si="154"/>
        <v>55</v>
      </c>
      <c r="M576" s="537">
        <v>45999</v>
      </c>
      <c r="N576" s="537">
        <v>45995</v>
      </c>
      <c r="O576" s="526"/>
      <c r="P576" s="526" t="s">
        <v>103</v>
      </c>
      <c r="Q576" s="530"/>
      <c r="R576" s="530">
        <v>45967</v>
      </c>
      <c r="S576" s="533" t="s">
        <v>96</v>
      </c>
      <c r="T576" s="532" t="s">
        <v>2148</v>
      </c>
      <c r="U576" s="532"/>
      <c r="V576" s="532"/>
      <c r="W576" s="532" t="s">
        <v>2149</v>
      </c>
      <c r="X576" s="540" t="s">
        <v>734</v>
      </c>
      <c r="Y576" s="538">
        <v>2.5439</v>
      </c>
      <c r="Z576" s="808">
        <f t="shared" si="173"/>
        <v>559.658</v>
      </c>
      <c r="AA576" s="521"/>
      <c r="AB576" s="520" t="s">
        <v>93</v>
      </c>
      <c r="AC576" s="520" t="s">
        <v>76</v>
      </c>
      <c r="AD576" s="521"/>
      <c r="AE576" s="521"/>
      <c r="AF576" s="521">
        <v>1</v>
      </c>
      <c r="AG576" s="521">
        <v>220</v>
      </c>
      <c r="AH576" s="522">
        <f t="shared" si="162"/>
        <v>0</v>
      </c>
      <c r="AI576" s="521"/>
      <c r="AJ576" s="521"/>
      <c r="AK576" s="543"/>
      <c r="AL576" s="543">
        <f t="shared" si="174"/>
        <v>220</v>
      </c>
      <c r="AM576" s="427"/>
      <c r="AN576" s="543"/>
      <c r="AO576" s="427"/>
      <c r="AP576" s="543">
        <f t="shared" si="175"/>
        <v>220</v>
      </c>
      <c r="AQ576" s="543"/>
      <c r="AR576" s="543">
        <f t="shared" si="176"/>
        <v>220</v>
      </c>
      <c r="AS576" s="543"/>
      <c r="AT576" s="543">
        <f t="shared" si="177"/>
        <v>220</v>
      </c>
      <c r="AU576" s="546"/>
      <c r="AV576" s="628"/>
      <c r="AW576" s="427"/>
      <c r="AX576" s="427"/>
      <c r="AY576" s="427"/>
      <c r="AZ576" s="543"/>
      <c r="BA576" s="543"/>
      <c r="BB576" s="427"/>
      <c r="BC576" s="427"/>
      <c r="BD576" s="543">
        <f>I576/4</f>
        <v>55</v>
      </c>
      <c r="BE576" s="543"/>
      <c r="BF576" s="628"/>
      <c r="BG576" s="628"/>
      <c r="BH576" s="628"/>
      <c r="BI576" s="543"/>
      <c r="BJ576" s="543"/>
      <c r="BK576" s="628"/>
      <c r="BL576" s="628"/>
      <c r="BM576" s="628"/>
      <c r="CF576" s="544"/>
      <c r="CG576" s="544"/>
      <c r="CH576" s="544"/>
      <c r="CI576" s="544"/>
      <c r="CJ576" s="544"/>
      <c r="CN576" s="544"/>
      <c r="CO576" s="544"/>
      <c r="CP576" s="544"/>
      <c r="CQ576" s="544"/>
      <c r="CR576" s="544"/>
      <c r="CS576" s="544"/>
    </row>
    <row r="577" s="431" customFormat="1" ht="31" hidden="1" customHeight="1" spans="1:97">
      <c r="A577" s="518">
        <v>45925</v>
      </c>
      <c r="B577" s="519" t="s">
        <v>539</v>
      </c>
      <c r="C577" s="520" t="s">
        <v>356</v>
      </c>
      <c r="D577" s="427">
        <v>4500180297</v>
      </c>
      <c r="E577" s="520">
        <v>2236250206</v>
      </c>
      <c r="F577" s="427" t="s">
        <v>2158</v>
      </c>
      <c r="G577" s="521" t="s">
        <v>64</v>
      </c>
      <c r="H577" s="520" t="s">
        <v>65</v>
      </c>
      <c r="I577" s="520">
        <v>2004</v>
      </c>
      <c r="J577" s="520">
        <v>0</v>
      </c>
      <c r="K577" s="520">
        <v>12</v>
      </c>
      <c r="L577" s="804">
        <f t="shared" si="154"/>
        <v>167</v>
      </c>
      <c r="M577" s="537">
        <v>45999</v>
      </c>
      <c r="N577" s="537">
        <v>45995</v>
      </c>
      <c r="O577" s="526"/>
      <c r="P577" s="526" t="s">
        <v>103</v>
      </c>
      <c r="Q577" s="530"/>
      <c r="R577" s="530">
        <v>45940</v>
      </c>
      <c r="S577" s="533" t="s">
        <v>66</v>
      </c>
      <c r="T577" s="533" t="s">
        <v>2159</v>
      </c>
      <c r="U577" s="532"/>
      <c r="V577" s="532"/>
      <c r="W577" s="532" t="s">
        <v>2160</v>
      </c>
      <c r="X577" s="540" t="s">
        <v>395</v>
      </c>
      <c r="Y577" s="538">
        <v>4.135</v>
      </c>
      <c r="Z577" s="808">
        <f t="shared" si="173"/>
        <v>8286.54</v>
      </c>
      <c r="AA577" s="521"/>
      <c r="AB577" s="520" t="s">
        <v>165</v>
      </c>
      <c r="AC577" s="520" t="s">
        <v>76</v>
      </c>
      <c r="AD577" s="521"/>
      <c r="AE577" s="521"/>
      <c r="AF577" s="521">
        <v>1</v>
      </c>
      <c r="AG577" s="521">
        <f>720+1284</f>
        <v>2004</v>
      </c>
      <c r="AH577" s="522">
        <f t="shared" si="162"/>
        <v>0</v>
      </c>
      <c r="AI577" s="521"/>
      <c r="AJ577" s="521"/>
      <c r="AK577" s="543"/>
      <c r="AL577" s="543">
        <f t="shared" si="174"/>
        <v>2004</v>
      </c>
      <c r="AM577" s="628"/>
      <c r="AN577" s="543"/>
      <c r="AO577" s="628"/>
      <c r="AP577" s="543"/>
      <c r="AQ577" s="543">
        <f>I577</f>
        <v>2004</v>
      </c>
      <c r="AR577" s="543">
        <f t="shared" si="176"/>
        <v>2004</v>
      </c>
      <c r="AS577" s="543"/>
      <c r="AT577" s="543">
        <f t="shared" si="177"/>
        <v>2004</v>
      </c>
      <c r="AU577" s="546"/>
      <c r="AV577" s="427"/>
      <c r="AW577" s="628"/>
      <c r="AX577" s="628"/>
      <c r="AY577" s="628"/>
      <c r="AZ577" s="543"/>
      <c r="BA577" s="543"/>
      <c r="BB577" s="628"/>
      <c r="BC577" s="628"/>
      <c r="BD577" s="543"/>
      <c r="BE577" s="543"/>
      <c r="BF577" s="628"/>
      <c r="BG577" s="628"/>
      <c r="BH577" s="628"/>
      <c r="BI577" s="543"/>
      <c r="BJ577" s="543"/>
      <c r="BK577" s="628"/>
      <c r="BL577" s="628"/>
      <c r="BM577" s="628"/>
      <c r="CF577" s="544"/>
      <c r="CG577" s="544"/>
      <c r="CH577" s="544"/>
      <c r="CI577" s="544"/>
      <c r="CJ577" s="544"/>
      <c r="CN577" s="544"/>
      <c r="CO577" s="544"/>
      <c r="CP577" s="544"/>
      <c r="CQ577" s="544"/>
      <c r="CR577" s="544"/>
      <c r="CS577" s="544"/>
    </row>
    <row r="578" s="431" customFormat="1" ht="31" hidden="1" customHeight="1" spans="1:97">
      <c r="A578" s="518">
        <v>45930</v>
      </c>
      <c r="B578" s="519" t="s">
        <v>788</v>
      </c>
      <c r="C578" s="520" t="s">
        <v>90</v>
      </c>
      <c r="D578" s="427">
        <v>4500181122</v>
      </c>
      <c r="E578" s="520" t="s">
        <v>2161</v>
      </c>
      <c r="F578" s="427" t="s">
        <v>2162</v>
      </c>
      <c r="G578" s="521" t="s">
        <v>186</v>
      </c>
      <c r="H578" s="520" t="s">
        <v>94</v>
      </c>
      <c r="I578" s="520">
        <v>356</v>
      </c>
      <c r="J578" s="520">
        <v>0</v>
      </c>
      <c r="K578" s="520">
        <v>4</v>
      </c>
      <c r="L578" s="804">
        <f t="shared" si="154"/>
        <v>89</v>
      </c>
      <c r="M578" s="537">
        <v>46001</v>
      </c>
      <c r="N578" s="537">
        <v>45997</v>
      </c>
      <c r="O578" s="526" t="s">
        <v>2163</v>
      </c>
      <c r="P578" s="526" t="s">
        <v>103</v>
      </c>
      <c r="Q578" s="530"/>
      <c r="R578" s="530">
        <v>45964</v>
      </c>
      <c r="S578" s="530" t="s">
        <v>66</v>
      </c>
      <c r="T578" s="533" t="s">
        <v>66</v>
      </c>
      <c r="U578" s="532"/>
      <c r="V578" s="532"/>
      <c r="W578" s="532" t="s">
        <v>2164</v>
      </c>
      <c r="X578" s="540" t="s">
        <v>794</v>
      </c>
      <c r="Y578" s="538">
        <v>2.5402</v>
      </c>
      <c r="Z578" s="808">
        <f t="shared" si="173"/>
        <v>904.3112</v>
      </c>
      <c r="AA578" s="521"/>
      <c r="AB578" s="520" t="s">
        <v>186</v>
      </c>
      <c r="AC578" s="520" t="s">
        <v>76</v>
      </c>
      <c r="AD578" s="521"/>
      <c r="AE578" s="521"/>
      <c r="AF578" s="521">
        <v>1</v>
      </c>
      <c r="AG578" s="521">
        <v>356</v>
      </c>
      <c r="AH578" s="522">
        <f t="shared" si="162"/>
        <v>0</v>
      </c>
      <c r="AI578" s="521"/>
      <c r="AJ578" s="521"/>
      <c r="AK578" s="543"/>
      <c r="AL578" s="543">
        <f t="shared" si="174"/>
        <v>356</v>
      </c>
      <c r="AM578" s="427"/>
      <c r="AN578" s="543"/>
      <c r="AO578" s="427"/>
      <c r="AP578" s="543">
        <f>I578</f>
        <v>356</v>
      </c>
      <c r="AQ578" s="543"/>
      <c r="AR578" s="543">
        <f t="shared" si="176"/>
        <v>356</v>
      </c>
      <c r="AS578" s="427"/>
      <c r="AT578" s="543">
        <f t="shared" si="177"/>
        <v>356</v>
      </c>
      <c r="AU578" s="546"/>
      <c r="AV578" s="427"/>
      <c r="AW578" s="427"/>
      <c r="AX578" s="427"/>
      <c r="AY578" s="427"/>
      <c r="AZ578" s="543"/>
      <c r="BA578" s="543"/>
      <c r="BB578" s="427"/>
      <c r="BC578" s="427"/>
      <c r="BD578" s="543"/>
      <c r="BE578" s="543"/>
      <c r="BF578" s="427"/>
      <c r="BG578" s="427"/>
      <c r="BH578" s="427"/>
      <c r="BI578" s="427"/>
      <c r="BJ578" s="427"/>
      <c r="BK578" s="427"/>
      <c r="BL578" s="427"/>
      <c r="BM578" s="427"/>
      <c r="BN578" s="835"/>
      <c r="BO578" s="427"/>
      <c r="BP578" s="427"/>
      <c r="BQ578" s="427"/>
      <c r="BR578" s="427"/>
      <c r="BS578" s="427"/>
      <c r="BT578" s="427"/>
      <c r="BU578" s="427"/>
      <c r="BV578" s="427"/>
      <c r="BW578" s="427"/>
      <c r="BX578" s="427"/>
      <c r="BY578" s="427"/>
      <c r="BZ578" s="427"/>
      <c r="CA578" s="427"/>
      <c r="CB578" s="427"/>
      <c r="CC578" s="427"/>
      <c r="CD578" s="427"/>
      <c r="CE578" s="427"/>
      <c r="CF578" s="544"/>
      <c r="CG578" s="544"/>
      <c r="CH578" s="544"/>
      <c r="CI578" s="544"/>
      <c r="CJ578" s="544"/>
      <c r="CK578" s="427"/>
      <c r="CL578" s="427"/>
      <c r="CM578" s="427"/>
      <c r="CN578" s="544"/>
      <c r="CO578" s="544"/>
      <c r="CP578" s="544"/>
      <c r="CQ578" s="544"/>
      <c r="CR578" s="544"/>
      <c r="CS578" s="544"/>
    </row>
    <row r="579" s="431" customFormat="1" ht="31" hidden="1" customHeight="1" spans="1:97">
      <c r="A579" s="518">
        <v>45965</v>
      </c>
      <c r="B579" s="519" t="s">
        <v>128</v>
      </c>
      <c r="C579" s="520" t="s">
        <v>90</v>
      </c>
      <c r="D579" s="427">
        <v>4500184386</v>
      </c>
      <c r="E579" s="890" t="s">
        <v>2165</v>
      </c>
      <c r="F579" s="427" t="s">
        <v>2166</v>
      </c>
      <c r="G579" s="521" t="s">
        <v>93</v>
      </c>
      <c r="H579" s="520" t="s">
        <v>94</v>
      </c>
      <c r="I579" s="520">
        <v>4800</v>
      </c>
      <c r="J579" s="520">
        <v>0</v>
      </c>
      <c r="K579" s="520">
        <v>4</v>
      </c>
      <c r="L579" s="804">
        <f t="shared" si="154"/>
        <v>1200</v>
      </c>
      <c r="M579" s="537">
        <v>46002</v>
      </c>
      <c r="N579" s="537">
        <v>45999</v>
      </c>
      <c r="O579" s="526"/>
      <c r="P579" s="526" t="s">
        <v>103</v>
      </c>
      <c r="Q579" s="530"/>
      <c r="R579" s="530" t="s">
        <v>2021</v>
      </c>
      <c r="S579" s="533" t="s">
        <v>66</v>
      </c>
      <c r="T579" s="533" t="s">
        <v>133</v>
      </c>
      <c r="U579" s="533"/>
      <c r="V579" s="532"/>
      <c r="W579" s="532" t="s">
        <v>1281</v>
      </c>
      <c r="X579" s="540" t="s">
        <v>98</v>
      </c>
      <c r="Y579" s="538">
        <v>2.5768</v>
      </c>
      <c r="Z579" s="808">
        <f t="shared" si="173"/>
        <v>12368.64</v>
      </c>
      <c r="AA579" s="521"/>
      <c r="AB579" s="520" t="s">
        <v>93</v>
      </c>
      <c r="AC579" s="520" t="s">
        <v>76</v>
      </c>
      <c r="AD579" s="521"/>
      <c r="AE579" s="521"/>
      <c r="AF579" s="521">
        <v>1</v>
      </c>
      <c r="AG579" s="521">
        <f>1200+3600</f>
        <v>4800</v>
      </c>
      <c r="AH579" s="522">
        <f t="shared" si="162"/>
        <v>0</v>
      </c>
      <c r="AI579" s="521"/>
      <c r="AJ579" s="521"/>
      <c r="AK579" s="543"/>
      <c r="AL579" s="543">
        <f t="shared" si="174"/>
        <v>4800</v>
      </c>
      <c r="AM579" s="427"/>
      <c r="AN579" s="543"/>
      <c r="AO579" s="427"/>
      <c r="AP579" s="543">
        <f>I579</f>
        <v>4800</v>
      </c>
      <c r="AQ579" s="543"/>
      <c r="AR579" s="543">
        <f t="shared" si="176"/>
        <v>4800</v>
      </c>
      <c r="AS579" s="427"/>
      <c r="AT579" s="543">
        <f t="shared" si="177"/>
        <v>4800</v>
      </c>
      <c r="AU579" s="546"/>
      <c r="AV579" s="427"/>
      <c r="AW579" s="427"/>
      <c r="AX579" s="427"/>
      <c r="AY579" s="427"/>
      <c r="AZ579" s="543"/>
      <c r="BA579" s="543"/>
      <c r="BB579" s="427"/>
      <c r="BC579" s="427"/>
      <c r="BD579" s="543">
        <f>I579/4</f>
        <v>1200</v>
      </c>
      <c r="BE579" s="543"/>
      <c r="BF579" s="427"/>
      <c r="BG579" s="427"/>
      <c r="BH579" s="427"/>
      <c r="BI579" s="427"/>
      <c r="BJ579" s="427"/>
      <c r="BK579" s="427"/>
      <c r="BL579" s="427"/>
      <c r="BM579" s="427"/>
      <c r="BN579" s="835"/>
      <c r="BO579" s="427"/>
      <c r="BP579" s="427"/>
      <c r="BQ579" s="427"/>
      <c r="BR579" s="427"/>
      <c r="BS579" s="427"/>
      <c r="BT579" s="427"/>
      <c r="BU579" s="427"/>
      <c r="BV579" s="427"/>
      <c r="BW579" s="427"/>
      <c r="BX579" s="427"/>
      <c r="BY579" s="427"/>
      <c r="BZ579" s="427"/>
      <c r="CA579" s="427"/>
      <c r="CB579" s="427"/>
      <c r="CC579" s="427"/>
      <c r="CD579" s="427"/>
      <c r="CE579" s="427"/>
      <c r="CF579" s="544"/>
      <c r="CG579" s="544"/>
      <c r="CH579" s="544"/>
      <c r="CI579" s="544"/>
      <c r="CJ579" s="544"/>
      <c r="CK579" s="427"/>
      <c r="CL579" s="427"/>
      <c r="CM579" s="427"/>
      <c r="CN579" s="544"/>
      <c r="CO579" s="544"/>
      <c r="CP579" s="544"/>
      <c r="CQ579" s="544"/>
      <c r="CR579" s="544"/>
      <c r="CS579" s="544"/>
    </row>
    <row r="580" s="431" customFormat="1" ht="31" hidden="1" customHeight="1" spans="1:97">
      <c r="A580" s="518">
        <v>45965</v>
      </c>
      <c r="B580" s="519" t="s">
        <v>128</v>
      </c>
      <c r="C580" s="520" t="s">
        <v>90</v>
      </c>
      <c r="D580" s="427">
        <v>4500184386</v>
      </c>
      <c r="E580" s="890" t="s">
        <v>2167</v>
      </c>
      <c r="F580" s="427" t="s">
        <v>2168</v>
      </c>
      <c r="G580" s="521" t="s">
        <v>93</v>
      </c>
      <c r="H580" s="520" t="s">
        <v>94</v>
      </c>
      <c r="I580" s="520">
        <v>6400</v>
      </c>
      <c r="J580" s="520">
        <v>0</v>
      </c>
      <c r="K580" s="520">
        <v>4</v>
      </c>
      <c r="L580" s="804">
        <f t="shared" ref="L580:L643" si="178">I580/K580</f>
        <v>1600</v>
      </c>
      <c r="M580" s="537">
        <v>46002</v>
      </c>
      <c r="N580" s="537">
        <v>45999</v>
      </c>
      <c r="O580" s="526"/>
      <c r="P580" s="526" t="s">
        <v>103</v>
      </c>
      <c r="Q580" s="530"/>
      <c r="R580" s="530" t="s">
        <v>2021</v>
      </c>
      <c r="S580" s="533" t="s">
        <v>66</v>
      </c>
      <c r="T580" s="533" t="s">
        <v>133</v>
      </c>
      <c r="U580" s="533"/>
      <c r="V580" s="532"/>
      <c r="W580" s="532" t="s">
        <v>1281</v>
      </c>
      <c r="X580" s="540" t="s">
        <v>98</v>
      </c>
      <c r="Y580" s="538">
        <v>2.5656</v>
      </c>
      <c r="Z580" s="808">
        <f t="shared" si="173"/>
        <v>16419.84</v>
      </c>
      <c r="AA580" s="521"/>
      <c r="AB580" s="520" t="s">
        <v>93</v>
      </c>
      <c r="AC580" s="520" t="s">
        <v>76</v>
      </c>
      <c r="AD580" s="521"/>
      <c r="AE580" s="521"/>
      <c r="AF580" s="521">
        <v>1</v>
      </c>
      <c r="AG580" s="521">
        <v>6400</v>
      </c>
      <c r="AH580" s="522">
        <f t="shared" si="162"/>
        <v>0</v>
      </c>
      <c r="AI580" s="521"/>
      <c r="AJ580" s="521"/>
      <c r="AK580" s="543"/>
      <c r="AL580" s="543">
        <f t="shared" si="174"/>
        <v>6400</v>
      </c>
      <c r="AM580" s="427"/>
      <c r="AN580" s="543"/>
      <c r="AO580" s="427"/>
      <c r="AP580" s="543">
        <f t="shared" ref="AP580:AP585" si="179">I580</f>
        <v>6400</v>
      </c>
      <c r="AQ580" s="543"/>
      <c r="AR580" s="543">
        <f t="shared" si="176"/>
        <v>6400</v>
      </c>
      <c r="AS580" s="427"/>
      <c r="AT580" s="543">
        <f t="shared" si="177"/>
        <v>6400</v>
      </c>
      <c r="AU580" s="546"/>
      <c r="AV580" s="427"/>
      <c r="AW580" s="427"/>
      <c r="AX580" s="427"/>
      <c r="AY580" s="427"/>
      <c r="AZ580" s="543"/>
      <c r="BA580" s="543"/>
      <c r="BB580" s="427"/>
      <c r="BC580" s="427"/>
      <c r="BD580" s="543">
        <f>I580/4</f>
        <v>1600</v>
      </c>
      <c r="BE580" s="543"/>
      <c r="BF580" s="427"/>
      <c r="BG580" s="427"/>
      <c r="BH580" s="427"/>
      <c r="BI580" s="427"/>
      <c r="BJ580" s="427"/>
      <c r="BK580" s="427"/>
      <c r="BL580" s="427"/>
      <c r="BM580" s="427"/>
      <c r="BN580" s="835"/>
      <c r="BO580" s="427"/>
      <c r="BP580" s="427"/>
      <c r="BQ580" s="427"/>
      <c r="BR580" s="427"/>
      <c r="BS580" s="427"/>
      <c r="BT580" s="427"/>
      <c r="BU580" s="427"/>
      <c r="BV580" s="427"/>
      <c r="BW580" s="427"/>
      <c r="BX580" s="427"/>
      <c r="BY580" s="427"/>
      <c r="BZ580" s="427"/>
      <c r="CA580" s="427"/>
      <c r="CB580" s="427"/>
      <c r="CC580" s="427"/>
      <c r="CD580" s="427"/>
      <c r="CE580" s="427"/>
      <c r="CF580" s="544"/>
      <c r="CG580" s="544"/>
      <c r="CH580" s="544"/>
      <c r="CI580" s="544"/>
      <c r="CJ580" s="544"/>
      <c r="CK580" s="427"/>
      <c r="CL580" s="427"/>
      <c r="CM580" s="427"/>
      <c r="CN580" s="544"/>
      <c r="CO580" s="544"/>
      <c r="CP580" s="544"/>
      <c r="CQ580" s="544"/>
      <c r="CR580" s="544"/>
      <c r="CS580" s="544"/>
    </row>
    <row r="581" s="431" customFormat="1" ht="31" hidden="1" customHeight="1" spans="1:97">
      <c r="A581" s="518">
        <v>45905</v>
      </c>
      <c r="B581" s="519" t="s">
        <v>1669</v>
      </c>
      <c r="C581" s="520" t="s">
        <v>663</v>
      </c>
      <c r="D581" s="427">
        <v>4500178919</v>
      </c>
      <c r="E581" s="520">
        <v>5000001988</v>
      </c>
      <c r="F581" s="427" t="s">
        <v>2169</v>
      </c>
      <c r="G581" s="521" t="s">
        <v>463</v>
      </c>
      <c r="H581" s="520" t="s">
        <v>424</v>
      </c>
      <c r="I581" s="520">
        <v>10002</v>
      </c>
      <c r="J581" s="520">
        <v>0</v>
      </c>
      <c r="K581" s="520">
        <v>6</v>
      </c>
      <c r="L581" s="804">
        <f t="shared" si="178"/>
        <v>1667</v>
      </c>
      <c r="M581" s="537">
        <v>46003</v>
      </c>
      <c r="N581" s="537">
        <v>45999</v>
      </c>
      <c r="O581" s="526"/>
      <c r="P581" s="526" t="s">
        <v>103</v>
      </c>
      <c r="Q581" s="530"/>
      <c r="R581" s="530">
        <v>45960</v>
      </c>
      <c r="S581" s="784" t="s">
        <v>96</v>
      </c>
      <c r="T581" s="533" t="s">
        <v>2067</v>
      </c>
      <c r="U581" s="532"/>
      <c r="V581" s="532"/>
      <c r="W581" s="531" t="s">
        <v>2068</v>
      </c>
      <c r="X581" s="540" t="s">
        <v>1674</v>
      </c>
      <c r="Y581" s="538">
        <v>6.3409</v>
      </c>
      <c r="Z581" s="808">
        <f t="shared" si="173"/>
        <v>63421.6818</v>
      </c>
      <c r="AA581" s="521"/>
      <c r="AB581" s="521" t="s">
        <v>2069</v>
      </c>
      <c r="AC581" s="520" t="s">
        <v>76</v>
      </c>
      <c r="AD581" s="521"/>
      <c r="AE581" s="521"/>
      <c r="AF581" s="521">
        <v>1</v>
      </c>
      <c r="AG581" s="521">
        <v>10002</v>
      </c>
      <c r="AH581" s="522">
        <f t="shared" si="162"/>
        <v>0</v>
      </c>
      <c r="AI581" s="521"/>
      <c r="AJ581" s="521"/>
      <c r="AK581" s="543"/>
      <c r="AL581" s="543">
        <f t="shared" si="174"/>
        <v>10002</v>
      </c>
      <c r="AM581" s="628"/>
      <c r="AN581" s="543"/>
      <c r="AO581" s="628"/>
      <c r="AP581" s="543">
        <f t="shared" si="179"/>
        <v>10002</v>
      </c>
      <c r="AQ581" s="543"/>
      <c r="AR581" s="543"/>
      <c r="AS581" s="543">
        <f>I581</f>
        <v>10002</v>
      </c>
      <c r="AT581" s="543"/>
      <c r="AU581" s="791">
        <f>I581</f>
        <v>10002</v>
      </c>
      <c r="AV581" s="427"/>
      <c r="AW581" s="628"/>
      <c r="AX581" s="628"/>
      <c r="AY581" s="628"/>
      <c r="AZ581" s="543"/>
      <c r="BA581" s="543"/>
      <c r="BB581" s="628"/>
      <c r="BC581" s="628"/>
      <c r="BD581" s="543"/>
      <c r="BE581" s="543"/>
      <c r="BF581" s="628"/>
      <c r="BG581" s="628"/>
      <c r="BH581" s="628"/>
      <c r="BI581" s="543"/>
      <c r="BJ581" s="427">
        <f>I581</f>
        <v>10002</v>
      </c>
      <c r="BK581" s="628"/>
      <c r="BL581" s="628"/>
      <c r="BM581" s="628"/>
      <c r="CF581" s="544"/>
      <c r="CG581" s="544"/>
      <c r="CH581" s="544"/>
      <c r="CI581" s="544"/>
      <c r="CJ581" s="544"/>
      <c r="CN581" s="544"/>
      <c r="CO581" s="544"/>
      <c r="CP581" s="544"/>
      <c r="CQ581" s="544"/>
      <c r="CR581" s="544"/>
      <c r="CS581" s="544"/>
    </row>
    <row r="582" s="431" customFormat="1" ht="31" hidden="1" customHeight="1" spans="1:97">
      <c r="A582" s="518">
        <v>45953</v>
      </c>
      <c r="B582" s="519" t="s">
        <v>220</v>
      </c>
      <c r="C582" s="520" t="s">
        <v>90</v>
      </c>
      <c r="D582" s="427">
        <v>4500182971</v>
      </c>
      <c r="E582" s="520" t="s">
        <v>2170</v>
      </c>
      <c r="F582" s="427" t="s">
        <v>2171</v>
      </c>
      <c r="G582" s="521" t="s">
        <v>223</v>
      </c>
      <c r="H582" s="520" t="s">
        <v>224</v>
      </c>
      <c r="I582" s="520">
        <v>14484</v>
      </c>
      <c r="J582" s="520">
        <v>0</v>
      </c>
      <c r="K582" s="520">
        <v>4</v>
      </c>
      <c r="L582" s="804">
        <f t="shared" si="178"/>
        <v>3621</v>
      </c>
      <c r="M582" s="537">
        <v>46003</v>
      </c>
      <c r="N582" s="537">
        <v>45999</v>
      </c>
      <c r="O582" s="526" t="s">
        <v>2105</v>
      </c>
      <c r="P582" s="526" t="s">
        <v>103</v>
      </c>
      <c r="Q582" s="530"/>
      <c r="R582" s="533">
        <v>45967</v>
      </c>
      <c r="S582" s="530" t="s">
        <v>96</v>
      </c>
      <c r="T582" s="533">
        <v>45967</v>
      </c>
      <c r="U582" s="532" t="s">
        <v>2172</v>
      </c>
      <c r="V582" s="532"/>
      <c r="W582" s="531" t="s">
        <v>2173</v>
      </c>
      <c r="X582" s="540" t="s">
        <v>226</v>
      </c>
      <c r="Y582" s="538">
        <v>2.7832</v>
      </c>
      <c r="Z582" s="808">
        <f t="shared" si="173"/>
        <v>40311.8688</v>
      </c>
      <c r="AA582" s="521"/>
      <c r="AB582" s="520" t="s">
        <v>223</v>
      </c>
      <c r="AC582" s="520" t="s">
        <v>76</v>
      </c>
      <c r="AD582" s="521"/>
      <c r="AE582" s="521"/>
      <c r="AF582" s="521">
        <v>1</v>
      </c>
      <c r="AG582" s="521">
        <f>5124+9360</f>
        <v>14484</v>
      </c>
      <c r="AH582" s="522">
        <f t="shared" si="162"/>
        <v>0</v>
      </c>
      <c r="AI582" s="521"/>
      <c r="AJ582" s="521"/>
      <c r="AK582" s="543"/>
      <c r="AL582" s="543"/>
      <c r="AM582" s="427"/>
      <c r="AN582" s="543">
        <f>I582</f>
        <v>14484</v>
      </c>
      <c r="AO582" s="427"/>
      <c r="AP582" s="543"/>
      <c r="AQ582" s="543"/>
      <c r="AR582" s="543"/>
      <c r="AS582" s="543"/>
      <c r="AT582" s="543">
        <f t="shared" ref="AT582:AT589" si="180">I582</f>
        <v>14484</v>
      </c>
      <c r="AU582" s="546"/>
      <c r="AV582" s="427"/>
      <c r="AW582" s="427"/>
      <c r="AX582" s="427"/>
      <c r="AY582" s="427"/>
      <c r="AZ582" s="543"/>
      <c r="BA582" s="543"/>
      <c r="BB582" s="427">
        <f>I582</f>
        <v>14484</v>
      </c>
      <c r="BC582" s="427">
        <f>I582</f>
        <v>14484</v>
      </c>
      <c r="BD582" s="543">
        <f>I582/4</f>
        <v>3621</v>
      </c>
      <c r="BE582" s="543"/>
      <c r="BF582" s="427"/>
      <c r="BG582" s="427"/>
      <c r="BH582" s="427"/>
      <c r="BI582" s="427"/>
      <c r="BJ582" s="427"/>
      <c r="BK582" s="427"/>
      <c r="BL582" s="427"/>
      <c r="BM582" s="427"/>
      <c r="BN582" s="835"/>
      <c r="BO582" s="427"/>
      <c r="BP582" s="427"/>
      <c r="BQ582" s="427"/>
      <c r="BR582" s="427"/>
      <c r="BS582" s="427"/>
      <c r="BT582" s="427"/>
      <c r="BU582" s="427"/>
      <c r="BV582" s="427"/>
      <c r="BW582" s="427"/>
      <c r="BX582" s="427"/>
      <c r="BY582" s="427"/>
      <c r="BZ582" s="427"/>
      <c r="CA582" s="427"/>
      <c r="CB582" s="427"/>
      <c r="CC582" s="427"/>
      <c r="CD582" s="427"/>
      <c r="CE582" s="427"/>
      <c r="CF582" s="544"/>
      <c r="CG582" s="544"/>
      <c r="CH582" s="544"/>
      <c r="CI582" s="544"/>
      <c r="CJ582" s="544"/>
      <c r="CK582" s="427"/>
      <c r="CL582" s="427"/>
      <c r="CM582" s="427"/>
      <c r="CN582" s="544"/>
      <c r="CO582" s="544"/>
      <c r="CP582" s="544"/>
      <c r="CQ582" s="544"/>
      <c r="CR582" s="544"/>
      <c r="CS582" s="544"/>
    </row>
    <row r="583" s="431" customFormat="1" ht="31" hidden="1" customHeight="1" spans="1:97">
      <c r="A583" s="518">
        <v>45960</v>
      </c>
      <c r="B583" s="519" t="s">
        <v>220</v>
      </c>
      <c r="C583" s="520" t="s">
        <v>90</v>
      </c>
      <c r="D583" s="427">
        <v>4500183690</v>
      </c>
      <c r="E583" s="520" t="s">
        <v>2174</v>
      </c>
      <c r="F583" s="427" t="s">
        <v>2175</v>
      </c>
      <c r="G583" s="521" t="s">
        <v>223</v>
      </c>
      <c r="H583" s="520" t="s">
        <v>224</v>
      </c>
      <c r="I583" s="520">
        <v>5000</v>
      </c>
      <c r="J583" s="520">
        <v>0</v>
      </c>
      <c r="K583" s="520">
        <v>4</v>
      </c>
      <c r="L583" s="804">
        <f t="shared" si="178"/>
        <v>1250</v>
      </c>
      <c r="M583" s="537">
        <v>46003</v>
      </c>
      <c r="N583" s="537">
        <v>45999</v>
      </c>
      <c r="O583" s="526" t="s">
        <v>2105</v>
      </c>
      <c r="P583" s="526" t="s">
        <v>103</v>
      </c>
      <c r="Q583" s="530"/>
      <c r="R583" s="533">
        <v>45967</v>
      </c>
      <c r="S583" s="530" t="s">
        <v>96</v>
      </c>
      <c r="T583" s="533">
        <v>45965</v>
      </c>
      <c r="U583" s="532" t="s">
        <v>2172</v>
      </c>
      <c r="V583" s="532"/>
      <c r="W583" s="532" t="s">
        <v>2176</v>
      </c>
      <c r="X583" s="540" t="s">
        <v>226</v>
      </c>
      <c r="Y583" s="538">
        <v>2.7951</v>
      </c>
      <c r="Z583" s="808">
        <f t="shared" si="173"/>
        <v>13975.5</v>
      </c>
      <c r="AA583" s="521"/>
      <c r="AB583" s="520" t="s">
        <v>223</v>
      </c>
      <c r="AC583" s="520" t="s">
        <v>76</v>
      </c>
      <c r="AD583" s="521"/>
      <c r="AE583" s="521"/>
      <c r="AF583" s="521">
        <v>1</v>
      </c>
      <c r="AG583" s="521">
        <f>3600+1400</f>
        <v>5000</v>
      </c>
      <c r="AH583" s="522">
        <f t="shared" si="162"/>
        <v>0</v>
      </c>
      <c r="AI583" s="521"/>
      <c r="AJ583" s="521"/>
      <c r="AK583" s="543"/>
      <c r="AL583" s="543"/>
      <c r="AM583" s="427"/>
      <c r="AN583" s="543">
        <f>I583</f>
        <v>5000</v>
      </c>
      <c r="AO583" s="427"/>
      <c r="AP583" s="543"/>
      <c r="AQ583" s="543"/>
      <c r="AR583" s="543"/>
      <c r="AS583" s="543"/>
      <c r="AT583" s="543">
        <f t="shared" si="180"/>
        <v>5000</v>
      </c>
      <c r="AU583" s="546"/>
      <c r="AV583" s="427"/>
      <c r="AW583" s="427"/>
      <c r="AX583" s="427"/>
      <c r="AY583" s="427"/>
      <c r="AZ583" s="543"/>
      <c r="BA583" s="543"/>
      <c r="BB583" s="427">
        <f>I583</f>
        <v>5000</v>
      </c>
      <c r="BC583" s="427">
        <f>I583</f>
        <v>5000</v>
      </c>
      <c r="BD583" s="543">
        <f>I583/4</f>
        <v>1250</v>
      </c>
      <c r="BE583" s="543"/>
      <c r="BF583" s="427"/>
      <c r="BG583" s="427"/>
      <c r="BH583" s="427"/>
      <c r="BI583" s="427"/>
      <c r="BJ583" s="427"/>
      <c r="BK583" s="427"/>
      <c r="BL583" s="427"/>
      <c r="BM583" s="427"/>
      <c r="BN583" s="835"/>
      <c r="BO583" s="427"/>
      <c r="BP583" s="427"/>
      <c r="BQ583" s="427"/>
      <c r="BR583" s="427"/>
      <c r="BS583" s="427"/>
      <c r="BT583" s="427"/>
      <c r="BU583" s="427"/>
      <c r="BV583" s="427"/>
      <c r="BW583" s="427"/>
      <c r="BX583" s="427"/>
      <c r="BY583" s="427"/>
      <c r="BZ583" s="427"/>
      <c r="CA583" s="427"/>
      <c r="CB583" s="427"/>
      <c r="CC583" s="427"/>
      <c r="CD583" s="427"/>
      <c r="CE583" s="427"/>
      <c r="CF583" s="544"/>
      <c r="CG583" s="544"/>
      <c r="CH583" s="544"/>
      <c r="CI583" s="544"/>
      <c r="CJ583" s="544"/>
      <c r="CK583" s="427"/>
      <c r="CL583" s="427"/>
      <c r="CM583" s="427"/>
      <c r="CN583" s="544"/>
      <c r="CO583" s="544"/>
      <c r="CP583" s="544"/>
      <c r="CQ583" s="544"/>
      <c r="CR583" s="544"/>
      <c r="CS583" s="544"/>
    </row>
    <row r="584" s="431" customFormat="1" ht="31" hidden="1" customHeight="1" spans="1:97">
      <c r="A584" s="518">
        <v>45971</v>
      </c>
      <c r="B584" s="519"/>
      <c r="C584" s="520"/>
      <c r="D584" s="427" t="s">
        <v>2177</v>
      </c>
      <c r="E584" s="520"/>
      <c r="F584" s="628"/>
      <c r="G584" s="521" t="s">
        <v>423</v>
      </c>
      <c r="H584" s="520" t="s">
        <v>424</v>
      </c>
      <c r="I584" s="520">
        <v>150</v>
      </c>
      <c r="J584" s="520">
        <v>0</v>
      </c>
      <c r="K584" s="520">
        <v>6</v>
      </c>
      <c r="L584" s="804">
        <f t="shared" si="178"/>
        <v>25</v>
      </c>
      <c r="M584" s="537">
        <v>45985</v>
      </c>
      <c r="N584" s="537">
        <v>45981</v>
      </c>
      <c r="O584" s="526"/>
      <c r="P584" s="521"/>
      <c r="Q584" s="530"/>
      <c r="R584" s="530"/>
      <c r="S584" s="533"/>
      <c r="T584" s="533"/>
      <c r="U584" s="533"/>
      <c r="V584" s="532"/>
      <c r="W584" s="532" t="s">
        <v>2178</v>
      </c>
      <c r="X584" s="540" t="s">
        <v>85</v>
      </c>
      <c r="Y584" s="538"/>
      <c r="Z584" s="808"/>
      <c r="AA584" s="521" t="s">
        <v>2179</v>
      </c>
      <c r="AB584" s="509" t="s">
        <v>427</v>
      </c>
      <c r="AC584" s="539" t="s">
        <v>76</v>
      </c>
      <c r="AD584" s="521"/>
      <c r="AE584" s="521"/>
      <c r="AF584" s="521"/>
      <c r="AG584" s="521"/>
      <c r="AH584" s="522"/>
      <c r="AI584" s="521"/>
      <c r="AJ584" s="521"/>
      <c r="AK584" s="543"/>
      <c r="AL584" s="543">
        <f>I584</f>
        <v>150</v>
      </c>
      <c r="AM584" s="628"/>
      <c r="AN584" s="543"/>
      <c r="AO584" s="628"/>
      <c r="AP584" s="543"/>
      <c r="AQ584" s="543">
        <f>I584</f>
        <v>150</v>
      </c>
      <c r="AR584" s="543">
        <f>I584</f>
        <v>150</v>
      </c>
      <c r="AS584" s="543"/>
      <c r="AT584" s="543">
        <f t="shared" si="180"/>
        <v>150</v>
      </c>
      <c r="AU584" s="543"/>
      <c r="AV584" s="427"/>
      <c r="AW584" s="628"/>
      <c r="AX584" s="628"/>
      <c r="AY584" s="628"/>
      <c r="AZ584" s="543"/>
      <c r="BA584" s="543"/>
      <c r="BB584" s="628"/>
      <c r="BC584" s="628"/>
      <c r="BD584" s="543"/>
      <c r="BE584" s="543"/>
      <c r="BF584" s="628"/>
      <c r="BG584" s="628"/>
      <c r="BH584" s="628"/>
      <c r="BI584" s="543"/>
      <c r="BJ584" s="543">
        <f>I584</f>
        <v>150</v>
      </c>
      <c r="BK584" s="628"/>
      <c r="BL584" s="628"/>
      <c r="BM584" s="628"/>
      <c r="CF584" s="544"/>
      <c r="CG584" s="544"/>
      <c r="CH584" s="544"/>
      <c r="CI584" s="544"/>
      <c r="CJ584" s="544"/>
      <c r="CN584" s="544"/>
      <c r="CO584" s="544"/>
      <c r="CP584" s="544"/>
      <c r="CQ584" s="544"/>
      <c r="CR584" s="544"/>
      <c r="CS584" s="544"/>
    </row>
    <row r="585" s="431" customFormat="1" ht="31" hidden="1" customHeight="1" spans="1:97">
      <c r="A585" s="518">
        <v>45985</v>
      </c>
      <c r="B585" s="519"/>
      <c r="C585" s="520"/>
      <c r="D585" s="427" t="s">
        <v>2180</v>
      </c>
      <c r="E585" s="520"/>
      <c r="F585" s="427" t="s">
        <v>2181</v>
      </c>
      <c r="G585" s="521" t="s">
        <v>64</v>
      </c>
      <c r="H585" s="520" t="s">
        <v>65</v>
      </c>
      <c r="I585" s="520">
        <v>192</v>
      </c>
      <c r="J585" s="520">
        <v>0</v>
      </c>
      <c r="K585" s="520">
        <v>12</v>
      </c>
      <c r="L585" s="804">
        <f t="shared" si="178"/>
        <v>16</v>
      </c>
      <c r="M585" s="537">
        <v>46004</v>
      </c>
      <c r="N585" s="537">
        <v>46000</v>
      </c>
      <c r="O585" s="526"/>
      <c r="P585" s="521"/>
      <c r="Q585" s="530"/>
      <c r="R585" s="533"/>
      <c r="S585" s="530"/>
      <c r="T585" s="533"/>
      <c r="U585" s="532"/>
      <c r="V585" s="532"/>
      <c r="W585" s="532" t="s">
        <v>2182</v>
      </c>
      <c r="X585" s="540" t="s">
        <v>85</v>
      </c>
      <c r="Y585" s="538"/>
      <c r="Z585" s="808"/>
      <c r="AA585" s="521"/>
      <c r="AB585" s="520" t="s">
        <v>64</v>
      </c>
      <c r="AC585" s="509" t="s">
        <v>76</v>
      </c>
      <c r="AD585" s="521"/>
      <c r="AE585" s="521"/>
      <c r="AF585" s="521"/>
      <c r="AG585" s="521">
        <v>192</v>
      </c>
      <c r="AH585" s="522">
        <f>AG585-I585</f>
        <v>0</v>
      </c>
      <c r="AI585" s="521"/>
      <c r="AJ585" s="521"/>
      <c r="AK585" s="543"/>
      <c r="AL585" s="543">
        <f>I585</f>
        <v>192</v>
      </c>
      <c r="AM585" s="427"/>
      <c r="AN585" s="543"/>
      <c r="AO585" s="427"/>
      <c r="AP585" s="777">
        <f t="shared" si="179"/>
        <v>192</v>
      </c>
      <c r="AQ585" s="656"/>
      <c r="AR585" s="777">
        <f>I585</f>
        <v>192</v>
      </c>
      <c r="AS585" s="543"/>
      <c r="AT585" s="543">
        <f t="shared" si="180"/>
        <v>192</v>
      </c>
      <c r="AU585" s="546"/>
      <c r="AV585" s="568"/>
      <c r="AW585" s="427"/>
      <c r="AX585" s="427"/>
      <c r="AY585" s="427"/>
      <c r="AZ585" s="543"/>
      <c r="BA585" s="543"/>
      <c r="BB585" s="427"/>
      <c r="BC585" s="427"/>
      <c r="BD585" s="543"/>
      <c r="BE585" s="543"/>
      <c r="BF585" s="427"/>
      <c r="BG585" s="427"/>
      <c r="BH585" s="427"/>
      <c r="BI585" s="427"/>
      <c r="BJ585" s="427"/>
      <c r="BK585" s="427"/>
      <c r="BL585" s="427"/>
      <c r="BM585" s="427"/>
      <c r="BN585" s="836"/>
      <c r="BO585" s="836"/>
      <c r="BP585" s="836"/>
      <c r="BQ585" s="836"/>
      <c r="BR585" s="836"/>
      <c r="BS585" s="836"/>
      <c r="BT585" s="836"/>
      <c r="BU585" s="836"/>
      <c r="BV585" s="836"/>
      <c r="BW585" s="836"/>
      <c r="BX585" s="836"/>
      <c r="BY585" s="836"/>
      <c r="BZ585" s="836"/>
      <c r="CA585" s="836"/>
      <c r="CB585" s="836"/>
      <c r="CC585" s="836"/>
      <c r="CD585" s="836"/>
      <c r="CE585" s="836"/>
      <c r="CF585" s="544"/>
      <c r="CG585" s="544"/>
      <c r="CH585" s="544"/>
      <c r="CI585" s="544"/>
      <c r="CJ585" s="544"/>
      <c r="CK585" s="836"/>
      <c r="CL585" s="836"/>
      <c r="CM585" s="836"/>
      <c r="CN585" s="544"/>
      <c r="CO585" s="544"/>
      <c r="CP585" s="544"/>
      <c r="CQ585" s="544"/>
      <c r="CR585" s="544"/>
      <c r="CS585" s="544"/>
    </row>
    <row r="586" s="431" customFormat="1" ht="31" hidden="1" customHeight="1" spans="1:97">
      <c r="A586" s="518">
        <v>45929</v>
      </c>
      <c r="B586" s="519" t="s">
        <v>1355</v>
      </c>
      <c r="C586" s="520" t="s">
        <v>468</v>
      </c>
      <c r="D586" s="427">
        <v>4500180866</v>
      </c>
      <c r="E586" s="520">
        <v>5251218587</v>
      </c>
      <c r="F586" s="427" t="s">
        <v>2183</v>
      </c>
      <c r="G586" s="521" t="s">
        <v>118</v>
      </c>
      <c r="H586" s="520" t="s">
        <v>119</v>
      </c>
      <c r="I586" s="520">
        <v>1980</v>
      </c>
      <c r="J586" s="520">
        <v>0</v>
      </c>
      <c r="K586" s="520">
        <v>6</v>
      </c>
      <c r="L586" s="804">
        <f t="shared" si="178"/>
        <v>330</v>
      </c>
      <c r="M586" s="537">
        <v>46006</v>
      </c>
      <c r="N586" s="537">
        <v>46002</v>
      </c>
      <c r="O586" s="526"/>
      <c r="P586" s="526" t="s">
        <v>103</v>
      </c>
      <c r="Q586" s="530"/>
      <c r="R586" s="530">
        <v>45929</v>
      </c>
      <c r="S586" s="533" t="s">
        <v>66</v>
      </c>
      <c r="T586" s="533" t="s">
        <v>2184</v>
      </c>
      <c r="U586" s="532"/>
      <c r="V586" s="532"/>
      <c r="W586" s="531" t="s">
        <v>2185</v>
      </c>
      <c r="X586" s="540" t="s">
        <v>304</v>
      </c>
      <c r="Y586" s="538">
        <v>4.2099</v>
      </c>
      <c r="Z586" s="808">
        <f t="shared" ref="Z586:Z638" si="181">Y586*I586</f>
        <v>8335.602</v>
      </c>
      <c r="AA586" s="521"/>
      <c r="AB586" s="520" t="s">
        <v>402</v>
      </c>
      <c r="AC586" s="520" t="s">
        <v>76</v>
      </c>
      <c r="AD586" s="521"/>
      <c r="AE586" s="521"/>
      <c r="AF586" s="521">
        <v>1</v>
      </c>
      <c r="AG586" s="521">
        <v>1980</v>
      </c>
      <c r="AH586" s="522">
        <f>AG586-I586</f>
        <v>0</v>
      </c>
      <c r="AI586" s="521"/>
      <c r="AJ586" s="521"/>
      <c r="AK586" s="543"/>
      <c r="AL586" s="543">
        <f t="shared" ref="AL586:AL642" si="182">I586</f>
        <v>1980</v>
      </c>
      <c r="AM586" s="427"/>
      <c r="AN586" s="543"/>
      <c r="AO586" s="427"/>
      <c r="AP586" s="543"/>
      <c r="AQ586" s="543">
        <f>I586</f>
        <v>1980</v>
      </c>
      <c r="AR586" s="543">
        <f>I586</f>
        <v>1980</v>
      </c>
      <c r="AS586" s="543"/>
      <c r="AT586" s="543">
        <f t="shared" si="180"/>
        <v>1980</v>
      </c>
      <c r="AU586" s="546"/>
      <c r="AV586" s="568"/>
      <c r="AW586" s="427"/>
      <c r="AX586" s="427"/>
      <c r="AY586" s="427"/>
      <c r="AZ586" s="543"/>
      <c r="BA586" s="543"/>
      <c r="BB586" s="427"/>
      <c r="BC586" s="427"/>
      <c r="BD586" s="543"/>
      <c r="BE586" s="543"/>
      <c r="BF586" s="427"/>
      <c r="BG586" s="427"/>
      <c r="BH586" s="427"/>
      <c r="BI586" s="427"/>
      <c r="BJ586" s="427"/>
      <c r="BK586" s="427"/>
      <c r="BL586" s="427"/>
      <c r="BM586" s="427"/>
      <c r="BN586" s="835"/>
      <c r="BO586" s="427"/>
      <c r="BP586" s="427"/>
      <c r="BQ586" s="427"/>
      <c r="BR586" s="427"/>
      <c r="BS586" s="427"/>
      <c r="BT586" s="427"/>
      <c r="BU586" s="427"/>
      <c r="BV586" s="427"/>
      <c r="BW586" s="427"/>
      <c r="BX586" s="427"/>
      <c r="BY586" s="427"/>
      <c r="BZ586" s="427"/>
      <c r="CA586" s="427"/>
      <c r="CB586" s="427"/>
      <c r="CC586" s="427"/>
      <c r="CD586" s="427"/>
      <c r="CE586" s="427"/>
      <c r="CF586" s="544"/>
      <c r="CG586" s="544"/>
      <c r="CH586" s="544"/>
      <c r="CI586" s="544"/>
      <c r="CJ586" s="544"/>
      <c r="CK586" s="427"/>
      <c r="CL586" s="427"/>
      <c r="CM586" s="427"/>
      <c r="CN586" s="544"/>
      <c r="CO586" s="544"/>
      <c r="CP586" s="544"/>
      <c r="CQ586" s="544"/>
      <c r="CR586" s="544"/>
      <c r="CS586" s="544"/>
    </row>
    <row r="587" s="431" customFormat="1" ht="31" hidden="1" customHeight="1" spans="1:97">
      <c r="A587" s="518">
        <v>45952</v>
      </c>
      <c r="B587" s="519" t="s">
        <v>2186</v>
      </c>
      <c r="C587" s="520" t="s">
        <v>468</v>
      </c>
      <c r="D587" s="427">
        <v>4500182578</v>
      </c>
      <c r="E587" s="520" t="s">
        <v>2187</v>
      </c>
      <c r="F587" s="427" t="s">
        <v>2188</v>
      </c>
      <c r="G587" s="521" t="s">
        <v>64</v>
      </c>
      <c r="H587" s="520" t="s">
        <v>65</v>
      </c>
      <c r="I587" s="520">
        <v>432</v>
      </c>
      <c r="J587" s="520">
        <v>0</v>
      </c>
      <c r="K587" s="520">
        <v>12</v>
      </c>
      <c r="L587" s="804">
        <f t="shared" si="178"/>
        <v>36</v>
      </c>
      <c r="M587" s="537">
        <v>46006</v>
      </c>
      <c r="N587" s="537">
        <v>46002</v>
      </c>
      <c r="O587" s="526"/>
      <c r="P587" s="526" t="s">
        <v>103</v>
      </c>
      <c r="Q587" s="530"/>
      <c r="R587" s="530">
        <v>45971</v>
      </c>
      <c r="S587" s="533" t="s">
        <v>66</v>
      </c>
      <c r="T587" s="533" t="s">
        <v>2189</v>
      </c>
      <c r="U587" s="532"/>
      <c r="V587" s="532"/>
      <c r="W587" s="532" t="s">
        <v>2190</v>
      </c>
      <c r="X587" s="540" t="s">
        <v>473</v>
      </c>
      <c r="Y587" s="538">
        <v>4.1018</v>
      </c>
      <c r="Z587" s="808">
        <f t="shared" si="181"/>
        <v>1771.9776</v>
      </c>
      <c r="AA587" s="521"/>
      <c r="AB587" s="520" t="s">
        <v>165</v>
      </c>
      <c r="AC587" s="520" t="s">
        <v>76</v>
      </c>
      <c r="AD587" s="521"/>
      <c r="AE587" s="521"/>
      <c r="AF587" s="521">
        <v>1</v>
      </c>
      <c r="AG587" s="521">
        <v>432</v>
      </c>
      <c r="AH587" s="522">
        <f>AG587-I587</f>
        <v>0</v>
      </c>
      <c r="AI587" s="521"/>
      <c r="AJ587" s="521" t="s">
        <v>2191</v>
      </c>
      <c r="AK587" s="543"/>
      <c r="AL587" s="543">
        <f t="shared" si="182"/>
        <v>432</v>
      </c>
      <c r="AM587" s="628"/>
      <c r="AN587" s="543"/>
      <c r="AO587" s="628"/>
      <c r="AP587" s="543"/>
      <c r="AQ587" s="543">
        <f>I587</f>
        <v>432</v>
      </c>
      <c r="AR587" s="543">
        <f>I587</f>
        <v>432</v>
      </c>
      <c r="AS587" s="543"/>
      <c r="AT587" s="543">
        <f t="shared" si="180"/>
        <v>432</v>
      </c>
      <c r="AU587" s="546"/>
      <c r="AV587" s="427"/>
      <c r="AW587" s="628"/>
      <c r="AX587" s="628"/>
      <c r="AY587" s="628"/>
      <c r="AZ587" s="543"/>
      <c r="BA587" s="543"/>
      <c r="BB587" s="628"/>
      <c r="BC587" s="628"/>
      <c r="BD587" s="543"/>
      <c r="BE587" s="543"/>
      <c r="BF587" s="628"/>
      <c r="BG587" s="628"/>
      <c r="BH587" s="628"/>
      <c r="BI587" s="543"/>
      <c r="BJ587" s="543"/>
      <c r="BK587" s="628"/>
      <c r="BL587" s="628"/>
      <c r="BM587" s="628"/>
      <c r="CF587" s="544"/>
      <c r="CG587" s="544"/>
      <c r="CH587" s="544"/>
      <c r="CI587" s="544"/>
      <c r="CJ587" s="544"/>
      <c r="CN587" s="544"/>
      <c r="CO587" s="544"/>
      <c r="CP587" s="544"/>
      <c r="CQ587" s="544"/>
      <c r="CR587" s="544"/>
      <c r="CS587" s="544"/>
    </row>
    <row r="588" s="431" customFormat="1" ht="31" hidden="1" customHeight="1" spans="1:97">
      <c r="A588" s="518">
        <v>45975</v>
      </c>
      <c r="B588" s="519" t="s">
        <v>190</v>
      </c>
      <c r="C588" s="520" t="s">
        <v>191</v>
      </c>
      <c r="D588" s="427">
        <v>4500185736</v>
      </c>
      <c r="E588" s="520" t="s">
        <v>2192</v>
      </c>
      <c r="F588" s="427" t="s">
        <v>2193</v>
      </c>
      <c r="G588" s="521" t="s">
        <v>102</v>
      </c>
      <c r="H588" s="520" t="s">
        <v>65</v>
      </c>
      <c r="I588" s="520">
        <v>1200</v>
      </c>
      <c r="J588" s="520">
        <v>0</v>
      </c>
      <c r="K588" s="520">
        <v>16</v>
      </c>
      <c r="L588" s="804">
        <f t="shared" si="178"/>
        <v>75</v>
      </c>
      <c r="M588" s="841">
        <v>46006</v>
      </c>
      <c r="N588" s="841">
        <v>46002</v>
      </c>
      <c r="O588" s="526" t="s">
        <v>2194</v>
      </c>
      <c r="P588" s="526" t="s">
        <v>103</v>
      </c>
      <c r="Q588" s="530"/>
      <c r="R588" s="530">
        <v>45975</v>
      </c>
      <c r="S588" s="533" t="s">
        <v>66</v>
      </c>
      <c r="T588" s="533" t="s">
        <v>2195</v>
      </c>
      <c r="U588" s="532" t="s">
        <v>2196</v>
      </c>
      <c r="V588" s="532"/>
      <c r="W588" s="597" t="s">
        <v>2197</v>
      </c>
      <c r="X588" s="540" t="s">
        <v>1663</v>
      </c>
      <c r="Y588" s="614">
        <v>4.1983</v>
      </c>
      <c r="Z588" s="808">
        <f t="shared" si="181"/>
        <v>5037.96</v>
      </c>
      <c r="AA588" s="521"/>
      <c r="AB588" s="521" t="s">
        <v>102</v>
      </c>
      <c r="AC588" s="520" t="s">
        <v>76</v>
      </c>
      <c r="AD588" s="521"/>
      <c r="AE588" s="521"/>
      <c r="AF588" s="482">
        <v>1</v>
      </c>
      <c r="AG588" s="521">
        <v>1200</v>
      </c>
      <c r="AH588" s="522">
        <f>AG588-I588</f>
        <v>0</v>
      </c>
      <c r="AI588" s="521"/>
      <c r="AJ588" s="521"/>
      <c r="AK588" s="543"/>
      <c r="AL588" s="543">
        <f t="shared" si="182"/>
        <v>1200</v>
      </c>
      <c r="AM588" s="628"/>
      <c r="AN588" s="628"/>
      <c r="AO588" s="628"/>
      <c r="AP588" s="543">
        <f>I588</f>
        <v>1200</v>
      </c>
      <c r="AQ588" s="543"/>
      <c r="AR588" s="543">
        <f>I588</f>
        <v>1200</v>
      </c>
      <c r="AS588" s="543"/>
      <c r="AT588" s="543">
        <f t="shared" si="180"/>
        <v>1200</v>
      </c>
      <c r="AU588" s="546"/>
      <c r="AV588" s="427"/>
      <c r="AW588" s="427"/>
      <c r="AX588" s="427"/>
      <c r="AY588" s="427"/>
      <c r="AZ588" s="543"/>
      <c r="BA588" s="543"/>
      <c r="BB588" s="427"/>
      <c r="BC588" s="427"/>
      <c r="BD588" s="543">
        <f>I588/4</f>
        <v>300</v>
      </c>
      <c r="BE588" s="543"/>
      <c r="BF588" s="427"/>
      <c r="BG588" s="427"/>
      <c r="BH588" s="427"/>
      <c r="BI588" s="427"/>
      <c r="BJ588" s="427"/>
      <c r="BK588" s="427"/>
      <c r="BL588" s="427"/>
      <c r="BM588" s="427"/>
      <c r="BN588" s="835"/>
      <c r="BO588" s="427"/>
      <c r="BP588" s="427"/>
      <c r="BQ588" s="427"/>
      <c r="BR588" s="427"/>
      <c r="BS588" s="427"/>
      <c r="BT588" s="427"/>
      <c r="BU588" s="427"/>
      <c r="BV588" s="427"/>
      <c r="BW588" s="427"/>
      <c r="BX588" s="427"/>
      <c r="BY588" s="427"/>
      <c r="BZ588" s="427"/>
      <c r="CA588" s="427"/>
      <c r="CB588" s="427"/>
      <c r="CC588" s="427"/>
      <c r="CD588" s="427"/>
      <c r="CE588" s="427"/>
      <c r="CF588" s="544"/>
      <c r="CG588" s="544"/>
      <c r="CH588" s="544"/>
      <c r="CI588" s="544"/>
      <c r="CJ588" s="544"/>
      <c r="CK588" s="427"/>
      <c r="CL588" s="427"/>
      <c r="CM588" s="427"/>
      <c r="CN588" s="544"/>
      <c r="CO588" s="544"/>
      <c r="CP588" s="544"/>
      <c r="CQ588" s="544"/>
      <c r="CR588" s="544"/>
      <c r="CS588" s="544"/>
    </row>
    <row r="589" s="431" customFormat="1" ht="31" hidden="1" customHeight="1" spans="1:97">
      <c r="A589" s="518">
        <v>45975</v>
      </c>
      <c r="B589" s="519" t="s">
        <v>190</v>
      </c>
      <c r="C589" s="520" t="s">
        <v>191</v>
      </c>
      <c r="D589" s="427">
        <v>4500185736</v>
      </c>
      <c r="E589" s="520" t="s">
        <v>2192</v>
      </c>
      <c r="F589" s="427" t="s">
        <v>2198</v>
      </c>
      <c r="G589" s="521" t="s">
        <v>463</v>
      </c>
      <c r="H589" s="520" t="s">
        <v>424</v>
      </c>
      <c r="I589" s="520">
        <v>576</v>
      </c>
      <c r="J589" s="520">
        <v>0</v>
      </c>
      <c r="K589" s="520">
        <v>6</v>
      </c>
      <c r="L589" s="804">
        <f t="shared" si="178"/>
        <v>96</v>
      </c>
      <c r="M589" s="841">
        <v>46006</v>
      </c>
      <c r="N589" s="841">
        <v>46002</v>
      </c>
      <c r="O589" s="526" t="s">
        <v>2194</v>
      </c>
      <c r="P589" s="526" t="s">
        <v>103</v>
      </c>
      <c r="Q589" s="530"/>
      <c r="R589" s="530">
        <v>45975</v>
      </c>
      <c r="S589" s="533" t="s">
        <v>66</v>
      </c>
      <c r="T589" s="533" t="s">
        <v>2126</v>
      </c>
      <c r="U589" s="532" t="s">
        <v>2196</v>
      </c>
      <c r="V589" s="532"/>
      <c r="W589" s="597" t="s">
        <v>2199</v>
      </c>
      <c r="X589" s="540" t="s">
        <v>1663</v>
      </c>
      <c r="Y589" s="614">
        <v>7.0238</v>
      </c>
      <c r="Z589" s="808">
        <f t="shared" si="181"/>
        <v>4045.7088</v>
      </c>
      <c r="AA589" s="521"/>
      <c r="AB589" s="521" t="s">
        <v>2069</v>
      </c>
      <c r="AC589" s="520" t="s">
        <v>76</v>
      </c>
      <c r="AD589" s="521"/>
      <c r="AE589" s="521"/>
      <c r="AF589" s="482">
        <v>1</v>
      </c>
      <c r="AG589" s="521">
        <v>576</v>
      </c>
      <c r="AH589" s="522">
        <f>AG589-I589</f>
        <v>0</v>
      </c>
      <c r="AI589" s="521"/>
      <c r="AJ589" s="521"/>
      <c r="AK589" s="543"/>
      <c r="AL589" s="543">
        <f t="shared" si="182"/>
        <v>576</v>
      </c>
      <c r="AM589" s="628"/>
      <c r="AN589" s="628"/>
      <c r="AO589" s="628"/>
      <c r="AP589" s="543">
        <f>I589</f>
        <v>576</v>
      </c>
      <c r="AQ589" s="543"/>
      <c r="AR589" s="543"/>
      <c r="AS589" s="543">
        <f>I589</f>
        <v>576</v>
      </c>
      <c r="AT589" s="543">
        <f t="shared" si="180"/>
        <v>576</v>
      </c>
      <c r="AU589" s="546"/>
      <c r="AV589" s="427"/>
      <c r="AW589" s="427"/>
      <c r="AX589" s="427"/>
      <c r="AY589" s="427"/>
      <c r="AZ589" s="543"/>
      <c r="BA589" s="543"/>
      <c r="BB589" s="427"/>
      <c r="BC589" s="427"/>
      <c r="BD589" s="543"/>
      <c r="BE589" s="543"/>
      <c r="BF589" s="427"/>
      <c r="BG589" s="427"/>
      <c r="BH589" s="427"/>
      <c r="BI589" s="427"/>
      <c r="BJ589" s="427">
        <f>I589</f>
        <v>576</v>
      </c>
      <c r="BK589" s="427"/>
      <c r="BL589" s="427"/>
      <c r="BM589" s="427"/>
      <c r="BN589" s="835"/>
      <c r="BO589" s="427"/>
      <c r="BP589" s="427"/>
      <c r="BQ589" s="427"/>
      <c r="BR589" s="427"/>
      <c r="BS589" s="427"/>
      <c r="BT589" s="427"/>
      <c r="BU589" s="427"/>
      <c r="BV589" s="427"/>
      <c r="BW589" s="427"/>
      <c r="BX589" s="427"/>
      <c r="BY589" s="427"/>
      <c r="BZ589" s="427"/>
      <c r="CA589" s="427"/>
      <c r="CB589" s="427"/>
      <c r="CC589" s="427"/>
      <c r="CD589" s="427"/>
      <c r="CE589" s="427"/>
      <c r="CF589" s="544"/>
      <c r="CG589" s="544"/>
      <c r="CH589" s="544"/>
      <c r="CI589" s="544"/>
      <c r="CJ589" s="544"/>
      <c r="CK589" s="427"/>
      <c r="CL589" s="427"/>
      <c r="CM589" s="427"/>
      <c r="CN589" s="544"/>
      <c r="CO589" s="544"/>
      <c r="CP589" s="544"/>
      <c r="CQ589" s="544"/>
      <c r="CR589" s="544"/>
      <c r="CS589" s="544"/>
    </row>
    <row r="590" s="431" customFormat="1" ht="31" hidden="1" customHeight="1" spans="1:97">
      <c r="A590" s="518">
        <v>45952</v>
      </c>
      <c r="B590" s="519" t="s">
        <v>1492</v>
      </c>
      <c r="C590" s="520" t="s">
        <v>249</v>
      </c>
      <c r="D590" s="427">
        <v>4500182619</v>
      </c>
      <c r="E590" s="520"/>
      <c r="F590" s="427" t="s">
        <v>2200</v>
      </c>
      <c r="G590" s="521" t="s">
        <v>148</v>
      </c>
      <c r="H590" s="520" t="s">
        <v>65</v>
      </c>
      <c r="I590" s="520">
        <v>4504</v>
      </c>
      <c r="J590" s="520">
        <v>0</v>
      </c>
      <c r="K590" s="520">
        <v>8</v>
      </c>
      <c r="L590" s="804">
        <f t="shared" si="178"/>
        <v>563</v>
      </c>
      <c r="M590" s="537">
        <v>46007</v>
      </c>
      <c r="N590" s="537">
        <v>46003</v>
      </c>
      <c r="O590" s="526"/>
      <c r="P590" s="526" t="s">
        <v>103</v>
      </c>
      <c r="Q590" s="530"/>
      <c r="R590" s="530">
        <v>45964</v>
      </c>
      <c r="S590" s="533" t="s">
        <v>66</v>
      </c>
      <c r="T590" s="533" t="s">
        <v>149</v>
      </c>
      <c r="U590" s="532"/>
      <c r="V590" s="532"/>
      <c r="W590" s="532" t="s">
        <v>2201</v>
      </c>
      <c r="X590" s="540" t="s">
        <v>1424</v>
      </c>
      <c r="Y590" s="538">
        <v>4.2174</v>
      </c>
      <c r="Z590" s="808">
        <f t="shared" si="181"/>
        <v>18995.1696</v>
      </c>
      <c r="AA590" s="521"/>
      <c r="AB590" s="601" t="s">
        <v>2202</v>
      </c>
      <c r="AC590" s="520" t="s">
        <v>76</v>
      </c>
      <c r="AD590" s="521"/>
      <c r="AE590" s="521"/>
      <c r="AF590" s="521">
        <v>1</v>
      </c>
      <c r="AG590" s="521">
        <v>4504</v>
      </c>
      <c r="AH590" s="521">
        <f t="shared" ref="AH590:AH614" si="183">AG590-I590</f>
        <v>0</v>
      </c>
      <c r="AI590" s="521"/>
      <c r="AJ590" s="521"/>
      <c r="AK590" s="543"/>
      <c r="AL590" s="543">
        <f t="shared" si="182"/>
        <v>4504</v>
      </c>
      <c r="AM590" s="628"/>
      <c r="AN590" s="543"/>
      <c r="AO590" s="628"/>
      <c r="AP590" s="543"/>
      <c r="AQ590" s="543">
        <f>I590</f>
        <v>4504</v>
      </c>
      <c r="AR590" s="543">
        <f>I590</f>
        <v>4504</v>
      </c>
      <c r="AS590" s="543"/>
      <c r="AT590" s="543">
        <f t="shared" ref="AT590:AT595" si="184">I590</f>
        <v>4504</v>
      </c>
      <c r="AU590" s="546"/>
      <c r="AV590" s="427"/>
      <c r="AW590" s="628"/>
      <c r="AX590" s="628"/>
      <c r="AY590" s="628"/>
      <c r="AZ590" s="568"/>
      <c r="BA590" s="568"/>
      <c r="BB590" s="628"/>
      <c r="BC590" s="628"/>
      <c r="BD590" s="543"/>
      <c r="BE590" s="543">
        <f>I590/4</f>
        <v>1126</v>
      </c>
      <c r="BF590" s="628"/>
      <c r="BG590" s="628"/>
      <c r="BH590" s="628"/>
      <c r="BI590" s="543"/>
      <c r="BJ590" s="543"/>
      <c r="BK590" s="628"/>
      <c r="BL590" s="628"/>
      <c r="BM590" s="628"/>
      <c r="CF590" s="544"/>
      <c r="CG590" s="544"/>
      <c r="CH590" s="544"/>
      <c r="CI590" s="544"/>
      <c r="CJ590" s="544"/>
      <c r="CN590" s="544"/>
      <c r="CO590" s="544"/>
      <c r="CP590" s="544"/>
      <c r="CQ590" s="544"/>
      <c r="CR590" s="544"/>
      <c r="CS590" s="544"/>
    </row>
    <row r="591" s="431" customFormat="1" ht="31" hidden="1" customHeight="1" spans="1:97">
      <c r="A591" s="518">
        <v>45959</v>
      </c>
      <c r="B591" s="519" t="s">
        <v>280</v>
      </c>
      <c r="C591" s="520" t="s">
        <v>249</v>
      </c>
      <c r="D591" s="427">
        <v>4500183596</v>
      </c>
      <c r="E591" s="520" t="s">
        <v>2203</v>
      </c>
      <c r="F591" s="427" t="s">
        <v>2204</v>
      </c>
      <c r="G591" s="521" t="s">
        <v>102</v>
      </c>
      <c r="H591" s="520" t="s">
        <v>65</v>
      </c>
      <c r="I591" s="520">
        <v>4000</v>
      </c>
      <c r="J591" s="520">
        <v>0</v>
      </c>
      <c r="K591" s="520">
        <v>16</v>
      </c>
      <c r="L591" s="804">
        <f t="shared" si="178"/>
        <v>250</v>
      </c>
      <c r="M591" s="537">
        <v>46007</v>
      </c>
      <c r="N591" s="537">
        <v>46003</v>
      </c>
      <c r="O591" s="526"/>
      <c r="P591" s="526" t="s">
        <v>103</v>
      </c>
      <c r="Q591" s="530"/>
      <c r="R591" s="530">
        <v>45959</v>
      </c>
      <c r="S591" s="533" t="s">
        <v>66</v>
      </c>
      <c r="T591" s="533" t="s">
        <v>2034</v>
      </c>
      <c r="U591" s="532"/>
      <c r="V591" s="532"/>
      <c r="W591" s="532" t="s">
        <v>2205</v>
      </c>
      <c r="X591" s="540" t="s">
        <v>2036</v>
      </c>
      <c r="Y591" s="538">
        <v>4.2489</v>
      </c>
      <c r="Z591" s="808">
        <f t="shared" si="181"/>
        <v>16995.6</v>
      </c>
      <c r="AA591" s="521"/>
      <c r="AB591" s="521" t="s">
        <v>102</v>
      </c>
      <c r="AC591" s="520" t="s">
        <v>76</v>
      </c>
      <c r="AD591" s="521"/>
      <c r="AE591" s="521"/>
      <c r="AF591" s="482">
        <v>1</v>
      </c>
      <c r="AG591" s="521">
        <v>4000</v>
      </c>
      <c r="AH591" s="522">
        <f t="shared" si="183"/>
        <v>0</v>
      </c>
      <c r="AI591" s="521"/>
      <c r="AJ591" s="521"/>
      <c r="AK591" s="543"/>
      <c r="AL591" s="543">
        <f t="shared" si="182"/>
        <v>4000</v>
      </c>
      <c r="AM591" s="628"/>
      <c r="AN591" s="628"/>
      <c r="AO591" s="628"/>
      <c r="AP591" s="543">
        <f>I591</f>
        <v>4000</v>
      </c>
      <c r="AQ591" s="543"/>
      <c r="AR591" s="543">
        <f t="shared" ref="AR590:AR595" si="185">I591</f>
        <v>4000</v>
      </c>
      <c r="AS591" s="543"/>
      <c r="AT591" s="543">
        <f t="shared" si="184"/>
        <v>4000</v>
      </c>
      <c r="AU591" s="546"/>
      <c r="AV591" s="427"/>
      <c r="AW591" s="427"/>
      <c r="AX591" s="427"/>
      <c r="AY591" s="427"/>
      <c r="AZ591" s="543"/>
      <c r="BA591" s="543"/>
      <c r="BB591" s="427"/>
      <c r="BC591" s="427"/>
      <c r="BD591" s="543">
        <f>I591/4</f>
        <v>1000</v>
      </c>
      <c r="BE591" s="543"/>
      <c r="BF591" s="427"/>
      <c r="BG591" s="427"/>
      <c r="BH591" s="427"/>
      <c r="BI591" s="427"/>
      <c r="BJ591" s="427"/>
      <c r="BK591" s="427"/>
      <c r="BL591" s="427"/>
      <c r="BM591" s="427"/>
      <c r="BN591" s="835"/>
      <c r="BO591" s="427"/>
      <c r="BP591" s="427"/>
      <c r="BQ591" s="427"/>
      <c r="BR591" s="427"/>
      <c r="BS591" s="427"/>
      <c r="BT591" s="427"/>
      <c r="BU591" s="427"/>
      <c r="BV591" s="427"/>
      <c r="BW591" s="427"/>
      <c r="BX591" s="427"/>
      <c r="BY591" s="427"/>
      <c r="BZ591" s="427"/>
      <c r="CA591" s="427"/>
      <c r="CB591" s="427"/>
      <c r="CC591" s="427"/>
      <c r="CD591" s="427"/>
      <c r="CE591" s="427"/>
      <c r="CF591" s="544"/>
      <c r="CG591" s="544"/>
      <c r="CH591" s="544"/>
      <c r="CI591" s="544"/>
      <c r="CJ591" s="544"/>
      <c r="CK591" s="427"/>
      <c r="CL591" s="427"/>
      <c r="CM591" s="427"/>
      <c r="CN591" s="544"/>
      <c r="CO591" s="544"/>
      <c r="CP591" s="544"/>
      <c r="CQ591" s="544"/>
      <c r="CR591" s="544"/>
      <c r="CS591" s="544"/>
    </row>
    <row r="592" s="431" customFormat="1" ht="31" hidden="1" customHeight="1" spans="1:97">
      <c r="A592" s="518">
        <v>45964</v>
      </c>
      <c r="B592" s="519" t="s">
        <v>122</v>
      </c>
      <c r="C592" s="520" t="s">
        <v>116</v>
      </c>
      <c r="D592" s="430">
        <v>4500184103</v>
      </c>
      <c r="E592" s="520">
        <v>21158671</v>
      </c>
      <c r="F592" s="427" t="s">
        <v>2206</v>
      </c>
      <c r="G592" s="521" t="s">
        <v>64</v>
      </c>
      <c r="H592" s="520" t="s">
        <v>65</v>
      </c>
      <c r="I592" s="520">
        <v>1380</v>
      </c>
      <c r="J592" s="520">
        <v>0</v>
      </c>
      <c r="K592" s="520">
        <v>12</v>
      </c>
      <c r="L592" s="804">
        <f t="shared" si="178"/>
        <v>115</v>
      </c>
      <c r="M592" s="537">
        <v>46007</v>
      </c>
      <c r="N592" s="537">
        <v>46003</v>
      </c>
      <c r="O592" s="526"/>
      <c r="P592" s="526" t="s">
        <v>103</v>
      </c>
      <c r="Q592" s="530"/>
      <c r="R592" s="530">
        <v>45975</v>
      </c>
      <c r="S592" s="533" t="s">
        <v>66</v>
      </c>
      <c r="T592" s="533" t="s">
        <v>2207</v>
      </c>
      <c r="U592" s="532"/>
      <c r="V592" s="532"/>
      <c r="W592" s="597" t="s">
        <v>2208</v>
      </c>
      <c r="X592" s="540" t="s">
        <v>121</v>
      </c>
      <c r="Y592" s="538">
        <v>4.2552</v>
      </c>
      <c r="Z592" s="808">
        <f t="shared" si="181"/>
        <v>5872.176</v>
      </c>
      <c r="AA592" s="521"/>
      <c r="AB592" s="543" t="s">
        <v>64</v>
      </c>
      <c r="AC592" s="520" t="s">
        <v>76</v>
      </c>
      <c r="AD592" s="521"/>
      <c r="AE592" s="521"/>
      <c r="AF592" s="482">
        <v>1</v>
      </c>
      <c r="AG592" s="521">
        <v>1380</v>
      </c>
      <c r="AH592" s="522">
        <f t="shared" si="183"/>
        <v>0</v>
      </c>
      <c r="AI592" s="521"/>
      <c r="AJ592" s="521"/>
      <c r="AK592" s="543"/>
      <c r="AL592" s="543">
        <f t="shared" si="182"/>
        <v>1380</v>
      </c>
      <c r="AM592" s="628"/>
      <c r="AN592" s="628"/>
      <c r="AO592" s="628"/>
      <c r="AP592" s="543">
        <f>I592</f>
        <v>1380</v>
      </c>
      <c r="AQ592" s="543"/>
      <c r="AR592" s="543">
        <f t="shared" si="185"/>
        <v>1380</v>
      </c>
      <c r="AS592" s="543"/>
      <c r="AT592" s="543">
        <f t="shared" si="184"/>
        <v>1380</v>
      </c>
      <c r="AU592" s="546"/>
      <c r="AV592" s="427"/>
      <c r="AW592" s="427"/>
      <c r="AX592" s="427"/>
      <c r="AY592" s="427"/>
      <c r="AZ592" s="543"/>
      <c r="BA592" s="543"/>
      <c r="BB592" s="427"/>
      <c r="BC592" s="427"/>
      <c r="BD592" s="543"/>
      <c r="BE592" s="543"/>
      <c r="BF592" s="427"/>
      <c r="BG592" s="427"/>
      <c r="BH592" s="427"/>
      <c r="BI592" s="427"/>
      <c r="BJ592" s="427"/>
      <c r="BK592" s="427"/>
      <c r="BL592" s="427"/>
      <c r="BM592" s="427"/>
      <c r="BN592" s="835"/>
      <c r="BO592" s="427"/>
      <c r="BP592" s="427"/>
      <c r="BQ592" s="427"/>
      <c r="BR592" s="427"/>
      <c r="BS592" s="427"/>
      <c r="BT592" s="427"/>
      <c r="BU592" s="427"/>
      <c r="BV592" s="427"/>
      <c r="BW592" s="427"/>
      <c r="BX592" s="427"/>
      <c r="BY592" s="427"/>
      <c r="BZ592" s="427"/>
      <c r="CA592" s="427"/>
      <c r="CB592" s="427"/>
      <c r="CC592" s="427"/>
      <c r="CD592" s="427"/>
      <c r="CE592" s="427"/>
      <c r="CF592" s="544"/>
      <c r="CG592" s="544"/>
      <c r="CH592" s="544"/>
      <c r="CI592" s="544"/>
      <c r="CJ592" s="544"/>
      <c r="CK592" s="427"/>
      <c r="CL592" s="427"/>
      <c r="CM592" s="427"/>
      <c r="CN592" s="544"/>
      <c r="CO592" s="544"/>
      <c r="CP592" s="544"/>
      <c r="CQ592" s="544"/>
      <c r="CR592" s="544"/>
      <c r="CS592" s="544"/>
    </row>
    <row r="593" s="431" customFormat="1" ht="31" hidden="1" customHeight="1" spans="1:97">
      <c r="A593" s="518">
        <v>45964</v>
      </c>
      <c r="B593" s="519" t="s">
        <v>125</v>
      </c>
      <c r="C593" s="520" t="s">
        <v>71</v>
      </c>
      <c r="D593" s="430">
        <v>4500184105</v>
      </c>
      <c r="E593" s="520">
        <v>21158677</v>
      </c>
      <c r="F593" s="427" t="s">
        <v>2209</v>
      </c>
      <c r="G593" s="521" t="s">
        <v>64</v>
      </c>
      <c r="H593" s="520" t="s">
        <v>65</v>
      </c>
      <c r="I593" s="520">
        <v>120</v>
      </c>
      <c r="J593" s="520">
        <v>0</v>
      </c>
      <c r="K593" s="520">
        <v>12</v>
      </c>
      <c r="L593" s="804">
        <f t="shared" si="178"/>
        <v>10</v>
      </c>
      <c r="M593" s="537">
        <v>46007</v>
      </c>
      <c r="N593" s="537">
        <v>46003</v>
      </c>
      <c r="O593" s="526"/>
      <c r="P593" s="526" t="s">
        <v>103</v>
      </c>
      <c r="Q593" s="530"/>
      <c r="R593" s="530">
        <v>45975</v>
      </c>
      <c r="S593" s="533" t="s">
        <v>96</v>
      </c>
      <c r="T593" s="533" t="s">
        <v>2141</v>
      </c>
      <c r="U593" s="532"/>
      <c r="V593" s="532"/>
      <c r="W593" s="597" t="s">
        <v>2210</v>
      </c>
      <c r="X593" s="540" t="s">
        <v>121</v>
      </c>
      <c r="Y593" s="538">
        <v>4.1185</v>
      </c>
      <c r="Z593" s="808">
        <f t="shared" si="181"/>
        <v>494.22</v>
      </c>
      <c r="AA593" s="521"/>
      <c r="AB593" s="543" t="s">
        <v>64</v>
      </c>
      <c r="AC593" s="520" t="s">
        <v>76</v>
      </c>
      <c r="AD593" s="521"/>
      <c r="AE593" s="521"/>
      <c r="AF593" s="482">
        <v>1</v>
      </c>
      <c r="AG593" s="521">
        <v>120</v>
      </c>
      <c r="AH593" s="522">
        <f t="shared" si="183"/>
        <v>0</v>
      </c>
      <c r="AI593" s="521"/>
      <c r="AJ593" s="521"/>
      <c r="AK593" s="543"/>
      <c r="AL593" s="543">
        <f t="shared" si="182"/>
        <v>120</v>
      </c>
      <c r="AM593" s="628"/>
      <c r="AN593" s="628"/>
      <c r="AO593" s="628"/>
      <c r="AP593" s="543">
        <f>I593</f>
        <v>120</v>
      </c>
      <c r="AQ593" s="543"/>
      <c r="AR593" s="543">
        <f t="shared" si="185"/>
        <v>120</v>
      </c>
      <c r="AS593" s="543"/>
      <c r="AT593" s="543">
        <f t="shared" si="184"/>
        <v>120</v>
      </c>
      <c r="AU593" s="546"/>
      <c r="AV593" s="427"/>
      <c r="AW593" s="427"/>
      <c r="AX593" s="427"/>
      <c r="AY593" s="427"/>
      <c r="AZ593" s="543"/>
      <c r="BA593" s="543"/>
      <c r="BB593" s="427"/>
      <c r="BC593" s="427"/>
      <c r="BD593" s="543"/>
      <c r="BE593" s="543"/>
      <c r="BF593" s="427"/>
      <c r="BG593" s="427"/>
      <c r="BH593" s="427"/>
      <c r="BI593" s="427"/>
      <c r="BJ593" s="427"/>
      <c r="BK593" s="427"/>
      <c r="BL593" s="427"/>
      <c r="BM593" s="427"/>
      <c r="BN593" s="835"/>
      <c r="BO593" s="427"/>
      <c r="BP593" s="427"/>
      <c r="BQ593" s="427"/>
      <c r="BR593" s="427"/>
      <c r="BS593" s="427"/>
      <c r="BT593" s="427"/>
      <c r="BU593" s="427"/>
      <c r="BV593" s="427"/>
      <c r="BW593" s="427"/>
      <c r="BX593" s="427"/>
      <c r="BY593" s="427"/>
      <c r="BZ593" s="427"/>
      <c r="CA593" s="427"/>
      <c r="CB593" s="427"/>
      <c r="CC593" s="427"/>
      <c r="CD593" s="427"/>
      <c r="CE593" s="427"/>
      <c r="CF593" s="544"/>
      <c r="CG593" s="544"/>
      <c r="CH593" s="544"/>
      <c r="CI593" s="544"/>
      <c r="CJ593" s="544"/>
      <c r="CK593" s="427"/>
      <c r="CL593" s="427"/>
      <c r="CM593" s="427"/>
      <c r="CN593" s="544"/>
      <c r="CO593" s="544"/>
      <c r="CP593" s="544"/>
      <c r="CQ593" s="544"/>
      <c r="CR593" s="544"/>
      <c r="CS593" s="544"/>
    </row>
    <row r="594" s="431" customFormat="1" ht="31" hidden="1" customHeight="1" spans="1:97">
      <c r="A594" s="518">
        <v>45904</v>
      </c>
      <c r="B594" s="519" t="s">
        <v>2211</v>
      </c>
      <c r="C594" s="520" t="s">
        <v>2212</v>
      </c>
      <c r="D594" s="427">
        <v>4500178856</v>
      </c>
      <c r="E594" s="520"/>
      <c r="F594" s="427" t="s">
        <v>2213</v>
      </c>
      <c r="G594" s="521" t="s">
        <v>64</v>
      </c>
      <c r="H594" s="520" t="s">
        <v>65</v>
      </c>
      <c r="I594" s="520">
        <v>1008</v>
      </c>
      <c r="J594" s="520">
        <v>0</v>
      </c>
      <c r="K594" s="520">
        <v>12</v>
      </c>
      <c r="L594" s="804">
        <f t="shared" si="178"/>
        <v>84</v>
      </c>
      <c r="M594" s="537">
        <v>46008</v>
      </c>
      <c r="N594" s="537">
        <v>46004</v>
      </c>
      <c r="O594" s="526"/>
      <c r="P594" s="526" t="s">
        <v>103</v>
      </c>
      <c r="Q594" s="530"/>
      <c r="R594" s="530">
        <v>45971</v>
      </c>
      <c r="S594" s="533" t="s">
        <v>66</v>
      </c>
      <c r="T594" s="533" t="s">
        <v>2214</v>
      </c>
      <c r="U594" s="532"/>
      <c r="V594" s="532"/>
      <c r="W594" s="532" t="s">
        <v>2215</v>
      </c>
      <c r="X594" s="540" t="s">
        <v>2216</v>
      </c>
      <c r="Y594" s="538">
        <v>4.1018</v>
      </c>
      <c r="Z594" s="808">
        <f t="shared" si="181"/>
        <v>4134.6144</v>
      </c>
      <c r="AA594" s="521"/>
      <c r="AB594" s="520" t="s">
        <v>165</v>
      </c>
      <c r="AC594" s="520" t="s">
        <v>76</v>
      </c>
      <c r="AD594" s="521"/>
      <c r="AE594" s="521"/>
      <c r="AF594" s="521">
        <v>1</v>
      </c>
      <c r="AG594" s="521">
        <v>1008</v>
      </c>
      <c r="AH594" s="522">
        <f t="shared" si="183"/>
        <v>0</v>
      </c>
      <c r="AI594" s="521"/>
      <c r="AJ594" s="521"/>
      <c r="AK594" s="543"/>
      <c r="AL594" s="543">
        <f t="shared" si="182"/>
        <v>1008</v>
      </c>
      <c r="AM594" s="427"/>
      <c r="AN594" s="543"/>
      <c r="AO594" s="427"/>
      <c r="AP594" s="543"/>
      <c r="AQ594" s="543">
        <f>I594</f>
        <v>1008</v>
      </c>
      <c r="AR594" s="543">
        <f t="shared" si="185"/>
        <v>1008</v>
      </c>
      <c r="AS594" s="543"/>
      <c r="AT594" s="601">
        <f t="shared" si="184"/>
        <v>1008</v>
      </c>
      <c r="AU594" s="546"/>
      <c r="AV594" s="427"/>
      <c r="AW594" s="427"/>
      <c r="AX594" s="427"/>
      <c r="AY594" s="427"/>
      <c r="AZ594" s="543"/>
      <c r="BA594" s="543"/>
      <c r="BB594" s="427"/>
      <c r="BC594" s="427"/>
      <c r="BD594" s="543"/>
      <c r="BE594" s="543"/>
      <c r="BF594" s="427"/>
      <c r="BG594" s="427"/>
      <c r="BH594" s="427"/>
      <c r="BI594" s="427"/>
      <c r="BJ594" s="427"/>
      <c r="BK594" s="427"/>
      <c r="BL594" s="427"/>
      <c r="BM594" s="427"/>
      <c r="BN594" s="835"/>
      <c r="BO594" s="427"/>
      <c r="BP594" s="427"/>
      <c r="BQ594" s="427"/>
      <c r="BR594" s="427"/>
      <c r="BS594" s="427"/>
      <c r="BT594" s="427"/>
      <c r="BU594" s="427"/>
      <c r="BV594" s="427"/>
      <c r="BW594" s="427"/>
      <c r="BX594" s="427"/>
      <c r="BY594" s="427"/>
      <c r="BZ594" s="427"/>
      <c r="CA594" s="427"/>
      <c r="CB594" s="427"/>
      <c r="CC594" s="427"/>
      <c r="CD594" s="427"/>
      <c r="CE594" s="427"/>
      <c r="CF594" s="544"/>
      <c r="CG594" s="544"/>
      <c r="CH594" s="544"/>
      <c r="CI594" s="544"/>
      <c r="CJ594" s="544"/>
      <c r="CK594" s="427"/>
      <c r="CL594" s="427"/>
      <c r="CM594" s="427"/>
      <c r="CN594" s="544"/>
      <c r="CO594" s="544"/>
      <c r="CP594" s="544"/>
      <c r="CQ594" s="544"/>
      <c r="CR594" s="544"/>
      <c r="CS594" s="544"/>
    </row>
    <row r="595" s="431" customFormat="1" ht="31" hidden="1" customHeight="1" spans="1:97">
      <c r="A595" s="518">
        <v>45965</v>
      </c>
      <c r="B595" s="519" t="s">
        <v>128</v>
      </c>
      <c r="C595" s="520" t="s">
        <v>90</v>
      </c>
      <c r="D595" s="427">
        <v>4500184389</v>
      </c>
      <c r="E595" s="890" t="s">
        <v>2217</v>
      </c>
      <c r="F595" s="427" t="s">
        <v>2218</v>
      </c>
      <c r="G595" s="521" t="s">
        <v>93</v>
      </c>
      <c r="H595" s="520" t="s">
        <v>94</v>
      </c>
      <c r="I595" s="520">
        <v>8000</v>
      </c>
      <c r="J595" s="520">
        <v>0</v>
      </c>
      <c r="K595" s="520">
        <v>4</v>
      </c>
      <c r="L595" s="804">
        <f t="shared" si="178"/>
        <v>2000</v>
      </c>
      <c r="M595" s="537">
        <v>46009</v>
      </c>
      <c r="N595" s="537">
        <v>46006</v>
      </c>
      <c r="O595" s="526"/>
      <c r="P595" s="526" t="s">
        <v>103</v>
      </c>
      <c r="Q595" s="530"/>
      <c r="R595" s="530" t="s">
        <v>2021</v>
      </c>
      <c r="S595" s="533" t="s">
        <v>66</v>
      </c>
      <c r="T595" s="533" t="s">
        <v>133</v>
      </c>
      <c r="U595" s="533"/>
      <c r="V595" s="532"/>
      <c r="W595" s="532" t="s">
        <v>1281</v>
      </c>
      <c r="X595" s="540" t="s">
        <v>98</v>
      </c>
      <c r="Y595" s="538">
        <v>2.5656</v>
      </c>
      <c r="Z595" s="808">
        <f t="shared" si="181"/>
        <v>20524.8</v>
      </c>
      <c r="AA595" s="521"/>
      <c r="AB595" s="520" t="s">
        <v>93</v>
      </c>
      <c r="AC595" s="520" t="s">
        <v>76</v>
      </c>
      <c r="AD595" s="521"/>
      <c r="AE595" s="521"/>
      <c r="AF595" s="521">
        <v>1</v>
      </c>
      <c r="AG595" s="521">
        <v>8000</v>
      </c>
      <c r="AH595" s="522">
        <f t="shared" si="183"/>
        <v>0</v>
      </c>
      <c r="AI595" s="521"/>
      <c r="AJ595" s="521"/>
      <c r="AK595" s="543"/>
      <c r="AL595" s="543">
        <f t="shared" si="182"/>
        <v>8000</v>
      </c>
      <c r="AM595" s="427"/>
      <c r="AN595" s="543"/>
      <c r="AO595" s="427"/>
      <c r="AP595" s="543">
        <f>I595</f>
        <v>8000</v>
      </c>
      <c r="AQ595" s="543"/>
      <c r="AR595" s="543">
        <f t="shared" si="185"/>
        <v>8000</v>
      </c>
      <c r="AS595" s="543"/>
      <c r="AT595" s="543">
        <f t="shared" ref="AT595:AT602" si="186">I595</f>
        <v>8000</v>
      </c>
      <c r="AU595" s="546"/>
      <c r="AV595" s="427"/>
      <c r="AW595" s="427"/>
      <c r="AX595" s="427"/>
      <c r="AY595" s="427"/>
      <c r="AZ595" s="543"/>
      <c r="BA595" s="543"/>
      <c r="BB595" s="427"/>
      <c r="BC595" s="427"/>
      <c r="BD595" s="543">
        <f>I595/4</f>
        <v>2000</v>
      </c>
      <c r="BE595" s="543"/>
      <c r="BF595" s="427"/>
      <c r="BG595" s="427"/>
      <c r="BH595" s="427"/>
      <c r="BI595" s="427"/>
      <c r="BJ595" s="427"/>
      <c r="BK595" s="427"/>
      <c r="BL595" s="427"/>
      <c r="BM595" s="427"/>
      <c r="BN595" s="835"/>
      <c r="BO595" s="427"/>
      <c r="BP595" s="427"/>
      <c r="BQ595" s="427"/>
      <c r="BR595" s="427"/>
      <c r="BS595" s="427"/>
      <c r="BT595" s="427"/>
      <c r="BU595" s="427"/>
      <c r="BV595" s="427"/>
      <c r="BW595" s="427"/>
      <c r="BX595" s="427"/>
      <c r="BY595" s="427"/>
      <c r="BZ595" s="427"/>
      <c r="CA595" s="427"/>
      <c r="CB595" s="427"/>
      <c r="CC595" s="427"/>
      <c r="CD595" s="427"/>
      <c r="CE595" s="427"/>
      <c r="CF595" s="544"/>
      <c r="CG595" s="544"/>
      <c r="CH595" s="544"/>
      <c r="CI595" s="544"/>
      <c r="CJ595" s="544"/>
      <c r="CK595" s="427"/>
      <c r="CL595" s="427"/>
      <c r="CM595" s="427"/>
      <c r="CN595" s="544"/>
      <c r="CO595" s="544"/>
      <c r="CP595" s="544"/>
      <c r="CQ595" s="544"/>
      <c r="CR595" s="544"/>
      <c r="CS595" s="544"/>
    </row>
    <row r="596" s="431" customFormat="1" ht="31" hidden="1" customHeight="1" spans="1:97">
      <c r="A596" s="518">
        <v>45965</v>
      </c>
      <c r="B596" s="519" t="s">
        <v>128</v>
      </c>
      <c r="C596" s="520" t="s">
        <v>90</v>
      </c>
      <c r="D596" s="427">
        <v>4500184389</v>
      </c>
      <c r="E596" s="890" t="s">
        <v>2219</v>
      </c>
      <c r="F596" s="427" t="s">
        <v>2220</v>
      </c>
      <c r="G596" s="521" t="s">
        <v>93</v>
      </c>
      <c r="H596" s="520" t="s">
        <v>94</v>
      </c>
      <c r="I596" s="520">
        <v>6720</v>
      </c>
      <c r="J596" s="520">
        <v>0</v>
      </c>
      <c r="K596" s="520">
        <v>4</v>
      </c>
      <c r="L596" s="804">
        <f t="shared" si="178"/>
        <v>1680</v>
      </c>
      <c r="M596" s="537">
        <v>46009</v>
      </c>
      <c r="N596" s="537">
        <v>46006</v>
      </c>
      <c r="O596" s="526"/>
      <c r="P596" s="526" t="s">
        <v>103</v>
      </c>
      <c r="Q596" s="530"/>
      <c r="R596" s="530" t="s">
        <v>2021</v>
      </c>
      <c r="S596" s="533" t="s">
        <v>66</v>
      </c>
      <c r="T596" s="533" t="s">
        <v>133</v>
      </c>
      <c r="U596" s="533"/>
      <c r="V596" s="532"/>
      <c r="W596" s="532" t="s">
        <v>1281</v>
      </c>
      <c r="X596" s="540" t="s">
        <v>98</v>
      </c>
      <c r="Y596" s="538">
        <v>2.5656</v>
      </c>
      <c r="Z596" s="808">
        <f t="shared" si="181"/>
        <v>17240.832</v>
      </c>
      <c r="AA596" s="521"/>
      <c r="AB596" s="520" t="s">
        <v>93</v>
      </c>
      <c r="AC596" s="520" t="s">
        <v>76</v>
      </c>
      <c r="AD596" s="521"/>
      <c r="AE596" s="521"/>
      <c r="AF596" s="521">
        <v>1</v>
      </c>
      <c r="AG596" s="521">
        <v>6720</v>
      </c>
      <c r="AH596" s="522">
        <f t="shared" si="183"/>
        <v>0</v>
      </c>
      <c r="AI596" s="521"/>
      <c r="AJ596" s="521"/>
      <c r="AK596" s="543"/>
      <c r="AL596" s="543">
        <f t="shared" si="182"/>
        <v>6720</v>
      </c>
      <c r="AM596" s="427"/>
      <c r="AN596" s="543"/>
      <c r="AO596" s="427"/>
      <c r="AP596" s="543">
        <f t="shared" ref="AP596:AP605" si="187">I596</f>
        <v>6720</v>
      </c>
      <c r="AQ596" s="543"/>
      <c r="AR596" s="543">
        <f t="shared" ref="AR596:AR602" si="188">I596</f>
        <v>6720</v>
      </c>
      <c r="AS596" s="543"/>
      <c r="AT596" s="543">
        <f t="shared" si="186"/>
        <v>6720</v>
      </c>
      <c r="AU596" s="546"/>
      <c r="AV596" s="427"/>
      <c r="AW596" s="427"/>
      <c r="AX596" s="427"/>
      <c r="AY596" s="427"/>
      <c r="AZ596" s="543"/>
      <c r="BA596" s="543"/>
      <c r="BB596" s="427"/>
      <c r="BC596" s="427"/>
      <c r="BD596" s="543">
        <f t="shared" ref="BD596:BD601" si="189">I596/4</f>
        <v>1680</v>
      </c>
      <c r="BE596" s="543"/>
      <c r="BF596" s="427"/>
      <c r="BG596" s="427"/>
      <c r="BH596" s="427"/>
      <c r="BI596" s="427"/>
      <c r="BJ596" s="427"/>
      <c r="BK596" s="427"/>
      <c r="BL596" s="427"/>
      <c r="BM596" s="427"/>
      <c r="BN596" s="835"/>
      <c r="BO596" s="427"/>
      <c r="BP596" s="427"/>
      <c r="BQ596" s="427"/>
      <c r="BR596" s="427"/>
      <c r="BS596" s="427"/>
      <c r="BT596" s="427"/>
      <c r="BU596" s="427"/>
      <c r="BV596" s="427"/>
      <c r="BW596" s="427"/>
      <c r="BX596" s="427"/>
      <c r="BY596" s="427"/>
      <c r="BZ596" s="427"/>
      <c r="CA596" s="427"/>
      <c r="CB596" s="427"/>
      <c r="CC596" s="427"/>
      <c r="CD596" s="427"/>
      <c r="CE596" s="427"/>
      <c r="CF596" s="544"/>
      <c r="CG596" s="544"/>
      <c r="CH596" s="544"/>
      <c r="CI596" s="544"/>
      <c r="CJ596" s="544"/>
      <c r="CK596" s="427"/>
      <c r="CL596" s="427"/>
      <c r="CM596" s="427"/>
      <c r="CN596" s="544"/>
      <c r="CO596" s="544"/>
      <c r="CP596" s="544"/>
      <c r="CQ596" s="544"/>
      <c r="CR596" s="544"/>
      <c r="CS596" s="544"/>
    </row>
    <row r="597" s="431" customFormat="1" ht="31" hidden="1" customHeight="1" spans="1:97">
      <c r="A597" s="518">
        <v>45965</v>
      </c>
      <c r="B597" s="519" t="s">
        <v>128</v>
      </c>
      <c r="C597" s="520" t="s">
        <v>90</v>
      </c>
      <c r="D597" s="427">
        <v>4500184389</v>
      </c>
      <c r="E597" s="890" t="s">
        <v>2221</v>
      </c>
      <c r="F597" s="427" t="s">
        <v>2222</v>
      </c>
      <c r="G597" s="521" t="s">
        <v>93</v>
      </c>
      <c r="H597" s="520" t="s">
        <v>94</v>
      </c>
      <c r="I597" s="520">
        <v>5440</v>
      </c>
      <c r="J597" s="520">
        <v>0</v>
      </c>
      <c r="K597" s="520">
        <v>4</v>
      </c>
      <c r="L597" s="804">
        <f t="shared" si="178"/>
        <v>1360</v>
      </c>
      <c r="M597" s="537">
        <v>46009</v>
      </c>
      <c r="N597" s="537">
        <v>46006</v>
      </c>
      <c r="O597" s="526"/>
      <c r="P597" s="526" t="s">
        <v>103</v>
      </c>
      <c r="Q597" s="530"/>
      <c r="R597" s="530" t="s">
        <v>2021</v>
      </c>
      <c r="S597" s="533" t="s">
        <v>66</v>
      </c>
      <c r="T597" s="533" t="s">
        <v>133</v>
      </c>
      <c r="U597" s="533"/>
      <c r="V597" s="532"/>
      <c r="W597" s="532" t="s">
        <v>1281</v>
      </c>
      <c r="X597" s="540" t="s">
        <v>98</v>
      </c>
      <c r="Y597" s="538">
        <v>2.5656</v>
      </c>
      <c r="Z597" s="808">
        <f t="shared" si="181"/>
        <v>13956.864</v>
      </c>
      <c r="AA597" s="521"/>
      <c r="AB597" s="520" t="s">
        <v>93</v>
      </c>
      <c r="AC597" s="520" t="s">
        <v>76</v>
      </c>
      <c r="AD597" s="521"/>
      <c r="AE597" s="521"/>
      <c r="AF597" s="521">
        <v>1</v>
      </c>
      <c r="AG597" s="521">
        <f>1440+4000</f>
        <v>5440</v>
      </c>
      <c r="AH597" s="522">
        <f t="shared" si="183"/>
        <v>0</v>
      </c>
      <c r="AI597" s="521"/>
      <c r="AJ597" s="521"/>
      <c r="AK597" s="543"/>
      <c r="AL597" s="543">
        <f t="shared" si="182"/>
        <v>5440</v>
      </c>
      <c r="AM597" s="427"/>
      <c r="AN597" s="543"/>
      <c r="AO597" s="427"/>
      <c r="AP597" s="543">
        <f t="shared" si="187"/>
        <v>5440</v>
      </c>
      <c r="AQ597" s="543"/>
      <c r="AR597" s="543">
        <f t="shared" si="188"/>
        <v>5440</v>
      </c>
      <c r="AS597" s="543"/>
      <c r="AT597" s="543">
        <f t="shared" si="186"/>
        <v>5440</v>
      </c>
      <c r="AU597" s="546"/>
      <c r="AV597" s="427"/>
      <c r="AW597" s="427"/>
      <c r="AX597" s="427"/>
      <c r="AY597" s="427"/>
      <c r="AZ597" s="543"/>
      <c r="BA597" s="543"/>
      <c r="BB597" s="427"/>
      <c r="BC597" s="427"/>
      <c r="BD597" s="543">
        <f t="shared" si="189"/>
        <v>1360</v>
      </c>
      <c r="BE597" s="543"/>
      <c r="BF597" s="427"/>
      <c r="BG597" s="427"/>
      <c r="BH597" s="427"/>
      <c r="BI597" s="427"/>
      <c r="BJ597" s="427"/>
      <c r="BK597" s="427"/>
      <c r="BL597" s="427"/>
      <c r="BM597" s="427"/>
      <c r="BN597" s="835"/>
      <c r="BO597" s="427"/>
      <c r="BP597" s="427"/>
      <c r="BQ597" s="427"/>
      <c r="BR597" s="427"/>
      <c r="BS597" s="427"/>
      <c r="BT597" s="427"/>
      <c r="BU597" s="427"/>
      <c r="BV597" s="427"/>
      <c r="BW597" s="427"/>
      <c r="BX597" s="427"/>
      <c r="BY597" s="427"/>
      <c r="BZ597" s="427"/>
      <c r="CA597" s="427"/>
      <c r="CB597" s="427"/>
      <c r="CC597" s="427"/>
      <c r="CD597" s="427"/>
      <c r="CE597" s="427"/>
      <c r="CF597" s="544"/>
      <c r="CG597" s="544"/>
      <c r="CH597" s="544"/>
      <c r="CI597" s="544"/>
      <c r="CJ597" s="544"/>
      <c r="CK597" s="427"/>
      <c r="CL597" s="427"/>
      <c r="CM597" s="427"/>
      <c r="CN597" s="544"/>
      <c r="CO597" s="544"/>
      <c r="CP597" s="544"/>
      <c r="CQ597" s="544"/>
      <c r="CR597" s="544"/>
      <c r="CS597" s="544"/>
    </row>
    <row r="598" s="431" customFormat="1" ht="31" hidden="1" customHeight="1" spans="1:97">
      <c r="A598" s="518">
        <v>45965</v>
      </c>
      <c r="B598" s="519" t="s">
        <v>128</v>
      </c>
      <c r="C598" s="520" t="s">
        <v>90</v>
      </c>
      <c r="D598" s="427">
        <v>4500184389</v>
      </c>
      <c r="E598" s="890" t="s">
        <v>2223</v>
      </c>
      <c r="F598" s="427" t="s">
        <v>2224</v>
      </c>
      <c r="G598" s="521" t="s">
        <v>93</v>
      </c>
      <c r="H598" s="520" t="s">
        <v>94</v>
      </c>
      <c r="I598" s="520">
        <v>5440</v>
      </c>
      <c r="J598" s="520">
        <v>0</v>
      </c>
      <c r="K598" s="520">
        <v>4</v>
      </c>
      <c r="L598" s="804">
        <f t="shared" si="178"/>
        <v>1360</v>
      </c>
      <c r="M598" s="537">
        <v>46009</v>
      </c>
      <c r="N598" s="537">
        <v>46006</v>
      </c>
      <c r="O598" s="526"/>
      <c r="P598" s="526" t="s">
        <v>103</v>
      </c>
      <c r="Q598" s="530"/>
      <c r="R598" s="530" t="s">
        <v>2021</v>
      </c>
      <c r="S598" s="533" t="s">
        <v>66</v>
      </c>
      <c r="T598" s="533" t="s">
        <v>133</v>
      </c>
      <c r="U598" s="533"/>
      <c r="V598" s="532"/>
      <c r="W598" s="532" t="s">
        <v>1281</v>
      </c>
      <c r="X598" s="540" t="s">
        <v>98</v>
      </c>
      <c r="Y598" s="538">
        <v>2.5656</v>
      </c>
      <c r="Z598" s="808">
        <f t="shared" si="181"/>
        <v>13956.864</v>
      </c>
      <c r="AA598" s="521"/>
      <c r="AB598" s="520" t="s">
        <v>93</v>
      </c>
      <c r="AC598" s="520" t="s">
        <v>76</v>
      </c>
      <c r="AD598" s="521"/>
      <c r="AE598" s="521"/>
      <c r="AF598" s="521">
        <v>1</v>
      </c>
      <c r="AG598" s="521">
        <v>5440</v>
      </c>
      <c r="AH598" s="522">
        <f t="shared" si="183"/>
        <v>0</v>
      </c>
      <c r="AI598" s="521"/>
      <c r="AJ598" s="521"/>
      <c r="AK598" s="543"/>
      <c r="AL598" s="543">
        <f t="shared" si="182"/>
        <v>5440</v>
      </c>
      <c r="AM598" s="427"/>
      <c r="AN598" s="543"/>
      <c r="AO598" s="427"/>
      <c r="AP598" s="543">
        <f t="shared" si="187"/>
        <v>5440</v>
      </c>
      <c r="AQ598" s="543"/>
      <c r="AR598" s="543">
        <f t="shared" si="188"/>
        <v>5440</v>
      </c>
      <c r="AS598" s="543"/>
      <c r="AT598" s="543">
        <f t="shared" si="186"/>
        <v>5440</v>
      </c>
      <c r="AU598" s="546"/>
      <c r="AV598" s="427"/>
      <c r="AW598" s="427"/>
      <c r="AX598" s="427"/>
      <c r="AY598" s="427"/>
      <c r="AZ598" s="543"/>
      <c r="BA598" s="543"/>
      <c r="BB598" s="427"/>
      <c r="BC598" s="427"/>
      <c r="BD598" s="543">
        <f t="shared" si="189"/>
        <v>1360</v>
      </c>
      <c r="BE598" s="543"/>
      <c r="BF598" s="427"/>
      <c r="BG598" s="427"/>
      <c r="BH598" s="427"/>
      <c r="BI598" s="427"/>
      <c r="BJ598" s="427"/>
      <c r="BK598" s="427"/>
      <c r="BL598" s="427"/>
      <c r="BM598" s="427"/>
      <c r="BN598" s="835"/>
      <c r="BO598" s="427"/>
      <c r="BP598" s="427"/>
      <c r="BQ598" s="427"/>
      <c r="BR598" s="427"/>
      <c r="BS598" s="427"/>
      <c r="BT598" s="427"/>
      <c r="BU598" s="427"/>
      <c r="BV598" s="427"/>
      <c r="BW598" s="427"/>
      <c r="BX598" s="427"/>
      <c r="BY598" s="427"/>
      <c r="BZ598" s="427"/>
      <c r="CA598" s="427"/>
      <c r="CB598" s="427"/>
      <c r="CC598" s="427"/>
      <c r="CD598" s="427"/>
      <c r="CE598" s="427"/>
      <c r="CF598" s="544"/>
      <c r="CG598" s="544"/>
      <c r="CH598" s="544"/>
      <c r="CI598" s="544"/>
      <c r="CJ598" s="544"/>
      <c r="CK598" s="427"/>
      <c r="CL598" s="427"/>
      <c r="CM598" s="427"/>
      <c r="CN598" s="544"/>
      <c r="CO598" s="544"/>
      <c r="CP598" s="544"/>
      <c r="CQ598" s="544"/>
      <c r="CR598" s="544"/>
      <c r="CS598" s="544"/>
    </row>
    <row r="599" s="431" customFormat="1" ht="31" hidden="1" customHeight="1" spans="1:97">
      <c r="A599" s="518">
        <v>45965</v>
      </c>
      <c r="B599" s="519" t="s">
        <v>128</v>
      </c>
      <c r="C599" s="520" t="s">
        <v>90</v>
      </c>
      <c r="D599" s="427">
        <v>4500184389</v>
      </c>
      <c r="E599" s="890" t="s">
        <v>2225</v>
      </c>
      <c r="F599" s="427" t="s">
        <v>2226</v>
      </c>
      <c r="G599" s="521" t="s">
        <v>93</v>
      </c>
      <c r="H599" s="520" t="s">
        <v>94</v>
      </c>
      <c r="I599" s="520">
        <v>4160</v>
      </c>
      <c r="J599" s="520">
        <v>0</v>
      </c>
      <c r="K599" s="520">
        <v>4</v>
      </c>
      <c r="L599" s="804">
        <f t="shared" si="178"/>
        <v>1040</v>
      </c>
      <c r="M599" s="537">
        <v>46009</v>
      </c>
      <c r="N599" s="537">
        <v>46006</v>
      </c>
      <c r="O599" s="526"/>
      <c r="P599" s="526" t="s">
        <v>103</v>
      </c>
      <c r="Q599" s="530"/>
      <c r="R599" s="530" t="s">
        <v>2021</v>
      </c>
      <c r="S599" s="533" t="s">
        <v>66</v>
      </c>
      <c r="T599" s="533" t="s">
        <v>133</v>
      </c>
      <c r="U599" s="533"/>
      <c r="V599" s="532"/>
      <c r="W599" s="532" t="s">
        <v>1281</v>
      </c>
      <c r="X599" s="540" t="s">
        <v>98</v>
      </c>
      <c r="Y599" s="538">
        <v>2.5768</v>
      </c>
      <c r="Z599" s="808">
        <f t="shared" si="181"/>
        <v>10719.488</v>
      </c>
      <c r="AA599" s="521"/>
      <c r="AB599" s="520" t="s">
        <v>93</v>
      </c>
      <c r="AC599" s="520" t="s">
        <v>76</v>
      </c>
      <c r="AD599" s="521"/>
      <c r="AE599" s="521"/>
      <c r="AF599" s="521">
        <v>1</v>
      </c>
      <c r="AG599" s="521">
        <f>2880+1280</f>
        <v>4160</v>
      </c>
      <c r="AH599" s="522">
        <f t="shared" si="183"/>
        <v>0</v>
      </c>
      <c r="AI599" s="521"/>
      <c r="AJ599" s="521"/>
      <c r="AK599" s="543"/>
      <c r="AL599" s="543">
        <f t="shared" si="182"/>
        <v>4160</v>
      </c>
      <c r="AM599" s="427"/>
      <c r="AN599" s="543"/>
      <c r="AO599" s="427"/>
      <c r="AP599" s="543">
        <f t="shared" si="187"/>
        <v>4160</v>
      </c>
      <c r="AQ599" s="543"/>
      <c r="AR599" s="543">
        <f t="shared" si="188"/>
        <v>4160</v>
      </c>
      <c r="AS599" s="543"/>
      <c r="AT599" s="543">
        <f t="shared" si="186"/>
        <v>4160</v>
      </c>
      <c r="AU599" s="546"/>
      <c r="AV599" s="427"/>
      <c r="AW599" s="427"/>
      <c r="AX599" s="427"/>
      <c r="AY599" s="427"/>
      <c r="AZ599" s="543"/>
      <c r="BA599" s="543"/>
      <c r="BB599" s="427"/>
      <c r="BC599" s="427"/>
      <c r="BD599" s="543">
        <f t="shared" si="189"/>
        <v>1040</v>
      </c>
      <c r="BE599" s="543"/>
      <c r="BF599" s="427"/>
      <c r="BG599" s="427"/>
      <c r="BH599" s="427"/>
      <c r="BI599" s="427"/>
      <c r="BJ599" s="427"/>
      <c r="BK599" s="427"/>
      <c r="BL599" s="427"/>
      <c r="BM599" s="427"/>
      <c r="BN599" s="835"/>
      <c r="BO599" s="427"/>
      <c r="BP599" s="427"/>
      <c r="BQ599" s="427"/>
      <c r="BR599" s="427"/>
      <c r="BS599" s="427"/>
      <c r="BT599" s="427"/>
      <c r="BU599" s="427"/>
      <c r="BV599" s="427"/>
      <c r="BW599" s="427"/>
      <c r="BX599" s="427"/>
      <c r="BY599" s="427"/>
      <c r="BZ599" s="427"/>
      <c r="CA599" s="427"/>
      <c r="CB599" s="427"/>
      <c r="CC599" s="427"/>
      <c r="CD599" s="427"/>
      <c r="CE599" s="427"/>
      <c r="CF599" s="544"/>
      <c r="CG599" s="544"/>
      <c r="CH599" s="544"/>
      <c r="CI599" s="544"/>
      <c r="CJ599" s="544"/>
      <c r="CK599" s="427"/>
      <c r="CL599" s="427"/>
      <c r="CM599" s="427"/>
      <c r="CN599" s="544"/>
      <c r="CO599" s="544"/>
      <c r="CP599" s="544"/>
      <c r="CQ599" s="544"/>
      <c r="CR599" s="544"/>
      <c r="CS599" s="544"/>
    </row>
    <row r="600" s="431" customFormat="1" ht="31" hidden="1" customHeight="1" spans="1:97">
      <c r="A600" s="518">
        <v>45965</v>
      </c>
      <c r="B600" s="519" t="s">
        <v>128</v>
      </c>
      <c r="C600" s="520" t="s">
        <v>90</v>
      </c>
      <c r="D600" s="427">
        <v>4500184389</v>
      </c>
      <c r="E600" s="890" t="s">
        <v>2227</v>
      </c>
      <c r="F600" s="427" t="s">
        <v>2228</v>
      </c>
      <c r="G600" s="521" t="s">
        <v>93</v>
      </c>
      <c r="H600" s="520" t="s">
        <v>94</v>
      </c>
      <c r="I600" s="520">
        <v>7040</v>
      </c>
      <c r="J600" s="520">
        <v>0</v>
      </c>
      <c r="K600" s="520">
        <v>4</v>
      </c>
      <c r="L600" s="804">
        <f t="shared" si="178"/>
        <v>1760</v>
      </c>
      <c r="M600" s="537">
        <v>46009</v>
      </c>
      <c r="N600" s="537">
        <v>46006</v>
      </c>
      <c r="O600" s="526"/>
      <c r="P600" s="526" t="s">
        <v>103</v>
      </c>
      <c r="Q600" s="530"/>
      <c r="R600" s="530" t="s">
        <v>2021</v>
      </c>
      <c r="S600" s="533" t="s">
        <v>66</v>
      </c>
      <c r="T600" s="533" t="s">
        <v>133</v>
      </c>
      <c r="U600" s="533"/>
      <c r="V600" s="532"/>
      <c r="W600" s="532" t="s">
        <v>1281</v>
      </c>
      <c r="X600" s="540" t="s">
        <v>98</v>
      </c>
      <c r="Y600" s="538">
        <v>2.5656</v>
      </c>
      <c r="Z600" s="808">
        <f t="shared" si="181"/>
        <v>18061.824</v>
      </c>
      <c r="AA600" s="521"/>
      <c r="AB600" s="520" t="s">
        <v>93</v>
      </c>
      <c r="AC600" s="520" t="s">
        <v>76</v>
      </c>
      <c r="AD600" s="521"/>
      <c r="AE600" s="521"/>
      <c r="AF600" s="521">
        <v>1</v>
      </c>
      <c r="AG600" s="521">
        <v>7040</v>
      </c>
      <c r="AH600" s="522">
        <f t="shared" si="183"/>
        <v>0</v>
      </c>
      <c r="AI600" s="521"/>
      <c r="AJ600" s="521"/>
      <c r="AK600" s="543"/>
      <c r="AL600" s="543">
        <f t="shared" si="182"/>
        <v>7040</v>
      </c>
      <c r="AM600" s="427"/>
      <c r="AN600" s="543"/>
      <c r="AO600" s="427"/>
      <c r="AP600" s="543">
        <f t="shared" si="187"/>
        <v>7040</v>
      </c>
      <c r="AQ600" s="543"/>
      <c r="AR600" s="543">
        <f t="shared" si="188"/>
        <v>7040</v>
      </c>
      <c r="AS600" s="543"/>
      <c r="AT600" s="543">
        <f t="shared" si="186"/>
        <v>7040</v>
      </c>
      <c r="AU600" s="546"/>
      <c r="AV600" s="427"/>
      <c r="AW600" s="427"/>
      <c r="AX600" s="427"/>
      <c r="AY600" s="427"/>
      <c r="AZ600" s="543"/>
      <c r="BA600" s="543"/>
      <c r="BB600" s="427"/>
      <c r="BC600" s="427"/>
      <c r="BD600" s="543">
        <f t="shared" si="189"/>
        <v>1760</v>
      </c>
      <c r="BE600" s="543"/>
      <c r="BF600" s="427"/>
      <c r="BG600" s="427"/>
      <c r="BH600" s="427"/>
      <c r="BI600" s="427"/>
      <c r="BJ600" s="427"/>
      <c r="BK600" s="427"/>
      <c r="BL600" s="427"/>
      <c r="BM600" s="427"/>
      <c r="BN600" s="835"/>
      <c r="BO600" s="427"/>
      <c r="BP600" s="427"/>
      <c r="BQ600" s="427"/>
      <c r="BR600" s="427"/>
      <c r="BS600" s="427"/>
      <c r="BT600" s="427"/>
      <c r="BU600" s="427"/>
      <c r="BV600" s="427"/>
      <c r="BW600" s="427"/>
      <c r="BX600" s="427"/>
      <c r="BY600" s="427"/>
      <c r="BZ600" s="427"/>
      <c r="CA600" s="427"/>
      <c r="CB600" s="427"/>
      <c r="CC600" s="427"/>
      <c r="CD600" s="427"/>
      <c r="CE600" s="427"/>
      <c r="CF600" s="544"/>
      <c r="CG600" s="544"/>
      <c r="CH600" s="544"/>
      <c r="CI600" s="544"/>
      <c r="CJ600" s="544"/>
      <c r="CK600" s="427"/>
      <c r="CL600" s="427"/>
      <c r="CM600" s="427"/>
      <c r="CN600" s="544"/>
      <c r="CO600" s="544"/>
      <c r="CP600" s="544"/>
      <c r="CQ600" s="544"/>
      <c r="CR600" s="544"/>
      <c r="CS600" s="544"/>
    </row>
    <row r="601" s="431" customFormat="1" ht="31" hidden="1" customHeight="1" spans="1:97">
      <c r="A601" s="518">
        <v>45965</v>
      </c>
      <c r="B601" s="519" t="s">
        <v>128</v>
      </c>
      <c r="C601" s="520" t="s">
        <v>90</v>
      </c>
      <c r="D601" s="427">
        <v>4500184389</v>
      </c>
      <c r="E601" s="890" t="s">
        <v>2229</v>
      </c>
      <c r="F601" s="427" t="s">
        <v>2230</v>
      </c>
      <c r="G601" s="521" t="s">
        <v>93</v>
      </c>
      <c r="H601" s="520" t="s">
        <v>94</v>
      </c>
      <c r="I601" s="520">
        <v>4800</v>
      </c>
      <c r="J601" s="520">
        <v>0</v>
      </c>
      <c r="K601" s="520">
        <v>4</v>
      </c>
      <c r="L601" s="804">
        <f t="shared" si="178"/>
        <v>1200</v>
      </c>
      <c r="M601" s="537">
        <v>46009</v>
      </c>
      <c r="N601" s="537">
        <v>46006</v>
      </c>
      <c r="O601" s="526"/>
      <c r="P601" s="526" t="s">
        <v>103</v>
      </c>
      <c r="Q601" s="530"/>
      <c r="R601" s="530" t="s">
        <v>2021</v>
      </c>
      <c r="S601" s="533" t="s">
        <v>66</v>
      </c>
      <c r="T601" s="533" t="s">
        <v>133</v>
      </c>
      <c r="U601" s="533"/>
      <c r="V601" s="532"/>
      <c r="W601" s="532" t="s">
        <v>1281</v>
      </c>
      <c r="X601" s="540" t="s">
        <v>98</v>
      </c>
      <c r="Y601" s="538">
        <v>2.5768</v>
      </c>
      <c r="Z601" s="808">
        <f t="shared" si="181"/>
        <v>12368.64</v>
      </c>
      <c r="AA601" s="521"/>
      <c r="AB601" s="520" t="s">
        <v>93</v>
      </c>
      <c r="AC601" s="520" t="s">
        <v>76</v>
      </c>
      <c r="AD601" s="521"/>
      <c r="AE601" s="521"/>
      <c r="AF601" s="521">
        <v>1</v>
      </c>
      <c r="AG601" s="521">
        <v>4800</v>
      </c>
      <c r="AH601" s="522">
        <f t="shared" si="183"/>
        <v>0</v>
      </c>
      <c r="AI601" s="521"/>
      <c r="AJ601" s="521"/>
      <c r="AK601" s="543"/>
      <c r="AL601" s="543">
        <f t="shared" si="182"/>
        <v>4800</v>
      </c>
      <c r="AM601" s="427"/>
      <c r="AN601" s="543"/>
      <c r="AO601" s="427"/>
      <c r="AP601" s="543">
        <f t="shared" si="187"/>
        <v>4800</v>
      </c>
      <c r="AQ601" s="543"/>
      <c r="AR601" s="543">
        <f t="shared" si="188"/>
        <v>4800</v>
      </c>
      <c r="AS601" s="543"/>
      <c r="AT601" s="543">
        <f t="shared" si="186"/>
        <v>4800</v>
      </c>
      <c r="AU601" s="546"/>
      <c r="AV601" s="427"/>
      <c r="AW601" s="427"/>
      <c r="AX601" s="427"/>
      <c r="AY601" s="427"/>
      <c r="AZ601" s="543"/>
      <c r="BA601" s="543"/>
      <c r="BB601" s="427"/>
      <c r="BC601" s="427"/>
      <c r="BD601" s="543">
        <f t="shared" si="189"/>
        <v>1200</v>
      </c>
      <c r="BE601" s="543"/>
      <c r="BF601" s="427"/>
      <c r="BG601" s="427"/>
      <c r="BH601" s="427"/>
      <c r="BI601" s="427"/>
      <c r="BJ601" s="427"/>
      <c r="BK601" s="427"/>
      <c r="BL601" s="427"/>
      <c r="BM601" s="427"/>
      <c r="BN601" s="835"/>
      <c r="BO601" s="427"/>
      <c r="BP601" s="427"/>
      <c r="BQ601" s="427"/>
      <c r="BR601" s="427"/>
      <c r="BS601" s="427"/>
      <c r="BT601" s="427"/>
      <c r="BU601" s="427"/>
      <c r="BV601" s="427"/>
      <c r="BW601" s="427"/>
      <c r="BX601" s="427"/>
      <c r="BY601" s="427"/>
      <c r="BZ601" s="427"/>
      <c r="CA601" s="427"/>
      <c r="CB601" s="427"/>
      <c r="CC601" s="427"/>
      <c r="CD601" s="427"/>
      <c r="CE601" s="427"/>
      <c r="CF601" s="544"/>
      <c r="CG601" s="544"/>
      <c r="CH601" s="544"/>
      <c r="CI601" s="544"/>
      <c r="CJ601" s="544"/>
      <c r="CK601" s="427"/>
      <c r="CL601" s="427"/>
      <c r="CM601" s="427"/>
      <c r="CN601" s="544"/>
      <c r="CO601" s="544"/>
      <c r="CP601" s="544"/>
      <c r="CQ601" s="544"/>
      <c r="CR601" s="544"/>
      <c r="CS601" s="544"/>
    </row>
    <row r="602" s="431" customFormat="1" ht="31" hidden="1" customHeight="1" spans="1:97">
      <c r="A602" s="518">
        <v>45905</v>
      </c>
      <c r="B602" s="519" t="s">
        <v>1669</v>
      </c>
      <c r="C602" s="520" t="s">
        <v>663</v>
      </c>
      <c r="D602" s="427">
        <v>4500178919</v>
      </c>
      <c r="E602" s="520">
        <v>5000001988</v>
      </c>
      <c r="F602" s="427" t="s">
        <v>2231</v>
      </c>
      <c r="G602" s="521" t="s">
        <v>463</v>
      </c>
      <c r="H602" s="520" t="s">
        <v>424</v>
      </c>
      <c r="I602" s="520">
        <v>9996</v>
      </c>
      <c r="J602" s="520">
        <v>0</v>
      </c>
      <c r="K602" s="520">
        <v>6</v>
      </c>
      <c r="L602" s="804">
        <f t="shared" si="178"/>
        <v>1666</v>
      </c>
      <c r="M602" s="537">
        <v>46010</v>
      </c>
      <c r="N602" s="537">
        <v>46006</v>
      </c>
      <c r="O602" s="526"/>
      <c r="P602" s="526" t="s">
        <v>103</v>
      </c>
      <c r="Q602" s="530"/>
      <c r="R602" s="530">
        <v>45960</v>
      </c>
      <c r="S602" s="784" t="s">
        <v>96</v>
      </c>
      <c r="T602" s="533" t="s">
        <v>2067</v>
      </c>
      <c r="U602" s="532"/>
      <c r="V602" s="532"/>
      <c r="W602" s="531" t="s">
        <v>2068</v>
      </c>
      <c r="X602" s="540" t="s">
        <v>1674</v>
      </c>
      <c r="Y602" s="538">
        <v>6.3409</v>
      </c>
      <c r="Z602" s="808">
        <f t="shared" si="181"/>
        <v>63383.6364</v>
      </c>
      <c r="AA602" s="521"/>
      <c r="AB602" s="521" t="s">
        <v>2069</v>
      </c>
      <c r="AC602" s="520" t="s">
        <v>76</v>
      </c>
      <c r="AD602" s="521"/>
      <c r="AE602" s="521"/>
      <c r="AF602" s="521">
        <v>1</v>
      </c>
      <c r="AG602" s="521">
        <f>4536+3888+1296+276</f>
        <v>9996</v>
      </c>
      <c r="AH602" s="522">
        <f t="shared" si="183"/>
        <v>0</v>
      </c>
      <c r="AI602" s="521"/>
      <c r="AJ602" s="521"/>
      <c r="AK602" s="543"/>
      <c r="AL602" s="543">
        <f t="shared" si="182"/>
        <v>9996</v>
      </c>
      <c r="AM602" s="628"/>
      <c r="AN602" s="543"/>
      <c r="AO602" s="628"/>
      <c r="AP602" s="543">
        <f t="shared" si="187"/>
        <v>9996</v>
      </c>
      <c r="AQ602" s="543"/>
      <c r="AR602" s="543"/>
      <c r="AS602" s="543">
        <f>I602</f>
        <v>9996</v>
      </c>
      <c r="AT602" s="543"/>
      <c r="AU602" s="791">
        <f>I602</f>
        <v>9996</v>
      </c>
      <c r="AV602" s="427"/>
      <c r="AW602" s="628"/>
      <c r="AX602" s="628"/>
      <c r="AY602" s="628"/>
      <c r="AZ602" s="543"/>
      <c r="BA602" s="543"/>
      <c r="BB602" s="628"/>
      <c r="BC602" s="628"/>
      <c r="BD602" s="543"/>
      <c r="BE602" s="543"/>
      <c r="BF602" s="628"/>
      <c r="BG602" s="628"/>
      <c r="BH602" s="628"/>
      <c r="BI602" s="543"/>
      <c r="BJ602" s="427">
        <f>I602</f>
        <v>9996</v>
      </c>
      <c r="BK602" s="628"/>
      <c r="BL602" s="628"/>
      <c r="BM602" s="628"/>
      <c r="CF602" s="544"/>
      <c r="CG602" s="544"/>
      <c r="CH602" s="544"/>
      <c r="CI602" s="544"/>
      <c r="CJ602" s="544"/>
      <c r="CN602" s="544"/>
      <c r="CO602" s="544"/>
      <c r="CP602" s="544"/>
      <c r="CQ602" s="544"/>
      <c r="CR602" s="544"/>
      <c r="CS602" s="544"/>
    </row>
    <row r="603" s="431" customFormat="1" ht="31" hidden="1" customHeight="1" spans="1:97">
      <c r="A603" s="518">
        <v>45953</v>
      </c>
      <c r="B603" s="519" t="s">
        <v>2232</v>
      </c>
      <c r="C603" s="520" t="s">
        <v>416</v>
      </c>
      <c r="D603" s="427">
        <v>4500182863</v>
      </c>
      <c r="E603" s="520">
        <v>50876</v>
      </c>
      <c r="F603" s="427" t="s">
        <v>2233</v>
      </c>
      <c r="G603" s="521" t="s">
        <v>64</v>
      </c>
      <c r="H603" s="520" t="s">
        <v>65</v>
      </c>
      <c r="I603" s="520">
        <v>192</v>
      </c>
      <c r="J603" s="520">
        <v>0</v>
      </c>
      <c r="K603" s="520">
        <v>12</v>
      </c>
      <c r="L603" s="804">
        <f t="shared" si="178"/>
        <v>16</v>
      </c>
      <c r="M603" s="537">
        <v>46009</v>
      </c>
      <c r="N603" s="537">
        <v>46006</v>
      </c>
      <c r="O603" s="526"/>
      <c r="P603" s="526" t="s">
        <v>103</v>
      </c>
      <c r="Q603" s="530"/>
      <c r="R603" s="530">
        <v>45953</v>
      </c>
      <c r="S603" s="533" t="s">
        <v>66</v>
      </c>
      <c r="T603" s="533" t="s">
        <v>2234</v>
      </c>
      <c r="U603" s="532"/>
      <c r="V603" s="532"/>
      <c r="W603" s="532" t="s">
        <v>2235</v>
      </c>
      <c r="X603" s="540" t="s">
        <v>2236</v>
      </c>
      <c r="Y603" s="538">
        <v>4.18</v>
      </c>
      <c r="Z603" s="808">
        <f t="shared" si="181"/>
        <v>802.56</v>
      </c>
      <c r="AA603" s="521"/>
      <c r="AB603" s="520" t="s">
        <v>2237</v>
      </c>
      <c r="AC603" s="520" t="s">
        <v>76</v>
      </c>
      <c r="AD603" s="521"/>
      <c r="AE603" s="521"/>
      <c r="AF603" s="521">
        <v>1</v>
      </c>
      <c r="AG603" s="521">
        <v>192</v>
      </c>
      <c r="AH603" s="522">
        <f t="shared" si="183"/>
        <v>0</v>
      </c>
      <c r="AI603" s="521"/>
      <c r="AJ603" s="521"/>
      <c r="AK603" s="543"/>
      <c r="AL603" s="543">
        <f t="shared" si="182"/>
        <v>192</v>
      </c>
      <c r="AM603" s="427"/>
      <c r="AN603" s="543"/>
      <c r="AO603" s="427"/>
      <c r="AP603" s="543"/>
      <c r="AQ603" s="543"/>
      <c r="AR603" s="543"/>
      <c r="AS603" s="543"/>
      <c r="AT603" s="543">
        <f t="shared" ref="AT603:AT614" si="190">I603</f>
        <v>192</v>
      </c>
      <c r="AU603" s="546"/>
      <c r="AV603" s="427"/>
      <c r="AW603" s="427"/>
      <c r="AX603" s="427"/>
      <c r="AY603" s="427"/>
      <c r="AZ603" s="543">
        <f>I603</f>
        <v>192</v>
      </c>
      <c r="BA603" s="543">
        <f>I603</f>
        <v>192</v>
      </c>
      <c r="BB603" s="427"/>
      <c r="BC603" s="427"/>
      <c r="BD603" s="543"/>
      <c r="BE603" s="543"/>
      <c r="BF603" s="427"/>
      <c r="BG603" s="427"/>
      <c r="BH603" s="427"/>
      <c r="BI603" s="427"/>
      <c r="BJ603" s="427"/>
      <c r="BK603" s="427"/>
      <c r="BL603" s="427"/>
      <c r="BM603" s="427"/>
      <c r="BN603" s="835"/>
      <c r="BO603" s="427"/>
      <c r="BP603" s="427"/>
      <c r="BQ603" s="427"/>
      <c r="BR603" s="427"/>
      <c r="BS603" s="427"/>
      <c r="BT603" s="427"/>
      <c r="BU603" s="427"/>
      <c r="BV603" s="427"/>
      <c r="BW603" s="427"/>
      <c r="BX603" s="427"/>
      <c r="BY603" s="427"/>
      <c r="BZ603" s="427"/>
      <c r="CA603" s="427"/>
      <c r="CB603" s="427"/>
      <c r="CC603" s="427"/>
      <c r="CD603" s="427"/>
      <c r="CE603" s="427"/>
      <c r="CF603" s="544"/>
      <c r="CG603" s="544"/>
      <c r="CH603" s="544"/>
      <c r="CI603" s="544"/>
      <c r="CJ603" s="544"/>
      <c r="CK603" s="427"/>
      <c r="CL603" s="427"/>
      <c r="CM603" s="427"/>
      <c r="CN603" s="544"/>
      <c r="CO603" s="544"/>
      <c r="CP603" s="544"/>
      <c r="CQ603" s="544"/>
      <c r="CR603" s="544"/>
      <c r="CS603" s="544"/>
    </row>
    <row r="604" s="431" customFormat="1" ht="31" hidden="1" customHeight="1" spans="1:97">
      <c r="A604" s="518">
        <v>45958</v>
      </c>
      <c r="B604" s="519" t="s">
        <v>2238</v>
      </c>
      <c r="C604" s="520" t="s">
        <v>153</v>
      </c>
      <c r="D604" s="427">
        <v>4500183410</v>
      </c>
      <c r="E604" s="520" t="s">
        <v>2239</v>
      </c>
      <c r="F604" s="427" t="s">
        <v>2240</v>
      </c>
      <c r="G604" s="521" t="s">
        <v>64</v>
      </c>
      <c r="H604" s="520" t="s">
        <v>65</v>
      </c>
      <c r="I604" s="520">
        <v>600</v>
      </c>
      <c r="J604" s="520">
        <v>0</v>
      </c>
      <c r="K604" s="520">
        <v>12</v>
      </c>
      <c r="L604" s="804">
        <f t="shared" si="178"/>
        <v>50</v>
      </c>
      <c r="M604" s="537">
        <v>46009</v>
      </c>
      <c r="N604" s="537">
        <v>46006</v>
      </c>
      <c r="O604" s="526"/>
      <c r="P604" s="526" t="s">
        <v>103</v>
      </c>
      <c r="Q604" s="530"/>
      <c r="R604" s="530">
        <v>45965</v>
      </c>
      <c r="S604" s="533" t="s">
        <v>66</v>
      </c>
      <c r="T604" s="533" t="s">
        <v>2241</v>
      </c>
      <c r="U604" s="532"/>
      <c r="V604" s="532"/>
      <c r="W604" s="532" t="s">
        <v>2242</v>
      </c>
      <c r="X604" s="540" t="s">
        <v>1213</v>
      </c>
      <c r="Y604" s="538">
        <v>4.1623</v>
      </c>
      <c r="Z604" s="808">
        <f t="shared" si="181"/>
        <v>2497.38</v>
      </c>
      <c r="AA604" s="521"/>
      <c r="AB604" s="520" t="s">
        <v>165</v>
      </c>
      <c r="AC604" s="520" t="s">
        <v>76</v>
      </c>
      <c r="AD604" s="521"/>
      <c r="AE604" s="521"/>
      <c r="AF604" s="521">
        <v>1</v>
      </c>
      <c r="AG604" s="521">
        <v>600</v>
      </c>
      <c r="AH604" s="522">
        <f t="shared" si="183"/>
        <v>0</v>
      </c>
      <c r="AI604" s="521"/>
      <c r="AJ604" s="521"/>
      <c r="AK604" s="543"/>
      <c r="AL604" s="543">
        <f t="shared" si="182"/>
        <v>600</v>
      </c>
      <c r="AM604" s="427"/>
      <c r="AN604" s="543"/>
      <c r="AO604" s="427"/>
      <c r="AP604" s="543"/>
      <c r="AQ604" s="543">
        <f>I604</f>
        <v>600</v>
      </c>
      <c r="AR604" s="543">
        <f t="shared" ref="AR604:AR614" si="191">I604</f>
        <v>600</v>
      </c>
      <c r="AS604" s="543"/>
      <c r="AT604" s="543">
        <f t="shared" si="190"/>
        <v>600</v>
      </c>
      <c r="AU604" s="546"/>
      <c r="AV604" s="427"/>
      <c r="AW604" s="628"/>
      <c r="AX604" s="628"/>
      <c r="AY604" s="628"/>
      <c r="AZ604" s="543"/>
      <c r="BA604" s="543"/>
      <c r="BB604" s="628"/>
      <c r="BC604" s="628"/>
      <c r="BD604" s="543"/>
      <c r="BE604" s="543"/>
      <c r="BF604" s="628"/>
      <c r="BG604" s="628"/>
      <c r="BH604" s="628"/>
      <c r="BI604" s="543"/>
      <c r="BJ604" s="543"/>
      <c r="BK604" s="628"/>
      <c r="BL604" s="628"/>
      <c r="BM604" s="628"/>
      <c r="CF604" s="544"/>
      <c r="CG604" s="544"/>
      <c r="CH604" s="544"/>
      <c r="CI604" s="544"/>
      <c r="CJ604" s="544"/>
      <c r="CN604" s="544"/>
      <c r="CO604" s="544"/>
      <c r="CP604" s="544"/>
      <c r="CQ604" s="544"/>
      <c r="CR604" s="544"/>
      <c r="CS604" s="544"/>
    </row>
    <row r="605" s="431" customFormat="1" ht="31" hidden="1" customHeight="1" spans="1:97">
      <c r="A605" s="518">
        <v>45961</v>
      </c>
      <c r="B605" s="519" t="s">
        <v>1782</v>
      </c>
      <c r="C605" s="520" t="s">
        <v>139</v>
      </c>
      <c r="D605" s="427">
        <v>4500183904</v>
      </c>
      <c r="E605" s="520" t="s">
        <v>2243</v>
      </c>
      <c r="F605" s="628" t="s">
        <v>2244</v>
      </c>
      <c r="G605" s="521" t="s">
        <v>64</v>
      </c>
      <c r="H605" s="520" t="s">
        <v>65</v>
      </c>
      <c r="I605" s="520">
        <v>576</v>
      </c>
      <c r="J605" s="520">
        <v>0</v>
      </c>
      <c r="K605" s="520">
        <v>12</v>
      </c>
      <c r="L605" s="804">
        <f t="shared" si="178"/>
        <v>48</v>
      </c>
      <c r="M605" s="537">
        <v>46009</v>
      </c>
      <c r="N605" s="537">
        <v>46006</v>
      </c>
      <c r="O605" s="526"/>
      <c r="P605" s="526" t="s">
        <v>103</v>
      </c>
      <c r="Q605" s="530"/>
      <c r="R605" s="530" t="s">
        <v>492</v>
      </c>
      <c r="S605" s="533" t="s">
        <v>66</v>
      </c>
      <c r="T605" s="533" t="s">
        <v>2245</v>
      </c>
      <c r="U605" s="532"/>
      <c r="V605" s="532"/>
      <c r="W605" s="532" t="s">
        <v>2246</v>
      </c>
      <c r="X605" s="540" t="s">
        <v>414</v>
      </c>
      <c r="Y605" s="538">
        <v>4.1623</v>
      </c>
      <c r="Z605" s="808">
        <f t="shared" si="181"/>
        <v>2397.4848</v>
      </c>
      <c r="AA605" s="521"/>
      <c r="AB605" s="520" t="s">
        <v>165</v>
      </c>
      <c r="AC605" s="520" t="s">
        <v>76</v>
      </c>
      <c r="AD605" s="521"/>
      <c r="AE605" s="521"/>
      <c r="AF605" s="521">
        <v>1</v>
      </c>
      <c r="AG605" s="521">
        <v>576</v>
      </c>
      <c r="AH605" s="522">
        <f t="shared" si="183"/>
        <v>0</v>
      </c>
      <c r="AI605" s="521"/>
      <c r="AJ605" s="521"/>
      <c r="AK605" s="543"/>
      <c r="AL605" s="543">
        <f t="shared" si="182"/>
        <v>576</v>
      </c>
      <c r="AM605" s="427"/>
      <c r="AN605" s="543"/>
      <c r="AO605" s="427"/>
      <c r="AP605" s="543"/>
      <c r="AQ605" s="543">
        <f>I605</f>
        <v>576</v>
      </c>
      <c r="AR605" s="543">
        <f t="shared" si="191"/>
        <v>576</v>
      </c>
      <c r="AS605" s="543"/>
      <c r="AT605" s="543">
        <f t="shared" si="190"/>
        <v>576</v>
      </c>
      <c r="AU605" s="546"/>
      <c r="AV605" s="427"/>
      <c r="AW605" s="628"/>
      <c r="AX605" s="628"/>
      <c r="AY605" s="628"/>
      <c r="AZ605" s="543"/>
      <c r="BA605" s="543"/>
      <c r="BB605" s="628"/>
      <c r="BC605" s="628"/>
      <c r="BD605" s="543"/>
      <c r="BE605" s="543"/>
      <c r="BF605" s="628"/>
      <c r="BG605" s="628"/>
      <c r="BH605" s="628"/>
      <c r="BI605" s="543"/>
      <c r="BJ605" s="543"/>
      <c r="BK605" s="628"/>
      <c r="BL605" s="628"/>
      <c r="BM605" s="628"/>
      <c r="CF605" s="544"/>
      <c r="CG605" s="544"/>
      <c r="CH605" s="544"/>
      <c r="CI605" s="544"/>
      <c r="CJ605" s="544"/>
      <c r="CN605" s="544"/>
      <c r="CO605" s="544"/>
      <c r="CP605" s="544"/>
      <c r="CQ605" s="544"/>
      <c r="CR605" s="544"/>
      <c r="CS605" s="544"/>
    </row>
    <row r="606" s="431" customFormat="1" ht="31" hidden="1" customHeight="1" spans="1:97">
      <c r="A606" s="518">
        <v>45945</v>
      </c>
      <c r="B606" s="519" t="s">
        <v>2247</v>
      </c>
      <c r="C606" s="520" t="s">
        <v>216</v>
      </c>
      <c r="D606" s="427">
        <v>4500182014</v>
      </c>
      <c r="E606" s="520">
        <v>20119</v>
      </c>
      <c r="F606" s="427" t="s">
        <v>2248</v>
      </c>
      <c r="G606" s="521" t="s">
        <v>64</v>
      </c>
      <c r="H606" s="520" t="s">
        <v>65</v>
      </c>
      <c r="I606" s="520">
        <v>480</v>
      </c>
      <c r="J606" s="520">
        <v>0</v>
      </c>
      <c r="K606" s="520">
        <v>12</v>
      </c>
      <c r="L606" s="804">
        <f t="shared" si="178"/>
        <v>40</v>
      </c>
      <c r="M606" s="537">
        <v>46010</v>
      </c>
      <c r="N606" s="537">
        <v>46006</v>
      </c>
      <c r="O606" s="526"/>
      <c r="P606" s="526" t="s">
        <v>103</v>
      </c>
      <c r="Q606" s="530"/>
      <c r="R606" s="530">
        <v>45946</v>
      </c>
      <c r="S606" s="533" t="s">
        <v>66</v>
      </c>
      <c r="T606" s="533" t="s">
        <v>2249</v>
      </c>
      <c r="U606" s="532"/>
      <c r="V606" s="532"/>
      <c r="W606" s="531" t="s">
        <v>2250</v>
      </c>
      <c r="X606" s="540" t="s">
        <v>269</v>
      </c>
      <c r="Y606" s="538">
        <v>4.1456</v>
      </c>
      <c r="Z606" s="808">
        <f t="shared" si="181"/>
        <v>1989.888</v>
      </c>
      <c r="AA606" s="521"/>
      <c r="AB606" s="520" t="s">
        <v>165</v>
      </c>
      <c r="AC606" s="520" t="s">
        <v>76</v>
      </c>
      <c r="AD606" s="521"/>
      <c r="AE606" s="521"/>
      <c r="AF606" s="521">
        <v>1</v>
      </c>
      <c r="AG606" s="521">
        <v>480</v>
      </c>
      <c r="AH606" s="522">
        <f t="shared" si="183"/>
        <v>0</v>
      </c>
      <c r="AI606" s="521"/>
      <c r="AJ606" s="521"/>
      <c r="AK606" s="543"/>
      <c r="AL606" s="543">
        <f t="shared" si="182"/>
        <v>480</v>
      </c>
      <c r="AM606" s="427"/>
      <c r="AN606" s="543"/>
      <c r="AO606" s="427"/>
      <c r="AP606" s="543"/>
      <c r="AQ606" s="543">
        <f>I606</f>
        <v>480</v>
      </c>
      <c r="AR606" s="543">
        <f t="shared" si="191"/>
        <v>480</v>
      </c>
      <c r="AS606" s="543"/>
      <c r="AT606" s="601">
        <f t="shared" si="190"/>
        <v>480</v>
      </c>
      <c r="AU606" s="546"/>
      <c r="AV606" s="427"/>
      <c r="AW606" s="427"/>
      <c r="AX606" s="427"/>
      <c r="AY606" s="427"/>
      <c r="AZ606" s="543"/>
      <c r="BA606" s="543"/>
      <c r="BB606" s="427"/>
      <c r="BC606" s="427"/>
      <c r="BD606" s="543"/>
      <c r="BE606" s="543"/>
      <c r="BF606" s="427"/>
      <c r="BG606" s="427"/>
      <c r="BH606" s="427"/>
      <c r="BI606" s="427"/>
      <c r="BJ606" s="427"/>
      <c r="BK606" s="427"/>
      <c r="BL606" s="427"/>
      <c r="BM606" s="427"/>
      <c r="BN606" s="835"/>
      <c r="BO606" s="427"/>
      <c r="BP606" s="427"/>
      <c r="BQ606" s="427"/>
      <c r="BR606" s="427"/>
      <c r="BS606" s="427"/>
      <c r="BT606" s="427"/>
      <c r="BU606" s="427"/>
      <c r="BV606" s="427"/>
      <c r="BW606" s="427"/>
      <c r="BX606" s="427"/>
      <c r="BY606" s="427"/>
      <c r="BZ606" s="427"/>
      <c r="CA606" s="427"/>
      <c r="CB606" s="427"/>
      <c r="CC606" s="427"/>
      <c r="CD606" s="427"/>
      <c r="CE606" s="427"/>
      <c r="CF606" s="544"/>
      <c r="CG606" s="544"/>
      <c r="CH606" s="544"/>
      <c r="CI606" s="544"/>
      <c r="CJ606" s="544"/>
      <c r="CK606" s="427"/>
      <c r="CL606" s="427"/>
      <c r="CM606" s="427"/>
      <c r="CN606" s="544"/>
      <c r="CO606" s="544"/>
      <c r="CP606" s="544"/>
      <c r="CQ606" s="544"/>
      <c r="CR606" s="544"/>
      <c r="CS606" s="544"/>
    </row>
    <row r="607" s="431" customFormat="1" ht="31" hidden="1" customHeight="1" spans="1:97">
      <c r="A607" s="518">
        <v>45940</v>
      </c>
      <c r="B607" s="519" t="s">
        <v>108</v>
      </c>
      <c r="C607" s="520" t="s">
        <v>90</v>
      </c>
      <c r="D607" s="427">
        <v>4500181257</v>
      </c>
      <c r="E607" s="520" t="s">
        <v>109</v>
      </c>
      <c r="F607" s="427" t="s">
        <v>2251</v>
      </c>
      <c r="G607" s="521" t="s">
        <v>111</v>
      </c>
      <c r="H607" s="520" t="s">
        <v>65</v>
      </c>
      <c r="I607" s="520">
        <v>3000</v>
      </c>
      <c r="J607" s="520">
        <v>0</v>
      </c>
      <c r="K607" s="520">
        <v>12</v>
      </c>
      <c r="L607" s="804">
        <f t="shared" si="178"/>
        <v>250</v>
      </c>
      <c r="M607" s="537">
        <v>46011</v>
      </c>
      <c r="N607" s="537">
        <v>46007</v>
      </c>
      <c r="O607" s="526"/>
      <c r="P607" s="526" t="s">
        <v>103</v>
      </c>
      <c r="Q607" s="530"/>
      <c r="R607" s="530">
        <v>45940</v>
      </c>
      <c r="S607" s="533" t="s">
        <v>66</v>
      </c>
      <c r="T607" s="533" t="s">
        <v>66</v>
      </c>
      <c r="U607" s="532"/>
      <c r="V607" s="532"/>
      <c r="W607" s="532" t="s">
        <v>2030</v>
      </c>
      <c r="X607" s="540" t="s">
        <v>1512</v>
      </c>
      <c r="Y607" s="538">
        <v>2.4842</v>
      </c>
      <c r="Z607" s="808">
        <f t="shared" si="181"/>
        <v>7452.6</v>
      </c>
      <c r="AA607" s="521"/>
      <c r="AB607" s="520" t="s">
        <v>64</v>
      </c>
      <c r="AC607" s="520" t="s">
        <v>76</v>
      </c>
      <c r="AD607" s="521"/>
      <c r="AE607" s="521"/>
      <c r="AF607" s="521">
        <v>1</v>
      </c>
      <c r="AG607" s="521">
        <v>3000</v>
      </c>
      <c r="AH607" s="522">
        <f t="shared" si="183"/>
        <v>0</v>
      </c>
      <c r="AI607" s="521"/>
      <c r="AJ607" s="521"/>
      <c r="AK607" s="543"/>
      <c r="AL607" s="543">
        <f t="shared" si="182"/>
        <v>3000</v>
      </c>
      <c r="AM607" s="427"/>
      <c r="AN607" s="543"/>
      <c r="AO607" s="427"/>
      <c r="AP607" s="543">
        <f>I607</f>
        <v>3000</v>
      </c>
      <c r="AQ607" s="543"/>
      <c r="AR607" s="543">
        <f t="shared" si="191"/>
        <v>3000</v>
      </c>
      <c r="AS607" s="543"/>
      <c r="AT607" s="543">
        <f t="shared" si="190"/>
        <v>3000</v>
      </c>
      <c r="AU607" s="546"/>
      <c r="AV607" s="427"/>
      <c r="AW607" s="427"/>
      <c r="AX607" s="427"/>
      <c r="AY607" s="427"/>
      <c r="AZ607" s="543"/>
      <c r="BA607" s="543"/>
      <c r="BB607" s="427"/>
      <c r="BC607" s="427"/>
      <c r="BD607" s="543"/>
      <c r="BE607" s="543"/>
      <c r="BF607" s="427"/>
      <c r="BG607" s="427"/>
      <c r="BH607" s="427"/>
      <c r="BI607" s="427"/>
      <c r="BJ607" s="427"/>
      <c r="BK607" s="427"/>
      <c r="BL607" s="427"/>
      <c r="BM607" s="427"/>
      <c r="BN607" s="835"/>
      <c r="BO607" s="427"/>
      <c r="BP607" s="427"/>
      <c r="BQ607" s="427"/>
      <c r="BR607" s="427"/>
      <c r="BS607" s="427"/>
      <c r="BT607" s="427"/>
      <c r="BU607" s="427"/>
      <c r="BV607" s="427"/>
      <c r="BW607" s="427"/>
      <c r="BX607" s="427"/>
      <c r="BY607" s="427"/>
      <c r="BZ607" s="427"/>
      <c r="CA607" s="427"/>
      <c r="CB607" s="427"/>
      <c r="CC607" s="427"/>
      <c r="CD607" s="427"/>
      <c r="CE607" s="427"/>
      <c r="CF607" s="544"/>
      <c r="CG607" s="544"/>
      <c r="CH607" s="544"/>
      <c r="CI607" s="544"/>
      <c r="CJ607" s="544"/>
      <c r="CK607" s="427"/>
      <c r="CL607" s="427"/>
      <c r="CM607" s="427"/>
      <c r="CN607" s="544"/>
      <c r="CO607" s="544"/>
      <c r="CP607" s="544"/>
      <c r="CQ607" s="544"/>
      <c r="CR607" s="544"/>
      <c r="CS607" s="544"/>
    </row>
    <row r="608" s="431" customFormat="1" ht="31" hidden="1" customHeight="1" spans="1:97">
      <c r="A608" s="518">
        <v>45964</v>
      </c>
      <c r="B608" s="519" t="s">
        <v>1172</v>
      </c>
      <c r="C608" s="520" t="s">
        <v>90</v>
      </c>
      <c r="D608" s="427">
        <v>4500184164</v>
      </c>
      <c r="E608" s="520">
        <v>16000287</v>
      </c>
      <c r="F608" s="427" t="s">
        <v>2252</v>
      </c>
      <c r="G608" s="521" t="s">
        <v>1253</v>
      </c>
      <c r="H608" s="520" t="s">
        <v>1254</v>
      </c>
      <c r="I608" s="520">
        <v>240</v>
      </c>
      <c r="J608" s="520">
        <v>0</v>
      </c>
      <c r="K608" s="520">
        <v>4</v>
      </c>
      <c r="L608" s="804">
        <f t="shared" si="178"/>
        <v>60</v>
      </c>
      <c r="M608" s="806">
        <v>46013</v>
      </c>
      <c r="N608" s="806">
        <v>46009</v>
      </c>
      <c r="O608" s="526"/>
      <c r="P608" s="526" t="s">
        <v>103</v>
      </c>
      <c r="Q608" s="530"/>
      <c r="R608" s="533" t="s">
        <v>1176</v>
      </c>
      <c r="S608" s="533" t="s">
        <v>96</v>
      </c>
      <c r="T608" s="533" t="s">
        <v>2253</v>
      </c>
      <c r="U608" s="532"/>
      <c r="V608" s="532"/>
      <c r="W608" s="532" t="s">
        <v>2254</v>
      </c>
      <c r="X608" s="540" t="s">
        <v>1178</v>
      </c>
      <c r="Y608" s="538">
        <v>2.5392</v>
      </c>
      <c r="Z608" s="808">
        <f t="shared" si="181"/>
        <v>609.408</v>
      </c>
      <c r="AA608" s="521"/>
      <c r="AB608" s="521" t="s">
        <v>1253</v>
      </c>
      <c r="AC608" s="509" t="s">
        <v>76</v>
      </c>
      <c r="AD608" s="521"/>
      <c r="AE608" s="521"/>
      <c r="AF608" s="521">
        <v>1</v>
      </c>
      <c r="AG608" s="522">
        <f>I608</f>
        <v>240</v>
      </c>
      <c r="AH608" s="522">
        <f t="shared" si="183"/>
        <v>0</v>
      </c>
      <c r="AI608" s="521"/>
      <c r="AJ608" s="521"/>
      <c r="AK608" s="543"/>
      <c r="AL608" s="543">
        <f t="shared" si="182"/>
        <v>240</v>
      </c>
      <c r="AM608" s="427"/>
      <c r="AN608" s="543"/>
      <c r="AO608" s="427"/>
      <c r="AP608" s="543">
        <f>I608</f>
        <v>240</v>
      </c>
      <c r="AQ608" s="543"/>
      <c r="AR608" s="543">
        <f t="shared" si="191"/>
        <v>240</v>
      </c>
      <c r="AS608" s="543"/>
      <c r="AT608" s="543">
        <f t="shared" si="190"/>
        <v>240</v>
      </c>
      <c r="AU608" s="546"/>
      <c r="AV608" s="427"/>
      <c r="AW608" s="427"/>
      <c r="AX608" s="427"/>
      <c r="AY608" s="427"/>
      <c r="AZ608" s="543"/>
      <c r="BA608" s="543"/>
      <c r="BB608" s="427"/>
      <c r="BC608" s="427"/>
      <c r="BD608" s="543"/>
      <c r="BE608" s="543"/>
      <c r="BF608" s="427"/>
      <c r="BG608" s="427"/>
      <c r="BH608" s="427"/>
      <c r="BI608" s="427"/>
      <c r="BJ608" s="427"/>
      <c r="BK608" s="427"/>
      <c r="BL608" s="427"/>
      <c r="BM608" s="427"/>
      <c r="BN608" s="835"/>
      <c r="BO608" s="427"/>
      <c r="BP608" s="427"/>
      <c r="BQ608" s="427"/>
      <c r="BR608" s="427"/>
      <c r="BS608" s="427"/>
      <c r="BT608" s="427"/>
      <c r="BU608" s="427"/>
      <c r="BV608" s="427"/>
      <c r="BW608" s="427"/>
      <c r="BX608" s="427"/>
      <c r="BY608" s="427"/>
      <c r="BZ608" s="427"/>
      <c r="CA608" s="427"/>
      <c r="CB608" s="427"/>
      <c r="CC608" s="427"/>
      <c r="CD608" s="427"/>
      <c r="CE608" s="427"/>
      <c r="CF608" s="544"/>
      <c r="CG608" s="544"/>
      <c r="CH608" s="544"/>
      <c r="CI608" s="544"/>
      <c r="CJ608" s="544"/>
      <c r="CK608" s="427"/>
      <c r="CL608" s="427"/>
      <c r="CM608" s="427"/>
      <c r="CN608" s="544"/>
      <c r="CO608" s="544"/>
      <c r="CP608" s="544"/>
      <c r="CQ608" s="544"/>
      <c r="CR608" s="544"/>
      <c r="CS608" s="544"/>
    </row>
    <row r="609" s="431" customFormat="1" ht="31" hidden="1" customHeight="1" spans="1:97">
      <c r="A609" s="518">
        <v>45941</v>
      </c>
      <c r="B609" s="831" t="s">
        <v>1220</v>
      </c>
      <c r="C609" s="520" t="s">
        <v>468</v>
      </c>
      <c r="D609" s="427">
        <v>4500181556</v>
      </c>
      <c r="E609" s="520"/>
      <c r="F609" s="427" t="s">
        <v>2255</v>
      </c>
      <c r="G609" s="521" t="s">
        <v>64</v>
      </c>
      <c r="H609" s="520" t="s">
        <v>65</v>
      </c>
      <c r="I609" s="520">
        <v>348</v>
      </c>
      <c r="J609" s="520">
        <v>0</v>
      </c>
      <c r="K609" s="520">
        <v>12</v>
      </c>
      <c r="L609" s="804">
        <f t="shared" si="178"/>
        <v>29</v>
      </c>
      <c r="M609" s="806">
        <v>46013</v>
      </c>
      <c r="N609" s="806">
        <v>46009</v>
      </c>
      <c r="O609" s="526"/>
      <c r="P609" s="526" t="s">
        <v>103</v>
      </c>
      <c r="Q609" s="530"/>
      <c r="R609" s="530">
        <v>45943</v>
      </c>
      <c r="S609" s="533" t="s">
        <v>66</v>
      </c>
      <c r="T609" s="533" t="s">
        <v>2256</v>
      </c>
      <c r="U609" s="532"/>
      <c r="V609" s="532"/>
      <c r="W609" s="532" t="s">
        <v>2257</v>
      </c>
      <c r="X609" s="540" t="s">
        <v>304</v>
      </c>
      <c r="Y609" s="538">
        <v>4.1018</v>
      </c>
      <c r="Z609" s="808">
        <f t="shared" si="181"/>
        <v>1427.4264</v>
      </c>
      <c r="AA609" s="521"/>
      <c r="AB609" s="520" t="s">
        <v>165</v>
      </c>
      <c r="AC609" s="520" t="s">
        <v>76</v>
      </c>
      <c r="AD609" s="521"/>
      <c r="AE609" s="521"/>
      <c r="AF609" s="521">
        <v>1</v>
      </c>
      <c r="AG609" s="521">
        <v>348</v>
      </c>
      <c r="AH609" s="522">
        <f t="shared" si="183"/>
        <v>0</v>
      </c>
      <c r="AI609" s="521"/>
      <c r="AJ609" s="521"/>
      <c r="AK609" s="543"/>
      <c r="AL609" s="543">
        <f t="shared" si="182"/>
        <v>348</v>
      </c>
      <c r="AM609" s="427"/>
      <c r="AN609" s="543"/>
      <c r="AO609" s="427"/>
      <c r="AP609" s="543"/>
      <c r="AQ609" s="543">
        <f>I609</f>
        <v>348</v>
      </c>
      <c r="AR609" s="543">
        <f t="shared" si="191"/>
        <v>348</v>
      </c>
      <c r="AS609" s="543"/>
      <c r="AT609" s="543">
        <f t="shared" si="190"/>
        <v>348</v>
      </c>
      <c r="AU609" s="546"/>
      <c r="AV609" s="427"/>
      <c r="AW609" s="427"/>
      <c r="AX609" s="427"/>
      <c r="AY609" s="427"/>
      <c r="AZ609" s="543"/>
      <c r="BA609" s="543"/>
      <c r="BB609" s="427"/>
      <c r="BC609" s="427"/>
      <c r="BD609" s="543"/>
      <c r="BE609" s="543"/>
      <c r="BF609" s="427"/>
      <c r="BG609" s="427"/>
      <c r="BH609" s="427"/>
      <c r="BI609" s="427"/>
      <c r="BJ609" s="427"/>
      <c r="BK609" s="427"/>
      <c r="BL609" s="427"/>
      <c r="BM609" s="427"/>
      <c r="BN609" s="835"/>
      <c r="BO609" s="427"/>
      <c r="BP609" s="427"/>
      <c r="BQ609" s="427"/>
      <c r="BR609" s="427"/>
      <c r="BS609" s="427"/>
      <c r="BT609" s="427"/>
      <c r="BU609" s="427"/>
      <c r="BV609" s="427"/>
      <c r="BW609" s="427"/>
      <c r="BX609" s="427"/>
      <c r="BY609" s="427"/>
      <c r="BZ609" s="427"/>
      <c r="CA609" s="427"/>
      <c r="CB609" s="427"/>
      <c r="CC609" s="427"/>
      <c r="CD609" s="427"/>
      <c r="CE609" s="427"/>
      <c r="CF609" s="544"/>
      <c r="CG609" s="544"/>
      <c r="CH609" s="544"/>
      <c r="CI609" s="544"/>
      <c r="CJ609" s="544"/>
      <c r="CK609" s="427"/>
      <c r="CL609" s="427"/>
      <c r="CM609" s="427"/>
      <c r="CN609" s="544"/>
      <c r="CO609" s="544"/>
      <c r="CP609" s="544"/>
      <c r="CQ609" s="544"/>
      <c r="CR609" s="544"/>
      <c r="CS609" s="544"/>
    </row>
    <row r="610" s="431" customFormat="1" ht="31" hidden="1" customHeight="1" spans="1:97">
      <c r="A610" s="837">
        <v>45965</v>
      </c>
      <c r="B610" s="595" t="s">
        <v>2258</v>
      </c>
      <c r="C610" s="596" t="s">
        <v>299</v>
      </c>
      <c r="D610" s="838">
        <v>4500184422</v>
      </c>
      <c r="E610" s="839">
        <v>5907187951</v>
      </c>
      <c r="F610" s="838" t="s">
        <v>2259</v>
      </c>
      <c r="G610" s="521" t="s">
        <v>64</v>
      </c>
      <c r="H610" s="520" t="s">
        <v>65</v>
      </c>
      <c r="I610" s="520">
        <v>252</v>
      </c>
      <c r="J610" s="520">
        <v>0</v>
      </c>
      <c r="K610" s="520">
        <v>12</v>
      </c>
      <c r="L610" s="804">
        <f t="shared" si="178"/>
        <v>21</v>
      </c>
      <c r="M610" s="537">
        <v>46013</v>
      </c>
      <c r="N610" s="537">
        <v>46009</v>
      </c>
      <c r="O610" s="526"/>
      <c r="P610" s="526" t="s">
        <v>103</v>
      </c>
      <c r="Q610" s="530"/>
      <c r="R610" s="530">
        <v>45974</v>
      </c>
      <c r="S610" s="533" t="s">
        <v>66</v>
      </c>
      <c r="T610" s="533" t="s">
        <v>2260</v>
      </c>
      <c r="U610" s="532"/>
      <c r="V610" s="532"/>
      <c r="W610" s="532" t="s">
        <v>2261</v>
      </c>
      <c r="X610" s="598" t="s">
        <v>304</v>
      </c>
      <c r="Y610" s="538">
        <v>4.1623</v>
      </c>
      <c r="Z610" s="808">
        <f t="shared" si="181"/>
        <v>1048.8996</v>
      </c>
      <c r="AA610" s="521"/>
      <c r="AB610" s="520" t="s">
        <v>165</v>
      </c>
      <c r="AC610" s="520" t="s">
        <v>76</v>
      </c>
      <c r="AD610" s="521"/>
      <c r="AE610" s="521"/>
      <c r="AF610" s="521">
        <v>1</v>
      </c>
      <c r="AG610" s="521">
        <v>252</v>
      </c>
      <c r="AH610" s="522">
        <f t="shared" si="183"/>
        <v>0</v>
      </c>
      <c r="AI610" s="521"/>
      <c r="AJ610" s="521"/>
      <c r="AK610" s="543"/>
      <c r="AL610" s="543">
        <f t="shared" si="182"/>
        <v>252</v>
      </c>
      <c r="AM610" s="427"/>
      <c r="AN610" s="543"/>
      <c r="AO610" s="427"/>
      <c r="AP610" s="543"/>
      <c r="AQ610" s="543">
        <f>I610</f>
        <v>252</v>
      </c>
      <c r="AR610" s="543">
        <f t="shared" si="191"/>
        <v>252</v>
      </c>
      <c r="AS610" s="543"/>
      <c r="AT610" s="543">
        <f t="shared" si="190"/>
        <v>252</v>
      </c>
      <c r="AU610" s="546"/>
      <c r="AV610" s="427"/>
      <c r="AW610" s="427"/>
      <c r="AX610" s="427"/>
      <c r="AY610" s="427"/>
      <c r="AZ610" s="543"/>
      <c r="BA610" s="543"/>
      <c r="BB610" s="427"/>
      <c r="BC610" s="427"/>
      <c r="BD610" s="543"/>
      <c r="BE610" s="543"/>
      <c r="BF610" s="427"/>
      <c r="BG610" s="427"/>
      <c r="BH610" s="427"/>
      <c r="BI610" s="427"/>
      <c r="BJ610" s="427"/>
      <c r="BK610" s="427"/>
      <c r="BL610" s="427"/>
      <c r="BM610" s="427"/>
      <c r="BN610" s="835"/>
      <c r="BO610" s="427"/>
      <c r="BP610" s="427"/>
      <c r="BQ610" s="427"/>
      <c r="BR610" s="427"/>
      <c r="BS610" s="427"/>
      <c r="BT610" s="427"/>
      <c r="BU610" s="427"/>
      <c r="BV610" s="427"/>
      <c r="BW610" s="427"/>
      <c r="BX610" s="427"/>
      <c r="BY610" s="427"/>
      <c r="BZ610" s="427"/>
      <c r="CA610" s="427"/>
      <c r="CB610" s="427"/>
      <c r="CC610" s="427"/>
      <c r="CD610" s="427"/>
      <c r="CE610" s="427"/>
      <c r="CF610" s="544"/>
      <c r="CG610" s="544"/>
      <c r="CH610" s="544"/>
      <c r="CI610" s="544"/>
      <c r="CJ610" s="544"/>
      <c r="CK610" s="427"/>
      <c r="CL610" s="427"/>
      <c r="CM610" s="427"/>
      <c r="CN610" s="544"/>
      <c r="CO610" s="544"/>
      <c r="CP610" s="544"/>
      <c r="CQ610" s="544"/>
      <c r="CR610" s="544"/>
      <c r="CS610" s="544"/>
    </row>
    <row r="611" s="431" customFormat="1" ht="31" hidden="1" customHeight="1" spans="1:97">
      <c r="A611" s="837">
        <v>45968</v>
      </c>
      <c r="B611" s="595" t="s">
        <v>122</v>
      </c>
      <c r="C611" s="596" t="s">
        <v>116</v>
      </c>
      <c r="D611" s="840">
        <v>4500184776</v>
      </c>
      <c r="E611" s="839">
        <v>21201490</v>
      </c>
      <c r="F611" s="838" t="s">
        <v>2262</v>
      </c>
      <c r="G611" s="521" t="s">
        <v>64</v>
      </c>
      <c r="H611" s="520" t="s">
        <v>65</v>
      </c>
      <c r="I611" s="520">
        <v>1380</v>
      </c>
      <c r="J611" s="520">
        <v>0</v>
      </c>
      <c r="K611" s="520">
        <v>12</v>
      </c>
      <c r="L611" s="804">
        <f t="shared" si="178"/>
        <v>115</v>
      </c>
      <c r="M611" s="537">
        <v>46013</v>
      </c>
      <c r="N611" s="537">
        <v>46009</v>
      </c>
      <c r="O611" s="526"/>
      <c r="P611" s="526" t="s">
        <v>103</v>
      </c>
      <c r="Q611" s="530"/>
      <c r="R611" s="530">
        <v>45982</v>
      </c>
      <c r="S611" s="533" t="s">
        <v>96</v>
      </c>
      <c r="T611" s="533" t="s">
        <v>2141</v>
      </c>
      <c r="U611" s="532"/>
      <c r="V611" s="532"/>
      <c r="W611" s="597" t="s">
        <v>2263</v>
      </c>
      <c r="X611" s="598" t="s">
        <v>121</v>
      </c>
      <c r="Y611" s="538">
        <v>4.2552</v>
      </c>
      <c r="Z611" s="808">
        <f t="shared" si="181"/>
        <v>5872.176</v>
      </c>
      <c r="AA611" s="521"/>
      <c r="AB611" s="520" t="s">
        <v>64</v>
      </c>
      <c r="AC611" s="520" t="s">
        <v>76</v>
      </c>
      <c r="AD611" s="521"/>
      <c r="AE611" s="521"/>
      <c r="AF611" s="521">
        <v>1</v>
      </c>
      <c r="AG611" s="521">
        <v>1380</v>
      </c>
      <c r="AH611" s="522">
        <f t="shared" si="183"/>
        <v>0</v>
      </c>
      <c r="AI611" s="521"/>
      <c r="AJ611" s="521" t="s">
        <v>2191</v>
      </c>
      <c r="AK611" s="543"/>
      <c r="AL611" s="543">
        <f t="shared" si="182"/>
        <v>1380</v>
      </c>
      <c r="AM611" s="427"/>
      <c r="AN611" s="543"/>
      <c r="AO611" s="427"/>
      <c r="AP611" s="543">
        <f>I611</f>
        <v>1380</v>
      </c>
      <c r="AQ611" s="543"/>
      <c r="AR611" s="543">
        <f t="shared" si="191"/>
        <v>1380</v>
      </c>
      <c r="AS611" s="543"/>
      <c r="AT611" s="543">
        <f t="shared" si="190"/>
        <v>1380</v>
      </c>
      <c r="AU611" s="546"/>
      <c r="AV611" s="427"/>
      <c r="AW611" s="427"/>
      <c r="AX611" s="427"/>
      <c r="AY611" s="427"/>
      <c r="AZ611" s="543"/>
      <c r="BA611" s="543"/>
      <c r="BB611" s="427"/>
      <c r="BC611" s="427"/>
      <c r="BD611" s="543"/>
      <c r="BE611" s="543"/>
      <c r="BF611" s="427"/>
      <c r="BG611" s="427"/>
      <c r="BH611" s="427"/>
      <c r="BI611" s="427"/>
      <c r="BJ611" s="427"/>
      <c r="BK611" s="427"/>
      <c r="BL611" s="427"/>
      <c r="BM611" s="427"/>
      <c r="BN611" s="835"/>
      <c r="BO611" s="427"/>
      <c r="BP611" s="427"/>
      <c r="BQ611" s="427"/>
      <c r="BR611" s="427"/>
      <c r="BS611" s="427"/>
      <c r="BT611" s="427"/>
      <c r="BU611" s="427"/>
      <c r="BV611" s="427"/>
      <c r="BW611" s="427"/>
      <c r="BX611" s="427"/>
      <c r="BY611" s="427"/>
      <c r="BZ611" s="427"/>
      <c r="CA611" s="427"/>
      <c r="CB611" s="427"/>
      <c r="CC611" s="427"/>
      <c r="CD611" s="427"/>
      <c r="CE611" s="427"/>
      <c r="CF611" s="544"/>
      <c r="CG611" s="544"/>
      <c r="CH611" s="544"/>
      <c r="CI611" s="544"/>
      <c r="CJ611" s="544"/>
      <c r="CK611" s="427"/>
      <c r="CL611" s="427"/>
      <c r="CM611" s="427"/>
      <c r="CN611" s="544"/>
      <c r="CO611" s="544"/>
      <c r="CP611" s="544"/>
      <c r="CQ611" s="544"/>
      <c r="CR611" s="544"/>
      <c r="CS611" s="544"/>
    </row>
    <row r="612" s="431" customFormat="1" ht="31" hidden="1" customHeight="1" spans="1:97">
      <c r="A612" s="837">
        <v>45968</v>
      </c>
      <c r="B612" s="595" t="s">
        <v>125</v>
      </c>
      <c r="C612" s="596" t="s">
        <v>71</v>
      </c>
      <c r="D612" s="838">
        <v>4500184779</v>
      </c>
      <c r="E612" s="839">
        <v>21201495</v>
      </c>
      <c r="F612" s="838" t="s">
        <v>2264</v>
      </c>
      <c r="G612" s="521" t="s">
        <v>64</v>
      </c>
      <c r="H612" s="520" t="s">
        <v>65</v>
      </c>
      <c r="I612" s="520">
        <v>120</v>
      </c>
      <c r="J612" s="520">
        <v>0</v>
      </c>
      <c r="K612" s="520">
        <v>12</v>
      </c>
      <c r="L612" s="804">
        <f t="shared" si="178"/>
        <v>10</v>
      </c>
      <c r="M612" s="537">
        <v>46013</v>
      </c>
      <c r="N612" s="537">
        <v>46009</v>
      </c>
      <c r="O612" s="526"/>
      <c r="P612" s="526" t="s">
        <v>103</v>
      </c>
      <c r="Q612" s="530"/>
      <c r="R612" s="530">
        <v>45982</v>
      </c>
      <c r="S612" s="533" t="s">
        <v>96</v>
      </c>
      <c r="T612" s="533" t="s">
        <v>2141</v>
      </c>
      <c r="U612" s="532"/>
      <c r="V612" s="532"/>
      <c r="W612" s="597" t="s">
        <v>2265</v>
      </c>
      <c r="X612" s="598" t="s">
        <v>121</v>
      </c>
      <c r="Y612" s="538">
        <v>4.1185</v>
      </c>
      <c r="Z612" s="808">
        <f t="shared" si="181"/>
        <v>494.22</v>
      </c>
      <c r="AA612" s="521"/>
      <c r="AB612" s="520" t="s">
        <v>64</v>
      </c>
      <c r="AC612" s="520" t="s">
        <v>76</v>
      </c>
      <c r="AD612" s="521"/>
      <c r="AE612" s="521"/>
      <c r="AF612" s="521">
        <v>1</v>
      </c>
      <c r="AG612" s="521">
        <v>120</v>
      </c>
      <c r="AH612" s="522">
        <f t="shared" si="183"/>
        <v>0</v>
      </c>
      <c r="AI612" s="521"/>
      <c r="AJ612" s="521" t="s">
        <v>2191</v>
      </c>
      <c r="AK612" s="543"/>
      <c r="AL612" s="543">
        <f t="shared" si="182"/>
        <v>120</v>
      </c>
      <c r="AM612" s="427"/>
      <c r="AN612" s="543"/>
      <c r="AO612" s="427"/>
      <c r="AP612" s="543">
        <f>I612</f>
        <v>120</v>
      </c>
      <c r="AQ612" s="543"/>
      <c r="AR612" s="543">
        <f t="shared" si="191"/>
        <v>120</v>
      </c>
      <c r="AS612" s="543"/>
      <c r="AT612" s="543">
        <f t="shared" si="190"/>
        <v>120</v>
      </c>
      <c r="AU612" s="546"/>
      <c r="AV612" s="427"/>
      <c r="AW612" s="427"/>
      <c r="AX612" s="427"/>
      <c r="AY612" s="427"/>
      <c r="AZ612" s="543"/>
      <c r="BA612" s="543"/>
      <c r="BB612" s="427"/>
      <c r="BC612" s="427"/>
      <c r="BD612" s="543"/>
      <c r="BE612" s="543"/>
      <c r="BF612" s="427"/>
      <c r="BG612" s="427"/>
      <c r="BH612" s="427"/>
      <c r="BI612" s="427"/>
      <c r="BJ612" s="427"/>
      <c r="BK612" s="427"/>
      <c r="BL612" s="427"/>
      <c r="BM612" s="427"/>
      <c r="BN612" s="835"/>
      <c r="BO612" s="427"/>
      <c r="BP612" s="427"/>
      <c r="BQ612" s="427"/>
      <c r="BR612" s="427"/>
      <c r="BS612" s="427"/>
      <c r="BT612" s="427"/>
      <c r="BU612" s="427"/>
      <c r="BV612" s="427"/>
      <c r="BW612" s="427"/>
      <c r="BX612" s="427"/>
      <c r="BY612" s="427"/>
      <c r="BZ612" s="427"/>
      <c r="CA612" s="427"/>
      <c r="CB612" s="427"/>
      <c r="CC612" s="427"/>
      <c r="CD612" s="427"/>
      <c r="CE612" s="427"/>
      <c r="CF612" s="544"/>
      <c r="CG612" s="544"/>
      <c r="CH612" s="544"/>
      <c r="CI612" s="544"/>
      <c r="CJ612" s="544"/>
      <c r="CK612" s="427"/>
      <c r="CL612" s="427"/>
      <c r="CM612" s="427"/>
      <c r="CN612" s="544"/>
      <c r="CO612" s="544"/>
      <c r="CP612" s="544"/>
      <c r="CQ612" s="544"/>
      <c r="CR612" s="544"/>
      <c r="CS612" s="544"/>
    </row>
    <row r="613" s="431" customFormat="1" ht="31" hidden="1" customHeight="1" spans="1:97">
      <c r="A613" s="518">
        <v>45965</v>
      </c>
      <c r="B613" s="519" t="s">
        <v>2266</v>
      </c>
      <c r="C613" s="520" t="s">
        <v>310</v>
      </c>
      <c r="D613" s="427">
        <v>4500184316</v>
      </c>
      <c r="E613" s="520">
        <v>8807187952</v>
      </c>
      <c r="F613" s="427" t="s">
        <v>2267</v>
      </c>
      <c r="G613" s="521" t="s">
        <v>64</v>
      </c>
      <c r="H613" s="520" t="s">
        <v>65</v>
      </c>
      <c r="I613" s="520">
        <v>360</v>
      </c>
      <c r="J613" s="520">
        <v>0</v>
      </c>
      <c r="K613" s="520">
        <v>12</v>
      </c>
      <c r="L613" s="804">
        <f t="shared" si="178"/>
        <v>30</v>
      </c>
      <c r="M613" s="537">
        <v>46013</v>
      </c>
      <c r="N613" s="537">
        <v>46009</v>
      </c>
      <c r="O613" s="526"/>
      <c r="P613" s="526" t="s">
        <v>103</v>
      </c>
      <c r="Q613" s="530"/>
      <c r="R613" s="530">
        <v>45974</v>
      </c>
      <c r="S613" s="533" t="s">
        <v>66</v>
      </c>
      <c r="T613" s="533" t="s">
        <v>2268</v>
      </c>
      <c r="U613" s="532"/>
      <c r="V613" s="532"/>
      <c r="W613" s="532" t="s">
        <v>2269</v>
      </c>
      <c r="X613" s="540" t="s">
        <v>304</v>
      </c>
      <c r="Y613" s="538">
        <v>4.1623</v>
      </c>
      <c r="Z613" s="808">
        <f t="shared" si="181"/>
        <v>1498.428</v>
      </c>
      <c r="AA613" s="521"/>
      <c r="AB613" s="520" t="s">
        <v>165</v>
      </c>
      <c r="AC613" s="520" t="s">
        <v>76</v>
      </c>
      <c r="AD613" s="521"/>
      <c r="AE613" s="521"/>
      <c r="AF613" s="482">
        <v>1</v>
      </c>
      <c r="AG613" s="521">
        <v>360</v>
      </c>
      <c r="AH613" s="522">
        <f t="shared" si="183"/>
        <v>0</v>
      </c>
      <c r="AI613" s="521"/>
      <c r="AJ613" s="521"/>
      <c r="AK613" s="543"/>
      <c r="AL613" s="543">
        <f t="shared" si="182"/>
        <v>360</v>
      </c>
      <c r="AM613" s="628"/>
      <c r="AN613" s="628"/>
      <c r="AO613" s="628"/>
      <c r="AP613" s="543"/>
      <c r="AQ613" s="543">
        <f>I613</f>
        <v>360</v>
      </c>
      <c r="AR613" s="543">
        <f t="shared" si="191"/>
        <v>360</v>
      </c>
      <c r="AS613" s="543"/>
      <c r="AT613" s="543">
        <f t="shared" si="190"/>
        <v>360</v>
      </c>
      <c r="AU613" s="546"/>
      <c r="AV613" s="427"/>
      <c r="AW613" s="427"/>
      <c r="AX613" s="427"/>
      <c r="AY613" s="427"/>
      <c r="AZ613" s="543"/>
      <c r="BA613" s="543"/>
      <c r="BB613" s="427"/>
      <c r="BC613" s="427"/>
      <c r="BD613" s="543"/>
      <c r="BE613" s="543"/>
      <c r="BF613" s="427"/>
      <c r="BG613" s="427"/>
      <c r="BH613" s="427"/>
      <c r="BI613" s="427"/>
      <c r="BJ613" s="427"/>
      <c r="BK613" s="427"/>
      <c r="BL613" s="427"/>
      <c r="BM613" s="427"/>
      <c r="BN613" s="835"/>
      <c r="BO613" s="427"/>
      <c r="BP613" s="427"/>
      <c r="BQ613" s="427"/>
      <c r="BR613" s="427"/>
      <c r="BS613" s="427"/>
      <c r="BT613" s="427"/>
      <c r="BU613" s="427"/>
      <c r="BV613" s="427"/>
      <c r="BW613" s="427"/>
      <c r="BX613" s="427"/>
      <c r="BY613" s="427"/>
      <c r="BZ613" s="427"/>
      <c r="CA613" s="427"/>
      <c r="CB613" s="427"/>
      <c r="CC613" s="427"/>
      <c r="CD613" s="427"/>
      <c r="CE613" s="427"/>
      <c r="CF613" s="544"/>
      <c r="CG613" s="544"/>
      <c r="CH613" s="544"/>
      <c r="CI613" s="544"/>
      <c r="CJ613" s="544"/>
      <c r="CK613" s="427"/>
      <c r="CL613" s="427"/>
      <c r="CM613" s="427"/>
      <c r="CN613" s="544"/>
      <c r="CO613" s="544"/>
      <c r="CP613" s="544"/>
      <c r="CQ613" s="544"/>
      <c r="CR613" s="544"/>
      <c r="CS613" s="544"/>
    </row>
    <row r="614" s="431" customFormat="1" ht="31" hidden="1" customHeight="1" spans="1:97">
      <c r="A614" s="518">
        <v>45965</v>
      </c>
      <c r="B614" s="519" t="s">
        <v>2270</v>
      </c>
      <c r="C614" s="520" t="s">
        <v>306</v>
      </c>
      <c r="D614" s="427">
        <v>4500184355</v>
      </c>
      <c r="E614" s="520">
        <v>4407187950</v>
      </c>
      <c r="F614" s="427" t="s">
        <v>2271</v>
      </c>
      <c r="G614" s="521" t="s">
        <v>64</v>
      </c>
      <c r="H614" s="520" t="s">
        <v>65</v>
      </c>
      <c r="I614" s="520">
        <v>300</v>
      </c>
      <c r="J614" s="520">
        <v>0</v>
      </c>
      <c r="K614" s="520">
        <v>12</v>
      </c>
      <c r="L614" s="804">
        <f t="shared" si="178"/>
        <v>25</v>
      </c>
      <c r="M614" s="537">
        <v>46013</v>
      </c>
      <c r="N614" s="537">
        <v>46009</v>
      </c>
      <c r="O614" s="526"/>
      <c r="P614" s="526" t="s">
        <v>103</v>
      </c>
      <c r="Q614" s="530"/>
      <c r="R614" s="530">
        <v>45974</v>
      </c>
      <c r="S614" s="533" t="s">
        <v>66</v>
      </c>
      <c r="T614" s="533" t="s">
        <v>2268</v>
      </c>
      <c r="U614" s="532"/>
      <c r="V614" s="532"/>
      <c r="W614" s="532" t="s">
        <v>2269</v>
      </c>
      <c r="X614" s="540" t="s">
        <v>304</v>
      </c>
      <c r="Y614" s="538">
        <v>4.1623</v>
      </c>
      <c r="Z614" s="808">
        <f t="shared" si="181"/>
        <v>1248.69</v>
      </c>
      <c r="AA614" s="521"/>
      <c r="AB614" s="520" t="s">
        <v>165</v>
      </c>
      <c r="AC614" s="520" t="s">
        <v>76</v>
      </c>
      <c r="AD614" s="521"/>
      <c r="AE614" s="521"/>
      <c r="AF614" s="482">
        <v>1</v>
      </c>
      <c r="AG614" s="521">
        <v>300</v>
      </c>
      <c r="AH614" s="522">
        <f t="shared" si="183"/>
        <v>0</v>
      </c>
      <c r="AI614" s="521"/>
      <c r="AJ614" s="521"/>
      <c r="AK614" s="543"/>
      <c r="AL614" s="543">
        <f t="shared" si="182"/>
        <v>300</v>
      </c>
      <c r="AM614" s="628"/>
      <c r="AN614" s="628"/>
      <c r="AO614" s="628"/>
      <c r="AP614" s="543"/>
      <c r="AQ614" s="543">
        <f>I614</f>
        <v>300</v>
      </c>
      <c r="AR614" s="543">
        <f t="shared" si="191"/>
        <v>300</v>
      </c>
      <c r="AS614" s="543"/>
      <c r="AT614" s="543">
        <f t="shared" si="190"/>
        <v>300</v>
      </c>
      <c r="AU614" s="546"/>
      <c r="AV614" s="427"/>
      <c r="AW614" s="427"/>
      <c r="AX614" s="427"/>
      <c r="AY614" s="427"/>
      <c r="AZ614" s="543"/>
      <c r="BA614" s="543"/>
      <c r="BB614" s="427"/>
      <c r="BC614" s="427"/>
      <c r="BD614" s="543"/>
      <c r="BE614" s="543"/>
      <c r="BF614" s="427"/>
      <c r="BG614" s="427"/>
      <c r="BH614" s="427"/>
      <c r="BI614" s="427"/>
      <c r="BJ614" s="427"/>
      <c r="BK614" s="427"/>
      <c r="BL614" s="427"/>
      <c r="BM614" s="427"/>
      <c r="BN614" s="835"/>
      <c r="BO614" s="427"/>
      <c r="BP614" s="427"/>
      <c r="BQ614" s="427"/>
      <c r="BR614" s="427"/>
      <c r="BS614" s="427"/>
      <c r="BT614" s="427"/>
      <c r="BU614" s="427"/>
      <c r="BV614" s="427"/>
      <c r="BW614" s="427"/>
      <c r="BX614" s="427"/>
      <c r="BY614" s="427"/>
      <c r="BZ614" s="427"/>
      <c r="CA614" s="427"/>
      <c r="CB614" s="427"/>
      <c r="CC614" s="427"/>
      <c r="CD614" s="427"/>
      <c r="CE614" s="427"/>
      <c r="CF614" s="544"/>
      <c r="CG614" s="544"/>
      <c r="CH614" s="544"/>
      <c r="CI614" s="544"/>
      <c r="CJ614" s="544"/>
      <c r="CK614" s="427"/>
      <c r="CL614" s="427"/>
      <c r="CM614" s="427"/>
      <c r="CN614" s="544"/>
      <c r="CO614" s="544"/>
      <c r="CP614" s="544"/>
      <c r="CQ614" s="544"/>
      <c r="CR614" s="544"/>
      <c r="CS614" s="544"/>
    </row>
    <row r="615" s="431" customFormat="1" ht="31" hidden="1" customHeight="1" spans="1:97">
      <c r="A615" s="518">
        <v>45959</v>
      </c>
      <c r="B615" s="519" t="s">
        <v>280</v>
      </c>
      <c r="C615" s="520" t="s">
        <v>249</v>
      </c>
      <c r="D615" s="427">
        <v>4500183596</v>
      </c>
      <c r="E615" s="520" t="s">
        <v>2272</v>
      </c>
      <c r="F615" s="427" t="s">
        <v>2273</v>
      </c>
      <c r="G615" s="521" t="s">
        <v>102</v>
      </c>
      <c r="H615" s="520" t="s">
        <v>65</v>
      </c>
      <c r="I615" s="520">
        <v>4160</v>
      </c>
      <c r="J615" s="520">
        <v>0</v>
      </c>
      <c r="K615" s="520">
        <v>16</v>
      </c>
      <c r="L615" s="804">
        <f t="shared" si="178"/>
        <v>260</v>
      </c>
      <c r="M615" s="537">
        <v>46014</v>
      </c>
      <c r="N615" s="537">
        <v>46010</v>
      </c>
      <c r="O615" s="526"/>
      <c r="P615" s="526" t="s">
        <v>103</v>
      </c>
      <c r="Q615" s="530"/>
      <c r="R615" s="530">
        <v>45959</v>
      </c>
      <c r="S615" s="533" t="s">
        <v>66</v>
      </c>
      <c r="T615" s="533" t="s">
        <v>2034</v>
      </c>
      <c r="U615" s="532"/>
      <c r="V615" s="532"/>
      <c r="W615" s="532" t="s">
        <v>2205</v>
      </c>
      <c r="X615" s="540" t="s">
        <v>2036</v>
      </c>
      <c r="Y615" s="538">
        <v>4.2489</v>
      </c>
      <c r="Z615" s="808">
        <f t="shared" si="181"/>
        <v>17675.424</v>
      </c>
      <c r="AA615" s="521"/>
      <c r="AB615" s="521" t="s">
        <v>102</v>
      </c>
      <c r="AC615" s="520" t="s">
        <v>76</v>
      </c>
      <c r="AD615" s="521"/>
      <c r="AE615" s="521"/>
      <c r="AF615" s="482">
        <v>1</v>
      </c>
      <c r="AG615" s="521">
        <f>1440+2720</f>
        <v>4160</v>
      </c>
      <c r="AH615" s="522">
        <f t="shared" ref="AH595:AH637" si="192">AG615-I615</f>
        <v>0</v>
      </c>
      <c r="AI615" s="521"/>
      <c r="AJ615" s="521"/>
      <c r="AK615" s="543"/>
      <c r="AL615" s="543">
        <f t="shared" si="182"/>
        <v>4160</v>
      </c>
      <c r="AM615" s="628"/>
      <c r="AN615" s="628"/>
      <c r="AO615" s="628"/>
      <c r="AP615" s="543">
        <f>I615</f>
        <v>4160</v>
      </c>
      <c r="AQ615" s="543"/>
      <c r="AR615" s="543">
        <f t="shared" ref="AR615:AR627" si="193">I615</f>
        <v>4160</v>
      </c>
      <c r="AS615" s="543"/>
      <c r="AT615" s="543">
        <f t="shared" ref="AT602:AT627" si="194">I615</f>
        <v>4160</v>
      </c>
      <c r="AU615" s="546"/>
      <c r="AV615" s="427"/>
      <c r="AW615" s="427"/>
      <c r="AX615" s="427"/>
      <c r="AY615" s="427"/>
      <c r="AZ615" s="543"/>
      <c r="BA615" s="543"/>
      <c r="BB615" s="427"/>
      <c r="BC615" s="427"/>
      <c r="BD615" s="543">
        <f>I615/4</f>
        <v>1040</v>
      </c>
      <c r="BE615" s="543"/>
      <c r="BF615" s="427"/>
      <c r="BG615" s="427"/>
      <c r="BH615" s="427"/>
      <c r="BI615" s="427"/>
      <c r="BJ615" s="427"/>
      <c r="BK615" s="427"/>
      <c r="BL615" s="427"/>
      <c r="BM615" s="427"/>
      <c r="BN615" s="835"/>
      <c r="BO615" s="427"/>
      <c r="BP615" s="427"/>
      <c r="BQ615" s="427"/>
      <c r="BR615" s="427"/>
      <c r="BS615" s="427"/>
      <c r="BT615" s="427"/>
      <c r="BU615" s="427"/>
      <c r="BV615" s="427"/>
      <c r="BW615" s="427"/>
      <c r="BX615" s="427"/>
      <c r="BY615" s="427"/>
      <c r="BZ615" s="427"/>
      <c r="CA615" s="427"/>
      <c r="CB615" s="427"/>
      <c r="CC615" s="427"/>
      <c r="CD615" s="427"/>
      <c r="CE615" s="427"/>
      <c r="CF615" s="544"/>
      <c r="CG615" s="544"/>
      <c r="CH615" s="544"/>
      <c r="CI615" s="544"/>
      <c r="CJ615" s="544"/>
      <c r="CK615" s="427"/>
      <c r="CL615" s="427"/>
      <c r="CM615" s="427"/>
      <c r="CN615" s="544"/>
      <c r="CO615" s="544"/>
      <c r="CP615" s="544"/>
      <c r="CQ615" s="544"/>
      <c r="CR615" s="544"/>
      <c r="CS615" s="544"/>
    </row>
    <row r="616" s="424" customFormat="1" ht="31" hidden="1" customHeight="1" spans="1:97">
      <c r="A616" s="633">
        <v>45928</v>
      </c>
      <c r="B616" s="497" t="s">
        <v>445</v>
      </c>
      <c r="C616" s="635" t="s">
        <v>446</v>
      </c>
      <c r="D616" s="432">
        <v>4500180758</v>
      </c>
      <c r="E616" s="635" t="s">
        <v>447</v>
      </c>
      <c r="F616" s="432" t="s">
        <v>2274</v>
      </c>
      <c r="G616" s="482" t="s">
        <v>102</v>
      </c>
      <c r="H616" s="635" t="s">
        <v>65</v>
      </c>
      <c r="I616" s="635">
        <v>1760</v>
      </c>
      <c r="J616" s="635">
        <v>0</v>
      </c>
      <c r="K616" s="635">
        <v>16</v>
      </c>
      <c r="L616" s="842">
        <f t="shared" si="178"/>
        <v>110</v>
      </c>
      <c r="M616" s="680">
        <v>46016</v>
      </c>
      <c r="N616" s="680">
        <v>46013</v>
      </c>
      <c r="O616" s="641"/>
      <c r="P616" s="526" t="s">
        <v>103</v>
      </c>
      <c r="Q616" s="647"/>
      <c r="R616" s="647">
        <v>45973</v>
      </c>
      <c r="S616" s="683" t="s">
        <v>66</v>
      </c>
      <c r="T616" s="683" t="s">
        <v>2275</v>
      </c>
      <c r="U616" s="508"/>
      <c r="V616" s="508"/>
      <c r="W616" s="571" t="s">
        <v>2276</v>
      </c>
      <c r="X616" s="651" t="s">
        <v>2216</v>
      </c>
      <c r="Y616" s="687">
        <v>4.2542</v>
      </c>
      <c r="Z616" s="688">
        <f t="shared" si="181"/>
        <v>7487.392</v>
      </c>
      <c r="AA616" s="482"/>
      <c r="AB616" s="482" t="s">
        <v>102</v>
      </c>
      <c r="AC616" s="635" t="s">
        <v>76</v>
      </c>
      <c r="AD616" s="482"/>
      <c r="AE616" s="482"/>
      <c r="AF616" s="482">
        <v>1</v>
      </c>
      <c r="AG616" s="482">
        <v>1808</v>
      </c>
      <c r="AH616" s="793">
        <f t="shared" si="192"/>
        <v>48</v>
      </c>
      <c r="AI616" s="482"/>
      <c r="AJ616" s="482"/>
      <c r="AK616" s="656"/>
      <c r="AL616" s="656">
        <f t="shared" si="182"/>
        <v>1760</v>
      </c>
      <c r="AM616" s="432"/>
      <c r="AN616" s="656"/>
      <c r="AO616" s="432"/>
      <c r="AP616" s="656">
        <f>I616</f>
        <v>1760</v>
      </c>
      <c r="AQ616" s="794"/>
      <c r="AR616" s="794">
        <f t="shared" si="193"/>
        <v>1760</v>
      </c>
      <c r="AS616" s="656"/>
      <c r="AT616" s="656">
        <f t="shared" si="194"/>
        <v>1760</v>
      </c>
      <c r="AU616" s="662"/>
      <c r="AV616" s="657"/>
      <c r="AW616" s="432"/>
      <c r="AX616" s="432"/>
      <c r="AY616" s="432"/>
      <c r="AZ616" s="794"/>
      <c r="BA616" s="794"/>
      <c r="BB616" s="432"/>
      <c r="BC616" s="432"/>
      <c r="BD616" s="656">
        <f>I616/4</f>
        <v>440</v>
      </c>
      <c r="BE616" s="656"/>
      <c r="BF616" s="657"/>
      <c r="BG616" s="657"/>
      <c r="BH616" s="657"/>
      <c r="BI616" s="657"/>
      <c r="BJ616" s="693"/>
      <c r="BK616" s="657"/>
      <c r="BL616" s="657"/>
      <c r="BM616" s="657"/>
      <c r="CF616" s="660"/>
      <c r="CG616" s="660"/>
      <c r="CH616" s="660"/>
      <c r="CI616" s="660"/>
      <c r="CJ616" s="660"/>
      <c r="CN616" s="660"/>
      <c r="CO616" s="660"/>
      <c r="CP616" s="660"/>
      <c r="CQ616" s="660"/>
      <c r="CR616" s="660"/>
      <c r="CS616" s="660"/>
    </row>
    <row r="617" s="424" customFormat="1" ht="31" hidden="1" customHeight="1" spans="1:97">
      <c r="A617" s="633">
        <v>45928</v>
      </c>
      <c r="B617" s="497" t="s">
        <v>796</v>
      </c>
      <c r="C617" s="635" t="s">
        <v>797</v>
      </c>
      <c r="D617" s="432">
        <v>4500180717</v>
      </c>
      <c r="E617" s="635" t="s">
        <v>798</v>
      </c>
      <c r="F617" s="432" t="s">
        <v>2277</v>
      </c>
      <c r="G617" s="482" t="s">
        <v>102</v>
      </c>
      <c r="H617" s="635" t="s">
        <v>65</v>
      </c>
      <c r="I617" s="638">
        <v>2800</v>
      </c>
      <c r="J617" s="635">
        <v>0</v>
      </c>
      <c r="K617" s="635">
        <v>16</v>
      </c>
      <c r="L617" s="842">
        <f t="shared" si="178"/>
        <v>175</v>
      </c>
      <c r="M617" s="680">
        <v>46006</v>
      </c>
      <c r="N617" s="680">
        <v>46004</v>
      </c>
      <c r="O617" s="641"/>
      <c r="P617" s="526" t="s">
        <v>103</v>
      </c>
      <c r="Q617" s="647"/>
      <c r="R617" s="647">
        <v>45973</v>
      </c>
      <c r="S617" s="683" t="s">
        <v>66</v>
      </c>
      <c r="T617" s="683" t="s">
        <v>2278</v>
      </c>
      <c r="U617" s="508"/>
      <c r="V617" s="508"/>
      <c r="W617" s="571" t="s">
        <v>2279</v>
      </c>
      <c r="X617" s="651" t="s">
        <v>2216</v>
      </c>
      <c r="Y617" s="687">
        <v>4.2542</v>
      </c>
      <c r="Z617" s="688">
        <f t="shared" si="181"/>
        <v>11911.76</v>
      </c>
      <c r="AA617" s="482"/>
      <c r="AB617" s="482" t="s">
        <v>102</v>
      </c>
      <c r="AC617" s="635" t="s">
        <v>76</v>
      </c>
      <c r="AD617" s="482"/>
      <c r="AE617" s="482"/>
      <c r="AF617" s="482">
        <v>1</v>
      </c>
      <c r="AG617" s="482">
        <v>2800</v>
      </c>
      <c r="AH617" s="793">
        <f t="shared" si="192"/>
        <v>0</v>
      </c>
      <c r="AI617" s="482"/>
      <c r="AJ617" s="482" t="s">
        <v>2191</v>
      </c>
      <c r="AK617" s="656"/>
      <c r="AL617" s="656">
        <f t="shared" si="182"/>
        <v>2800</v>
      </c>
      <c r="AM617" s="432"/>
      <c r="AN617" s="656"/>
      <c r="AO617" s="432"/>
      <c r="AP617" s="656">
        <f>I617</f>
        <v>2800</v>
      </c>
      <c r="AQ617" s="794"/>
      <c r="AR617" s="794">
        <f t="shared" si="193"/>
        <v>2800</v>
      </c>
      <c r="AS617" s="656"/>
      <c r="AT617" s="656">
        <f t="shared" si="194"/>
        <v>2800</v>
      </c>
      <c r="AU617" s="662"/>
      <c r="AV617" s="657"/>
      <c r="AW617" s="432"/>
      <c r="AX617" s="432"/>
      <c r="AY617" s="432"/>
      <c r="AZ617" s="794"/>
      <c r="BA617" s="794"/>
      <c r="BB617" s="432"/>
      <c r="BC617" s="432"/>
      <c r="BD617" s="656">
        <f>I617/4</f>
        <v>700</v>
      </c>
      <c r="BE617" s="656"/>
      <c r="BF617" s="657"/>
      <c r="BG617" s="657"/>
      <c r="BH617" s="657"/>
      <c r="BI617" s="657"/>
      <c r="BJ617" s="693"/>
      <c r="BK617" s="657"/>
      <c r="BL617" s="657"/>
      <c r="BM617" s="657"/>
      <c r="CF617" s="660"/>
      <c r="CG617" s="660"/>
      <c r="CH617" s="660"/>
      <c r="CI617" s="660"/>
      <c r="CJ617" s="660"/>
      <c r="CN617" s="660"/>
      <c r="CO617" s="660"/>
      <c r="CP617" s="660"/>
      <c r="CQ617" s="660"/>
      <c r="CR617" s="660"/>
      <c r="CS617" s="660"/>
    </row>
    <row r="618" s="424" customFormat="1" ht="31" hidden="1" customHeight="1" spans="1:97">
      <c r="A618" s="633">
        <v>45928</v>
      </c>
      <c r="B618" s="497" t="s">
        <v>445</v>
      </c>
      <c r="C618" s="635" t="s">
        <v>801</v>
      </c>
      <c r="D618" s="432">
        <v>4500180735</v>
      </c>
      <c r="E618" s="635" t="s">
        <v>2280</v>
      </c>
      <c r="F618" s="432" t="s">
        <v>2281</v>
      </c>
      <c r="G618" s="482" t="s">
        <v>102</v>
      </c>
      <c r="H618" s="635" t="s">
        <v>65</v>
      </c>
      <c r="I618" s="635">
        <v>1760</v>
      </c>
      <c r="J618" s="635">
        <v>0</v>
      </c>
      <c r="K618" s="635">
        <v>16</v>
      </c>
      <c r="L618" s="842">
        <f t="shared" si="178"/>
        <v>110</v>
      </c>
      <c r="M618" s="680">
        <v>46006</v>
      </c>
      <c r="N618" s="680">
        <v>46004</v>
      </c>
      <c r="O618" s="641"/>
      <c r="P618" s="526" t="s">
        <v>103</v>
      </c>
      <c r="Q618" s="647"/>
      <c r="R618" s="647">
        <v>45973</v>
      </c>
      <c r="S618" s="683" t="s">
        <v>66</v>
      </c>
      <c r="T618" s="683" t="s">
        <v>2278</v>
      </c>
      <c r="U618" s="508"/>
      <c r="V618" s="508"/>
      <c r="W618" s="807" t="s">
        <v>2282</v>
      </c>
      <c r="X618" s="651" t="s">
        <v>2216</v>
      </c>
      <c r="Y618" s="687">
        <v>4.2114</v>
      </c>
      <c r="Z618" s="688">
        <f t="shared" si="181"/>
        <v>7412.064</v>
      </c>
      <c r="AA618" s="482"/>
      <c r="AB618" s="482" t="s">
        <v>102</v>
      </c>
      <c r="AC618" s="635" t="s">
        <v>76</v>
      </c>
      <c r="AD618" s="482"/>
      <c r="AE618" s="482"/>
      <c r="AF618" s="482">
        <v>1</v>
      </c>
      <c r="AG618" s="482">
        <v>1808</v>
      </c>
      <c r="AH618" s="793">
        <f t="shared" si="192"/>
        <v>48</v>
      </c>
      <c r="AI618" s="482"/>
      <c r="AJ618" s="482" t="s">
        <v>2191</v>
      </c>
      <c r="AK618" s="656"/>
      <c r="AL618" s="656">
        <f t="shared" si="182"/>
        <v>1760</v>
      </c>
      <c r="AM618" s="432"/>
      <c r="AN618" s="656"/>
      <c r="AO618" s="432"/>
      <c r="AP618" s="656">
        <f>I618</f>
        <v>1760</v>
      </c>
      <c r="AQ618" s="794"/>
      <c r="AR618" s="794">
        <f t="shared" si="193"/>
        <v>1760</v>
      </c>
      <c r="AS618" s="656"/>
      <c r="AT618" s="656">
        <f t="shared" si="194"/>
        <v>1760</v>
      </c>
      <c r="AU618" s="662"/>
      <c r="AV618" s="657"/>
      <c r="AW618" s="432"/>
      <c r="AX618" s="432"/>
      <c r="AY618" s="432"/>
      <c r="AZ618" s="794"/>
      <c r="BA618" s="794"/>
      <c r="BB618" s="432"/>
      <c r="BC618" s="432"/>
      <c r="BD618" s="656">
        <f>I618/4</f>
        <v>440</v>
      </c>
      <c r="BE618" s="656"/>
      <c r="BF618" s="657"/>
      <c r="BG618" s="657"/>
      <c r="BH618" s="657"/>
      <c r="BI618" s="657"/>
      <c r="BJ618" s="693"/>
      <c r="BK618" s="657"/>
      <c r="BL618" s="657"/>
      <c r="BM618" s="657"/>
      <c r="CF618" s="660"/>
      <c r="CG618" s="660"/>
      <c r="CH618" s="660"/>
      <c r="CI618" s="660"/>
      <c r="CJ618" s="660"/>
      <c r="CN618" s="660"/>
      <c r="CO618" s="660"/>
      <c r="CP618" s="660"/>
      <c r="CQ618" s="660"/>
      <c r="CR618" s="660"/>
      <c r="CS618" s="660"/>
    </row>
    <row r="619" s="431" customFormat="1" ht="31" hidden="1" customHeight="1" spans="1:97">
      <c r="A619" s="518">
        <v>45950</v>
      </c>
      <c r="B619" s="519" t="s">
        <v>2283</v>
      </c>
      <c r="C619" s="520" t="s">
        <v>139</v>
      </c>
      <c r="D619" s="427">
        <v>4500181926</v>
      </c>
      <c r="E619" s="520" t="s">
        <v>2284</v>
      </c>
      <c r="F619" s="427" t="s">
        <v>2285</v>
      </c>
      <c r="G619" s="521" t="s">
        <v>64</v>
      </c>
      <c r="H619" s="520" t="s">
        <v>65</v>
      </c>
      <c r="I619" s="520">
        <v>600</v>
      </c>
      <c r="J619" s="520">
        <v>0</v>
      </c>
      <c r="K619" s="520">
        <v>12</v>
      </c>
      <c r="L619" s="804">
        <f t="shared" si="178"/>
        <v>50</v>
      </c>
      <c r="M619" s="537">
        <v>46009</v>
      </c>
      <c r="N619" s="537">
        <v>46006</v>
      </c>
      <c r="O619" s="526"/>
      <c r="P619" s="526" t="s">
        <v>103</v>
      </c>
      <c r="Q619" s="530"/>
      <c r="R619" s="530">
        <v>45950</v>
      </c>
      <c r="S619" s="533" t="s">
        <v>66</v>
      </c>
      <c r="T619" s="533" t="s">
        <v>2286</v>
      </c>
      <c r="U619" s="532"/>
      <c r="V619" s="532"/>
      <c r="W619" s="532" t="s">
        <v>2287</v>
      </c>
      <c r="X619" s="540" t="s">
        <v>2288</v>
      </c>
      <c r="Y619" s="538">
        <v>4.1456</v>
      </c>
      <c r="Z619" s="808">
        <f t="shared" si="181"/>
        <v>2487.36</v>
      </c>
      <c r="AA619" s="521"/>
      <c r="AB619" s="520" t="s">
        <v>165</v>
      </c>
      <c r="AC619" s="520" t="s">
        <v>76</v>
      </c>
      <c r="AD619" s="521"/>
      <c r="AE619" s="521"/>
      <c r="AF619" s="482">
        <v>1</v>
      </c>
      <c r="AG619" s="521">
        <v>600</v>
      </c>
      <c r="AH619" s="522">
        <f t="shared" si="192"/>
        <v>0</v>
      </c>
      <c r="AI619" s="521"/>
      <c r="AJ619" s="521"/>
      <c r="AK619" s="543"/>
      <c r="AL619" s="543">
        <f t="shared" si="182"/>
        <v>600</v>
      </c>
      <c r="AM619" s="427"/>
      <c r="AN619" s="543"/>
      <c r="AO619" s="427"/>
      <c r="AP619" s="543"/>
      <c r="AQ619" s="543">
        <f>I619</f>
        <v>600</v>
      </c>
      <c r="AR619" s="543">
        <f t="shared" si="193"/>
        <v>600</v>
      </c>
      <c r="AS619" s="543"/>
      <c r="AT619" s="543">
        <f t="shared" si="194"/>
        <v>600</v>
      </c>
      <c r="AU619" s="546"/>
      <c r="AV619" s="427"/>
      <c r="AW619" s="427"/>
      <c r="AX619" s="427"/>
      <c r="AY619" s="427"/>
      <c r="AZ619" s="543"/>
      <c r="BA619" s="543"/>
      <c r="BB619" s="427"/>
      <c r="BC619" s="427"/>
      <c r="BD619" s="543"/>
      <c r="BE619" s="543"/>
      <c r="BF619" s="427"/>
      <c r="BG619" s="427"/>
      <c r="BH619" s="427"/>
      <c r="BI619" s="427"/>
      <c r="BJ619" s="427"/>
      <c r="BK619" s="427"/>
      <c r="BL619" s="427"/>
      <c r="BM619" s="427"/>
      <c r="BN619" s="835"/>
      <c r="BO619" s="427"/>
      <c r="BP619" s="427"/>
      <c r="BQ619" s="427"/>
      <c r="BR619" s="427"/>
      <c r="BS619" s="427"/>
      <c r="BT619" s="427"/>
      <c r="BU619" s="427"/>
      <c r="BV619" s="427"/>
      <c r="BW619" s="427"/>
      <c r="BX619" s="427"/>
      <c r="BY619" s="427"/>
      <c r="BZ619" s="427"/>
      <c r="CA619" s="427"/>
      <c r="CB619" s="427"/>
      <c r="CC619" s="427"/>
      <c r="CD619" s="427"/>
      <c r="CE619" s="427"/>
      <c r="CF619" s="544"/>
      <c r="CG619" s="544"/>
      <c r="CH619" s="544"/>
      <c r="CI619" s="544"/>
      <c r="CJ619" s="544"/>
      <c r="CK619" s="427"/>
      <c r="CL619" s="427"/>
      <c r="CM619" s="427"/>
      <c r="CN619" s="544"/>
      <c r="CO619" s="544"/>
      <c r="CP619" s="544"/>
      <c r="CQ619" s="544"/>
      <c r="CR619" s="544"/>
      <c r="CS619" s="544"/>
    </row>
    <row r="620" s="431" customFormat="1" ht="31" hidden="1" customHeight="1" spans="1:97">
      <c r="A620" s="518">
        <v>45958</v>
      </c>
      <c r="B620" s="519" t="s">
        <v>2289</v>
      </c>
      <c r="C620" s="520" t="s">
        <v>249</v>
      </c>
      <c r="D620" s="427">
        <v>4500183436</v>
      </c>
      <c r="E620" s="520">
        <v>195861</v>
      </c>
      <c r="F620" s="427" t="s">
        <v>2290</v>
      </c>
      <c r="G620" s="521" t="s">
        <v>64</v>
      </c>
      <c r="H620" s="520" t="s">
        <v>65</v>
      </c>
      <c r="I620" s="608">
        <v>708</v>
      </c>
      <c r="J620" s="520">
        <v>0</v>
      </c>
      <c r="K620" s="520">
        <v>12</v>
      </c>
      <c r="L620" s="804">
        <f t="shared" si="178"/>
        <v>59</v>
      </c>
      <c r="M620" s="537">
        <v>46009</v>
      </c>
      <c r="N620" s="537">
        <v>46006</v>
      </c>
      <c r="O620" s="526"/>
      <c r="P620" s="526" t="s">
        <v>103</v>
      </c>
      <c r="Q620" s="530"/>
      <c r="R620" s="530">
        <v>45965</v>
      </c>
      <c r="S620" s="533" t="s">
        <v>66</v>
      </c>
      <c r="T620" s="533" t="s">
        <v>2291</v>
      </c>
      <c r="U620" s="532"/>
      <c r="V620" s="532"/>
      <c r="W620" s="532" t="s">
        <v>2292</v>
      </c>
      <c r="X620" s="540" t="s">
        <v>1013</v>
      </c>
      <c r="Y620" s="538">
        <v>4.1623</v>
      </c>
      <c r="Z620" s="808">
        <f t="shared" si="181"/>
        <v>2946.9084</v>
      </c>
      <c r="AA620" s="521"/>
      <c r="AB620" s="543" t="s">
        <v>64</v>
      </c>
      <c r="AC620" s="520" t="s">
        <v>76</v>
      </c>
      <c r="AD620" s="521"/>
      <c r="AE620" s="521"/>
      <c r="AF620" s="482">
        <v>1</v>
      </c>
      <c r="AG620" s="521">
        <v>708</v>
      </c>
      <c r="AH620" s="522">
        <f t="shared" si="192"/>
        <v>0</v>
      </c>
      <c r="AI620" s="521"/>
      <c r="AJ620" s="521"/>
      <c r="AK620" s="543"/>
      <c r="AL620" s="543">
        <f t="shared" si="182"/>
        <v>708</v>
      </c>
      <c r="AM620" s="427"/>
      <c r="AN620" s="543"/>
      <c r="AO620" s="427"/>
      <c r="AP620" s="543">
        <f>I620</f>
        <v>708</v>
      </c>
      <c r="AQ620" s="543"/>
      <c r="AR620" s="543">
        <f t="shared" si="193"/>
        <v>708</v>
      </c>
      <c r="AS620" s="543"/>
      <c r="AT620" s="543">
        <f t="shared" si="194"/>
        <v>708</v>
      </c>
      <c r="AU620" s="546"/>
      <c r="AV620" s="427"/>
      <c r="AW620" s="427"/>
      <c r="AX620" s="427"/>
      <c r="AY620" s="427"/>
      <c r="AZ620" s="543"/>
      <c r="BA620" s="543"/>
      <c r="BB620" s="427"/>
      <c r="BC620" s="427"/>
      <c r="BD620" s="543"/>
      <c r="BE620" s="543"/>
      <c r="BF620" s="427"/>
      <c r="BG620" s="427"/>
      <c r="BH620" s="427"/>
      <c r="BI620" s="427"/>
      <c r="BJ620" s="427"/>
      <c r="BK620" s="427"/>
      <c r="BL620" s="427"/>
      <c r="BM620" s="427"/>
      <c r="BN620" s="835"/>
      <c r="BO620" s="427"/>
      <c r="BP620" s="427"/>
      <c r="BQ620" s="427"/>
      <c r="BR620" s="427"/>
      <c r="BS620" s="427"/>
      <c r="BT620" s="427"/>
      <c r="BU620" s="427"/>
      <c r="BV620" s="427"/>
      <c r="BW620" s="427"/>
      <c r="BX620" s="427"/>
      <c r="BY620" s="427"/>
      <c r="BZ620" s="427"/>
      <c r="CA620" s="427"/>
      <c r="CB620" s="427"/>
      <c r="CC620" s="427"/>
      <c r="CD620" s="427"/>
      <c r="CE620" s="427"/>
      <c r="CF620" s="544"/>
      <c r="CG620" s="544"/>
      <c r="CH620" s="544"/>
      <c r="CI620" s="544"/>
      <c r="CJ620" s="544"/>
      <c r="CK620" s="427"/>
      <c r="CL620" s="427"/>
      <c r="CM620" s="427"/>
      <c r="CN620" s="544"/>
      <c r="CO620" s="544"/>
      <c r="CP620" s="544"/>
      <c r="CQ620" s="544"/>
      <c r="CR620" s="544"/>
      <c r="CS620" s="544"/>
    </row>
    <row r="621" s="431" customFormat="1" ht="31" hidden="1" customHeight="1" spans="1:97">
      <c r="A621" s="518">
        <v>45964</v>
      </c>
      <c r="B621" s="519" t="s">
        <v>1172</v>
      </c>
      <c r="C621" s="520" t="s">
        <v>90</v>
      </c>
      <c r="D621" s="427">
        <v>4500184162</v>
      </c>
      <c r="E621" s="520">
        <v>16000286</v>
      </c>
      <c r="F621" s="427" t="s">
        <v>2293</v>
      </c>
      <c r="G621" s="521" t="s">
        <v>93</v>
      </c>
      <c r="H621" s="520" t="s">
        <v>94</v>
      </c>
      <c r="I621" s="520">
        <v>1200</v>
      </c>
      <c r="J621" s="520">
        <v>0</v>
      </c>
      <c r="K621" s="520">
        <v>4</v>
      </c>
      <c r="L621" s="804">
        <f t="shared" si="178"/>
        <v>300</v>
      </c>
      <c r="M621" s="537">
        <v>46013</v>
      </c>
      <c r="N621" s="537">
        <v>46009</v>
      </c>
      <c r="O621" s="526"/>
      <c r="P621" s="526" t="s">
        <v>103</v>
      </c>
      <c r="Q621" s="530"/>
      <c r="R621" s="530" t="s">
        <v>1176</v>
      </c>
      <c r="S621" s="533" t="s">
        <v>96</v>
      </c>
      <c r="T621" s="533">
        <v>46000</v>
      </c>
      <c r="U621" s="532" t="s">
        <v>2294</v>
      </c>
      <c r="V621" s="532"/>
      <c r="W621" s="532" t="s">
        <v>2295</v>
      </c>
      <c r="X621" s="540" t="s">
        <v>1178</v>
      </c>
      <c r="Y621" s="538">
        <v>2.5501</v>
      </c>
      <c r="Z621" s="808">
        <f t="shared" si="181"/>
        <v>3060.12</v>
      </c>
      <c r="AA621" s="521"/>
      <c r="AB621" s="520" t="s">
        <v>93</v>
      </c>
      <c r="AC621" s="520" t="s">
        <v>76</v>
      </c>
      <c r="AD621" s="521"/>
      <c r="AE621" s="521"/>
      <c r="AF621" s="482">
        <v>1</v>
      </c>
      <c r="AG621" s="521">
        <v>1200</v>
      </c>
      <c r="AH621" s="522">
        <f t="shared" si="192"/>
        <v>0</v>
      </c>
      <c r="AI621" s="521"/>
      <c r="AJ621" s="521"/>
      <c r="AK621" s="543"/>
      <c r="AL621" s="543">
        <f t="shared" si="182"/>
        <v>1200</v>
      </c>
      <c r="AM621" s="427"/>
      <c r="AN621" s="543"/>
      <c r="AO621" s="427"/>
      <c r="AP621" s="543">
        <f>I621</f>
        <v>1200</v>
      </c>
      <c r="AQ621" s="543"/>
      <c r="AR621" s="543">
        <f t="shared" si="193"/>
        <v>1200</v>
      </c>
      <c r="AS621" s="543"/>
      <c r="AT621" s="543">
        <f t="shared" si="194"/>
        <v>1200</v>
      </c>
      <c r="AU621" s="546"/>
      <c r="AV621" s="427"/>
      <c r="AW621" s="427"/>
      <c r="AX621" s="427"/>
      <c r="AY621" s="427"/>
      <c r="AZ621" s="543"/>
      <c r="BA621" s="543"/>
      <c r="BB621" s="427"/>
      <c r="BC621" s="427"/>
      <c r="BD621" s="543">
        <f>I621/4</f>
        <v>300</v>
      </c>
      <c r="BE621" s="543"/>
      <c r="BF621" s="427"/>
      <c r="BG621" s="427"/>
      <c r="BH621" s="427"/>
      <c r="BI621" s="427"/>
      <c r="BJ621" s="427"/>
      <c r="BK621" s="427"/>
      <c r="BL621" s="427"/>
      <c r="BM621" s="427"/>
      <c r="BN621" s="835"/>
      <c r="BO621" s="427"/>
      <c r="BP621" s="427"/>
      <c r="BQ621" s="427"/>
      <c r="BR621" s="427"/>
      <c r="BS621" s="427"/>
      <c r="BT621" s="427"/>
      <c r="BU621" s="427"/>
      <c r="BV621" s="427"/>
      <c r="BW621" s="427"/>
      <c r="BX621" s="427"/>
      <c r="BY621" s="427"/>
      <c r="BZ621" s="427"/>
      <c r="CA621" s="427"/>
      <c r="CB621" s="427"/>
      <c r="CC621" s="427"/>
      <c r="CD621" s="427"/>
      <c r="CE621" s="427"/>
      <c r="CF621" s="544"/>
      <c r="CG621" s="544"/>
      <c r="CH621" s="544"/>
      <c r="CI621" s="544"/>
      <c r="CJ621" s="544"/>
      <c r="CK621" s="427"/>
      <c r="CL621" s="427"/>
      <c r="CM621" s="427"/>
      <c r="CN621" s="544"/>
      <c r="CO621" s="544"/>
      <c r="CP621" s="544"/>
      <c r="CQ621" s="544"/>
      <c r="CR621" s="544"/>
      <c r="CS621" s="544"/>
    </row>
    <row r="622" s="431" customFormat="1" ht="31" hidden="1" customHeight="1" spans="1:97">
      <c r="A622" s="518">
        <v>45951</v>
      </c>
      <c r="B622" s="519" t="s">
        <v>2296</v>
      </c>
      <c r="C622" s="520" t="s">
        <v>139</v>
      </c>
      <c r="D622" s="427">
        <v>4500181932</v>
      </c>
      <c r="E622" s="520">
        <v>249710</v>
      </c>
      <c r="F622" s="427" t="s">
        <v>2297</v>
      </c>
      <c r="G622" s="521" t="s">
        <v>64</v>
      </c>
      <c r="H622" s="520" t="s">
        <v>65</v>
      </c>
      <c r="I622" s="520">
        <v>480</v>
      </c>
      <c r="J622" s="520">
        <v>0</v>
      </c>
      <c r="K622" s="520">
        <v>12</v>
      </c>
      <c r="L622" s="804">
        <f t="shared" si="178"/>
        <v>40</v>
      </c>
      <c r="M622" s="537">
        <v>46013</v>
      </c>
      <c r="N622" s="537">
        <v>46009</v>
      </c>
      <c r="O622" s="526"/>
      <c r="P622" s="526" t="s">
        <v>103</v>
      </c>
      <c r="Q622" s="530"/>
      <c r="R622" s="530">
        <v>45953</v>
      </c>
      <c r="S622" s="533" t="s">
        <v>66</v>
      </c>
      <c r="T622" s="533" t="s">
        <v>2298</v>
      </c>
      <c r="U622" s="532"/>
      <c r="V622" s="532"/>
      <c r="W622" s="532" t="s">
        <v>2299</v>
      </c>
      <c r="X622" s="540" t="s">
        <v>2288</v>
      </c>
      <c r="Y622" s="538">
        <v>4.1456</v>
      </c>
      <c r="Z622" s="808">
        <f t="shared" si="181"/>
        <v>1989.888</v>
      </c>
      <c r="AA622" s="521"/>
      <c r="AB622" s="520" t="s">
        <v>165</v>
      </c>
      <c r="AC622" s="520" t="s">
        <v>76</v>
      </c>
      <c r="AD622" s="521"/>
      <c r="AE622" s="521"/>
      <c r="AF622" s="482">
        <v>1</v>
      </c>
      <c r="AG622" s="521">
        <v>480</v>
      </c>
      <c r="AH622" s="522">
        <f t="shared" si="192"/>
        <v>0</v>
      </c>
      <c r="AI622" s="521"/>
      <c r="AJ622" s="521"/>
      <c r="AK622" s="543"/>
      <c r="AL622" s="543">
        <f t="shared" si="182"/>
        <v>480</v>
      </c>
      <c r="AM622" s="427"/>
      <c r="AN622" s="543"/>
      <c r="AO622" s="427"/>
      <c r="AP622" s="543"/>
      <c r="AQ622" s="543">
        <f>I622</f>
        <v>480</v>
      </c>
      <c r="AR622" s="543">
        <f t="shared" si="193"/>
        <v>480</v>
      </c>
      <c r="AS622" s="543"/>
      <c r="AT622" s="543">
        <f t="shared" si="194"/>
        <v>480</v>
      </c>
      <c r="AU622" s="546"/>
      <c r="AV622" s="427"/>
      <c r="AW622" s="427"/>
      <c r="AX622" s="427"/>
      <c r="AY622" s="427"/>
      <c r="AZ622" s="543"/>
      <c r="BA622" s="543"/>
      <c r="BB622" s="427"/>
      <c r="BC622" s="427"/>
      <c r="BD622" s="543"/>
      <c r="BE622" s="543"/>
      <c r="BF622" s="427"/>
      <c r="BG622" s="427"/>
      <c r="BH622" s="427"/>
      <c r="BI622" s="427"/>
      <c r="BJ622" s="427"/>
      <c r="BK622" s="427"/>
      <c r="BL622" s="427"/>
      <c r="BM622" s="427"/>
      <c r="BN622" s="835"/>
      <c r="BO622" s="427"/>
      <c r="BP622" s="427"/>
      <c r="BQ622" s="427"/>
      <c r="BR622" s="427"/>
      <c r="BS622" s="427"/>
      <c r="BT622" s="427"/>
      <c r="BU622" s="427"/>
      <c r="BV622" s="427"/>
      <c r="BW622" s="427"/>
      <c r="BX622" s="427"/>
      <c r="BY622" s="427"/>
      <c r="BZ622" s="427"/>
      <c r="CA622" s="427"/>
      <c r="CB622" s="427"/>
      <c r="CC622" s="427"/>
      <c r="CD622" s="427"/>
      <c r="CE622" s="427"/>
      <c r="CF622" s="544"/>
      <c r="CG622" s="544"/>
      <c r="CH622" s="544"/>
      <c r="CI622" s="544"/>
      <c r="CJ622" s="544"/>
      <c r="CK622" s="427"/>
      <c r="CL622" s="427"/>
      <c r="CM622" s="427"/>
      <c r="CN622" s="544"/>
      <c r="CO622" s="544"/>
      <c r="CP622" s="544"/>
      <c r="CQ622" s="544"/>
      <c r="CR622" s="544"/>
      <c r="CS622" s="544"/>
    </row>
    <row r="623" s="431" customFormat="1" ht="31" hidden="1" customHeight="1" spans="1:97">
      <c r="A623" s="518">
        <v>45955</v>
      </c>
      <c r="B623" s="519" t="s">
        <v>2300</v>
      </c>
      <c r="C623" s="520" t="s">
        <v>179</v>
      </c>
      <c r="D623" s="427">
        <v>4500183178</v>
      </c>
      <c r="E623" s="520">
        <v>5200007934</v>
      </c>
      <c r="F623" s="427" t="s">
        <v>2301</v>
      </c>
      <c r="G623" s="521" t="s">
        <v>141</v>
      </c>
      <c r="H623" s="520" t="s">
        <v>94</v>
      </c>
      <c r="I623" s="520">
        <v>1520</v>
      </c>
      <c r="J623" s="520">
        <v>0</v>
      </c>
      <c r="K623" s="520">
        <v>4</v>
      </c>
      <c r="L623" s="804">
        <f t="shared" si="178"/>
        <v>380</v>
      </c>
      <c r="M623" s="537">
        <v>46014</v>
      </c>
      <c r="N623" s="537">
        <v>46010</v>
      </c>
      <c r="O623" s="526"/>
      <c r="P623" s="526" t="s">
        <v>103</v>
      </c>
      <c r="Q623" s="530"/>
      <c r="R623" s="530">
        <v>45957</v>
      </c>
      <c r="S623" s="533" t="s">
        <v>66</v>
      </c>
      <c r="T623" s="533" t="s">
        <v>1773</v>
      </c>
      <c r="U623" s="532"/>
      <c r="V623" s="532"/>
      <c r="W623" s="532" t="s">
        <v>2302</v>
      </c>
      <c r="X623" s="540" t="s">
        <v>1140</v>
      </c>
      <c r="Y623" s="538">
        <v>4.3</v>
      </c>
      <c r="Z623" s="808">
        <f t="shared" si="181"/>
        <v>6536</v>
      </c>
      <c r="AA623" s="521"/>
      <c r="AB623" s="843" t="s">
        <v>141</v>
      </c>
      <c r="AC623" s="520" t="s">
        <v>76</v>
      </c>
      <c r="AD623" s="521"/>
      <c r="AE623" s="521"/>
      <c r="AF623" s="482">
        <v>1</v>
      </c>
      <c r="AG623" s="521">
        <v>1520</v>
      </c>
      <c r="AH623" s="522">
        <f t="shared" si="192"/>
        <v>0</v>
      </c>
      <c r="AI623" s="521"/>
      <c r="AJ623" s="521"/>
      <c r="AK623" s="543"/>
      <c r="AL623" s="543">
        <f t="shared" si="182"/>
        <v>1520</v>
      </c>
      <c r="AM623" s="427"/>
      <c r="AN623" s="543"/>
      <c r="AO623" s="427"/>
      <c r="AP623" s="543"/>
      <c r="AQ623" s="543">
        <f>I623</f>
        <v>1520</v>
      </c>
      <c r="AR623" s="543">
        <f t="shared" si="193"/>
        <v>1520</v>
      </c>
      <c r="AS623" s="628"/>
      <c r="AT623" s="543">
        <f t="shared" si="194"/>
        <v>1520</v>
      </c>
      <c r="AU623" s="546"/>
      <c r="AV623" s="427"/>
      <c r="AW623" s="427"/>
      <c r="AX623" s="427"/>
      <c r="AY623" s="427"/>
      <c r="AZ623" s="543"/>
      <c r="BA623" s="543"/>
      <c r="BB623" s="427"/>
      <c r="BC623" s="427"/>
      <c r="BD623" s="543"/>
      <c r="BE623" s="543">
        <f>I623/4</f>
        <v>380</v>
      </c>
      <c r="BF623" s="427"/>
      <c r="BG623" s="427"/>
      <c r="BH623" s="427"/>
      <c r="BI623" s="427"/>
      <c r="BJ623" s="427"/>
      <c r="BK623" s="427"/>
      <c r="BL623" s="427"/>
      <c r="BM623" s="427"/>
      <c r="BN623" s="835"/>
      <c r="BO623" s="427"/>
      <c r="BP623" s="427"/>
      <c r="BQ623" s="427"/>
      <c r="BR623" s="427"/>
      <c r="BS623" s="427"/>
      <c r="BT623" s="427"/>
      <c r="BU623" s="427"/>
      <c r="BV623" s="427"/>
      <c r="BW623" s="427"/>
      <c r="BX623" s="427"/>
      <c r="BY623" s="427"/>
      <c r="BZ623" s="427"/>
      <c r="CA623" s="427"/>
      <c r="CB623" s="427"/>
      <c r="CC623" s="427"/>
      <c r="CD623" s="427"/>
      <c r="CE623" s="427"/>
      <c r="CF623" s="544"/>
      <c r="CG623" s="544"/>
      <c r="CH623" s="544"/>
      <c r="CI623" s="544"/>
      <c r="CJ623" s="544"/>
      <c r="CK623" s="427"/>
      <c r="CL623" s="427"/>
      <c r="CM623" s="427"/>
      <c r="CN623" s="544"/>
      <c r="CO623" s="544"/>
      <c r="CP623" s="544"/>
      <c r="CQ623" s="544"/>
      <c r="CR623" s="544"/>
      <c r="CS623" s="544"/>
    </row>
    <row r="624" s="431" customFormat="1" ht="31" hidden="1" customHeight="1" spans="1:97">
      <c r="A624" s="518">
        <v>45968</v>
      </c>
      <c r="B624" s="519" t="s">
        <v>467</v>
      </c>
      <c r="C624" s="520" t="s">
        <v>468</v>
      </c>
      <c r="D624" s="427">
        <v>4500184791</v>
      </c>
      <c r="E624" s="520">
        <v>50212600121</v>
      </c>
      <c r="F624" s="427" t="s">
        <v>2303</v>
      </c>
      <c r="G624" s="521" t="s">
        <v>64</v>
      </c>
      <c r="H624" s="520" t="s">
        <v>65</v>
      </c>
      <c r="I624" s="520">
        <v>4320</v>
      </c>
      <c r="J624" s="520">
        <v>0</v>
      </c>
      <c r="K624" s="520">
        <v>12</v>
      </c>
      <c r="L624" s="804">
        <f t="shared" si="178"/>
        <v>360</v>
      </c>
      <c r="M624" s="537">
        <v>46015</v>
      </c>
      <c r="N624" s="537">
        <v>46011</v>
      </c>
      <c r="O624" s="526"/>
      <c r="P624" s="526" t="s">
        <v>103</v>
      </c>
      <c r="Q624" s="530"/>
      <c r="R624" s="530">
        <v>45973</v>
      </c>
      <c r="S624" s="533" t="s">
        <v>96</v>
      </c>
      <c r="T624" s="533" t="s">
        <v>2304</v>
      </c>
      <c r="U624" s="532"/>
      <c r="V624" s="532"/>
      <c r="W624" s="531" t="s">
        <v>2305</v>
      </c>
      <c r="X624" s="540" t="s">
        <v>473</v>
      </c>
      <c r="Y624" s="538">
        <v>4.1131</v>
      </c>
      <c r="Z624" s="808">
        <f t="shared" si="181"/>
        <v>17768.592</v>
      </c>
      <c r="AA624" s="521"/>
      <c r="AB624" s="520" t="s">
        <v>165</v>
      </c>
      <c r="AC624" s="520" t="s">
        <v>76</v>
      </c>
      <c r="AD624" s="521"/>
      <c r="AE624" s="521"/>
      <c r="AF624" s="482">
        <v>1</v>
      </c>
      <c r="AG624" s="521">
        <f>1440+2880</f>
        <v>4320</v>
      </c>
      <c r="AH624" s="521">
        <f t="shared" si="192"/>
        <v>0</v>
      </c>
      <c r="AI624" s="521"/>
      <c r="AJ624" s="521" t="s">
        <v>2191</v>
      </c>
      <c r="AK624" s="543"/>
      <c r="AL624" s="543">
        <f t="shared" si="182"/>
        <v>4320</v>
      </c>
      <c r="AM624" s="427"/>
      <c r="AN624" s="543"/>
      <c r="AO624" s="427"/>
      <c r="AP624" s="543"/>
      <c r="AQ624" s="543">
        <f>I624</f>
        <v>4320</v>
      </c>
      <c r="AR624" s="543">
        <f t="shared" si="193"/>
        <v>4320</v>
      </c>
      <c r="AS624" s="543"/>
      <c r="AT624" s="543">
        <f t="shared" si="194"/>
        <v>4320</v>
      </c>
      <c r="AU624" s="546"/>
      <c r="AV624" s="427"/>
      <c r="AW624" s="427"/>
      <c r="AX624" s="427"/>
      <c r="AY624" s="427"/>
      <c r="AZ624" s="543"/>
      <c r="BA624" s="543"/>
      <c r="BB624" s="427"/>
      <c r="BC624" s="427"/>
      <c r="BD624" s="543"/>
      <c r="BE624" s="543"/>
      <c r="BF624" s="427"/>
      <c r="BG624" s="427"/>
      <c r="BH624" s="427"/>
      <c r="BI624" s="427"/>
      <c r="BJ624" s="427"/>
      <c r="BK624" s="427"/>
      <c r="BL624" s="427"/>
      <c r="BM624" s="427"/>
      <c r="BN624" s="836"/>
      <c r="BO624" s="836"/>
      <c r="BP624" s="836"/>
      <c r="BQ624" s="836"/>
      <c r="BR624" s="836"/>
      <c r="BS624" s="836"/>
      <c r="BT624" s="836"/>
      <c r="BU624" s="836"/>
      <c r="BV624" s="836"/>
      <c r="BW624" s="836"/>
      <c r="BX624" s="836"/>
      <c r="BY624" s="836"/>
      <c r="BZ624" s="836"/>
      <c r="CA624" s="836"/>
      <c r="CB624" s="836"/>
      <c r="CC624" s="836"/>
      <c r="CD624" s="836"/>
      <c r="CE624" s="836"/>
      <c r="CF624" s="544"/>
      <c r="CG624" s="544"/>
      <c r="CH624" s="544"/>
      <c r="CI624" s="544"/>
      <c r="CJ624" s="544"/>
      <c r="CK624" s="836"/>
      <c r="CL624" s="836"/>
      <c r="CM624" s="836"/>
      <c r="CN624" s="544"/>
      <c r="CO624" s="544"/>
      <c r="CP624" s="544"/>
      <c r="CQ624" s="544"/>
      <c r="CR624" s="544"/>
      <c r="CS624" s="544"/>
    </row>
    <row r="625" s="431" customFormat="1" ht="31" hidden="1" customHeight="1" spans="1:97">
      <c r="A625" s="518">
        <v>45916</v>
      </c>
      <c r="B625" s="519" t="s">
        <v>650</v>
      </c>
      <c r="C625" s="520" t="s">
        <v>249</v>
      </c>
      <c r="D625" s="427">
        <v>4500179611</v>
      </c>
      <c r="E625" s="520" t="s">
        <v>2306</v>
      </c>
      <c r="F625" s="427" t="s">
        <v>2307</v>
      </c>
      <c r="G625" s="521" t="s">
        <v>102</v>
      </c>
      <c r="H625" s="520" t="s">
        <v>65</v>
      </c>
      <c r="I625" s="520">
        <v>9520</v>
      </c>
      <c r="J625" s="520">
        <v>0</v>
      </c>
      <c r="K625" s="520">
        <v>16</v>
      </c>
      <c r="L625" s="804">
        <f t="shared" si="178"/>
        <v>595</v>
      </c>
      <c r="M625" s="537">
        <v>46016</v>
      </c>
      <c r="N625" s="537">
        <v>46013</v>
      </c>
      <c r="O625" s="526"/>
      <c r="P625" s="526" t="s">
        <v>103</v>
      </c>
      <c r="Q625" s="530"/>
      <c r="R625" s="530">
        <v>45916</v>
      </c>
      <c r="S625" s="533" t="s">
        <v>66</v>
      </c>
      <c r="T625" s="533" t="s">
        <v>66</v>
      </c>
      <c r="U625" s="532"/>
      <c r="V625" s="532"/>
      <c r="W625" s="532" t="s">
        <v>2308</v>
      </c>
      <c r="X625" s="540" t="s">
        <v>1499</v>
      </c>
      <c r="Y625" s="538">
        <v>4.2303</v>
      </c>
      <c r="Z625" s="808">
        <f t="shared" si="181"/>
        <v>40272.456</v>
      </c>
      <c r="AA625" s="521"/>
      <c r="AB625" s="521" t="s">
        <v>102</v>
      </c>
      <c r="AC625" s="520" t="s">
        <v>76</v>
      </c>
      <c r="AD625" s="521"/>
      <c r="AE625" s="521"/>
      <c r="AF625" s="482">
        <v>1</v>
      </c>
      <c r="AG625" s="521">
        <v>9520</v>
      </c>
      <c r="AH625" s="522">
        <f t="shared" si="192"/>
        <v>0</v>
      </c>
      <c r="AI625" s="521"/>
      <c r="AJ625" s="521"/>
      <c r="AK625" s="543"/>
      <c r="AL625" s="543">
        <f t="shared" si="182"/>
        <v>9520</v>
      </c>
      <c r="AM625" s="628"/>
      <c r="AN625" s="543"/>
      <c r="AO625" s="628"/>
      <c r="AP625" s="543">
        <f t="shared" ref="AP625:AP630" si="195">I625</f>
        <v>9520</v>
      </c>
      <c r="AQ625" s="543"/>
      <c r="AR625" s="543">
        <f t="shared" si="193"/>
        <v>9520</v>
      </c>
      <c r="AS625" s="543"/>
      <c r="AT625" s="543">
        <f t="shared" si="194"/>
        <v>9520</v>
      </c>
      <c r="AU625" s="546"/>
      <c r="AV625" s="628"/>
      <c r="AW625" s="628"/>
      <c r="AX625" s="628"/>
      <c r="AY625" s="628"/>
      <c r="AZ625" s="543"/>
      <c r="BA625" s="543"/>
      <c r="BB625" s="628"/>
      <c r="BC625" s="628"/>
      <c r="BD625" s="543">
        <f>I625/4</f>
        <v>2380</v>
      </c>
      <c r="BE625" s="543"/>
      <c r="BF625" s="628"/>
      <c r="BG625" s="628"/>
      <c r="BH625" s="628"/>
      <c r="BI625" s="543"/>
      <c r="BJ625" s="543"/>
      <c r="BK625" s="628"/>
      <c r="BL625" s="628"/>
      <c r="BM625" s="628"/>
      <c r="CF625" s="544"/>
      <c r="CG625" s="544"/>
      <c r="CH625" s="544"/>
      <c r="CI625" s="544"/>
      <c r="CJ625" s="544"/>
      <c r="CN625" s="544"/>
      <c r="CO625" s="544"/>
      <c r="CP625" s="544"/>
      <c r="CQ625" s="544"/>
      <c r="CR625" s="544"/>
      <c r="CS625" s="544"/>
    </row>
    <row r="626" s="431" customFormat="1" ht="31" hidden="1" customHeight="1" spans="1:97">
      <c r="A626" s="518">
        <v>45916</v>
      </c>
      <c r="B626" s="519" t="s">
        <v>650</v>
      </c>
      <c r="C626" s="520" t="s">
        <v>249</v>
      </c>
      <c r="D626" s="427">
        <v>4500179611</v>
      </c>
      <c r="E626" s="520" t="s">
        <v>2309</v>
      </c>
      <c r="F626" s="427" t="s">
        <v>2310</v>
      </c>
      <c r="G626" s="521" t="s">
        <v>102</v>
      </c>
      <c r="H626" s="520" t="s">
        <v>65</v>
      </c>
      <c r="I626" s="520">
        <v>9520</v>
      </c>
      <c r="J626" s="520">
        <v>0</v>
      </c>
      <c r="K626" s="520">
        <v>16</v>
      </c>
      <c r="L626" s="804">
        <f t="shared" si="178"/>
        <v>595</v>
      </c>
      <c r="M626" s="537">
        <v>46016</v>
      </c>
      <c r="N626" s="537">
        <v>46013</v>
      </c>
      <c r="O626" s="526"/>
      <c r="P626" s="526" t="s">
        <v>103</v>
      </c>
      <c r="Q626" s="530"/>
      <c r="R626" s="530">
        <v>45916</v>
      </c>
      <c r="S626" s="533" t="s">
        <v>66</v>
      </c>
      <c r="T626" s="533" t="s">
        <v>66</v>
      </c>
      <c r="U626" s="532"/>
      <c r="V626" s="532"/>
      <c r="W626" s="532" t="s">
        <v>2308</v>
      </c>
      <c r="X626" s="540" t="s">
        <v>1499</v>
      </c>
      <c r="Y626" s="538">
        <v>4.2303</v>
      </c>
      <c r="Z626" s="808">
        <f t="shared" si="181"/>
        <v>40272.456</v>
      </c>
      <c r="AA626" s="521"/>
      <c r="AB626" s="521" t="s">
        <v>102</v>
      </c>
      <c r="AC626" s="520" t="s">
        <v>76</v>
      </c>
      <c r="AD626" s="521"/>
      <c r="AE626" s="521"/>
      <c r="AF626" s="482">
        <v>1</v>
      </c>
      <c r="AG626" s="521">
        <f>9488+32</f>
        <v>9520</v>
      </c>
      <c r="AH626" s="522">
        <f t="shared" si="192"/>
        <v>0</v>
      </c>
      <c r="AI626" s="521"/>
      <c r="AJ626" s="521"/>
      <c r="AK626" s="543"/>
      <c r="AL626" s="543">
        <f t="shared" si="182"/>
        <v>9520</v>
      </c>
      <c r="AM626" s="628"/>
      <c r="AN626" s="543"/>
      <c r="AO626" s="628"/>
      <c r="AP626" s="543">
        <f t="shared" si="195"/>
        <v>9520</v>
      </c>
      <c r="AQ626" s="543"/>
      <c r="AR626" s="543">
        <f t="shared" si="193"/>
        <v>9520</v>
      </c>
      <c r="AS626" s="543"/>
      <c r="AT626" s="543">
        <f t="shared" si="194"/>
        <v>9520</v>
      </c>
      <c r="AU626" s="546"/>
      <c r="AV626" s="628"/>
      <c r="AW626" s="628"/>
      <c r="AX626" s="628"/>
      <c r="AY626" s="628"/>
      <c r="AZ626" s="543"/>
      <c r="BA626" s="543"/>
      <c r="BB626" s="628"/>
      <c r="BC626" s="628"/>
      <c r="BD626" s="543">
        <f>I626/4</f>
        <v>2380</v>
      </c>
      <c r="BE626" s="543"/>
      <c r="BF626" s="628"/>
      <c r="BG626" s="628"/>
      <c r="BH626" s="628"/>
      <c r="BI626" s="543"/>
      <c r="BJ626" s="543"/>
      <c r="BK626" s="628"/>
      <c r="BL626" s="628"/>
      <c r="BM626" s="628"/>
      <c r="CF626" s="544"/>
      <c r="CG626" s="544"/>
      <c r="CH626" s="544"/>
      <c r="CI626" s="544"/>
      <c r="CJ626" s="544"/>
      <c r="CN626" s="544"/>
      <c r="CO626" s="544"/>
      <c r="CP626" s="544"/>
      <c r="CQ626" s="544"/>
      <c r="CR626" s="544"/>
      <c r="CS626" s="544"/>
    </row>
    <row r="627" s="431" customFormat="1" ht="31" hidden="1" customHeight="1" spans="1:97">
      <c r="A627" s="518">
        <v>45975</v>
      </c>
      <c r="B627" s="519" t="s">
        <v>719</v>
      </c>
      <c r="C627" s="520" t="s">
        <v>720</v>
      </c>
      <c r="D627" s="427">
        <v>4500185573</v>
      </c>
      <c r="E627" s="520"/>
      <c r="F627" s="427" t="s">
        <v>2311</v>
      </c>
      <c r="G627" s="521" t="s">
        <v>102</v>
      </c>
      <c r="H627" s="520" t="s">
        <v>65</v>
      </c>
      <c r="I627" s="606">
        <v>560</v>
      </c>
      <c r="J627" s="520">
        <v>0</v>
      </c>
      <c r="K627" s="520">
        <v>16</v>
      </c>
      <c r="L627" s="804">
        <f t="shared" si="178"/>
        <v>35</v>
      </c>
      <c r="M627" s="537">
        <v>46016</v>
      </c>
      <c r="N627" s="537">
        <v>46013</v>
      </c>
      <c r="O627" s="526"/>
      <c r="P627" s="526" t="s">
        <v>103</v>
      </c>
      <c r="Q627" s="530"/>
      <c r="R627" s="530">
        <v>45975</v>
      </c>
      <c r="S627" s="533" t="s">
        <v>96</v>
      </c>
      <c r="T627" s="533">
        <v>45975</v>
      </c>
      <c r="U627" s="532"/>
      <c r="V627" s="532"/>
      <c r="W627" s="532" t="s">
        <v>2312</v>
      </c>
      <c r="X627" s="540" t="s">
        <v>207</v>
      </c>
      <c r="Y627" s="538">
        <v>4.2114</v>
      </c>
      <c r="Z627" s="808">
        <f t="shared" si="181"/>
        <v>2358.384</v>
      </c>
      <c r="AA627" s="521"/>
      <c r="AB627" s="521" t="s">
        <v>102</v>
      </c>
      <c r="AC627" s="520" t="s">
        <v>76</v>
      </c>
      <c r="AD627" s="521"/>
      <c r="AE627" s="521"/>
      <c r="AF627" s="482">
        <v>1</v>
      </c>
      <c r="AG627" s="521">
        <v>560</v>
      </c>
      <c r="AH627" s="522">
        <f t="shared" si="192"/>
        <v>0</v>
      </c>
      <c r="AI627" s="521"/>
      <c r="AJ627" s="521"/>
      <c r="AK627" s="543"/>
      <c r="AL627" s="543">
        <f t="shared" si="182"/>
        <v>560</v>
      </c>
      <c r="AM627" s="628"/>
      <c r="AN627" s="543"/>
      <c r="AO627" s="628"/>
      <c r="AP627" s="543">
        <f t="shared" si="195"/>
        <v>560</v>
      </c>
      <c r="AQ627" s="543"/>
      <c r="AR627" s="543">
        <f t="shared" si="193"/>
        <v>560</v>
      </c>
      <c r="AS627" s="543"/>
      <c r="AT627" s="543">
        <f t="shared" si="194"/>
        <v>560</v>
      </c>
      <c r="AU627" s="546"/>
      <c r="AV627" s="427"/>
      <c r="AW627" s="628"/>
      <c r="AX627" s="628"/>
      <c r="AY627" s="628"/>
      <c r="AZ627" s="543"/>
      <c r="BA627" s="543"/>
      <c r="BB627" s="628"/>
      <c r="BC627" s="628"/>
      <c r="BD627" s="543">
        <f>I627/4</f>
        <v>140</v>
      </c>
      <c r="BE627" s="543"/>
      <c r="BF627" s="628"/>
      <c r="BG627" s="628"/>
      <c r="BH627" s="628"/>
      <c r="BI627" s="543"/>
      <c r="BJ627" s="543"/>
      <c r="BK627" s="628"/>
      <c r="BL627" s="628"/>
      <c r="BM627" s="628"/>
      <c r="CF627" s="544"/>
      <c r="CG627" s="544"/>
      <c r="CH627" s="544"/>
      <c r="CI627" s="544"/>
      <c r="CJ627" s="544"/>
      <c r="CN627" s="544"/>
      <c r="CO627" s="544"/>
      <c r="CP627" s="544"/>
      <c r="CQ627" s="544"/>
      <c r="CR627" s="544"/>
      <c r="CS627" s="544"/>
    </row>
    <row r="628" s="431" customFormat="1" ht="31" hidden="1" customHeight="1" spans="1:97">
      <c r="A628" s="518">
        <v>45905</v>
      </c>
      <c r="B628" s="519" t="s">
        <v>1669</v>
      </c>
      <c r="C628" s="520" t="s">
        <v>663</v>
      </c>
      <c r="D628" s="427">
        <v>4500178919</v>
      </c>
      <c r="E628" s="520">
        <v>5000001988</v>
      </c>
      <c r="F628" s="427" t="s">
        <v>2313</v>
      </c>
      <c r="G628" s="521" t="s">
        <v>463</v>
      </c>
      <c r="H628" s="520" t="s">
        <v>424</v>
      </c>
      <c r="I628" s="520">
        <v>9996</v>
      </c>
      <c r="J628" s="520">
        <v>0</v>
      </c>
      <c r="K628" s="520">
        <v>6</v>
      </c>
      <c r="L628" s="804">
        <f t="shared" si="178"/>
        <v>1666</v>
      </c>
      <c r="M628" s="537">
        <v>46017</v>
      </c>
      <c r="N628" s="537">
        <v>46013</v>
      </c>
      <c r="O628" s="526"/>
      <c r="P628" s="526" t="s">
        <v>103</v>
      </c>
      <c r="Q628" s="530"/>
      <c r="R628" s="530">
        <v>45960</v>
      </c>
      <c r="S628" s="784" t="s">
        <v>96</v>
      </c>
      <c r="T628" s="533" t="s">
        <v>2067</v>
      </c>
      <c r="U628" s="532"/>
      <c r="V628" s="532"/>
      <c r="W628" s="531" t="s">
        <v>2068</v>
      </c>
      <c r="X628" s="540" t="s">
        <v>1674</v>
      </c>
      <c r="Y628" s="538">
        <v>6.3409</v>
      </c>
      <c r="Z628" s="808">
        <f t="shared" si="181"/>
        <v>63383.6364</v>
      </c>
      <c r="AA628" s="521"/>
      <c r="AB628" s="521" t="s">
        <v>2069</v>
      </c>
      <c r="AC628" s="520" t="s">
        <v>76</v>
      </c>
      <c r="AD628" s="521"/>
      <c r="AE628" s="521"/>
      <c r="AF628" s="482">
        <v>1</v>
      </c>
      <c r="AG628" s="521">
        <f>3888+5136+972</f>
        <v>9996</v>
      </c>
      <c r="AH628" s="522">
        <f t="shared" si="192"/>
        <v>0</v>
      </c>
      <c r="AI628" s="521"/>
      <c r="AJ628" s="521"/>
      <c r="AK628" s="543"/>
      <c r="AL628" s="543">
        <f t="shared" si="182"/>
        <v>9996</v>
      </c>
      <c r="AM628" s="628"/>
      <c r="AN628" s="543"/>
      <c r="AO628" s="628"/>
      <c r="AP628" s="543">
        <f t="shared" si="195"/>
        <v>9996</v>
      </c>
      <c r="AQ628" s="543"/>
      <c r="AR628" s="543"/>
      <c r="AS628" s="543">
        <f>I628</f>
        <v>9996</v>
      </c>
      <c r="AT628" s="543"/>
      <c r="AU628" s="546">
        <f>I628</f>
        <v>9996</v>
      </c>
      <c r="AV628" s="628"/>
      <c r="AW628" s="628"/>
      <c r="AX628" s="628"/>
      <c r="AY628" s="628"/>
      <c r="AZ628" s="543"/>
      <c r="BA628" s="543"/>
      <c r="BB628" s="628"/>
      <c r="BC628" s="628"/>
      <c r="BD628" s="543"/>
      <c r="BE628" s="543"/>
      <c r="BF628" s="628"/>
      <c r="BG628" s="628"/>
      <c r="BH628" s="628"/>
      <c r="BI628" s="543"/>
      <c r="BJ628" s="427">
        <f>I628</f>
        <v>9996</v>
      </c>
      <c r="BK628" s="628"/>
      <c r="BL628" s="628"/>
      <c r="BM628" s="628"/>
      <c r="CF628" s="544"/>
      <c r="CG628" s="544"/>
      <c r="CH628" s="544"/>
      <c r="CI628" s="544"/>
      <c r="CJ628" s="544"/>
      <c r="CN628" s="544"/>
      <c r="CO628" s="544"/>
      <c r="CP628" s="544"/>
      <c r="CQ628" s="544"/>
      <c r="CR628" s="544"/>
      <c r="CS628" s="544"/>
    </row>
    <row r="629" s="431" customFormat="1" ht="31" hidden="1" customHeight="1" spans="1:97">
      <c r="A629" s="518">
        <v>45905</v>
      </c>
      <c r="B629" s="519" t="s">
        <v>1669</v>
      </c>
      <c r="C629" s="520" t="s">
        <v>663</v>
      </c>
      <c r="D629" s="427">
        <v>4500178919</v>
      </c>
      <c r="E629" s="520">
        <v>5000001988</v>
      </c>
      <c r="F629" s="427" t="s">
        <v>2314</v>
      </c>
      <c r="G629" s="521" t="s">
        <v>118</v>
      </c>
      <c r="H629" s="520" t="s">
        <v>119</v>
      </c>
      <c r="I629" s="520">
        <v>6000</v>
      </c>
      <c r="J629" s="520">
        <v>0</v>
      </c>
      <c r="K629" s="520">
        <v>6</v>
      </c>
      <c r="L629" s="804">
        <f t="shared" si="178"/>
        <v>1000</v>
      </c>
      <c r="M629" s="537">
        <v>46017</v>
      </c>
      <c r="N629" s="537">
        <v>46013</v>
      </c>
      <c r="O629" s="526"/>
      <c r="P629" s="526" t="s">
        <v>103</v>
      </c>
      <c r="Q629" s="530"/>
      <c r="R629" s="530">
        <v>45960</v>
      </c>
      <c r="S629" s="784" t="s">
        <v>96</v>
      </c>
      <c r="T629" s="533" t="s">
        <v>2067</v>
      </c>
      <c r="U629" s="532"/>
      <c r="V629" s="532"/>
      <c r="W629" s="532" t="s">
        <v>2045</v>
      </c>
      <c r="X629" s="540" t="s">
        <v>1674</v>
      </c>
      <c r="Y629" s="538">
        <v>4.1576</v>
      </c>
      <c r="Z629" s="808">
        <f t="shared" si="181"/>
        <v>24945.6</v>
      </c>
      <c r="AA629" s="521"/>
      <c r="AB629" s="543" t="s">
        <v>2047</v>
      </c>
      <c r="AC629" s="520" t="s">
        <v>76</v>
      </c>
      <c r="AD629" s="521"/>
      <c r="AE629" s="521"/>
      <c r="AF629" s="482">
        <v>1</v>
      </c>
      <c r="AG629" s="521">
        <v>6000</v>
      </c>
      <c r="AH629" s="522">
        <v>0</v>
      </c>
      <c r="AI629" s="521"/>
      <c r="AJ629" s="521"/>
      <c r="AK629" s="543"/>
      <c r="AL629" s="543">
        <f t="shared" si="182"/>
        <v>6000</v>
      </c>
      <c r="AM629" s="427"/>
      <c r="AN629" s="543"/>
      <c r="AO629" s="427"/>
      <c r="AP629" s="543">
        <f t="shared" si="195"/>
        <v>6000</v>
      </c>
      <c r="AQ629" s="543"/>
      <c r="AR629" s="543"/>
      <c r="AS629" s="543">
        <f>I629</f>
        <v>6000</v>
      </c>
      <c r="AT629" s="543"/>
      <c r="AU629" s="546">
        <f>I629</f>
        <v>6000</v>
      </c>
      <c r="AV629" s="628"/>
      <c r="AW629" s="628"/>
      <c r="AX629" s="628"/>
      <c r="AY629" s="628"/>
      <c r="AZ629" s="543"/>
      <c r="BA629" s="543"/>
      <c r="BB629" s="628"/>
      <c r="BC629" s="628"/>
      <c r="BD629" s="543"/>
      <c r="BE629" s="543"/>
      <c r="BF629" s="628"/>
      <c r="BG629" s="628"/>
      <c r="BH629" s="628"/>
      <c r="BI629" s="543"/>
      <c r="BJ629" s="543"/>
      <c r="BK629" s="628"/>
      <c r="BL629" s="628"/>
      <c r="BM629" s="628"/>
      <c r="CF629" s="544"/>
      <c r="CG629" s="544"/>
      <c r="CH629" s="544"/>
      <c r="CI629" s="544"/>
      <c r="CJ629" s="544"/>
      <c r="CN629" s="544"/>
      <c r="CO629" s="544"/>
      <c r="CP629" s="544"/>
      <c r="CQ629" s="544"/>
      <c r="CR629" s="544"/>
      <c r="CS629" s="544"/>
    </row>
    <row r="630" s="431" customFormat="1" ht="34" hidden="1" customHeight="1" spans="1:97">
      <c r="A630" s="518">
        <v>45905</v>
      </c>
      <c r="B630" s="519" t="s">
        <v>1669</v>
      </c>
      <c r="C630" s="520" t="s">
        <v>663</v>
      </c>
      <c r="D630" s="427">
        <v>4500178919</v>
      </c>
      <c r="E630" s="520">
        <v>5000001988</v>
      </c>
      <c r="F630" s="427" t="s">
        <v>2315</v>
      </c>
      <c r="G630" s="521" t="s">
        <v>463</v>
      </c>
      <c r="H630" s="520" t="s">
        <v>424</v>
      </c>
      <c r="I630" s="606">
        <v>2004</v>
      </c>
      <c r="J630" s="520">
        <v>0</v>
      </c>
      <c r="K630" s="520">
        <v>6</v>
      </c>
      <c r="L630" s="804">
        <f t="shared" si="178"/>
        <v>334</v>
      </c>
      <c r="M630" s="537">
        <v>46017</v>
      </c>
      <c r="N630" s="537">
        <v>46013</v>
      </c>
      <c r="O630" s="526"/>
      <c r="P630" s="526" t="s">
        <v>103</v>
      </c>
      <c r="Q630" s="530"/>
      <c r="R630" s="530">
        <v>45960</v>
      </c>
      <c r="S630" s="784" t="s">
        <v>96</v>
      </c>
      <c r="T630" s="533" t="s">
        <v>2067</v>
      </c>
      <c r="U630" s="532"/>
      <c r="V630" s="532"/>
      <c r="W630" s="535" t="s">
        <v>2068</v>
      </c>
      <c r="X630" s="540" t="s">
        <v>1674</v>
      </c>
      <c r="Y630" s="538">
        <v>6.3409</v>
      </c>
      <c r="Z630" s="808">
        <f t="shared" si="181"/>
        <v>12707.1636</v>
      </c>
      <c r="AA630" s="521"/>
      <c r="AB630" s="521" t="s">
        <v>2069</v>
      </c>
      <c r="AC630" s="520" t="s">
        <v>76</v>
      </c>
      <c r="AD630" s="521"/>
      <c r="AE630" s="521"/>
      <c r="AF630" s="482">
        <v>1</v>
      </c>
      <c r="AG630" s="521">
        <v>2004</v>
      </c>
      <c r="AH630" s="522">
        <f t="shared" si="192"/>
        <v>0</v>
      </c>
      <c r="AI630" s="521"/>
      <c r="AJ630" s="521"/>
      <c r="AK630" s="543"/>
      <c r="AL630" s="543">
        <f t="shared" si="182"/>
        <v>2004</v>
      </c>
      <c r="AM630" s="427"/>
      <c r="AN630" s="543"/>
      <c r="AO630" s="427"/>
      <c r="AP630" s="543">
        <f t="shared" si="195"/>
        <v>2004</v>
      </c>
      <c r="AQ630" s="543"/>
      <c r="AR630" s="543"/>
      <c r="AS630" s="543">
        <f>I630</f>
        <v>2004</v>
      </c>
      <c r="AT630" s="543"/>
      <c r="AU630" s="546">
        <f>I630</f>
        <v>2004</v>
      </c>
      <c r="AV630" s="628"/>
      <c r="AW630" s="628"/>
      <c r="AX630" s="628"/>
      <c r="AY630" s="628"/>
      <c r="AZ630" s="543"/>
      <c r="BA630" s="543"/>
      <c r="BB630" s="628"/>
      <c r="BC630" s="628"/>
      <c r="BD630" s="543"/>
      <c r="BE630" s="543"/>
      <c r="BF630" s="628"/>
      <c r="BG630" s="628"/>
      <c r="BH630" s="628"/>
      <c r="BI630" s="543"/>
      <c r="BJ630" s="427">
        <f>I630</f>
        <v>2004</v>
      </c>
      <c r="BK630" s="628"/>
      <c r="BL630" s="628"/>
      <c r="BM630" s="628"/>
      <c r="CF630" s="544"/>
      <c r="CG630" s="544"/>
      <c r="CH630" s="544"/>
      <c r="CI630" s="544"/>
      <c r="CJ630" s="544"/>
      <c r="CN630" s="544"/>
      <c r="CO630" s="544"/>
      <c r="CP630" s="544"/>
      <c r="CQ630" s="544"/>
      <c r="CR630" s="544"/>
      <c r="CS630" s="544"/>
    </row>
    <row r="631" s="431" customFormat="1" ht="31" hidden="1" customHeight="1" spans="1:97">
      <c r="A631" s="518">
        <v>45954</v>
      </c>
      <c r="B631" s="519" t="s">
        <v>2316</v>
      </c>
      <c r="C631" s="520" t="s">
        <v>2317</v>
      </c>
      <c r="D631" s="427">
        <v>4500182689</v>
      </c>
      <c r="E631" s="520" t="s">
        <v>2318</v>
      </c>
      <c r="F631" s="427" t="s">
        <v>2319</v>
      </c>
      <c r="G631" s="521" t="s">
        <v>102</v>
      </c>
      <c r="H631" s="520" t="s">
        <v>65</v>
      </c>
      <c r="I631" s="520">
        <v>1200</v>
      </c>
      <c r="J631" s="520">
        <v>0</v>
      </c>
      <c r="K631" s="520">
        <v>16</v>
      </c>
      <c r="L631" s="804">
        <f t="shared" si="178"/>
        <v>75</v>
      </c>
      <c r="M631" s="537">
        <v>46017</v>
      </c>
      <c r="N631" s="537">
        <v>46013</v>
      </c>
      <c r="O631" s="526"/>
      <c r="P631" s="526" t="s">
        <v>103</v>
      </c>
      <c r="Q631" s="530"/>
      <c r="R631" s="530">
        <v>45959</v>
      </c>
      <c r="S631" s="533" t="s">
        <v>66</v>
      </c>
      <c r="T631" s="533" t="s">
        <v>2320</v>
      </c>
      <c r="U631" s="532"/>
      <c r="V631" s="532"/>
      <c r="W631" s="531" t="s">
        <v>2321</v>
      </c>
      <c r="X631" s="540" t="s">
        <v>2322</v>
      </c>
      <c r="Y631" s="538">
        <v>4.2542</v>
      </c>
      <c r="Z631" s="808">
        <f t="shared" si="181"/>
        <v>5105.04</v>
      </c>
      <c r="AA631" s="521"/>
      <c r="AB631" s="520" t="s">
        <v>397</v>
      </c>
      <c r="AC631" s="520" t="s">
        <v>76</v>
      </c>
      <c r="AD631" s="521"/>
      <c r="AE631" s="521"/>
      <c r="AF631" s="482">
        <v>1</v>
      </c>
      <c r="AG631" s="521">
        <f>1168+32</f>
        <v>1200</v>
      </c>
      <c r="AH631" s="522">
        <f t="shared" si="192"/>
        <v>0</v>
      </c>
      <c r="AI631" s="521"/>
      <c r="AJ631" s="521"/>
      <c r="AK631" s="543"/>
      <c r="AL631" s="543">
        <f t="shared" si="182"/>
        <v>1200</v>
      </c>
      <c r="AM631" s="427"/>
      <c r="AN631" s="543"/>
      <c r="AO631" s="427"/>
      <c r="AP631" s="543"/>
      <c r="AQ631" s="543">
        <f>I631</f>
        <v>1200</v>
      </c>
      <c r="AR631" s="543">
        <f>I631</f>
        <v>1200</v>
      </c>
      <c r="AS631" s="543"/>
      <c r="AT631" s="543">
        <f t="shared" ref="AT631:AT637" si="196">I631</f>
        <v>1200</v>
      </c>
      <c r="AU631" s="546"/>
      <c r="AV631" s="427"/>
      <c r="AW631" s="427"/>
      <c r="AX631" s="427"/>
      <c r="AY631" s="427"/>
      <c r="AZ631" s="543"/>
      <c r="BA631" s="543"/>
      <c r="BB631" s="427"/>
      <c r="BC631" s="427"/>
      <c r="BD631" s="543"/>
      <c r="BE631" s="543">
        <f>I631/4</f>
        <v>300</v>
      </c>
      <c r="BF631" s="427"/>
      <c r="BG631" s="427"/>
      <c r="BH631" s="427"/>
      <c r="BI631" s="427"/>
      <c r="BJ631" s="427"/>
      <c r="BK631" s="427"/>
      <c r="BL631" s="427"/>
      <c r="BM631" s="427"/>
      <c r="BN631" s="835"/>
      <c r="BO631" s="427"/>
      <c r="BP631" s="427"/>
      <c r="BQ631" s="427"/>
      <c r="BR631" s="427"/>
      <c r="BS631" s="427"/>
      <c r="BT631" s="427"/>
      <c r="BU631" s="427"/>
      <c r="BV631" s="427"/>
      <c r="BW631" s="427"/>
      <c r="BX631" s="427"/>
      <c r="BY631" s="427"/>
      <c r="BZ631" s="427"/>
      <c r="CA631" s="427"/>
      <c r="CB631" s="427"/>
      <c r="CC631" s="427"/>
      <c r="CD631" s="427"/>
      <c r="CE631" s="427"/>
      <c r="CF631" s="544"/>
      <c r="CG631" s="544"/>
      <c r="CH631" s="544"/>
      <c r="CI631" s="544"/>
      <c r="CJ631" s="544"/>
      <c r="CK631" s="427"/>
      <c r="CL631" s="427"/>
      <c r="CM631" s="427"/>
      <c r="CN631" s="544"/>
      <c r="CO631" s="544"/>
      <c r="CP631" s="544"/>
      <c r="CQ631" s="544"/>
      <c r="CR631" s="544"/>
      <c r="CS631" s="544"/>
    </row>
    <row r="632" s="431" customFormat="1" ht="31" hidden="1" customHeight="1" spans="1:97">
      <c r="A632" s="518">
        <v>45982</v>
      </c>
      <c r="B632" s="519" t="s">
        <v>467</v>
      </c>
      <c r="C632" s="520" t="s">
        <v>468</v>
      </c>
      <c r="D632" s="427">
        <v>4500186484</v>
      </c>
      <c r="E632" s="520"/>
      <c r="F632" s="427" t="s">
        <v>2323</v>
      </c>
      <c r="G632" s="521" t="s">
        <v>2324</v>
      </c>
      <c r="H632" s="520" t="s">
        <v>2325</v>
      </c>
      <c r="I632" s="520">
        <v>30</v>
      </c>
      <c r="J632" s="520">
        <v>0</v>
      </c>
      <c r="K632" s="520">
        <v>1</v>
      </c>
      <c r="L632" s="804">
        <f t="shared" si="178"/>
        <v>30</v>
      </c>
      <c r="M632" s="537">
        <v>46015</v>
      </c>
      <c r="N632" s="537">
        <v>46011</v>
      </c>
      <c r="O632" s="526"/>
      <c r="P632" s="526" t="s">
        <v>103</v>
      </c>
      <c r="Q632" s="530"/>
      <c r="R632" s="530">
        <v>45988</v>
      </c>
      <c r="S632" s="533" t="s">
        <v>66</v>
      </c>
      <c r="T632" s="832" t="s">
        <v>2326</v>
      </c>
      <c r="U632" s="532"/>
      <c r="V632" s="532"/>
      <c r="W632" s="531" t="s">
        <v>2327</v>
      </c>
      <c r="X632" s="540" t="s">
        <v>473</v>
      </c>
      <c r="Y632" s="538">
        <v>28.5531</v>
      </c>
      <c r="Z632" s="808">
        <f t="shared" si="181"/>
        <v>856.593</v>
      </c>
      <c r="AA632" s="521"/>
      <c r="AB632" s="520" t="s">
        <v>68</v>
      </c>
      <c r="AC632" s="520"/>
      <c r="AD632" s="521"/>
      <c r="AE632" s="521"/>
      <c r="AF632" s="521">
        <v>1</v>
      </c>
      <c r="AG632" s="521">
        <v>30</v>
      </c>
      <c r="AH632" s="521">
        <f t="shared" si="192"/>
        <v>0</v>
      </c>
      <c r="AI632" s="521"/>
      <c r="AJ632" s="521"/>
      <c r="AK632" s="543"/>
      <c r="AL632" s="543">
        <f t="shared" si="182"/>
        <v>30</v>
      </c>
      <c r="AM632" s="427"/>
      <c r="AN632" s="543"/>
      <c r="AO632" s="427"/>
      <c r="AP632" s="543">
        <f>I632</f>
        <v>30</v>
      </c>
      <c r="AQ632" s="543"/>
      <c r="AR632" s="543">
        <f>I632</f>
        <v>30</v>
      </c>
      <c r="AS632" s="543"/>
      <c r="AT632" s="543">
        <f t="shared" si="196"/>
        <v>30</v>
      </c>
      <c r="AU632" s="546"/>
      <c r="AV632" s="427"/>
      <c r="AW632" s="427"/>
      <c r="AX632" s="427"/>
      <c r="AY632" s="427"/>
      <c r="AZ632" s="543"/>
      <c r="BA632" s="543"/>
      <c r="BB632" s="427"/>
      <c r="BC632" s="427"/>
      <c r="BD632" s="543"/>
      <c r="BE632" s="543"/>
      <c r="BF632" s="427"/>
      <c r="BG632" s="427"/>
      <c r="BH632" s="427"/>
      <c r="BI632" s="427"/>
      <c r="BJ632" s="427"/>
      <c r="BK632" s="427"/>
      <c r="BL632" s="427"/>
      <c r="BM632" s="427"/>
      <c r="BN632" s="836"/>
      <c r="BO632" s="836"/>
      <c r="BP632" s="836"/>
      <c r="BQ632" s="836"/>
      <c r="BR632" s="836"/>
      <c r="BS632" s="836"/>
      <c r="BT632" s="836"/>
      <c r="BU632" s="836"/>
      <c r="BV632" s="836"/>
      <c r="BW632" s="836"/>
      <c r="BX632" s="836"/>
      <c r="BY632" s="836"/>
      <c r="BZ632" s="836"/>
      <c r="CA632" s="836"/>
      <c r="CB632" s="836"/>
      <c r="CC632" s="836"/>
      <c r="CD632" s="836"/>
      <c r="CE632" s="836"/>
      <c r="CF632" s="544"/>
      <c r="CG632" s="544"/>
      <c r="CH632" s="544"/>
      <c r="CI632" s="544"/>
      <c r="CJ632" s="544"/>
      <c r="CK632" s="836"/>
      <c r="CL632" s="836"/>
      <c r="CM632" s="836"/>
      <c r="CN632" s="544"/>
      <c r="CO632" s="544"/>
      <c r="CP632" s="544"/>
      <c r="CQ632" s="544"/>
      <c r="CR632" s="544"/>
      <c r="CS632" s="544"/>
    </row>
    <row r="633" s="431" customFormat="1" ht="31" hidden="1" customHeight="1" spans="1:97">
      <c r="A633" s="518">
        <v>45958</v>
      </c>
      <c r="B633" s="519" t="s">
        <v>2328</v>
      </c>
      <c r="C633" s="520" t="s">
        <v>90</v>
      </c>
      <c r="D633" s="427">
        <v>4500183330</v>
      </c>
      <c r="E633" s="520">
        <v>4864</v>
      </c>
      <c r="F633" s="427" t="s">
        <v>2329</v>
      </c>
      <c r="G633" s="521" t="s">
        <v>64</v>
      </c>
      <c r="H633" s="520" t="s">
        <v>65</v>
      </c>
      <c r="I633" s="606">
        <v>600</v>
      </c>
      <c r="J633" s="520">
        <v>0</v>
      </c>
      <c r="K633" s="520">
        <v>12</v>
      </c>
      <c r="L633" s="804">
        <f t="shared" si="178"/>
        <v>50</v>
      </c>
      <c r="M633" s="537">
        <v>46016</v>
      </c>
      <c r="N633" s="537">
        <v>46013</v>
      </c>
      <c r="O633" s="526"/>
      <c r="P633" s="526" t="s">
        <v>103</v>
      </c>
      <c r="Q633" s="530"/>
      <c r="R633" s="530">
        <v>45981</v>
      </c>
      <c r="S633" s="533" t="s">
        <v>66</v>
      </c>
      <c r="T633" s="533" t="s">
        <v>66</v>
      </c>
      <c r="U633" s="532"/>
      <c r="V633" s="532"/>
      <c r="W633" s="532" t="s">
        <v>2330</v>
      </c>
      <c r="X633" s="540" t="s">
        <v>2331</v>
      </c>
      <c r="Y633" s="538">
        <v>2.4974</v>
      </c>
      <c r="Z633" s="808">
        <f t="shared" si="181"/>
        <v>1498.44</v>
      </c>
      <c r="AA633" s="521"/>
      <c r="AB633" s="543" t="s">
        <v>64</v>
      </c>
      <c r="AC633" s="520" t="s">
        <v>76</v>
      </c>
      <c r="AD633" s="521"/>
      <c r="AE633" s="521"/>
      <c r="AF633" s="521">
        <v>1</v>
      </c>
      <c r="AG633" s="521">
        <v>600</v>
      </c>
      <c r="AH633" s="521">
        <f t="shared" si="192"/>
        <v>0</v>
      </c>
      <c r="AI633" s="521"/>
      <c r="AJ633" s="521"/>
      <c r="AK633" s="543"/>
      <c r="AL633" s="543">
        <f t="shared" si="182"/>
        <v>600</v>
      </c>
      <c r="AM633" s="427"/>
      <c r="AN633" s="543"/>
      <c r="AO633" s="427"/>
      <c r="AP633" s="543">
        <f>I633</f>
        <v>600</v>
      </c>
      <c r="AQ633" s="543"/>
      <c r="AR633" s="543">
        <f>I633</f>
        <v>600</v>
      </c>
      <c r="AS633" s="543"/>
      <c r="AT633" s="543">
        <f t="shared" si="196"/>
        <v>600</v>
      </c>
      <c r="AU633" s="546"/>
      <c r="AV633" s="427"/>
      <c r="AW633" s="427"/>
      <c r="AX633" s="427"/>
      <c r="AY633" s="427"/>
      <c r="AZ633" s="543"/>
      <c r="BA633" s="543"/>
      <c r="BB633" s="427"/>
      <c r="BC633" s="427"/>
      <c r="BD633" s="543"/>
      <c r="BE633" s="543"/>
      <c r="BF633" s="427"/>
      <c r="BG633" s="427"/>
      <c r="BH633" s="427"/>
      <c r="BI633" s="427"/>
      <c r="BJ633" s="427"/>
      <c r="BK633" s="427"/>
      <c r="BL633" s="427"/>
      <c r="BM633" s="427"/>
      <c r="BN633" s="835"/>
      <c r="BO633" s="427"/>
      <c r="BP633" s="427"/>
      <c r="BQ633" s="427"/>
      <c r="BR633" s="427"/>
      <c r="BS633" s="427"/>
      <c r="BT633" s="427"/>
      <c r="BU633" s="427"/>
      <c r="BV633" s="427"/>
      <c r="BW633" s="427"/>
      <c r="BX633" s="427"/>
      <c r="BY633" s="427"/>
      <c r="BZ633" s="427"/>
      <c r="CA633" s="427"/>
      <c r="CB633" s="427"/>
      <c r="CC633" s="427"/>
      <c r="CD633" s="427"/>
      <c r="CE633" s="427"/>
      <c r="CF633" s="544"/>
      <c r="CG633" s="544"/>
      <c r="CH633" s="544"/>
      <c r="CI633" s="544"/>
      <c r="CJ633" s="544"/>
      <c r="CK633" s="427"/>
      <c r="CL633" s="427"/>
      <c r="CM633" s="427"/>
      <c r="CN633" s="544"/>
      <c r="CO633" s="544"/>
      <c r="CP633" s="544"/>
      <c r="CQ633" s="544"/>
      <c r="CR633" s="544"/>
      <c r="CS633" s="544"/>
    </row>
    <row r="634" s="431" customFormat="1" ht="31" hidden="1" customHeight="1" spans="1:97">
      <c r="A634" s="518">
        <v>45912</v>
      </c>
      <c r="B634" s="519" t="s">
        <v>2332</v>
      </c>
      <c r="C634" s="520" t="s">
        <v>2118</v>
      </c>
      <c r="D634" s="427">
        <v>4500179359</v>
      </c>
      <c r="E634" s="520" t="s">
        <v>2333</v>
      </c>
      <c r="F634" s="427" t="s">
        <v>2334</v>
      </c>
      <c r="G634" s="521" t="s">
        <v>64</v>
      </c>
      <c r="H634" s="520" t="s">
        <v>65</v>
      </c>
      <c r="I634" s="520">
        <v>5004</v>
      </c>
      <c r="J634" s="520">
        <v>0</v>
      </c>
      <c r="K634" s="520">
        <v>12</v>
      </c>
      <c r="L634" s="804">
        <f t="shared" si="178"/>
        <v>417</v>
      </c>
      <c r="M634" s="537">
        <v>46016</v>
      </c>
      <c r="N634" s="537">
        <v>46013</v>
      </c>
      <c r="O634" s="526"/>
      <c r="P634" s="526" t="s">
        <v>103</v>
      </c>
      <c r="Q634" s="530"/>
      <c r="R634" s="530">
        <v>45919</v>
      </c>
      <c r="S634" s="533" t="s">
        <v>66</v>
      </c>
      <c r="T634" s="533" t="s">
        <v>2121</v>
      </c>
      <c r="U634" s="532"/>
      <c r="V634" s="532"/>
      <c r="W634" s="532" t="s">
        <v>2335</v>
      </c>
      <c r="X634" s="540" t="s">
        <v>473</v>
      </c>
      <c r="Y634" s="538">
        <v>4.1403</v>
      </c>
      <c r="Z634" s="808">
        <f t="shared" si="181"/>
        <v>20718.0612</v>
      </c>
      <c r="AA634" s="521"/>
      <c r="AB634" s="520" t="s">
        <v>165</v>
      </c>
      <c r="AC634" s="520" t="s">
        <v>76</v>
      </c>
      <c r="AD634" s="521"/>
      <c r="AE634" s="521"/>
      <c r="AF634" s="521">
        <v>1</v>
      </c>
      <c r="AG634" s="521">
        <v>5004</v>
      </c>
      <c r="AH634" s="522">
        <f t="shared" si="192"/>
        <v>0</v>
      </c>
      <c r="AI634" s="521"/>
      <c r="AJ634" s="521"/>
      <c r="AK634" s="543"/>
      <c r="AL634" s="543">
        <f t="shared" si="182"/>
        <v>5004</v>
      </c>
      <c r="AM634" s="628"/>
      <c r="AN634" s="543"/>
      <c r="AO634" s="628"/>
      <c r="AP634" s="543"/>
      <c r="AQ634" s="543">
        <f>I634</f>
        <v>5004</v>
      </c>
      <c r="AR634" s="543">
        <f>I634</f>
        <v>5004</v>
      </c>
      <c r="AS634" s="543"/>
      <c r="AT634" s="543">
        <f t="shared" si="196"/>
        <v>5004</v>
      </c>
      <c r="AU634" s="546"/>
      <c r="AV634" s="628"/>
      <c r="AW634" s="628"/>
      <c r="AX634" s="628"/>
      <c r="AY634" s="628"/>
      <c r="AZ634" s="543"/>
      <c r="BA634" s="543"/>
      <c r="BB634" s="628"/>
      <c r="BC634" s="628"/>
      <c r="BD634" s="543"/>
      <c r="BE634" s="543"/>
      <c r="BF634" s="628"/>
      <c r="BG634" s="628"/>
      <c r="BH634" s="628"/>
      <c r="BI634" s="543"/>
      <c r="BJ634" s="543"/>
      <c r="BK634" s="628"/>
      <c r="BL634" s="628"/>
      <c r="BM634" s="628"/>
      <c r="CF634" s="544"/>
      <c r="CG634" s="544"/>
      <c r="CH634" s="544"/>
      <c r="CI634" s="544"/>
      <c r="CJ634" s="544"/>
      <c r="CN634" s="544"/>
      <c r="CO634" s="544"/>
      <c r="CP634" s="544"/>
      <c r="CQ634" s="544"/>
      <c r="CR634" s="544"/>
      <c r="CS634" s="544"/>
    </row>
    <row r="635" s="431" customFormat="1" ht="31" hidden="1" customHeight="1" spans="1:97">
      <c r="A635" s="518">
        <v>45951</v>
      </c>
      <c r="B635" s="519" t="s">
        <v>2336</v>
      </c>
      <c r="C635" s="520" t="s">
        <v>90</v>
      </c>
      <c r="D635" s="427">
        <v>4500182502</v>
      </c>
      <c r="E635" s="520">
        <v>116986319</v>
      </c>
      <c r="F635" s="427" t="s">
        <v>2337</v>
      </c>
      <c r="G635" s="521" t="s">
        <v>2338</v>
      </c>
      <c r="H635" s="520" t="s">
        <v>424</v>
      </c>
      <c r="I635" s="520">
        <v>9464</v>
      </c>
      <c r="J635" s="520">
        <v>0</v>
      </c>
      <c r="K635" s="520">
        <v>8</v>
      </c>
      <c r="L635" s="804">
        <f t="shared" si="178"/>
        <v>1183</v>
      </c>
      <c r="M635" s="537">
        <v>46017</v>
      </c>
      <c r="N635" s="537">
        <v>46013</v>
      </c>
      <c r="O635" s="526"/>
      <c r="P635" s="526" t="s">
        <v>103</v>
      </c>
      <c r="Q635" s="530"/>
      <c r="R635" s="530">
        <v>45951</v>
      </c>
      <c r="S635" s="533" t="s">
        <v>66</v>
      </c>
      <c r="T635" s="533" t="s">
        <v>66</v>
      </c>
      <c r="U635" s="532"/>
      <c r="V635" s="532"/>
      <c r="W635" s="532" t="s">
        <v>2339</v>
      </c>
      <c r="X635" s="540" t="s">
        <v>2340</v>
      </c>
      <c r="Y635" s="538">
        <v>4.14</v>
      </c>
      <c r="Z635" s="808">
        <f t="shared" si="181"/>
        <v>39180.96</v>
      </c>
      <c r="AA635" s="521"/>
      <c r="AB635" s="521" t="s">
        <v>2341</v>
      </c>
      <c r="AC635" s="520" t="s">
        <v>76</v>
      </c>
      <c r="AD635" s="521"/>
      <c r="AE635" s="521"/>
      <c r="AF635" s="521">
        <v>1</v>
      </c>
      <c r="AG635" s="521">
        <v>9464</v>
      </c>
      <c r="AH635" s="522">
        <f t="shared" si="192"/>
        <v>0</v>
      </c>
      <c r="AI635" s="521"/>
      <c r="AJ635" s="521"/>
      <c r="AK635" s="543"/>
      <c r="AL635" s="543">
        <f t="shared" si="182"/>
        <v>9464</v>
      </c>
      <c r="AM635" s="427"/>
      <c r="AN635" s="543"/>
      <c r="AO635" s="427"/>
      <c r="AP635" s="543"/>
      <c r="AQ635" s="543"/>
      <c r="AR635" s="543">
        <f t="shared" ref="AR635:AR640" si="197">I635</f>
        <v>9464</v>
      </c>
      <c r="AS635" s="543"/>
      <c r="AT635" s="543">
        <f t="shared" si="196"/>
        <v>9464</v>
      </c>
      <c r="AU635" s="546"/>
      <c r="AV635" s="427">
        <f>I635</f>
        <v>9464</v>
      </c>
      <c r="AW635" s="427"/>
      <c r="AX635" s="427"/>
      <c r="AY635" s="427"/>
      <c r="AZ635" s="543"/>
      <c r="BA635" s="543"/>
      <c r="BB635" s="427"/>
      <c r="BC635" s="427"/>
      <c r="BD635" s="543"/>
      <c r="BE635" s="543"/>
      <c r="BF635" s="427"/>
      <c r="BG635" s="427"/>
      <c r="BH635" s="427"/>
      <c r="BI635" s="427">
        <f>I635</f>
        <v>9464</v>
      </c>
      <c r="BJ635" s="427"/>
      <c r="BK635" s="427"/>
      <c r="BL635" s="427"/>
      <c r="BM635" s="427"/>
      <c r="BN635" s="835"/>
      <c r="BO635" s="427"/>
      <c r="BP635" s="427"/>
      <c r="BQ635" s="427"/>
      <c r="BR635" s="427"/>
      <c r="BS635" s="427"/>
      <c r="BT635" s="427"/>
      <c r="BU635" s="427"/>
      <c r="BV635" s="427"/>
      <c r="BW635" s="427"/>
      <c r="BX635" s="427"/>
      <c r="BY635" s="427"/>
      <c r="BZ635" s="427"/>
      <c r="CA635" s="427"/>
      <c r="CB635" s="427"/>
      <c r="CC635" s="427"/>
      <c r="CD635" s="427"/>
      <c r="CE635" s="427"/>
      <c r="CF635" s="544"/>
      <c r="CG635" s="544"/>
      <c r="CH635" s="544"/>
      <c r="CI635" s="544"/>
      <c r="CJ635" s="544"/>
      <c r="CK635" s="427"/>
      <c r="CL635" s="427"/>
      <c r="CM635" s="427"/>
      <c r="CN635" s="544"/>
      <c r="CO635" s="544"/>
      <c r="CP635" s="544"/>
      <c r="CQ635" s="544"/>
      <c r="CR635" s="544"/>
      <c r="CS635" s="544"/>
    </row>
    <row r="636" s="431" customFormat="1" ht="31" hidden="1" customHeight="1" spans="1:97">
      <c r="A636" s="518">
        <v>46002</v>
      </c>
      <c r="B636" s="519"/>
      <c r="C636" s="520"/>
      <c r="D636" s="427" t="s">
        <v>2342</v>
      </c>
      <c r="E636" s="520"/>
      <c r="F636" s="427" t="s">
        <v>2343</v>
      </c>
      <c r="G636" s="521" t="s">
        <v>64</v>
      </c>
      <c r="H636" s="520" t="s">
        <v>65</v>
      </c>
      <c r="I636" s="520">
        <v>156</v>
      </c>
      <c r="J636" s="520">
        <v>0</v>
      </c>
      <c r="K636" s="520">
        <v>12</v>
      </c>
      <c r="L636" s="804">
        <f t="shared" si="178"/>
        <v>13</v>
      </c>
      <c r="M636" s="537">
        <v>46017</v>
      </c>
      <c r="N636" s="537">
        <v>46013</v>
      </c>
      <c r="O636" s="526"/>
      <c r="P636" s="526" t="s">
        <v>103</v>
      </c>
      <c r="Q636" s="530"/>
      <c r="R636" s="530"/>
      <c r="S636" s="533"/>
      <c r="T636" s="533"/>
      <c r="U636" s="532"/>
      <c r="V636" s="532"/>
      <c r="W636" s="532" t="s">
        <v>2182</v>
      </c>
      <c r="X636" s="540"/>
      <c r="Y636" s="538"/>
      <c r="Z636" s="808"/>
      <c r="AA636" s="521"/>
      <c r="AB636" s="520" t="s">
        <v>64</v>
      </c>
      <c r="AC636" s="509" t="s">
        <v>76</v>
      </c>
      <c r="AD636" s="521"/>
      <c r="AE636" s="521"/>
      <c r="AF636" s="521">
        <v>1</v>
      </c>
      <c r="AG636" s="521">
        <v>156</v>
      </c>
      <c r="AH636" s="522"/>
      <c r="AI636" s="521"/>
      <c r="AJ636" s="521"/>
      <c r="AK636" s="543"/>
      <c r="AL636" s="543">
        <f t="shared" si="182"/>
        <v>156</v>
      </c>
      <c r="AM636" s="427"/>
      <c r="AN636" s="543"/>
      <c r="AO636" s="427"/>
      <c r="AP636" s="543">
        <f>I636</f>
        <v>156</v>
      </c>
      <c r="AQ636" s="543"/>
      <c r="AR636" s="543">
        <f t="shared" si="197"/>
        <v>156</v>
      </c>
      <c r="AS636" s="543"/>
      <c r="AT636" s="543">
        <f t="shared" si="196"/>
        <v>156</v>
      </c>
      <c r="AU636" s="546"/>
      <c r="AV636" s="427"/>
      <c r="AW636" s="427"/>
      <c r="AX636" s="427"/>
      <c r="AY636" s="427"/>
      <c r="AZ636" s="543"/>
      <c r="BA636" s="543"/>
      <c r="BB636" s="427"/>
      <c r="BC636" s="427"/>
      <c r="BD636" s="543"/>
      <c r="BE636" s="543"/>
      <c r="BF636" s="427"/>
      <c r="BG636" s="427"/>
      <c r="BH636" s="427"/>
      <c r="BI636" s="427"/>
      <c r="BJ636" s="427"/>
      <c r="BK636" s="427"/>
      <c r="BL636" s="427"/>
      <c r="BM636" s="427"/>
      <c r="BN636" s="835"/>
      <c r="BO636" s="427"/>
      <c r="BP636" s="427"/>
      <c r="BQ636" s="427"/>
      <c r="BR636" s="427"/>
      <c r="BS636" s="427"/>
      <c r="BT636" s="427"/>
      <c r="BU636" s="427"/>
      <c r="BV636" s="427"/>
      <c r="BW636" s="427"/>
      <c r="BX636" s="427"/>
      <c r="BY636" s="427"/>
      <c r="BZ636" s="427"/>
      <c r="CA636" s="427"/>
      <c r="CB636" s="427"/>
      <c r="CC636" s="427"/>
      <c r="CD636" s="427"/>
      <c r="CE636" s="427"/>
      <c r="CF636" s="544"/>
      <c r="CG636" s="544"/>
      <c r="CH636" s="544"/>
      <c r="CI636" s="544"/>
      <c r="CJ636" s="544"/>
      <c r="CK636" s="427"/>
      <c r="CL636" s="427"/>
      <c r="CM636" s="427"/>
      <c r="CN636" s="544"/>
      <c r="CO636" s="544"/>
      <c r="CP636" s="544"/>
      <c r="CQ636" s="544"/>
      <c r="CR636" s="544"/>
      <c r="CS636" s="544"/>
    </row>
    <row r="637" s="431" customFormat="1" ht="31" hidden="1" customHeight="1" spans="1:97">
      <c r="A637" s="518">
        <v>45978</v>
      </c>
      <c r="B637" s="519" t="s">
        <v>360</v>
      </c>
      <c r="C637" s="520" t="s">
        <v>249</v>
      </c>
      <c r="D637" s="427">
        <v>4500185851</v>
      </c>
      <c r="E637" s="520">
        <v>196069</v>
      </c>
      <c r="F637" s="427" t="s">
        <v>2344</v>
      </c>
      <c r="G637" s="521" t="s">
        <v>64</v>
      </c>
      <c r="H637" s="520" t="s">
        <v>65</v>
      </c>
      <c r="I637" s="520">
        <v>708</v>
      </c>
      <c r="J637" s="520">
        <v>0</v>
      </c>
      <c r="K637" s="520">
        <v>12</v>
      </c>
      <c r="L637" s="804">
        <f t="shared" si="178"/>
        <v>59</v>
      </c>
      <c r="M637" s="537">
        <v>46020</v>
      </c>
      <c r="N637" s="537">
        <v>46016</v>
      </c>
      <c r="O637" s="526"/>
      <c r="P637" s="526" t="s">
        <v>103</v>
      </c>
      <c r="Q637" s="530"/>
      <c r="R637" s="530">
        <v>45978</v>
      </c>
      <c r="S637" s="533" t="s">
        <v>66</v>
      </c>
      <c r="T637" s="533" t="s">
        <v>66</v>
      </c>
      <c r="U637" s="532"/>
      <c r="V637" s="532"/>
      <c r="W637" s="532" t="s">
        <v>2345</v>
      </c>
      <c r="X637" s="540" t="s">
        <v>451</v>
      </c>
      <c r="Y637" s="538">
        <v>4.1623</v>
      </c>
      <c r="Z637" s="808">
        <f t="shared" ref="Z637:Z649" si="198">Y637*I637</f>
        <v>2946.9084</v>
      </c>
      <c r="AA637" s="521"/>
      <c r="AB637" s="543" t="s">
        <v>64</v>
      </c>
      <c r="AC637" s="520" t="s">
        <v>76</v>
      </c>
      <c r="AD637" s="521"/>
      <c r="AE637" s="521"/>
      <c r="AF637" s="521">
        <v>1</v>
      </c>
      <c r="AG637" s="521">
        <v>708</v>
      </c>
      <c r="AH637" s="522">
        <f>AG637-I637</f>
        <v>0</v>
      </c>
      <c r="AI637" s="521"/>
      <c r="AJ637" s="521"/>
      <c r="AK637" s="543"/>
      <c r="AL637" s="543">
        <f t="shared" si="182"/>
        <v>708</v>
      </c>
      <c r="AM637" s="427"/>
      <c r="AN637" s="543"/>
      <c r="AO637" s="427"/>
      <c r="AP637" s="543">
        <f t="shared" ref="AP637:AP644" si="199">I637</f>
        <v>708</v>
      </c>
      <c r="AQ637" s="543"/>
      <c r="AR637" s="543">
        <f t="shared" si="197"/>
        <v>708</v>
      </c>
      <c r="AS637" s="543"/>
      <c r="AT637" s="543">
        <f t="shared" si="196"/>
        <v>708</v>
      </c>
      <c r="AU637" s="546"/>
      <c r="AV637" s="427"/>
      <c r="AW637" s="427"/>
      <c r="AX637" s="427"/>
      <c r="AY637" s="427"/>
      <c r="AZ637" s="543"/>
      <c r="BA637" s="543"/>
      <c r="BB637" s="427"/>
      <c r="BC637" s="427"/>
      <c r="BD637" s="543"/>
      <c r="BE637" s="543"/>
      <c r="BF637" s="427"/>
      <c r="BG637" s="427"/>
      <c r="BH637" s="427"/>
      <c r="BI637" s="427"/>
      <c r="BJ637" s="427"/>
      <c r="BK637" s="427"/>
      <c r="BL637" s="427"/>
      <c r="BM637" s="427"/>
      <c r="BN637" s="835"/>
      <c r="BO637" s="427"/>
      <c r="BP637" s="427"/>
      <c r="BQ637" s="427"/>
      <c r="BR637" s="427"/>
      <c r="BS637" s="427"/>
      <c r="BT637" s="427"/>
      <c r="BU637" s="427"/>
      <c r="BV637" s="427"/>
      <c r="BW637" s="427"/>
      <c r="BX637" s="427"/>
      <c r="BY637" s="427"/>
      <c r="BZ637" s="427"/>
      <c r="CA637" s="427"/>
      <c r="CB637" s="427"/>
      <c r="CC637" s="427"/>
      <c r="CD637" s="427"/>
      <c r="CE637" s="427"/>
      <c r="CF637" s="544"/>
      <c r="CG637" s="544"/>
      <c r="CH637" s="544"/>
      <c r="CI637" s="544"/>
      <c r="CJ637" s="544"/>
      <c r="CK637" s="427"/>
      <c r="CL637" s="427"/>
      <c r="CM637" s="427"/>
      <c r="CN637" s="544"/>
      <c r="CO637" s="544"/>
      <c r="CP637" s="544"/>
      <c r="CQ637" s="544"/>
      <c r="CR637" s="544"/>
      <c r="CS637" s="544"/>
    </row>
    <row r="638" s="431" customFormat="1" ht="31" hidden="1" customHeight="1" spans="1:97">
      <c r="A638" s="518">
        <v>45978</v>
      </c>
      <c r="B638" s="519" t="s">
        <v>125</v>
      </c>
      <c r="C638" s="520" t="s">
        <v>71</v>
      </c>
      <c r="D638" s="427">
        <v>4500185865</v>
      </c>
      <c r="E638" s="520">
        <v>21201496</v>
      </c>
      <c r="F638" s="427" t="s">
        <v>2346</v>
      </c>
      <c r="G638" s="521" t="s">
        <v>64</v>
      </c>
      <c r="H638" s="520" t="s">
        <v>65</v>
      </c>
      <c r="I638" s="606">
        <v>120</v>
      </c>
      <c r="J638" s="520">
        <v>0</v>
      </c>
      <c r="K638" s="520">
        <v>12</v>
      </c>
      <c r="L638" s="804">
        <f t="shared" si="178"/>
        <v>10</v>
      </c>
      <c r="M638" s="537">
        <v>46020</v>
      </c>
      <c r="N638" s="537">
        <v>46016</v>
      </c>
      <c r="O638" s="526"/>
      <c r="P638" s="526" t="s">
        <v>103</v>
      </c>
      <c r="Q638" s="530"/>
      <c r="R638" s="530">
        <v>45989</v>
      </c>
      <c r="S638" s="533" t="s">
        <v>96</v>
      </c>
      <c r="T638" s="533" t="s">
        <v>2347</v>
      </c>
      <c r="U638" s="532"/>
      <c r="V638" s="532"/>
      <c r="W638" s="531" t="s">
        <v>2348</v>
      </c>
      <c r="X638" s="540" t="s">
        <v>121</v>
      </c>
      <c r="Y638" s="538">
        <v>4.2552</v>
      </c>
      <c r="Z638" s="808">
        <f t="shared" si="198"/>
        <v>510.624</v>
      </c>
      <c r="AA638" s="521"/>
      <c r="AB638" s="543" t="s">
        <v>64</v>
      </c>
      <c r="AC638" s="520" t="s">
        <v>76</v>
      </c>
      <c r="AD638" s="521"/>
      <c r="AE638" s="521"/>
      <c r="AF638" s="521">
        <v>1</v>
      </c>
      <c r="AG638" s="521">
        <f>108+12</f>
        <v>120</v>
      </c>
      <c r="AH638" s="522">
        <f>AG638-I638</f>
        <v>0</v>
      </c>
      <c r="AI638" s="521"/>
      <c r="AJ638" s="521" t="s">
        <v>2191</v>
      </c>
      <c r="AK638" s="543"/>
      <c r="AL638" s="543">
        <f t="shared" si="182"/>
        <v>120</v>
      </c>
      <c r="AM638" s="427"/>
      <c r="AN638" s="543"/>
      <c r="AO638" s="427"/>
      <c r="AP638" s="543">
        <f t="shared" si="199"/>
        <v>120</v>
      </c>
      <c r="AQ638" s="543"/>
      <c r="AR638" s="543">
        <f t="shared" si="197"/>
        <v>120</v>
      </c>
      <c r="AS638" s="543"/>
      <c r="AT638" s="543">
        <f t="shared" ref="AT637:AT645" si="200">I638</f>
        <v>120</v>
      </c>
      <c r="AU638" s="546"/>
      <c r="AV638" s="427"/>
      <c r="AW638" s="427"/>
      <c r="AX638" s="427"/>
      <c r="AY638" s="427"/>
      <c r="AZ638" s="543"/>
      <c r="BA638" s="543"/>
      <c r="BB638" s="427"/>
      <c r="BC638" s="427"/>
      <c r="BD638" s="543"/>
      <c r="BE638" s="543"/>
      <c r="BF638" s="427"/>
      <c r="BG638" s="427"/>
      <c r="BH638" s="427"/>
      <c r="BI638" s="427"/>
      <c r="BJ638" s="427"/>
      <c r="BK638" s="427"/>
      <c r="BL638" s="427"/>
      <c r="BM638" s="427"/>
      <c r="BN638" s="835"/>
      <c r="BO638" s="427"/>
      <c r="BP638" s="427"/>
      <c r="BQ638" s="427"/>
      <c r="BR638" s="427"/>
      <c r="BS638" s="427"/>
      <c r="BT638" s="427"/>
      <c r="BU638" s="427"/>
      <c r="BV638" s="427"/>
      <c r="BW638" s="427"/>
      <c r="BX638" s="427"/>
      <c r="BY638" s="427"/>
      <c r="BZ638" s="427"/>
      <c r="CA638" s="427"/>
      <c r="CB638" s="427"/>
      <c r="CC638" s="427"/>
      <c r="CD638" s="427"/>
      <c r="CE638" s="427"/>
      <c r="CF638" s="544"/>
      <c r="CG638" s="544"/>
      <c r="CH638" s="544"/>
      <c r="CI638" s="544"/>
      <c r="CJ638" s="544"/>
      <c r="CK638" s="427"/>
      <c r="CL638" s="427"/>
      <c r="CM638" s="427"/>
      <c r="CN638" s="544"/>
      <c r="CO638" s="544"/>
      <c r="CP638" s="544"/>
      <c r="CQ638" s="544"/>
      <c r="CR638" s="544"/>
      <c r="CS638" s="544"/>
    </row>
    <row r="639" s="431" customFormat="1" ht="31" hidden="1" customHeight="1" spans="1:97">
      <c r="A639" s="518">
        <v>45978</v>
      </c>
      <c r="B639" s="519" t="s">
        <v>122</v>
      </c>
      <c r="C639" s="520" t="s">
        <v>116</v>
      </c>
      <c r="D639" s="427">
        <v>4500185863</v>
      </c>
      <c r="E639" s="520">
        <v>21201491</v>
      </c>
      <c r="F639" s="427" t="s">
        <v>2349</v>
      </c>
      <c r="G639" s="521" t="s">
        <v>64</v>
      </c>
      <c r="H639" s="520" t="s">
        <v>65</v>
      </c>
      <c r="I639" s="606">
        <v>1380</v>
      </c>
      <c r="J639" s="520">
        <v>0</v>
      </c>
      <c r="K639" s="520">
        <v>12</v>
      </c>
      <c r="L639" s="804">
        <f t="shared" si="178"/>
        <v>115</v>
      </c>
      <c r="M639" s="537">
        <v>46020</v>
      </c>
      <c r="N639" s="537">
        <v>46016</v>
      </c>
      <c r="O639" s="526"/>
      <c r="P639" s="526" t="s">
        <v>103</v>
      </c>
      <c r="Q639" s="530"/>
      <c r="R639" s="530">
        <v>45989</v>
      </c>
      <c r="S639" s="533" t="s">
        <v>96</v>
      </c>
      <c r="T639" s="533" t="s">
        <v>2347</v>
      </c>
      <c r="U639" s="532"/>
      <c r="V639" s="532"/>
      <c r="W639" s="531" t="s">
        <v>2350</v>
      </c>
      <c r="X639" s="540" t="s">
        <v>121</v>
      </c>
      <c r="Y639" s="538">
        <v>4.1185</v>
      </c>
      <c r="Z639" s="808">
        <f t="shared" si="198"/>
        <v>5683.53</v>
      </c>
      <c r="AA639" s="521"/>
      <c r="AB639" s="543" t="s">
        <v>64</v>
      </c>
      <c r="AC639" s="520" t="s">
        <v>76</v>
      </c>
      <c r="AD639" s="521"/>
      <c r="AE639" s="521"/>
      <c r="AF639" s="521">
        <v>1</v>
      </c>
      <c r="AG639" s="521">
        <f>1344+36</f>
        <v>1380</v>
      </c>
      <c r="AH639" s="522">
        <f>AG639-I639</f>
        <v>0</v>
      </c>
      <c r="AI639" s="521"/>
      <c r="AJ639" s="521" t="s">
        <v>2191</v>
      </c>
      <c r="AK639" s="543"/>
      <c r="AL639" s="543">
        <f t="shared" si="182"/>
        <v>1380</v>
      </c>
      <c r="AM639" s="427"/>
      <c r="AN639" s="543"/>
      <c r="AO639" s="427"/>
      <c r="AP639" s="543">
        <f t="shared" si="199"/>
        <v>1380</v>
      </c>
      <c r="AQ639" s="543"/>
      <c r="AR639" s="543">
        <f t="shared" si="197"/>
        <v>1380</v>
      </c>
      <c r="AS639" s="543"/>
      <c r="AT639" s="543">
        <f t="shared" si="200"/>
        <v>1380</v>
      </c>
      <c r="AU639" s="546"/>
      <c r="AV639" s="427"/>
      <c r="AW639" s="427"/>
      <c r="AX639" s="427"/>
      <c r="AY639" s="427"/>
      <c r="AZ639" s="543"/>
      <c r="BA639" s="543"/>
      <c r="BB639" s="427"/>
      <c r="BC639" s="427"/>
      <c r="BD639" s="543"/>
      <c r="BE639" s="543"/>
      <c r="BF639" s="427"/>
      <c r="BG639" s="427"/>
      <c r="BH639" s="427"/>
      <c r="BI639" s="427"/>
      <c r="BJ639" s="427"/>
      <c r="BK639" s="427"/>
      <c r="BL639" s="427"/>
      <c r="BM639" s="427"/>
      <c r="BN639" s="835"/>
      <c r="BO639" s="427"/>
      <c r="BP639" s="427"/>
      <c r="BQ639" s="427"/>
      <c r="BR639" s="427"/>
      <c r="BS639" s="427"/>
      <c r="BT639" s="427"/>
      <c r="BU639" s="427"/>
      <c r="BV639" s="427"/>
      <c r="BW639" s="427"/>
      <c r="BX639" s="427"/>
      <c r="BY639" s="427"/>
      <c r="BZ639" s="427"/>
      <c r="CA639" s="427"/>
      <c r="CB639" s="427"/>
      <c r="CC639" s="427"/>
      <c r="CD639" s="427"/>
      <c r="CE639" s="427"/>
      <c r="CF639" s="544"/>
      <c r="CG639" s="544"/>
      <c r="CH639" s="544"/>
      <c r="CI639" s="544"/>
      <c r="CJ639" s="544"/>
      <c r="CK639" s="427"/>
      <c r="CL639" s="427"/>
      <c r="CM639" s="427"/>
      <c r="CN639" s="544"/>
      <c r="CO639" s="544"/>
      <c r="CP639" s="544"/>
      <c r="CQ639" s="544"/>
      <c r="CR639" s="544"/>
      <c r="CS639" s="544"/>
    </row>
    <row r="640" s="431" customFormat="1" ht="31" hidden="1" customHeight="1" spans="1:97">
      <c r="A640" s="518">
        <v>45979</v>
      </c>
      <c r="B640" s="519" t="s">
        <v>202</v>
      </c>
      <c r="C640" s="520" t="s">
        <v>203</v>
      </c>
      <c r="D640" s="427">
        <v>4500184690</v>
      </c>
      <c r="E640" s="520" t="s">
        <v>2351</v>
      </c>
      <c r="F640" s="427" t="s">
        <v>2352</v>
      </c>
      <c r="G640" s="521" t="s">
        <v>64</v>
      </c>
      <c r="H640" s="520" t="s">
        <v>65</v>
      </c>
      <c r="I640" s="520">
        <v>3000</v>
      </c>
      <c r="J640" s="520">
        <v>0</v>
      </c>
      <c r="K640" s="520">
        <v>12</v>
      </c>
      <c r="L640" s="804">
        <f t="shared" si="178"/>
        <v>250</v>
      </c>
      <c r="M640" s="537">
        <v>46020</v>
      </c>
      <c r="N640" s="537">
        <v>46016</v>
      </c>
      <c r="O640" s="526"/>
      <c r="P640" s="526" t="s">
        <v>103</v>
      </c>
      <c r="Q640" s="530"/>
      <c r="R640" s="530">
        <v>45967</v>
      </c>
      <c r="S640" s="533" t="s">
        <v>66</v>
      </c>
      <c r="T640" s="533" t="s">
        <v>2353</v>
      </c>
      <c r="U640" s="532"/>
      <c r="V640" s="532"/>
      <c r="W640" s="532" t="s">
        <v>2354</v>
      </c>
      <c r="X640" s="540" t="s">
        <v>207</v>
      </c>
      <c r="Y640" s="538">
        <v>4.1569</v>
      </c>
      <c r="Z640" s="808">
        <f t="shared" si="198"/>
        <v>12470.7</v>
      </c>
      <c r="AA640" s="521"/>
      <c r="AB640" s="543" t="s">
        <v>64</v>
      </c>
      <c r="AC640" s="520" t="s">
        <v>76</v>
      </c>
      <c r="AD640" s="521"/>
      <c r="AE640" s="521"/>
      <c r="AF640" s="521">
        <v>1</v>
      </c>
      <c r="AG640" s="521">
        <v>3000</v>
      </c>
      <c r="AH640" s="522">
        <f>AG640-I640</f>
        <v>0</v>
      </c>
      <c r="AI640" s="521"/>
      <c r="AJ640" s="521" t="s">
        <v>2191</v>
      </c>
      <c r="AK640" s="543"/>
      <c r="AL640" s="543">
        <f t="shared" si="182"/>
        <v>3000</v>
      </c>
      <c r="AM640" s="427"/>
      <c r="AN640" s="543"/>
      <c r="AO640" s="427"/>
      <c r="AP640" s="543">
        <f t="shared" si="199"/>
        <v>3000</v>
      </c>
      <c r="AQ640" s="543"/>
      <c r="AR640" s="543">
        <f t="shared" si="197"/>
        <v>3000</v>
      </c>
      <c r="AS640" s="543"/>
      <c r="AT640" s="543">
        <f t="shared" si="200"/>
        <v>3000</v>
      </c>
      <c r="AU640" s="546"/>
      <c r="AV640" s="427"/>
      <c r="AW640" s="427"/>
      <c r="AX640" s="427"/>
      <c r="AY640" s="427"/>
      <c r="AZ640" s="543"/>
      <c r="BA640" s="543"/>
      <c r="BB640" s="427"/>
      <c r="BC640" s="427"/>
      <c r="BD640" s="543"/>
      <c r="BE640" s="543"/>
      <c r="BF640" s="427"/>
      <c r="BG640" s="427"/>
      <c r="BH640" s="427"/>
      <c r="BI640" s="427"/>
      <c r="BJ640" s="427"/>
      <c r="BK640" s="427"/>
      <c r="BL640" s="427"/>
      <c r="BM640" s="427"/>
      <c r="BN640" s="835"/>
      <c r="BO640" s="427"/>
      <c r="BP640" s="427"/>
      <c r="BQ640" s="427"/>
      <c r="BR640" s="427"/>
      <c r="BS640" s="427"/>
      <c r="BT640" s="427"/>
      <c r="BU640" s="427"/>
      <c r="BV640" s="427"/>
      <c r="BW640" s="427"/>
      <c r="BX640" s="427"/>
      <c r="BY640" s="427"/>
      <c r="BZ640" s="427"/>
      <c r="CA640" s="427"/>
      <c r="CB640" s="427"/>
      <c r="CC640" s="427"/>
      <c r="CD640" s="427"/>
      <c r="CE640" s="427"/>
      <c r="CF640" s="544"/>
      <c r="CG640" s="544"/>
      <c r="CH640" s="544"/>
      <c r="CI640" s="544"/>
      <c r="CJ640" s="544"/>
      <c r="CK640" s="427"/>
      <c r="CL640" s="427"/>
      <c r="CM640" s="427"/>
      <c r="CN640" s="544"/>
      <c r="CO640" s="544"/>
      <c r="CP640" s="544"/>
      <c r="CQ640" s="544"/>
      <c r="CR640" s="544"/>
      <c r="CS640" s="544"/>
    </row>
    <row r="641" s="431" customFormat="1" ht="31" hidden="1" customHeight="1" spans="1:97">
      <c r="A641" s="518">
        <v>45952</v>
      </c>
      <c r="B641" s="519" t="s">
        <v>2355</v>
      </c>
      <c r="C641" s="520" t="s">
        <v>90</v>
      </c>
      <c r="D641" s="427">
        <v>4500182775</v>
      </c>
      <c r="E641" s="520" t="s">
        <v>2356</v>
      </c>
      <c r="F641" s="427" t="s">
        <v>2357</v>
      </c>
      <c r="G641" s="521" t="s">
        <v>102</v>
      </c>
      <c r="H641" s="520" t="s">
        <v>65</v>
      </c>
      <c r="I641" s="606">
        <v>432</v>
      </c>
      <c r="J641" s="520">
        <v>0</v>
      </c>
      <c r="K641" s="520">
        <v>16</v>
      </c>
      <c r="L641" s="804">
        <f t="shared" si="178"/>
        <v>27</v>
      </c>
      <c r="M641" s="537">
        <v>46020</v>
      </c>
      <c r="N641" s="537">
        <v>46016</v>
      </c>
      <c r="O641" s="526"/>
      <c r="P641" s="526" t="s">
        <v>103</v>
      </c>
      <c r="Q641" s="530"/>
      <c r="R641" s="530">
        <v>45965</v>
      </c>
      <c r="S641" s="533" t="s">
        <v>96</v>
      </c>
      <c r="T641" s="533" t="s">
        <v>2358</v>
      </c>
      <c r="U641" s="532"/>
      <c r="V641" s="532"/>
      <c r="W641" s="532" t="s">
        <v>2359</v>
      </c>
      <c r="X641" s="540" t="s">
        <v>794</v>
      </c>
      <c r="Y641" s="538">
        <v>2.5727</v>
      </c>
      <c r="Z641" s="808">
        <f t="shared" si="198"/>
        <v>1111.4064</v>
      </c>
      <c r="AA641" s="521"/>
      <c r="AB641" s="521" t="s">
        <v>102</v>
      </c>
      <c r="AC641" s="520" t="s">
        <v>76</v>
      </c>
      <c r="AD641" s="521"/>
      <c r="AE641" s="521"/>
      <c r="AF641" s="521">
        <v>1</v>
      </c>
      <c r="AG641" s="521">
        <f>416+16</f>
        <v>432</v>
      </c>
      <c r="AH641" s="522">
        <f t="shared" ref="AH641:AH654" si="201">AG641-I641</f>
        <v>0</v>
      </c>
      <c r="AI641" s="521"/>
      <c r="AJ641" s="521"/>
      <c r="AK641" s="543"/>
      <c r="AL641" s="543">
        <f t="shared" ref="AL641:AL663" si="202">I641</f>
        <v>432</v>
      </c>
      <c r="AM641" s="427"/>
      <c r="AN641" s="543"/>
      <c r="AO641" s="427"/>
      <c r="AP641" s="543">
        <f t="shared" si="199"/>
        <v>432</v>
      </c>
      <c r="AQ641" s="543"/>
      <c r="AR641" s="543">
        <f t="shared" ref="AR641:AR648" si="203">I641</f>
        <v>432</v>
      </c>
      <c r="AS641" s="543"/>
      <c r="AT641" s="543">
        <f t="shared" si="200"/>
        <v>432</v>
      </c>
      <c r="AU641" s="546"/>
      <c r="AV641" s="427"/>
      <c r="AW641" s="427"/>
      <c r="AX641" s="427"/>
      <c r="AY641" s="427"/>
      <c r="AZ641" s="543"/>
      <c r="BA641" s="543"/>
      <c r="BB641" s="427"/>
      <c r="BC641" s="427"/>
      <c r="BD641" s="543">
        <f>I641/4</f>
        <v>108</v>
      </c>
      <c r="BE641" s="543"/>
      <c r="BF641" s="427"/>
      <c r="BG641" s="427"/>
      <c r="BH641" s="427"/>
      <c r="BI641" s="427"/>
      <c r="BJ641" s="427"/>
      <c r="BK641" s="427"/>
      <c r="BL641" s="427"/>
      <c r="BM641" s="427"/>
      <c r="BN641" s="835"/>
      <c r="BO641" s="427"/>
      <c r="BP641" s="427"/>
      <c r="BQ641" s="427"/>
      <c r="BR641" s="427"/>
      <c r="BS641" s="427"/>
      <c r="BT641" s="427"/>
      <c r="BU641" s="427"/>
      <c r="BV641" s="427"/>
      <c r="BW641" s="427"/>
      <c r="BX641" s="427"/>
      <c r="BY641" s="427"/>
      <c r="BZ641" s="427"/>
      <c r="CA641" s="427"/>
      <c r="CB641" s="427"/>
      <c r="CC641" s="427"/>
      <c r="CD641" s="427"/>
      <c r="CE641" s="427"/>
      <c r="CF641" s="544"/>
      <c r="CG641" s="544"/>
      <c r="CH641" s="544"/>
      <c r="CI641" s="544"/>
      <c r="CJ641" s="544"/>
      <c r="CK641" s="427"/>
      <c r="CL641" s="427"/>
      <c r="CM641" s="427"/>
      <c r="CN641" s="544"/>
      <c r="CO641" s="544"/>
      <c r="CP641" s="544"/>
      <c r="CQ641" s="544"/>
      <c r="CR641" s="544"/>
      <c r="CS641" s="544"/>
    </row>
    <row r="642" s="431" customFormat="1" ht="31" hidden="1" customHeight="1" spans="1:97">
      <c r="A642" s="518">
        <v>45940</v>
      </c>
      <c r="B642" s="519" t="s">
        <v>128</v>
      </c>
      <c r="C642" s="520" t="s">
        <v>90</v>
      </c>
      <c r="D642" s="427">
        <v>4500181327</v>
      </c>
      <c r="E642" s="890" t="s">
        <v>2360</v>
      </c>
      <c r="F642" s="427" t="s">
        <v>2361</v>
      </c>
      <c r="G642" s="521" t="s">
        <v>93</v>
      </c>
      <c r="H642" s="520" t="s">
        <v>94</v>
      </c>
      <c r="I642" s="520">
        <v>4480</v>
      </c>
      <c r="J642" s="520">
        <v>0</v>
      </c>
      <c r="K642" s="520">
        <v>4</v>
      </c>
      <c r="L642" s="804">
        <f t="shared" ref="L642:L651" si="204">I642/K642</f>
        <v>1120</v>
      </c>
      <c r="M642" s="537">
        <v>46021</v>
      </c>
      <c r="N642" s="537">
        <v>46017</v>
      </c>
      <c r="O642" s="526"/>
      <c r="P642" s="526" t="s">
        <v>103</v>
      </c>
      <c r="Q642" s="530"/>
      <c r="R642" s="530" t="s">
        <v>2021</v>
      </c>
      <c r="S642" s="533" t="s">
        <v>66</v>
      </c>
      <c r="T642" s="533" t="s">
        <v>133</v>
      </c>
      <c r="U642" s="533"/>
      <c r="V642" s="532"/>
      <c r="W642" s="532" t="s">
        <v>1281</v>
      </c>
      <c r="X642" s="540" t="s">
        <v>98</v>
      </c>
      <c r="Y642" s="538">
        <v>2.5537</v>
      </c>
      <c r="Z642" s="808">
        <f t="shared" si="198"/>
        <v>11440.576</v>
      </c>
      <c r="AA642" s="521"/>
      <c r="AB642" s="520" t="s">
        <v>93</v>
      </c>
      <c r="AC642" s="520" t="s">
        <v>76</v>
      </c>
      <c r="AD642" s="521"/>
      <c r="AE642" s="521"/>
      <c r="AF642" s="521">
        <v>1</v>
      </c>
      <c r="AG642" s="521">
        <v>4480</v>
      </c>
      <c r="AH642" s="521">
        <f t="shared" si="201"/>
        <v>0</v>
      </c>
      <c r="AI642" s="521"/>
      <c r="AJ642" s="521"/>
      <c r="AK642" s="543"/>
      <c r="AL642" s="543">
        <f t="shared" si="202"/>
        <v>4480</v>
      </c>
      <c r="AM642" s="427"/>
      <c r="AN642" s="543"/>
      <c r="AO642" s="427"/>
      <c r="AP642" s="543">
        <f t="shared" si="199"/>
        <v>4480</v>
      </c>
      <c r="AQ642" s="543"/>
      <c r="AR642" s="543">
        <f t="shared" si="203"/>
        <v>4480</v>
      </c>
      <c r="AS642" s="543"/>
      <c r="AT642" s="543">
        <f t="shared" si="200"/>
        <v>4480</v>
      </c>
      <c r="AU642" s="546"/>
      <c r="AV642" s="427"/>
      <c r="AW642" s="427"/>
      <c r="AX642" s="427"/>
      <c r="AY642" s="427"/>
      <c r="AZ642" s="543"/>
      <c r="BA642" s="543"/>
      <c r="BB642" s="427"/>
      <c r="BC642" s="427" t="s">
        <v>2362</v>
      </c>
      <c r="BD642" s="543">
        <f>I642/4</f>
        <v>1120</v>
      </c>
      <c r="BE642" s="543"/>
      <c r="BF642" s="427"/>
      <c r="BG642" s="427"/>
      <c r="BH642" s="427"/>
      <c r="BI642" s="427"/>
      <c r="BJ642" s="427"/>
      <c r="BK642" s="427"/>
      <c r="BL642" s="427"/>
      <c r="BM642" s="427"/>
      <c r="BN642" s="835"/>
      <c r="BO642" s="427"/>
      <c r="BP642" s="427"/>
      <c r="BQ642" s="427"/>
      <c r="BR642" s="427"/>
      <c r="BS642" s="427"/>
      <c r="BT642" s="427"/>
      <c r="BU642" s="427"/>
      <c r="BV642" s="427"/>
      <c r="BW642" s="427"/>
      <c r="BX642" s="427"/>
      <c r="BY642" s="427"/>
      <c r="BZ642" s="427"/>
      <c r="CA642" s="427"/>
      <c r="CB642" s="427"/>
      <c r="CC642" s="427"/>
      <c r="CD642" s="427"/>
      <c r="CE642" s="427"/>
      <c r="CF642" s="544"/>
      <c r="CG642" s="544"/>
      <c r="CH642" s="544"/>
      <c r="CI642" s="544"/>
      <c r="CJ642" s="544"/>
      <c r="CK642" s="427"/>
      <c r="CL642" s="427"/>
      <c r="CM642" s="427"/>
      <c r="CN642" s="544"/>
      <c r="CO642" s="544"/>
      <c r="CP642" s="544"/>
      <c r="CQ642" s="544"/>
      <c r="CR642" s="544"/>
      <c r="CS642" s="544"/>
    </row>
    <row r="643" s="431" customFormat="1" ht="31" hidden="1" customHeight="1" spans="1:97">
      <c r="A643" s="518">
        <v>45940</v>
      </c>
      <c r="B643" s="519" t="s">
        <v>128</v>
      </c>
      <c r="C643" s="520" t="s">
        <v>90</v>
      </c>
      <c r="D643" s="427">
        <v>4500181327</v>
      </c>
      <c r="E643" s="890" t="s">
        <v>2363</v>
      </c>
      <c r="F643" s="427" t="s">
        <v>2364</v>
      </c>
      <c r="G643" s="521" t="s">
        <v>93</v>
      </c>
      <c r="H643" s="520" t="s">
        <v>94</v>
      </c>
      <c r="I643" s="520">
        <v>2240</v>
      </c>
      <c r="J643" s="520">
        <v>0</v>
      </c>
      <c r="K643" s="520">
        <v>4</v>
      </c>
      <c r="L643" s="804">
        <f t="shared" si="204"/>
        <v>560</v>
      </c>
      <c r="M643" s="537">
        <v>46021</v>
      </c>
      <c r="N643" s="537">
        <v>46017</v>
      </c>
      <c r="O643" s="526"/>
      <c r="P643" s="526" t="s">
        <v>103</v>
      </c>
      <c r="Q643" s="530"/>
      <c r="R643" s="530" t="s">
        <v>2021</v>
      </c>
      <c r="S643" s="533" t="s">
        <v>66</v>
      </c>
      <c r="T643" s="533" t="s">
        <v>133</v>
      </c>
      <c r="U643" s="533"/>
      <c r="V643" s="532"/>
      <c r="W643" s="532" t="s">
        <v>1281</v>
      </c>
      <c r="X643" s="540" t="s">
        <v>98</v>
      </c>
      <c r="Y643" s="538">
        <v>2.5537</v>
      </c>
      <c r="Z643" s="808">
        <f t="shared" si="198"/>
        <v>5720.288</v>
      </c>
      <c r="AA643" s="521"/>
      <c r="AB643" s="520" t="s">
        <v>93</v>
      </c>
      <c r="AC643" s="520" t="s">
        <v>76</v>
      </c>
      <c r="AD643" s="521"/>
      <c r="AE643" s="521"/>
      <c r="AF643" s="521">
        <v>1</v>
      </c>
      <c r="AG643" s="521">
        <v>2240</v>
      </c>
      <c r="AH643" s="521">
        <f t="shared" si="201"/>
        <v>0</v>
      </c>
      <c r="AI643" s="521"/>
      <c r="AJ643" s="521"/>
      <c r="AK643" s="543"/>
      <c r="AL643" s="543">
        <f t="shared" si="202"/>
        <v>2240</v>
      </c>
      <c r="AM643" s="427"/>
      <c r="AN643" s="543"/>
      <c r="AO643" s="427"/>
      <c r="AP643" s="543">
        <f t="shared" si="199"/>
        <v>2240</v>
      </c>
      <c r="AQ643" s="543"/>
      <c r="AR643" s="543">
        <f t="shared" si="203"/>
        <v>2240</v>
      </c>
      <c r="AS643" s="543"/>
      <c r="AT643" s="543">
        <f t="shared" si="200"/>
        <v>2240</v>
      </c>
      <c r="AU643" s="546"/>
      <c r="AV643" s="427"/>
      <c r="AW643" s="427"/>
      <c r="AX643" s="427"/>
      <c r="AY643" s="427"/>
      <c r="AZ643" s="543"/>
      <c r="BA643" s="543"/>
      <c r="BB643" s="427"/>
      <c r="BC643" s="427"/>
      <c r="BD643" s="543">
        <f>I643/4</f>
        <v>560</v>
      </c>
      <c r="BE643" s="543"/>
      <c r="BF643" s="427"/>
      <c r="BG643" s="427"/>
      <c r="BH643" s="427"/>
      <c r="BI643" s="427"/>
      <c r="BJ643" s="427"/>
      <c r="BK643" s="427"/>
      <c r="BL643" s="427"/>
      <c r="BM643" s="427"/>
      <c r="BN643" s="835"/>
      <c r="BO643" s="427"/>
      <c r="BP643" s="427"/>
      <c r="BQ643" s="427"/>
      <c r="BR643" s="427"/>
      <c r="BS643" s="427"/>
      <c r="BT643" s="427"/>
      <c r="BU643" s="427"/>
      <c r="BV643" s="427"/>
      <c r="BW643" s="427"/>
      <c r="BX643" s="427"/>
      <c r="BY643" s="427"/>
      <c r="BZ643" s="427"/>
      <c r="CA643" s="427"/>
      <c r="CB643" s="427"/>
      <c r="CC643" s="427"/>
      <c r="CD643" s="427"/>
      <c r="CE643" s="427"/>
      <c r="CF643" s="544"/>
      <c r="CG643" s="544"/>
      <c r="CH643" s="544"/>
      <c r="CI643" s="544"/>
      <c r="CJ643" s="544"/>
      <c r="CK643" s="427"/>
      <c r="CL643" s="427"/>
      <c r="CM643" s="427"/>
      <c r="CN643" s="544"/>
      <c r="CO643" s="544"/>
      <c r="CP643" s="544"/>
      <c r="CQ643" s="544"/>
      <c r="CR643" s="544"/>
      <c r="CS643" s="544"/>
    </row>
    <row r="644" s="431" customFormat="1" ht="31" hidden="1" customHeight="1" spans="1:97">
      <c r="A644" s="518">
        <v>45940</v>
      </c>
      <c r="B644" s="519" t="s">
        <v>128</v>
      </c>
      <c r="C644" s="520" t="s">
        <v>90</v>
      </c>
      <c r="D644" s="427">
        <v>4500181327</v>
      </c>
      <c r="E644" s="890" t="s">
        <v>2365</v>
      </c>
      <c r="F644" s="427" t="s">
        <v>2366</v>
      </c>
      <c r="G644" s="521" t="s">
        <v>93</v>
      </c>
      <c r="H644" s="520" t="s">
        <v>94</v>
      </c>
      <c r="I644" s="520">
        <v>1920</v>
      </c>
      <c r="J644" s="520">
        <v>0</v>
      </c>
      <c r="K644" s="520">
        <v>4</v>
      </c>
      <c r="L644" s="804">
        <f t="shared" si="204"/>
        <v>480</v>
      </c>
      <c r="M644" s="537">
        <v>46021</v>
      </c>
      <c r="N644" s="537">
        <v>46017</v>
      </c>
      <c r="O644" s="526"/>
      <c r="P644" s="526" t="s">
        <v>103</v>
      </c>
      <c r="Q644" s="530"/>
      <c r="R644" s="530" t="s">
        <v>2021</v>
      </c>
      <c r="S644" s="533" t="s">
        <v>66</v>
      </c>
      <c r="T644" s="533" t="s">
        <v>133</v>
      </c>
      <c r="U644" s="533"/>
      <c r="V644" s="532"/>
      <c r="W644" s="532" t="s">
        <v>1281</v>
      </c>
      <c r="X644" s="540" t="s">
        <v>98</v>
      </c>
      <c r="Y644" s="538">
        <v>2.5537</v>
      </c>
      <c r="Z644" s="808">
        <f t="shared" si="198"/>
        <v>4903.104</v>
      </c>
      <c r="AA644" s="521"/>
      <c r="AB644" s="520" t="s">
        <v>93</v>
      </c>
      <c r="AC644" s="520" t="s">
        <v>76</v>
      </c>
      <c r="AD644" s="521"/>
      <c r="AE644" s="521"/>
      <c r="AF644" s="521">
        <v>1</v>
      </c>
      <c r="AG644" s="521">
        <v>1920</v>
      </c>
      <c r="AH644" s="521">
        <f t="shared" si="201"/>
        <v>0</v>
      </c>
      <c r="AI644" s="521"/>
      <c r="AJ644" s="521"/>
      <c r="AK644" s="543"/>
      <c r="AL644" s="543">
        <f t="shared" si="202"/>
        <v>1920</v>
      </c>
      <c r="AM644" s="427"/>
      <c r="AN644" s="543"/>
      <c r="AO644" s="427"/>
      <c r="AP644" s="543">
        <f t="shared" si="199"/>
        <v>1920</v>
      </c>
      <c r="AQ644" s="543"/>
      <c r="AR644" s="543">
        <f t="shared" si="203"/>
        <v>1920</v>
      </c>
      <c r="AS644" s="543"/>
      <c r="AT644" s="543">
        <f t="shared" si="200"/>
        <v>1920</v>
      </c>
      <c r="AU644" s="546"/>
      <c r="AV644" s="427"/>
      <c r="AW644" s="427"/>
      <c r="AX644" s="427"/>
      <c r="AY644" s="427"/>
      <c r="AZ644" s="543"/>
      <c r="BA644" s="543"/>
      <c r="BB644" s="427"/>
      <c r="BC644" s="427"/>
      <c r="BD644" s="543">
        <f>I644/4</f>
        <v>480</v>
      </c>
      <c r="BE644" s="543"/>
      <c r="BF644" s="427"/>
      <c r="BG644" s="427"/>
      <c r="BH644" s="427"/>
      <c r="BI644" s="427"/>
      <c r="BJ644" s="427"/>
      <c r="BK644" s="427"/>
      <c r="BL644" s="427"/>
      <c r="BM644" s="427"/>
      <c r="BN644" s="835"/>
      <c r="BO644" s="427"/>
      <c r="BP644" s="427"/>
      <c r="BQ644" s="427"/>
      <c r="BR644" s="427"/>
      <c r="BS644" s="427"/>
      <c r="BT644" s="427"/>
      <c r="BU644" s="427"/>
      <c r="BV644" s="427"/>
      <c r="BW644" s="427"/>
      <c r="BX644" s="427"/>
      <c r="BY644" s="427"/>
      <c r="BZ644" s="427"/>
      <c r="CA644" s="427"/>
      <c r="CB644" s="427"/>
      <c r="CC644" s="427"/>
      <c r="CD644" s="427"/>
      <c r="CE644" s="427"/>
      <c r="CF644" s="544"/>
      <c r="CG644" s="544"/>
      <c r="CH644" s="544"/>
      <c r="CI644" s="544"/>
      <c r="CJ644" s="544"/>
      <c r="CK644" s="427"/>
      <c r="CL644" s="427"/>
      <c r="CM644" s="427"/>
      <c r="CN644" s="544"/>
      <c r="CO644" s="544"/>
      <c r="CP644" s="544"/>
      <c r="CQ644" s="544"/>
      <c r="CR644" s="544"/>
      <c r="CS644" s="544"/>
    </row>
    <row r="645" s="431" customFormat="1" ht="31" hidden="1" customHeight="1" spans="1:97">
      <c r="A645" s="518">
        <v>45967</v>
      </c>
      <c r="B645" s="519" t="s">
        <v>489</v>
      </c>
      <c r="C645" s="520" t="s">
        <v>249</v>
      </c>
      <c r="D645" s="427">
        <v>4500184581</v>
      </c>
      <c r="E645" s="520" t="s">
        <v>2367</v>
      </c>
      <c r="F645" s="427" t="s">
        <v>2368</v>
      </c>
      <c r="G645" s="521" t="s">
        <v>64</v>
      </c>
      <c r="H645" s="520" t="s">
        <v>65</v>
      </c>
      <c r="I645" s="520">
        <v>2460</v>
      </c>
      <c r="J645" s="520">
        <v>0</v>
      </c>
      <c r="K645" s="520">
        <v>12</v>
      </c>
      <c r="L645" s="804">
        <f t="shared" si="204"/>
        <v>205</v>
      </c>
      <c r="M645" s="537">
        <v>46021</v>
      </c>
      <c r="N645" s="537">
        <v>46017</v>
      </c>
      <c r="O645" s="526"/>
      <c r="P645" s="526" t="s">
        <v>103</v>
      </c>
      <c r="Q645" s="530" t="s">
        <v>2369</v>
      </c>
      <c r="R645" s="530" t="s">
        <v>411</v>
      </c>
      <c r="S645" s="533" t="s">
        <v>66</v>
      </c>
      <c r="T645" s="533" t="s">
        <v>2245</v>
      </c>
      <c r="U645" s="533"/>
      <c r="V645" s="532"/>
      <c r="W645" s="532" t="s">
        <v>2370</v>
      </c>
      <c r="X645" s="540" t="s">
        <v>414</v>
      </c>
      <c r="Y645" s="538">
        <v>4.1623</v>
      </c>
      <c r="Z645" s="808">
        <f t="shared" si="198"/>
        <v>10239.258</v>
      </c>
      <c r="AA645" s="521"/>
      <c r="AB645" s="520" t="s">
        <v>165</v>
      </c>
      <c r="AC645" s="520" t="s">
        <v>76</v>
      </c>
      <c r="AD645" s="521"/>
      <c r="AE645" s="521"/>
      <c r="AF645" s="521">
        <v>1</v>
      </c>
      <c r="AG645" s="521">
        <f>24+756+1680</f>
        <v>2460</v>
      </c>
      <c r="AH645" s="522">
        <f t="shared" si="201"/>
        <v>0</v>
      </c>
      <c r="AI645" s="521"/>
      <c r="AJ645" s="521" t="s">
        <v>403</v>
      </c>
      <c r="AK645" s="543"/>
      <c r="AL645" s="543">
        <f t="shared" si="202"/>
        <v>2460</v>
      </c>
      <c r="AM645" s="427"/>
      <c r="AN645" s="543"/>
      <c r="AO645" s="427"/>
      <c r="AP645" s="543"/>
      <c r="AQ645" s="543">
        <f>I645</f>
        <v>2460</v>
      </c>
      <c r="AR645" s="543">
        <f t="shared" si="203"/>
        <v>2460</v>
      </c>
      <c r="AS645" s="543"/>
      <c r="AT645" s="543">
        <f t="shared" si="200"/>
        <v>2460</v>
      </c>
      <c r="AU645" s="546"/>
      <c r="AV645" s="427"/>
      <c r="AW645" s="427"/>
      <c r="AX645" s="427"/>
      <c r="AY645" s="427"/>
      <c r="AZ645" s="543"/>
      <c r="BA645" s="543"/>
      <c r="BB645" s="427"/>
      <c r="BC645" s="427"/>
      <c r="BD645" s="543"/>
      <c r="BE645" s="543"/>
      <c r="BF645" s="427"/>
      <c r="BG645" s="427"/>
      <c r="BH645" s="427"/>
      <c r="BI645" s="427"/>
      <c r="BJ645" s="427"/>
      <c r="BK645" s="427"/>
      <c r="BL645" s="427"/>
      <c r="BM645" s="427"/>
      <c r="BN645" s="835"/>
      <c r="BO645" s="427"/>
      <c r="BP645" s="427"/>
      <c r="BQ645" s="427"/>
      <c r="BR645" s="427"/>
      <c r="BS645" s="427"/>
      <c r="BT645" s="427"/>
      <c r="BU645" s="427"/>
      <c r="BV645" s="427"/>
      <c r="BW645" s="427"/>
      <c r="BX645" s="427"/>
      <c r="BY645" s="427"/>
      <c r="BZ645" s="427"/>
      <c r="CA645" s="427"/>
      <c r="CB645" s="427"/>
      <c r="CC645" s="427"/>
      <c r="CD645" s="427"/>
      <c r="CE645" s="427"/>
      <c r="CF645" s="544"/>
      <c r="CG645" s="544"/>
      <c r="CH645" s="544"/>
      <c r="CI645" s="544"/>
      <c r="CJ645" s="544"/>
      <c r="CK645" s="427"/>
      <c r="CL645" s="427"/>
      <c r="CM645" s="427"/>
      <c r="CN645" s="544"/>
      <c r="CO645" s="544"/>
      <c r="CP645" s="544"/>
      <c r="CQ645" s="544"/>
      <c r="CR645" s="544"/>
      <c r="CS645" s="544"/>
    </row>
    <row r="646" s="431" customFormat="1" ht="31" hidden="1" customHeight="1" spans="1:97">
      <c r="A646" s="518">
        <v>45961</v>
      </c>
      <c r="B646" s="519" t="s">
        <v>2371</v>
      </c>
      <c r="C646" s="520" t="s">
        <v>2372</v>
      </c>
      <c r="D646" s="427">
        <v>4500183983</v>
      </c>
      <c r="E646" s="520"/>
      <c r="F646" s="427" t="s">
        <v>2373</v>
      </c>
      <c r="G646" s="521" t="s">
        <v>64</v>
      </c>
      <c r="H646" s="520" t="s">
        <v>65</v>
      </c>
      <c r="I646" s="520">
        <v>3600</v>
      </c>
      <c r="J646" s="520">
        <v>0</v>
      </c>
      <c r="K646" s="520">
        <v>12</v>
      </c>
      <c r="L646" s="804">
        <f t="shared" si="204"/>
        <v>300</v>
      </c>
      <c r="M646" s="537">
        <v>46021</v>
      </c>
      <c r="N646" s="537">
        <v>46017</v>
      </c>
      <c r="O646" s="526"/>
      <c r="P646" s="526" t="s">
        <v>103</v>
      </c>
      <c r="Q646" s="530"/>
      <c r="R646" s="530">
        <v>45978</v>
      </c>
      <c r="S646" s="533" t="s">
        <v>66</v>
      </c>
      <c r="T646" s="533" t="s">
        <v>2121</v>
      </c>
      <c r="U646" s="533"/>
      <c r="V646" s="532"/>
      <c r="W646" s="532" t="s">
        <v>2374</v>
      </c>
      <c r="X646" s="540" t="s">
        <v>473</v>
      </c>
      <c r="Y646" s="538">
        <v>4.1569</v>
      </c>
      <c r="Z646" s="808">
        <f t="shared" si="198"/>
        <v>14964.84</v>
      </c>
      <c r="AA646" s="521"/>
      <c r="AB646" s="520" t="s">
        <v>165</v>
      </c>
      <c r="AC646" s="520" t="s">
        <v>76</v>
      </c>
      <c r="AD646" s="521"/>
      <c r="AE646" s="521"/>
      <c r="AF646" s="521">
        <v>1</v>
      </c>
      <c r="AG646" s="521">
        <v>3600</v>
      </c>
      <c r="AH646" s="522">
        <f t="shared" si="201"/>
        <v>0</v>
      </c>
      <c r="AI646" s="521"/>
      <c r="AJ646" s="521" t="s">
        <v>403</v>
      </c>
      <c r="AK646" s="543"/>
      <c r="AL646" s="543">
        <f t="shared" si="202"/>
        <v>3600</v>
      </c>
      <c r="AM646" s="427"/>
      <c r="AN646" s="543"/>
      <c r="AO646" s="427"/>
      <c r="AP646" s="543"/>
      <c r="AQ646" s="543">
        <f>I646</f>
        <v>3600</v>
      </c>
      <c r="AR646" s="543">
        <f t="shared" ref="AR646:AR662" si="205">I646</f>
        <v>3600</v>
      </c>
      <c r="AS646" s="543"/>
      <c r="AT646" s="543">
        <f t="shared" ref="AT646:AT663" si="206">I646</f>
        <v>3600</v>
      </c>
      <c r="AU646" s="546"/>
      <c r="AV646" s="427"/>
      <c r="AW646" s="427"/>
      <c r="AX646" s="427"/>
      <c r="AY646" s="427"/>
      <c r="AZ646" s="543"/>
      <c r="BA646" s="543"/>
      <c r="BB646" s="427"/>
      <c r="BC646" s="427"/>
      <c r="BD646" s="543"/>
      <c r="BE646" s="543"/>
      <c r="BF646" s="427"/>
      <c r="BG646" s="427"/>
      <c r="BH646" s="427"/>
      <c r="BI646" s="427"/>
      <c r="BJ646" s="427"/>
      <c r="BK646" s="427"/>
      <c r="BL646" s="427"/>
      <c r="BM646" s="427"/>
      <c r="BN646" s="835"/>
      <c r="BO646" s="427"/>
      <c r="BP646" s="427"/>
      <c r="BQ646" s="427"/>
      <c r="BR646" s="427"/>
      <c r="BS646" s="427"/>
      <c r="BT646" s="427"/>
      <c r="BU646" s="427"/>
      <c r="BV646" s="427"/>
      <c r="BW646" s="427"/>
      <c r="BX646" s="427"/>
      <c r="BY646" s="427"/>
      <c r="BZ646" s="427"/>
      <c r="CA646" s="427"/>
      <c r="CB646" s="427"/>
      <c r="CC646" s="427"/>
      <c r="CD646" s="427"/>
      <c r="CE646" s="427"/>
      <c r="CF646" s="544"/>
      <c r="CG646" s="544"/>
      <c r="CH646" s="544"/>
      <c r="CI646" s="544"/>
      <c r="CJ646" s="544"/>
      <c r="CK646" s="427"/>
      <c r="CL646" s="427"/>
      <c r="CM646" s="427"/>
      <c r="CN646" s="544"/>
      <c r="CO646" s="544"/>
      <c r="CP646" s="544"/>
      <c r="CQ646" s="544"/>
      <c r="CR646" s="544"/>
      <c r="CS646" s="544"/>
    </row>
    <row r="647" s="431" customFormat="1" ht="31" hidden="1" customHeight="1" spans="1:97">
      <c r="A647" s="518">
        <v>45964</v>
      </c>
      <c r="B647" s="519" t="s">
        <v>398</v>
      </c>
      <c r="C647" s="520" t="s">
        <v>356</v>
      </c>
      <c r="D647" s="427">
        <v>4500184256</v>
      </c>
      <c r="E647" s="520"/>
      <c r="F647" s="427" t="s">
        <v>2375</v>
      </c>
      <c r="G647" s="521" t="s">
        <v>118</v>
      </c>
      <c r="H647" s="520" t="s">
        <v>119</v>
      </c>
      <c r="I647" s="520">
        <v>1800</v>
      </c>
      <c r="J647" s="520">
        <v>0</v>
      </c>
      <c r="K647" s="520">
        <v>6</v>
      </c>
      <c r="L647" s="804">
        <f t="shared" si="204"/>
        <v>300</v>
      </c>
      <c r="M647" s="537">
        <v>46021</v>
      </c>
      <c r="N647" s="537">
        <v>46017</v>
      </c>
      <c r="O647" s="526"/>
      <c r="P647" s="526" t="s">
        <v>103</v>
      </c>
      <c r="Q647" s="530"/>
      <c r="R647" s="530">
        <v>45978</v>
      </c>
      <c r="S647" s="533" t="s">
        <v>66</v>
      </c>
      <c r="T647" s="533" t="s">
        <v>2376</v>
      </c>
      <c r="U647" s="533"/>
      <c r="V647" s="532"/>
      <c r="W647" s="532" t="s">
        <v>2377</v>
      </c>
      <c r="X647" s="540" t="s">
        <v>395</v>
      </c>
      <c r="Y647" s="538">
        <v>4.2266</v>
      </c>
      <c r="Z647" s="808">
        <f t="shared" si="198"/>
        <v>7607.88</v>
      </c>
      <c r="AA647" s="521"/>
      <c r="AB647" s="520" t="s">
        <v>402</v>
      </c>
      <c r="AC647" s="520" t="s">
        <v>76</v>
      </c>
      <c r="AD647" s="521"/>
      <c r="AE647" s="521"/>
      <c r="AF647" s="521">
        <v>1</v>
      </c>
      <c r="AG647" s="521">
        <f>18+1782</f>
        <v>1800</v>
      </c>
      <c r="AH647" s="522">
        <f t="shared" si="201"/>
        <v>0</v>
      </c>
      <c r="AI647" s="521"/>
      <c r="AJ647" s="521"/>
      <c r="AK647" s="543"/>
      <c r="AL647" s="543">
        <f t="shared" si="202"/>
        <v>1800</v>
      </c>
      <c r="AM647" s="427"/>
      <c r="AN647" s="543"/>
      <c r="AO647" s="427"/>
      <c r="AP647" s="543"/>
      <c r="AQ647" s="543">
        <f>I647</f>
        <v>1800</v>
      </c>
      <c r="AR647" s="543">
        <f t="shared" si="205"/>
        <v>1800</v>
      </c>
      <c r="AS647" s="543"/>
      <c r="AT647" s="543">
        <f t="shared" si="206"/>
        <v>1800</v>
      </c>
      <c r="AU647" s="546"/>
      <c r="AV647" s="427"/>
      <c r="AW647" s="427"/>
      <c r="AX647" s="427"/>
      <c r="AY647" s="427"/>
      <c r="AZ647" s="543"/>
      <c r="BA647" s="543"/>
      <c r="BB647" s="427"/>
      <c r="BC647" s="427"/>
      <c r="BD647" s="543"/>
      <c r="BE647" s="543"/>
      <c r="BF647" s="427"/>
      <c r="BG647" s="427"/>
      <c r="BH647" s="427"/>
      <c r="BI647" s="427"/>
      <c r="BJ647" s="427"/>
      <c r="BK647" s="427"/>
      <c r="BL647" s="427"/>
      <c r="BM647" s="427"/>
      <c r="BN647" s="835"/>
      <c r="BO647" s="427"/>
      <c r="BP647" s="427"/>
      <c r="BQ647" s="427"/>
      <c r="BR647" s="427"/>
      <c r="BS647" s="427"/>
      <c r="BT647" s="427"/>
      <c r="BU647" s="427"/>
      <c r="BV647" s="427"/>
      <c r="BW647" s="427"/>
      <c r="BX647" s="427"/>
      <c r="BY647" s="427"/>
      <c r="BZ647" s="427"/>
      <c r="CA647" s="427"/>
      <c r="CB647" s="427"/>
      <c r="CC647" s="427"/>
      <c r="CD647" s="427"/>
      <c r="CE647" s="427"/>
      <c r="CF647" s="544"/>
      <c r="CG647" s="544"/>
      <c r="CH647" s="544"/>
      <c r="CI647" s="544"/>
      <c r="CJ647" s="544"/>
      <c r="CK647" s="427"/>
      <c r="CL647" s="427"/>
      <c r="CM647" s="427"/>
      <c r="CN647" s="544"/>
      <c r="CO647" s="544"/>
      <c r="CP647" s="544"/>
      <c r="CQ647" s="544"/>
      <c r="CR647" s="544"/>
      <c r="CS647" s="544"/>
    </row>
    <row r="648" s="431" customFormat="1" ht="31" hidden="1" customHeight="1" spans="1:97">
      <c r="A648" s="518">
        <v>45940</v>
      </c>
      <c r="B648" s="519" t="s">
        <v>128</v>
      </c>
      <c r="C648" s="520" t="s">
        <v>90</v>
      </c>
      <c r="D648" s="427">
        <v>4500181327</v>
      </c>
      <c r="E648" s="890" t="s">
        <v>2378</v>
      </c>
      <c r="F648" s="427" t="s">
        <v>2379</v>
      </c>
      <c r="G648" s="521" t="s">
        <v>93</v>
      </c>
      <c r="H648" s="520" t="s">
        <v>94</v>
      </c>
      <c r="I648" s="520">
        <v>1280</v>
      </c>
      <c r="J648" s="520">
        <v>0</v>
      </c>
      <c r="K648" s="520">
        <v>4</v>
      </c>
      <c r="L648" s="804">
        <f t="shared" si="204"/>
        <v>320</v>
      </c>
      <c r="M648" s="537">
        <v>46021</v>
      </c>
      <c r="N648" s="537">
        <v>46017</v>
      </c>
      <c r="O648" s="526"/>
      <c r="P648" s="526" t="s">
        <v>103</v>
      </c>
      <c r="Q648" s="530"/>
      <c r="R648" s="530" t="s">
        <v>2021</v>
      </c>
      <c r="S648" s="533" t="s">
        <v>66</v>
      </c>
      <c r="T648" s="533" t="s">
        <v>133</v>
      </c>
      <c r="U648" s="533"/>
      <c r="V648" s="532"/>
      <c r="W648" s="532" t="s">
        <v>1281</v>
      </c>
      <c r="X648" s="540" t="s">
        <v>98</v>
      </c>
      <c r="Y648" s="538">
        <v>2.5537</v>
      </c>
      <c r="Z648" s="808">
        <f t="shared" si="198"/>
        <v>3268.736</v>
      </c>
      <c r="AA648" s="521"/>
      <c r="AB648" s="520" t="s">
        <v>93</v>
      </c>
      <c r="AC648" s="520" t="s">
        <v>76</v>
      </c>
      <c r="AD648" s="521"/>
      <c r="AE648" s="521"/>
      <c r="AF648" s="521">
        <v>1</v>
      </c>
      <c r="AG648" s="521">
        <v>1280</v>
      </c>
      <c r="AH648" s="521">
        <f t="shared" si="201"/>
        <v>0</v>
      </c>
      <c r="AI648" s="521"/>
      <c r="AJ648" s="521"/>
      <c r="AK648" s="543"/>
      <c r="AL648" s="543">
        <f t="shared" si="202"/>
        <v>1280</v>
      </c>
      <c r="AM648" s="427"/>
      <c r="AN648" s="543"/>
      <c r="AO648" s="427"/>
      <c r="AP648" s="543">
        <f>I648</f>
        <v>1280</v>
      </c>
      <c r="AQ648" s="543"/>
      <c r="AR648" s="543">
        <f t="shared" si="205"/>
        <v>1280</v>
      </c>
      <c r="AS648" s="543"/>
      <c r="AT648" s="543">
        <f t="shared" si="206"/>
        <v>1280</v>
      </c>
      <c r="AU648" s="546"/>
      <c r="AV648" s="427"/>
      <c r="AW648" s="427"/>
      <c r="AX648" s="427"/>
      <c r="AY648" s="427"/>
      <c r="AZ648" s="543"/>
      <c r="BA648" s="543"/>
      <c r="BB648" s="427"/>
      <c r="BC648" s="427"/>
      <c r="BD648" s="543">
        <f>I648/4</f>
        <v>320</v>
      </c>
      <c r="BE648" s="543"/>
      <c r="BF648" s="427"/>
      <c r="BG648" s="427"/>
      <c r="BH648" s="427"/>
      <c r="BI648" s="427"/>
      <c r="BJ648" s="427"/>
      <c r="BK648" s="427"/>
      <c r="BL648" s="427"/>
      <c r="BM648" s="427"/>
      <c r="BN648" s="835"/>
      <c r="BO648" s="427"/>
      <c r="BP648" s="427"/>
      <c r="BQ648" s="427"/>
      <c r="BR648" s="427"/>
      <c r="BS648" s="427"/>
      <c r="BT648" s="427"/>
      <c r="BU648" s="427"/>
      <c r="BV648" s="427"/>
      <c r="BW648" s="427"/>
      <c r="BX648" s="427"/>
      <c r="BY648" s="427"/>
      <c r="BZ648" s="427"/>
      <c r="CA648" s="427"/>
      <c r="CB648" s="427"/>
      <c r="CC648" s="427"/>
      <c r="CD648" s="427"/>
      <c r="CE648" s="427"/>
      <c r="CF648" s="544"/>
      <c r="CG648" s="544"/>
      <c r="CH648" s="544"/>
      <c r="CI648" s="544"/>
      <c r="CJ648" s="544"/>
      <c r="CK648" s="427"/>
      <c r="CL648" s="427"/>
      <c r="CM648" s="427"/>
      <c r="CN648" s="544"/>
      <c r="CO648" s="544"/>
      <c r="CP648" s="544"/>
      <c r="CQ648" s="544"/>
      <c r="CR648" s="544"/>
      <c r="CS648" s="544"/>
    </row>
    <row r="649" s="431" customFormat="1" ht="31" hidden="1" customHeight="1" spans="1:97">
      <c r="A649" s="518">
        <v>45964</v>
      </c>
      <c r="B649" s="519" t="s">
        <v>398</v>
      </c>
      <c r="C649" s="520" t="s">
        <v>356</v>
      </c>
      <c r="D649" s="430">
        <v>4500184204</v>
      </c>
      <c r="E649" s="520"/>
      <c r="F649" s="427" t="s">
        <v>2380</v>
      </c>
      <c r="G649" s="521" t="s">
        <v>118</v>
      </c>
      <c r="H649" s="520" t="s">
        <v>119</v>
      </c>
      <c r="I649" s="520">
        <v>960</v>
      </c>
      <c r="J649" s="520">
        <v>0</v>
      </c>
      <c r="K649" s="520">
        <v>6</v>
      </c>
      <c r="L649" s="804">
        <f t="shared" si="204"/>
        <v>160</v>
      </c>
      <c r="M649" s="537">
        <v>46021</v>
      </c>
      <c r="N649" s="537">
        <v>46017</v>
      </c>
      <c r="O649" s="526"/>
      <c r="P649" s="526" t="s">
        <v>103</v>
      </c>
      <c r="Q649" s="530"/>
      <c r="R649" s="530">
        <v>45978</v>
      </c>
      <c r="S649" s="533" t="s">
        <v>66</v>
      </c>
      <c r="T649" s="533" t="s">
        <v>2381</v>
      </c>
      <c r="U649" s="533"/>
      <c r="V649" s="532"/>
      <c r="W649" s="531" t="s">
        <v>2382</v>
      </c>
      <c r="X649" s="540" t="s">
        <v>395</v>
      </c>
      <c r="Y649" s="538">
        <v>4.2266</v>
      </c>
      <c r="Z649" s="808">
        <f t="shared" si="198"/>
        <v>4057.536</v>
      </c>
      <c r="AA649" s="521"/>
      <c r="AB649" s="520" t="s">
        <v>402</v>
      </c>
      <c r="AC649" s="520" t="s">
        <v>76</v>
      </c>
      <c r="AD649" s="521"/>
      <c r="AE649" s="521"/>
      <c r="AF649" s="521">
        <v>1</v>
      </c>
      <c r="AG649" s="521">
        <v>960</v>
      </c>
      <c r="AH649" s="522">
        <f t="shared" si="201"/>
        <v>0</v>
      </c>
      <c r="AI649" s="521"/>
      <c r="AJ649" s="521"/>
      <c r="AK649" s="543"/>
      <c r="AL649" s="543">
        <f t="shared" si="202"/>
        <v>960</v>
      </c>
      <c r="AM649" s="427"/>
      <c r="AN649" s="543"/>
      <c r="AO649" s="427"/>
      <c r="AP649" s="543"/>
      <c r="AQ649" s="543">
        <f>I649</f>
        <v>960</v>
      </c>
      <c r="AR649" s="543">
        <f t="shared" si="205"/>
        <v>960</v>
      </c>
      <c r="AS649" s="543"/>
      <c r="AT649" s="543">
        <f t="shared" si="206"/>
        <v>960</v>
      </c>
      <c r="AU649" s="546"/>
      <c r="AV649" s="427"/>
      <c r="AW649" s="427"/>
      <c r="AX649" s="427"/>
      <c r="AY649" s="427"/>
      <c r="AZ649" s="543"/>
      <c r="BA649" s="543"/>
      <c r="BB649" s="427"/>
      <c r="BC649" s="427"/>
      <c r="BD649" s="543"/>
      <c r="BE649" s="543"/>
      <c r="BF649" s="427"/>
      <c r="BG649" s="427"/>
      <c r="BH649" s="427"/>
      <c r="BI649" s="427"/>
      <c r="BJ649" s="427"/>
      <c r="BK649" s="427"/>
      <c r="BL649" s="427"/>
      <c r="BM649" s="427"/>
      <c r="BN649" s="835"/>
      <c r="BO649" s="427"/>
      <c r="BP649" s="427"/>
      <c r="BQ649" s="427"/>
      <c r="BR649" s="427"/>
      <c r="BS649" s="427"/>
      <c r="BT649" s="427"/>
      <c r="BU649" s="427"/>
      <c r="BV649" s="427"/>
      <c r="BW649" s="427"/>
      <c r="BX649" s="427"/>
      <c r="BY649" s="427"/>
      <c r="BZ649" s="427"/>
      <c r="CA649" s="427"/>
      <c r="CB649" s="427"/>
      <c r="CC649" s="427"/>
      <c r="CD649" s="427"/>
      <c r="CE649" s="427"/>
      <c r="CF649" s="544"/>
      <c r="CG649" s="544"/>
      <c r="CH649" s="544"/>
      <c r="CI649" s="544"/>
      <c r="CJ649" s="544"/>
      <c r="CK649" s="427"/>
      <c r="CL649" s="427"/>
      <c r="CM649" s="427"/>
      <c r="CN649" s="544"/>
      <c r="CO649" s="544"/>
      <c r="CP649" s="544"/>
      <c r="CQ649" s="544"/>
      <c r="CR649" s="544"/>
      <c r="CS649" s="544"/>
    </row>
    <row r="650" s="431" customFormat="1" ht="31" hidden="1" customHeight="1" spans="1:97">
      <c r="A650" s="518">
        <v>45940</v>
      </c>
      <c r="B650" s="519" t="s">
        <v>128</v>
      </c>
      <c r="C650" s="520" t="s">
        <v>90</v>
      </c>
      <c r="D650" s="427">
        <v>4500181327</v>
      </c>
      <c r="E650" s="890" t="s">
        <v>2383</v>
      </c>
      <c r="F650" s="427" t="s">
        <v>2384</v>
      </c>
      <c r="G650" s="521" t="s">
        <v>93</v>
      </c>
      <c r="H650" s="520" t="s">
        <v>94</v>
      </c>
      <c r="I650" s="520">
        <v>640</v>
      </c>
      <c r="J650" s="520">
        <v>0</v>
      </c>
      <c r="K650" s="520">
        <v>4</v>
      </c>
      <c r="L650" s="804">
        <f t="shared" si="204"/>
        <v>160</v>
      </c>
      <c r="M650" s="537">
        <v>46022</v>
      </c>
      <c r="N650" s="537">
        <v>46018</v>
      </c>
      <c r="O650" s="526"/>
      <c r="P650" s="526" t="s">
        <v>103</v>
      </c>
      <c r="Q650" s="530"/>
      <c r="R650" s="530" t="s">
        <v>2021</v>
      </c>
      <c r="S650" s="533" t="s">
        <v>66</v>
      </c>
      <c r="T650" s="533" t="s">
        <v>133</v>
      </c>
      <c r="U650" s="533"/>
      <c r="V650" s="532"/>
      <c r="W650" s="532" t="s">
        <v>1281</v>
      </c>
      <c r="X650" s="540" t="s">
        <v>98</v>
      </c>
      <c r="Y650" s="538">
        <v>2.5537</v>
      </c>
      <c r="Z650" s="808">
        <f t="shared" ref="Z650:Z663" si="207">Y650*I650</f>
        <v>1634.368</v>
      </c>
      <c r="AA650" s="521"/>
      <c r="AB650" s="520" t="s">
        <v>93</v>
      </c>
      <c r="AC650" s="520" t="s">
        <v>76</v>
      </c>
      <c r="AD650" s="521"/>
      <c r="AE650" s="521"/>
      <c r="AF650" s="521">
        <v>1</v>
      </c>
      <c r="AG650" s="521">
        <v>640</v>
      </c>
      <c r="AH650" s="521">
        <f t="shared" si="201"/>
        <v>0</v>
      </c>
      <c r="AI650" s="521"/>
      <c r="AJ650" s="521"/>
      <c r="AK650" s="543"/>
      <c r="AL650" s="543">
        <f t="shared" si="202"/>
        <v>640</v>
      </c>
      <c r="AM650" s="427"/>
      <c r="AN650" s="543"/>
      <c r="AO650" s="427"/>
      <c r="AP650" s="543">
        <f>I650</f>
        <v>640</v>
      </c>
      <c r="AQ650" s="543"/>
      <c r="AR650" s="543">
        <f t="shared" si="205"/>
        <v>640</v>
      </c>
      <c r="AS650" s="543"/>
      <c r="AT650" s="543">
        <f t="shared" si="206"/>
        <v>640</v>
      </c>
      <c r="AU650" s="546"/>
      <c r="AV650" s="427"/>
      <c r="AW650" s="427"/>
      <c r="AX650" s="427"/>
      <c r="AY650" s="427"/>
      <c r="AZ650" s="543"/>
      <c r="BA650" s="543"/>
      <c r="BB650" s="427"/>
      <c r="BC650" s="427"/>
      <c r="BD650" s="543">
        <f>I650/4</f>
        <v>160</v>
      </c>
      <c r="BE650" s="543"/>
      <c r="BF650" s="427"/>
      <c r="BG650" s="427"/>
      <c r="BH650" s="427"/>
      <c r="BI650" s="427"/>
      <c r="BJ650" s="427"/>
      <c r="BK650" s="427"/>
      <c r="BL650" s="427"/>
      <c r="BM650" s="427"/>
      <c r="BN650" s="835"/>
      <c r="BO650" s="427"/>
      <c r="BP650" s="427"/>
      <c r="BQ650" s="427"/>
      <c r="BR650" s="427"/>
      <c r="BS650" s="427"/>
      <c r="BT650" s="427"/>
      <c r="BU650" s="427"/>
      <c r="BV650" s="427"/>
      <c r="BW650" s="427"/>
      <c r="BX650" s="427"/>
      <c r="BY650" s="427"/>
      <c r="BZ650" s="427"/>
      <c r="CA650" s="427"/>
      <c r="CB650" s="427"/>
      <c r="CC650" s="427"/>
      <c r="CD650" s="427"/>
      <c r="CE650" s="427"/>
      <c r="CF650" s="544"/>
      <c r="CG650" s="544"/>
      <c r="CH650" s="544"/>
      <c r="CI650" s="544"/>
      <c r="CJ650" s="544"/>
      <c r="CK650" s="427"/>
      <c r="CL650" s="427"/>
      <c r="CM650" s="427"/>
      <c r="CN650" s="544"/>
      <c r="CO650" s="544"/>
      <c r="CP650" s="544"/>
      <c r="CQ650" s="544"/>
      <c r="CR650" s="544"/>
      <c r="CS650" s="544"/>
    </row>
    <row r="651" s="431" customFormat="1" ht="31" hidden="1" customHeight="1" spans="1:97">
      <c r="A651" s="518">
        <v>45940</v>
      </c>
      <c r="B651" s="519" t="s">
        <v>128</v>
      </c>
      <c r="C651" s="520" t="s">
        <v>90</v>
      </c>
      <c r="D651" s="427">
        <v>4500181327</v>
      </c>
      <c r="E651" s="890" t="s">
        <v>2385</v>
      </c>
      <c r="F651" s="427" t="s">
        <v>2386</v>
      </c>
      <c r="G651" s="521" t="s">
        <v>93</v>
      </c>
      <c r="H651" s="520" t="s">
        <v>94</v>
      </c>
      <c r="I651" s="520">
        <v>1920</v>
      </c>
      <c r="J651" s="520">
        <v>0</v>
      </c>
      <c r="K651" s="520">
        <v>4</v>
      </c>
      <c r="L651" s="804">
        <f t="shared" si="204"/>
        <v>480</v>
      </c>
      <c r="M651" s="537">
        <v>46022</v>
      </c>
      <c r="N651" s="537">
        <v>46018</v>
      </c>
      <c r="O651" s="526"/>
      <c r="P651" s="526" t="s">
        <v>103</v>
      </c>
      <c r="Q651" s="530"/>
      <c r="R651" s="530" t="s">
        <v>2021</v>
      </c>
      <c r="S651" s="533" t="s">
        <v>66</v>
      </c>
      <c r="T651" s="533" t="s">
        <v>133</v>
      </c>
      <c r="U651" s="533"/>
      <c r="V651" s="532"/>
      <c r="W651" s="532" t="s">
        <v>1281</v>
      </c>
      <c r="X651" s="540" t="s">
        <v>98</v>
      </c>
      <c r="Y651" s="538">
        <v>2.5537</v>
      </c>
      <c r="Z651" s="808">
        <f t="shared" si="207"/>
        <v>4903.104</v>
      </c>
      <c r="AA651" s="521"/>
      <c r="AB651" s="520" t="s">
        <v>93</v>
      </c>
      <c r="AC651" s="520" t="s">
        <v>76</v>
      </c>
      <c r="AD651" s="521"/>
      <c r="AE651" s="521"/>
      <c r="AF651" s="521">
        <v>1</v>
      </c>
      <c r="AG651" s="521">
        <v>1920</v>
      </c>
      <c r="AH651" s="521">
        <f t="shared" si="201"/>
        <v>0</v>
      </c>
      <c r="AI651" s="521"/>
      <c r="AJ651" s="521"/>
      <c r="AK651" s="543"/>
      <c r="AL651" s="543">
        <f t="shared" si="202"/>
        <v>1920</v>
      </c>
      <c r="AM651" s="427"/>
      <c r="AN651" s="543"/>
      <c r="AO651" s="427"/>
      <c r="AP651" s="543">
        <f>I651</f>
        <v>1920</v>
      </c>
      <c r="AQ651" s="543"/>
      <c r="AR651" s="543">
        <f t="shared" si="205"/>
        <v>1920</v>
      </c>
      <c r="AS651" s="543"/>
      <c r="AT651" s="543">
        <f t="shared" si="206"/>
        <v>1920</v>
      </c>
      <c r="AU651" s="546"/>
      <c r="AV651" s="427"/>
      <c r="AW651" s="427"/>
      <c r="AX651" s="427"/>
      <c r="AY651" s="427"/>
      <c r="AZ651" s="543"/>
      <c r="BA651" s="543"/>
      <c r="BB651" s="427"/>
      <c r="BC651" s="427"/>
      <c r="BD651" s="543">
        <f>I651/4</f>
        <v>480</v>
      </c>
      <c r="BE651" s="543"/>
      <c r="BF651" s="427"/>
      <c r="BG651" s="427"/>
      <c r="BH651" s="427"/>
      <c r="BI651" s="427"/>
      <c r="BJ651" s="427"/>
      <c r="BK651" s="427"/>
      <c r="BL651" s="427"/>
      <c r="BM651" s="427"/>
      <c r="BN651" s="835"/>
      <c r="BO651" s="427"/>
      <c r="BP651" s="427"/>
      <c r="BQ651" s="427"/>
      <c r="BR651" s="427"/>
      <c r="BS651" s="427"/>
      <c r="BT651" s="427"/>
      <c r="BU651" s="427"/>
      <c r="BV651" s="427"/>
      <c r="BW651" s="427"/>
      <c r="BX651" s="427"/>
      <c r="BY651" s="427"/>
      <c r="BZ651" s="427"/>
      <c r="CA651" s="427"/>
      <c r="CB651" s="427"/>
      <c r="CC651" s="427"/>
      <c r="CD651" s="427"/>
      <c r="CE651" s="427"/>
      <c r="CF651" s="544"/>
      <c r="CG651" s="544"/>
      <c r="CH651" s="544"/>
      <c r="CI651" s="544"/>
      <c r="CJ651" s="544"/>
      <c r="CK651" s="427"/>
      <c r="CL651" s="427"/>
      <c r="CM651" s="427"/>
      <c r="CN651" s="544"/>
      <c r="CO651" s="544"/>
      <c r="CP651" s="544"/>
      <c r="CQ651" s="544"/>
      <c r="CR651" s="544"/>
      <c r="CS651" s="544"/>
    </row>
    <row r="652" s="431" customFormat="1" ht="31" hidden="1" customHeight="1" spans="1:97">
      <c r="A652" s="518">
        <v>45940</v>
      </c>
      <c r="B652" s="519" t="s">
        <v>128</v>
      </c>
      <c r="C652" s="520" t="s">
        <v>90</v>
      </c>
      <c r="D652" s="427">
        <v>4500181327</v>
      </c>
      <c r="E652" s="890" t="s">
        <v>2387</v>
      </c>
      <c r="F652" s="427" t="s">
        <v>2388</v>
      </c>
      <c r="G652" s="521" t="s">
        <v>93</v>
      </c>
      <c r="H652" s="520" t="s">
        <v>94</v>
      </c>
      <c r="I652" s="520">
        <v>960</v>
      </c>
      <c r="J652" s="520">
        <v>0</v>
      </c>
      <c r="K652" s="520">
        <v>4</v>
      </c>
      <c r="L652" s="804">
        <f t="shared" ref="L652:L663" si="208">I652/K652</f>
        <v>240</v>
      </c>
      <c r="M652" s="537">
        <v>46022</v>
      </c>
      <c r="N652" s="537">
        <v>46018</v>
      </c>
      <c r="O652" s="526"/>
      <c r="P652" s="526" t="s">
        <v>103</v>
      </c>
      <c r="Q652" s="530"/>
      <c r="R652" s="530" t="s">
        <v>2021</v>
      </c>
      <c r="S652" s="533" t="s">
        <v>66</v>
      </c>
      <c r="T652" s="533" t="s">
        <v>133</v>
      </c>
      <c r="U652" s="533"/>
      <c r="V652" s="532"/>
      <c r="W652" s="532" t="s">
        <v>1281</v>
      </c>
      <c r="X652" s="540" t="s">
        <v>98</v>
      </c>
      <c r="Y652" s="538">
        <v>2.5537</v>
      </c>
      <c r="Z652" s="808">
        <f t="shared" si="207"/>
        <v>2451.552</v>
      </c>
      <c r="AA652" s="521"/>
      <c r="AB652" s="520" t="s">
        <v>93</v>
      </c>
      <c r="AC652" s="520" t="s">
        <v>76</v>
      </c>
      <c r="AD652" s="521"/>
      <c r="AE652" s="521"/>
      <c r="AF652" s="521">
        <v>1</v>
      </c>
      <c r="AG652" s="521">
        <v>960</v>
      </c>
      <c r="AH652" s="521">
        <f t="shared" si="201"/>
        <v>0</v>
      </c>
      <c r="AI652" s="521"/>
      <c r="AJ652" s="521"/>
      <c r="AK652" s="543"/>
      <c r="AL652" s="543">
        <f t="shared" si="202"/>
        <v>960</v>
      </c>
      <c r="AM652" s="427"/>
      <c r="AN652" s="543"/>
      <c r="AO652" s="427"/>
      <c r="AP652" s="543">
        <f>I652</f>
        <v>960</v>
      </c>
      <c r="AQ652" s="543"/>
      <c r="AR652" s="543">
        <f t="shared" si="205"/>
        <v>960</v>
      </c>
      <c r="AS652" s="543"/>
      <c r="AT652" s="543">
        <f t="shared" si="206"/>
        <v>960</v>
      </c>
      <c r="AU652" s="546"/>
      <c r="AV652" s="427"/>
      <c r="AW652" s="427"/>
      <c r="AX652" s="427"/>
      <c r="AY652" s="427"/>
      <c r="AZ652" s="543"/>
      <c r="BA652" s="543"/>
      <c r="BB652" s="427"/>
      <c r="BC652" s="427"/>
      <c r="BD652" s="543">
        <f>I652/4</f>
        <v>240</v>
      </c>
      <c r="BE652" s="543"/>
      <c r="BF652" s="427"/>
      <c r="BG652" s="427"/>
      <c r="BH652" s="427"/>
      <c r="BI652" s="427"/>
      <c r="BJ652" s="427"/>
      <c r="BK652" s="427"/>
      <c r="BL652" s="427"/>
      <c r="BM652" s="427"/>
      <c r="BN652" s="835"/>
      <c r="BO652" s="427"/>
      <c r="BP652" s="427"/>
      <c r="BQ652" s="427"/>
      <c r="BR652" s="427"/>
      <c r="BS652" s="427"/>
      <c r="BT652" s="427"/>
      <c r="BU652" s="427"/>
      <c r="BV652" s="427"/>
      <c r="BW652" s="427"/>
      <c r="BX652" s="427"/>
      <c r="BY652" s="427"/>
      <c r="BZ652" s="427"/>
      <c r="CA652" s="427"/>
      <c r="CB652" s="427"/>
      <c r="CC652" s="427"/>
      <c r="CD652" s="427"/>
      <c r="CE652" s="427"/>
      <c r="CF652" s="544"/>
      <c r="CG652" s="544"/>
      <c r="CH652" s="544"/>
      <c r="CI652" s="544"/>
      <c r="CJ652" s="544"/>
      <c r="CK652" s="427"/>
      <c r="CL652" s="427"/>
      <c r="CM652" s="427"/>
      <c r="CN652" s="544"/>
      <c r="CO652" s="544"/>
      <c r="CP652" s="544"/>
      <c r="CQ652" s="544"/>
      <c r="CR652" s="544"/>
      <c r="CS652" s="544"/>
    </row>
    <row r="653" s="431" customFormat="1" ht="31" hidden="1" customHeight="1" spans="1:97">
      <c r="A653" s="518">
        <v>45975</v>
      </c>
      <c r="B653" s="519" t="s">
        <v>845</v>
      </c>
      <c r="C653" s="520" t="s">
        <v>271</v>
      </c>
      <c r="D653" s="430">
        <v>4500185790</v>
      </c>
      <c r="E653" s="520">
        <v>4400520724</v>
      </c>
      <c r="F653" s="427" t="s">
        <v>2389</v>
      </c>
      <c r="G653" s="521" t="s">
        <v>148</v>
      </c>
      <c r="H653" s="520" t="s">
        <v>65</v>
      </c>
      <c r="I653" s="520">
        <v>1200</v>
      </c>
      <c r="J653" s="520">
        <v>0</v>
      </c>
      <c r="K653" s="520">
        <v>8</v>
      </c>
      <c r="L653" s="804">
        <f t="shared" si="208"/>
        <v>150</v>
      </c>
      <c r="M653" s="537">
        <v>46022</v>
      </c>
      <c r="N653" s="537">
        <v>46018</v>
      </c>
      <c r="O653" s="526"/>
      <c r="P653" s="526" t="s">
        <v>103</v>
      </c>
      <c r="Q653" s="530"/>
      <c r="R653" s="530">
        <v>45975</v>
      </c>
      <c r="S653" s="533" t="s">
        <v>66</v>
      </c>
      <c r="T653" s="533" t="s">
        <v>149</v>
      </c>
      <c r="U653" s="533"/>
      <c r="V653" s="532"/>
      <c r="W653" s="532" t="s">
        <v>2390</v>
      </c>
      <c r="X653" s="540" t="s">
        <v>1424</v>
      </c>
      <c r="Y653" s="538">
        <v>4.2714</v>
      </c>
      <c r="Z653" s="808">
        <f t="shared" si="207"/>
        <v>5125.68</v>
      </c>
      <c r="AA653" s="521"/>
      <c r="AB653" s="601" t="s">
        <v>2202</v>
      </c>
      <c r="AC653" s="520" t="s">
        <v>76</v>
      </c>
      <c r="AD653" s="521"/>
      <c r="AE653" s="521"/>
      <c r="AF653" s="521">
        <v>1</v>
      </c>
      <c r="AG653" s="521">
        <v>1200</v>
      </c>
      <c r="AH653" s="521">
        <f t="shared" si="201"/>
        <v>0</v>
      </c>
      <c r="AI653" s="521"/>
      <c r="AJ653" s="521"/>
      <c r="AK653" s="543"/>
      <c r="AL653" s="543">
        <f t="shared" si="202"/>
        <v>1200</v>
      </c>
      <c r="AM653" s="427"/>
      <c r="AN653" s="543"/>
      <c r="AO653" s="427"/>
      <c r="AP653" s="543"/>
      <c r="AQ653" s="543">
        <f>I653</f>
        <v>1200</v>
      </c>
      <c r="AR653" s="543">
        <f t="shared" si="205"/>
        <v>1200</v>
      </c>
      <c r="AS653" s="543"/>
      <c r="AT653" s="543">
        <f t="shared" si="206"/>
        <v>1200</v>
      </c>
      <c r="AU653" s="546"/>
      <c r="AV653" s="427"/>
      <c r="AW653" s="427"/>
      <c r="AX653" s="427"/>
      <c r="AY653" s="427"/>
      <c r="AZ653" s="543"/>
      <c r="BA653" s="543"/>
      <c r="BB653" s="427"/>
      <c r="BC653" s="427"/>
      <c r="BD653" s="543"/>
      <c r="BE653" s="543">
        <f>I653/4</f>
        <v>300</v>
      </c>
      <c r="BF653" s="427"/>
      <c r="BG653" s="427"/>
      <c r="BH653" s="427"/>
      <c r="BI653" s="427"/>
      <c r="BJ653" s="427"/>
      <c r="BK653" s="427"/>
      <c r="BL653" s="427"/>
      <c r="BM653" s="427"/>
      <c r="BN653" s="835"/>
      <c r="BO653" s="427"/>
      <c r="BP653" s="427"/>
      <c r="BQ653" s="427"/>
      <c r="BR653" s="427"/>
      <c r="BS653" s="427"/>
      <c r="BT653" s="427"/>
      <c r="BU653" s="427"/>
      <c r="BV653" s="427"/>
      <c r="BW653" s="427"/>
      <c r="BX653" s="427"/>
      <c r="BY653" s="427"/>
      <c r="BZ653" s="427"/>
      <c r="CA653" s="427"/>
      <c r="CB653" s="427"/>
      <c r="CC653" s="427"/>
      <c r="CD653" s="427"/>
      <c r="CE653" s="427"/>
      <c r="CF653" s="544"/>
      <c r="CG653" s="544"/>
      <c r="CH653" s="544"/>
      <c r="CI653" s="544"/>
      <c r="CJ653" s="544"/>
      <c r="CK653" s="427"/>
      <c r="CL653" s="427"/>
      <c r="CM653" s="427"/>
      <c r="CN653" s="544"/>
      <c r="CO653" s="544"/>
      <c r="CP653" s="544"/>
      <c r="CQ653" s="544"/>
      <c r="CR653" s="544"/>
      <c r="CS653" s="544"/>
    </row>
    <row r="654" s="431" customFormat="1" ht="31" hidden="1" customHeight="1" spans="1:97">
      <c r="A654" s="518">
        <v>45978</v>
      </c>
      <c r="B654" s="519" t="s">
        <v>1492</v>
      </c>
      <c r="C654" s="520" t="s">
        <v>249</v>
      </c>
      <c r="D654" s="427">
        <v>4500185868</v>
      </c>
      <c r="E654" s="520">
        <v>4400518294</v>
      </c>
      <c r="F654" s="427" t="s">
        <v>2391</v>
      </c>
      <c r="G654" s="521" t="s">
        <v>148</v>
      </c>
      <c r="H654" s="520" t="s">
        <v>65</v>
      </c>
      <c r="I654" s="520">
        <v>4504</v>
      </c>
      <c r="J654" s="520">
        <v>0</v>
      </c>
      <c r="K654" s="520">
        <v>8</v>
      </c>
      <c r="L654" s="804">
        <f t="shared" si="208"/>
        <v>563</v>
      </c>
      <c r="M654" s="537">
        <v>46027</v>
      </c>
      <c r="N654" s="537">
        <v>46023</v>
      </c>
      <c r="O654" s="526"/>
      <c r="P654" s="526" t="s">
        <v>103</v>
      </c>
      <c r="Q654" s="530"/>
      <c r="R654" s="530">
        <v>45987</v>
      </c>
      <c r="S654" s="533" t="s">
        <v>66</v>
      </c>
      <c r="T654" s="533" t="s">
        <v>149</v>
      </c>
      <c r="U654" s="533"/>
      <c r="V654" s="532"/>
      <c r="W654" s="532" t="s">
        <v>2392</v>
      </c>
      <c r="X654" s="540" t="s">
        <v>1424</v>
      </c>
      <c r="Y654" s="538">
        <v>4.2174</v>
      </c>
      <c r="Z654" s="808">
        <f t="shared" si="207"/>
        <v>18995.1696</v>
      </c>
      <c r="AA654" s="521"/>
      <c r="AB654" s="601" t="s">
        <v>2202</v>
      </c>
      <c r="AC654" s="520" t="s">
        <v>76</v>
      </c>
      <c r="AD654" s="521"/>
      <c r="AE654" s="521"/>
      <c r="AF654" s="521">
        <v>1</v>
      </c>
      <c r="AG654" s="521">
        <f>4472+32</f>
        <v>4504</v>
      </c>
      <c r="AH654" s="521">
        <f t="shared" si="201"/>
        <v>0</v>
      </c>
      <c r="AI654" s="521"/>
      <c r="AJ654" s="521"/>
      <c r="AK654" s="543"/>
      <c r="AL654" s="543">
        <f t="shared" si="202"/>
        <v>4504</v>
      </c>
      <c r="AM654" s="427"/>
      <c r="AN654" s="543"/>
      <c r="AO654" s="427"/>
      <c r="AP654" s="543"/>
      <c r="AQ654" s="543">
        <f>I654</f>
        <v>4504</v>
      </c>
      <c r="AR654" s="543">
        <f t="shared" si="205"/>
        <v>4504</v>
      </c>
      <c r="AS654" s="543"/>
      <c r="AT654" s="543">
        <f t="shared" si="206"/>
        <v>4504</v>
      </c>
      <c r="AU654" s="546"/>
      <c r="AV654" s="427"/>
      <c r="AW654" s="427"/>
      <c r="AX654" s="427"/>
      <c r="AY654" s="427"/>
      <c r="AZ654" s="543"/>
      <c r="BA654" s="543"/>
      <c r="BB654" s="427"/>
      <c r="BC654" s="427"/>
      <c r="BD654" s="543"/>
      <c r="BE654" s="543">
        <f>I654/4</f>
        <v>1126</v>
      </c>
      <c r="BF654" s="427"/>
      <c r="BG654" s="427"/>
      <c r="BH654" s="427"/>
      <c r="BI654" s="427"/>
      <c r="BJ654" s="427"/>
      <c r="BK654" s="427"/>
      <c r="BL654" s="427"/>
      <c r="BM654" s="427"/>
      <c r="BN654" s="835"/>
      <c r="BO654" s="427"/>
      <c r="BP654" s="427"/>
      <c r="BQ654" s="427"/>
      <c r="BR654" s="427"/>
      <c r="BS654" s="427"/>
      <c r="BT654" s="427"/>
      <c r="BU654" s="427"/>
      <c r="BV654" s="427"/>
      <c r="BW654" s="427"/>
      <c r="BX654" s="427"/>
      <c r="BY654" s="427"/>
      <c r="BZ654" s="427"/>
      <c r="CA654" s="427"/>
      <c r="CB654" s="427"/>
      <c r="CC654" s="427"/>
      <c r="CD654" s="427"/>
      <c r="CE654" s="427"/>
      <c r="CF654" s="544"/>
      <c r="CG654" s="544"/>
      <c r="CH654" s="544"/>
      <c r="CI654" s="544"/>
      <c r="CJ654" s="544"/>
      <c r="CK654" s="427"/>
      <c r="CL654" s="427"/>
      <c r="CM654" s="427"/>
      <c r="CN654" s="544"/>
      <c r="CO654" s="544"/>
      <c r="CP654" s="544"/>
      <c r="CQ654" s="544"/>
      <c r="CR654" s="544"/>
      <c r="CS654" s="544"/>
    </row>
    <row r="655" s="431" customFormat="1" ht="31" hidden="1" customHeight="1" spans="1:97">
      <c r="A655" s="518">
        <v>45980</v>
      </c>
      <c r="B655" s="519" t="s">
        <v>2393</v>
      </c>
      <c r="C655" s="520" t="s">
        <v>90</v>
      </c>
      <c r="D655" s="427">
        <v>4500186184</v>
      </c>
      <c r="E655" s="608">
        <v>40799199</v>
      </c>
      <c r="F655" s="427" t="s">
        <v>2394</v>
      </c>
      <c r="G655" s="521" t="s">
        <v>2395</v>
      </c>
      <c r="H655" s="520" t="s">
        <v>2396</v>
      </c>
      <c r="I655" s="608">
        <v>888</v>
      </c>
      <c r="J655" s="520">
        <v>0</v>
      </c>
      <c r="K655" s="520">
        <v>8</v>
      </c>
      <c r="L655" s="804">
        <f t="shared" si="208"/>
        <v>111</v>
      </c>
      <c r="M655" s="537">
        <v>46027</v>
      </c>
      <c r="N655" s="537">
        <v>46023</v>
      </c>
      <c r="O655" s="526"/>
      <c r="P655" s="526" t="s">
        <v>103</v>
      </c>
      <c r="Q655" s="530"/>
      <c r="R655" s="530">
        <v>46001</v>
      </c>
      <c r="S655" s="533" t="s">
        <v>66</v>
      </c>
      <c r="T655" s="533" t="s">
        <v>2397</v>
      </c>
      <c r="U655" s="533"/>
      <c r="V655" s="532"/>
      <c r="W655" s="532" t="s">
        <v>2398</v>
      </c>
      <c r="X655" s="540" t="s">
        <v>242</v>
      </c>
      <c r="Y655" s="538">
        <v>2.5469</v>
      </c>
      <c r="Z655" s="808">
        <f t="shared" si="207"/>
        <v>2261.6472</v>
      </c>
      <c r="AA655" s="521"/>
      <c r="AB655" s="521" t="s">
        <v>2399</v>
      </c>
      <c r="AC655" s="520" t="s">
        <v>76</v>
      </c>
      <c r="AD655" s="521"/>
      <c r="AE655" s="521"/>
      <c r="AF655" s="521" t="s">
        <v>2400</v>
      </c>
      <c r="AG655" s="521">
        <v>888</v>
      </c>
      <c r="AH655" s="521"/>
      <c r="AI655" s="521"/>
      <c r="AJ655" s="521" t="s">
        <v>2191</v>
      </c>
      <c r="AK655" s="543"/>
      <c r="AL655" s="543">
        <f t="shared" si="202"/>
        <v>888</v>
      </c>
      <c r="AM655" s="427"/>
      <c r="AN655" s="543"/>
      <c r="AO655" s="427"/>
      <c r="AP655" s="543"/>
      <c r="AQ655" s="543">
        <f t="shared" ref="AQ653:AQ658" si="209">I655</f>
        <v>888</v>
      </c>
      <c r="AR655" s="543">
        <f t="shared" si="205"/>
        <v>888</v>
      </c>
      <c r="AS655" s="543"/>
      <c r="AT655" s="543">
        <f t="shared" si="206"/>
        <v>888</v>
      </c>
      <c r="AU655" s="546"/>
      <c r="AV655" s="427"/>
      <c r="AW655" s="427"/>
      <c r="AX655" s="427"/>
      <c r="AY655" s="427"/>
      <c r="AZ655" s="543"/>
      <c r="BA655" s="543"/>
      <c r="BB655" s="427"/>
      <c r="BC655" s="427"/>
      <c r="BD655" s="543"/>
      <c r="BE655" s="543"/>
      <c r="BF655" s="427">
        <f>L655</f>
        <v>111</v>
      </c>
      <c r="BG655" s="427"/>
      <c r="BH655" s="427"/>
      <c r="BI655" s="427"/>
      <c r="BJ655" s="427"/>
      <c r="BK655" s="427"/>
      <c r="BL655" s="427"/>
      <c r="BM655" s="427"/>
      <c r="BN655" s="835"/>
      <c r="BO655" s="427"/>
      <c r="BP655" s="427"/>
      <c r="BQ655" s="427"/>
      <c r="BR655" s="427"/>
      <c r="BS655" s="427"/>
      <c r="BT655" s="427"/>
      <c r="BU655" s="427"/>
      <c r="BV655" s="427"/>
      <c r="BW655" s="427"/>
      <c r="BX655" s="427"/>
      <c r="BY655" s="427"/>
      <c r="BZ655" s="427"/>
      <c r="CA655" s="427"/>
      <c r="CB655" s="427"/>
      <c r="CC655" s="427"/>
      <c r="CD655" s="427"/>
      <c r="CE655" s="427"/>
      <c r="CF655" s="544"/>
      <c r="CG655" s="544"/>
      <c r="CH655" s="544"/>
      <c r="CI655" s="544"/>
      <c r="CJ655" s="544"/>
      <c r="CK655" s="427"/>
      <c r="CL655" s="427"/>
      <c r="CM655" s="427"/>
      <c r="CN655" s="544"/>
      <c r="CO655" s="544"/>
      <c r="CP655" s="544"/>
      <c r="CQ655" s="544"/>
      <c r="CR655" s="544"/>
      <c r="CS655" s="544"/>
    </row>
    <row r="656" s="431" customFormat="1" ht="31" hidden="1" customHeight="1" spans="1:97">
      <c r="A656" s="518">
        <v>46001</v>
      </c>
      <c r="B656" s="519" t="s">
        <v>2393</v>
      </c>
      <c r="C656" s="520" t="s">
        <v>90</v>
      </c>
      <c r="D656" s="427">
        <v>4500188579</v>
      </c>
      <c r="E656" s="520">
        <v>40799200</v>
      </c>
      <c r="F656" s="427" t="s">
        <v>2401</v>
      </c>
      <c r="G656" s="521" t="s">
        <v>2395</v>
      </c>
      <c r="H656" s="520" t="s">
        <v>2396</v>
      </c>
      <c r="I656" s="520">
        <v>408</v>
      </c>
      <c r="J656" s="520">
        <v>0</v>
      </c>
      <c r="K656" s="520">
        <v>8</v>
      </c>
      <c r="L656" s="804">
        <f t="shared" si="208"/>
        <v>51</v>
      </c>
      <c r="M656" s="537">
        <v>46027</v>
      </c>
      <c r="N656" s="537">
        <v>46023</v>
      </c>
      <c r="O656" s="844" t="s">
        <v>2402</v>
      </c>
      <c r="P656" s="526" t="s">
        <v>103</v>
      </c>
      <c r="Q656" s="530"/>
      <c r="R656" s="530">
        <v>46001</v>
      </c>
      <c r="S656" s="530" t="s">
        <v>96</v>
      </c>
      <c r="T656" s="533" t="s">
        <v>2403</v>
      </c>
      <c r="U656" s="533"/>
      <c r="V656" s="532"/>
      <c r="W656" s="532" t="s">
        <v>2404</v>
      </c>
      <c r="X656" s="540" t="s">
        <v>242</v>
      </c>
      <c r="Y656" s="538">
        <v>2.55</v>
      </c>
      <c r="Z656" s="808">
        <f t="shared" si="207"/>
        <v>1040.4</v>
      </c>
      <c r="AA656" s="521"/>
      <c r="AB656" s="521" t="s">
        <v>2399</v>
      </c>
      <c r="AC656" s="520" t="s">
        <v>76</v>
      </c>
      <c r="AD656" s="521"/>
      <c r="AE656" s="521"/>
      <c r="AF656" s="521">
        <v>1</v>
      </c>
      <c r="AG656" s="521">
        <v>408</v>
      </c>
      <c r="AH656" s="521"/>
      <c r="AI656" s="521"/>
      <c r="AJ656" s="521" t="s">
        <v>2191</v>
      </c>
      <c r="AK656" s="543"/>
      <c r="AL656" s="543">
        <f t="shared" si="202"/>
        <v>408</v>
      </c>
      <c r="AM656" s="427"/>
      <c r="AN656" s="543"/>
      <c r="AO656" s="427"/>
      <c r="AP656" s="543"/>
      <c r="AQ656" s="543">
        <f t="shared" si="209"/>
        <v>408</v>
      </c>
      <c r="AR656" s="543">
        <f t="shared" si="205"/>
        <v>408</v>
      </c>
      <c r="AS656" s="543"/>
      <c r="AT656" s="543">
        <f t="shared" si="206"/>
        <v>408</v>
      </c>
      <c r="AU656" s="546"/>
      <c r="AV656" s="427"/>
      <c r="AW656" s="427"/>
      <c r="AX656" s="427"/>
      <c r="AY656" s="427"/>
      <c r="AZ656" s="543"/>
      <c r="BA656" s="543"/>
      <c r="BB656" s="427"/>
      <c r="BC656" s="427"/>
      <c r="BD656" s="543"/>
      <c r="BE656" s="543"/>
      <c r="BF656" s="427">
        <f>L656</f>
        <v>51</v>
      </c>
      <c r="BG656" s="427"/>
      <c r="BH656" s="427"/>
      <c r="BI656" s="427"/>
      <c r="BJ656" s="427"/>
      <c r="BK656" s="427"/>
      <c r="BL656" s="427"/>
      <c r="BM656" s="427"/>
      <c r="BN656" s="835"/>
      <c r="BO656" s="427"/>
      <c r="BP656" s="427"/>
      <c r="BQ656" s="427"/>
      <c r="BR656" s="427"/>
      <c r="BS656" s="427"/>
      <c r="BT656" s="427"/>
      <c r="BU656" s="427"/>
      <c r="BV656" s="427"/>
      <c r="BW656" s="427"/>
      <c r="BX656" s="427"/>
      <c r="BY656" s="427"/>
      <c r="BZ656" s="427"/>
      <c r="CA656" s="427"/>
      <c r="CB656" s="427"/>
      <c r="CC656" s="427"/>
      <c r="CD656" s="427"/>
      <c r="CE656" s="427"/>
      <c r="CF656" s="544"/>
      <c r="CG656" s="544"/>
      <c r="CH656" s="544"/>
      <c r="CI656" s="544"/>
      <c r="CJ656" s="544"/>
      <c r="CK656" s="427"/>
      <c r="CL656" s="427"/>
      <c r="CM656" s="427"/>
      <c r="CN656" s="544"/>
      <c r="CO656" s="544"/>
      <c r="CP656" s="544"/>
      <c r="CQ656" s="544"/>
      <c r="CR656" s="544"/>
      <c r="CS656" s="544"/>
    </row>
    <row r="657" s="431" customFormat="1" ht="31" hidden="1" customHeight="1" spans="1:97">
      <c r="A657" s="518">
        <v>46001</v>
      </c>
      <c r="B657" s="519" t="s">
        <v>2393</v>
      </c>
      <c r="C657" s="520" t="s">
        <v>90</v>
      </c>
      <c r="D657" s="427">
        <v>4500188596</v>
      </c>
      <c r="E657" s="520">
        <v>40799203</v>
      </c>
      <c r="F657" s="427" t="s">
        <v>2405</v>
      </c>
      <c r="G657" s="521" t="s">
        <v>2395</v>
      </c>
      <c r="H657" s="520" t="s">
        <v>2396</v>
      </c>
      <c r="I657" s="520">
        <v>752</v>
      </c>
      <c r="J657" s="520">
        <v>0</v>
      </c>
      <c r="K657" s="520">
        <v>8</v>
      </c>
      <c r="L657" s="804">
        <f t="shared" si="208"/>
        <v>94</v>
      </c>
      <c r="M657" s="537">
        <v>46027</v>
      </c>
      <c r="N657" s="537">
        <v>46023</v>
      </c>
      <c r="O657" s="844" t="s">
        <v>2402</v>
      </c>
      <c r="P657" s="526" t="s">
        <v>103</v>
      </c>
      <c r="Q657" s="530"/>
      <c r="R657" s="530">
        <v>46001</v>
      </c>
      <c r="S657" s="530" t="s">
        <v>96</v>
      </c>
      <c r="T657" s="533" t="s">
        <v>2403</v>
      </c>
      <c r="U657" s="533"/>
      <c r="V657" s="532"/>
      <c r="W657" s="532" t="s">
        <v>2404</v>
      </c>
      <c r="X657" s="540" t="s">
        <v>242</v>
      </c>
      <c r="Y657" s="538">
        <v>2.55</v>
      </c>
      <c r="Z657" s="808">
        <f t="shared" si="207"/>
        <v>1917.6</v>
      </c>
      <c r="AA657" s="521"/>
      <c r="AB657" s="521" t="s">
        <v>2399</v>
      </c>
      <c r="AC657" s="520" t="s">
        <v>76</v>
      </c>
      <c r="AD657" s="521"/>
      <c r="AE657" s="521"/>
      <c r="AF657" s="521">
        <v>1</v>
      </c>
      <c r="AG657" s="521">
        <v>752</v>
      </c>
      <c r="AH657" s="521"/>
      <c r="AI657" s="521"/>
      <c r="AJ657" s="521" t="s">
        <v>2191</v>
      </c>
      <c r="AK657" s="543"/>
      <c r="AL657" s="543">
        <f t="shared" si="202"/>
        <v>752</v>
      </c>
      <c r="AM657" s="427"/>
      <c r="AN657" s="543"/>
      <c r="AO657" s="427"/>
      <c r="AP657" s="543"/>
      <c r="AQ657" s="543">
        <f t="shared" si="209"/>
        <v>752</v>
      </c>
      <c r="AR657" s="543">
        <f t="shared" si="205"/>
        <v>752</v>
      </c>
      <c r="AS657" s="543"/>
      <c r="AT657" s="543">
        <f t="shared" si="206"/>
        <v>752</v>
      </c>
      <c r="AU657" s="546"/>
      <c r="AV657" s="427"/>
      <c r="AW657" s="427"/>
      <c r="AX657" s="427"/>
      <c r="AY657" s="427"/>
      <c r="AZ657" s="543"/>
      <c r="BA657" s="543"/>
      <c r="BB657" s="427"/>
      <c r="BC657" s="427"/>
      <c r="BD657" s="543"/>
      <c r="BE657" s="543"/>
      <c r="BF657" s="427">
        <f>L657</f>
        <v>94</v>
      </c>
      <c r="BG657" s="427"/>
      <c r="BH657" s="427"/>
      <c r="BI657" s="427"/>
      <c r="BJ657" s="427"/>
      <c r="BK657" s="427"/>
      <c r="BL657" s="427"/>
      <c r="BM657" s="427"/>
      <c r="BN657" s="835"/>
      <c r="BO657" s="427"/>
      <c r="BP657" s="427"/>
      <c r="BQ657" s="427"/>
      <c r="BR657" s="427"/>
      <c r="BS657" s="427"/>
      <c r="BT657" s="427"/>
      <c r="BU657" s="427"/>
      <c r="BV657" s="427"/>
      <c r="BW657" s="427"/>
      <c r="BX657" s="427"/>
      <c r="BY657" s="427"/>
      <c r="BZ657" s="427"/>
      <c r="CA657" s="427"/>
      <c r="CB657" s="427"/>
      <c r="CC657" s="427"/>
      <c r="CD657" s="427"/>
      <c r="CE657" s="427"/>
      <c r="CF657" s="544"/>
      <c r="CG657" s="544"/>
      <c r="CH657" s="544"/>
      <c r="CI657" s="544"/>
      <c r="CJ657" s="544"/>
      <c r="CK657" s="427"/>
      <c r="CL657" s="427"/>
      <c r="CM657" s="427"/>
      <c r="CN657" s="544"/>
      <c r="CO657" s="544"/>
      <c r="CP657" s="544"/>
      <c r="CQ657" s="544"/>
      <c r="CR657" s="544"/>
      <c r="CS657" s="544"/>
    </row>
    <row r="658" s="431" customFormat="1" ht="31" hidden="1" customHeight="1" spans="1:97">
      <c r="A658" s="518">
        <v>45971</v>
      </c>
      <c r="B658" s="519" t="s">
        <v>2406</v>
      </c>
      <c r="C658" s="520" t="s">
        <v>416</v>
      </c>
      <c r="D658" s="427">
        <v>4500185039</v>
      </c>
      <c r="E658" s="520">
        <v>4500157038</v>
      </c>
      <c r="F658" s="427" t="s">
        <v>2407</v>
      </c>
      <c r="G658" s="521" t="s">
        <v>64</v>
      </c>
      <c r="H658" s="520" t="s">
        <v>65</v>
      </c>
      <c r="I658" s="520">
        <v>2400</v>
      </c>
      <c r="J658" s="520">
        <v>0</v>
      </c>
      <c r="K658" s="520">
        <v>12</v>
      </c>
      <c r="L658" s="804">
        <f t="shared" si="208"/>
        <v>200</v>
      </c>
      <c r="M658" s="537">
        <v>46028</v>
      </c>
      <c r="N658" s="537">
        <v>46024</v>
      </c>
      <c r="O658" s="526"/>
      <c r="P658" s="526" t="s">
        <v>103</v>
      </c>
      <c r="Q658" s="530"/>
      <c r="R658" s="530">
        <v>45972</v>
      </c>
      <c r="S658" s="533" t="s">
        <v>66</v>
      </c>
      <c r="T658" s="533" t="s">
        <v>2408</v>
      </c>
      <c r="U658" s="533"/>
      <c r="V658" s="532"/>
      <c r="W658" s="532" t="s">
        <v>2409</v>
      </c>
      <c r="X658" s="540" t="s">
        <v>451</v>
      </c>
      <c r="Y658" s="538">
        <v>4.1569</v>
      </c>
      <c r="Z658" s="808">
        <f t="shared" si="207"/>
        <v>9976.56</v>
      </c>
      <c r="AA658" s="521"/>
      <c r="AB658" s="520" t="s">
        <v>165</v>
      </c>
      <c r="AC658" s="520" t="s">
        <v>76</v>
      </c>
      <c r="AD658" s="521"/>
      <c r="AE658" s="521"/>
      <c r="AF658" s="521">
        <v>1</v>
      </c>
      <c r="AG658" s="521">
        <v>2400</v>
      </c>
      <c r="AH658" s="522">
        <f t="shared" ref="AH658:AH670" si="210">AG658-I658</f>
        <v>0</v>
      </c>
      <c r="AI658" s="521"/>
      <c r="AJ658" s="521"/>
      <c r="AK658" s="543"/>
      <c r="AL658" s="543">
        <f t="shared" si="202"/>
        <v>2400</v>
      </c>
      <c r="AM658" s="427"/>
      <c r="AN658" s="543"/>
      <c r="AO658" s="427"/>
      <c r="AP658" s="543"/>
      <c r="AQ658" s="543">
        <f t="shared" si="209"/>
        <v>2400</v>
      </c>
      <c r="AR658" s="543">
        <f t="shared" si="205"/>
        <v>2400</v>
      </c>
      <c r="AS658" s="543"/>
      <c r="AT658" s="543">
        <f t="shared" si="206"/>
        <v>2400</v>
      </c>
      <c r="AU658" s="546"/>
      <c r="AV658" s="427"/>
      <c r="AW658" s="427"/>
      <c r="AX658" s="427"/>
      <c r="AY658" s="427"/>
      <c r="AZ658" s="543"/>
      <c r="BA658" s="543"/>
      <c r="BB658" s="427"/>
      <c r="BC658" s="427"/>
      <c r="BD658" s="543"/>
      <c r="BE658" s="543"/>
      <c r="BF658" s="427"/>
      <c r="BG658" s="427"/>
      <c r="BH658" s="427"/>
      <c r="BI658" s="427"/>
      <c r="BJ658" s="427"/>
      <c r="BK658" s="427"/>
      <c r="BL658" s="427"/>
      <c r="BM658" s="427"/>
      <c r="BN658" s="835"/>
      <c r="BO658" s="427"/>
      <c r="BP658" s="427"/>
      <c r="BQ658" s="427"/>
      <c r="BR658" s="427"/>
      <c r="BS658" s="427"/>
      <c r="BT658" s="427"/>
      <c r="BU658" s="427"/>
      <c r="BV658" s="427"/>
      <c r="BW658" s="427"/>
      <c r="BX658" s="427"/>
      <c r="BY658" s="427"/>
      <c r="BZ658" s="427"/>
      <c r="CA658" s="427"/>
      <c r="CB658" s="427"/>
      <c r="CC658" s="427"/>
      <c r="CD658" s="427"/>
      <c r="CE658" s="427"/>
      <c r="CF658" s="544"/>
      <c r="CG658" s="544"/>
      <c r="CH658" s="544"/>
      <c r="CI658" s="544"/>
      <c r="CJ658" s="544"/>
      <c r="CK658" s="427"/>
      <c r="CL658" s="427"/>
      <c r="CM658" s="427"/>
      <c r="CN658" s="544"/>
      <c r="CO658" s="544"/>
      <c r="CP658" s="544"/>
      <c r="CQ658" s="544"/>
      <c r="CR658" s="544"/>
      <c r="CS658" s="544"/>
    </row>
    <row r="659" s="431" customFormat="1" ht="31" hidden="1" customHeight="1" spans="1:97">
      <c r="A659" s="518">
        <v>45986</v>
      </c>
      <c r="B659" s="519" t="s">
        <v>543</v>
      </c>
      <c r="C659" s="520" t="s">
        <v>544</v>
      </c>
      <c r="D659" s="427">
        <v>4500186877</v>
      </c>
      <c r="E659" s="520"/>
      <c r="F659" s="427" t="s">
        <v>2410</v>
      </c>
      <c r="G659" s="521" t="s">
        <v>64</v>
      </c>
      <c r="H659" s="520" t="s">
        <v>65</v>
      </c>
      <c r="I659" s="520">
        <v>804</v>
      </c>
      <c r="J659" s="520">
        <v>0</v>
      </c>
      <c r="K659" s="520">
        <v>12</v>
      </c>
      <c r="L659" s="804">
        <f t="shared" si="208"/>
        <v>67</v>
      </c>
      <c r="M659" s="537">
        <v>46028</v>
      </c>
      <c r="N659" s="537">
        <v>46024</v>
      </c>
      <c r="O659" s="526"/>
      <c r="P659" s="526" t="s">
        <v>103</v>
      </c>
      <c r="Q659" s="530"/>
      <c r="R659" s="533">
        <v>45989</v>
      </c>
      <c r="S659" s="533" t="s">
        <v>66</v>
      </c>
      <c r="T659" s="533" t="s">
        <v>2411</v>
      </c>
      <c r="U659" s="533"/>
      <c r="V659" s="532"/>
      <c r="W659" s="531" t="s">
        <v>2412</v>
      </c>
      <c r="X659" s="540" t="s">
        <v>547</v>
      </c>
      <c r="Y659" s="538">
        <v>4.1623</v>
      </c>
      <c r="Z659" s="808">
        <f t="shared" si="207"/>
        <v>3346.4892</v>
      </c>
      <c r="AA659" s="521"/>
      <c r="AB659" s="520" t="s">
        <v>64</v>
      </c>
      <c r="AC659" s="520" t="s">
        <v>76</v>
      </c>
      <c r="AD659" s="521"/>
      <c r="AE659" s="521"/>
      <c r="AF659" s="521">
        <v>1</v>
      </c>
      <c r="AG659" s="521">
        <v>804</v>
      </c>
      <c r="AH659" s="522">
        <f t="shared" si="210"/>
        <v>0</v>
      </c>
      <c r="AI659" s="521"/>
      <c r="AJ659" s="521" t="s">
        <v>2191</v>
      </c>
      <c r="AK659" s="543"/>
      <c r="AL659" s="543">
        <f t="shared" si="202"/>
        <v>804</v>
      </c>
      <c r="AM659" s="543"/>
      <c r="AN659" s="543"/>
      <c r="AO659" s="427"/>
      <c r="AP659" s="543">
        <f>I659</f>
        <v>804</v>
      </c>
      <c r="AQ659" s="543"/>
      <c r="AR659" s="543">
        <f t="shared" si="205"/>
        <v>804</v>
      </c>
      <c r="AS659" s="543"/>
      <c r="AT659" s="543">
        <f t="shared" si="206"/>
        <v>804</v>
      </c>
      <c r="AU659" s="546"/>
      <c r="AV659" s="427"/>
      <c r="AW659" s="427"/>
      <c r="AX659" s="427"/>
      <c r="AY659" s="427"/>
      <c r="AZ659" s="543"/>
      <c r="BA659" s="543"/>
      <c r="BB659" s="427"/>
      <c r="BC659" s="427"/>
      <c r="BD659" s="543"/>
      <c r="BE659" s="543"/>
      <c r="BF659" s="427"/>
      <c r="BG659" s="543"/>
      <c r="BH659" s="543"/>
      <c r="BI659" s="427"/>
      <c r="BJ659" s="427"/>
      <c r="BK659" s="427"/>
      <c r="BL659" s="427"/>
      <c r="BM659" s="427"/>
      <c r="BN659" s="835"/>
      <c r="BO659" s="427"/>
      <c r="BP659" s="427"/>
      <c r="BQ659" s="427"/>
      <c r="BR659" s="427"/>
      <c r="BS659" s="427"/>
      <c r="BT659" s="427"/>
      <c r="BU659" s="427"/>
      <c r="BV659" s="427"/>
      <c r="BW659" s="427"/>
      <c r="BX659" s="427"/>
      <c r="BY659" s="427"/>
      <c r="BZ659" s="427"/>
      <c r="CA659" s="427"/>
      <c r="CB659" s="427"/>
      <c r="CC659" s="427"/>
      <c r="CD659" s="427"/>
      <c r="CE659" s="427"/>
      <c r="CF659" s="544"/>
      <c r="CG659" s="544"/>
      <c r="CH659" s="544"/>
      <c r="CI659" s="544"/>
      <c r="CJ659" s="544"/>
      <c r="CK659" s="427"/>
      <c r="CL659" s="427"/>
      <c r="CM659" s="427"/>
      <c r="CN659" s="544"/>
      <c r="CO659" s="544"/>
      <c r="CP659" s="544"/>
      <c r="CQ659" s="544"/>
      <c r="CR659" s="544"/>
      <c r="CS659" s="544"/>
    </row>
    <row r="660" s="431" customFormat="1" ht="31" hidden="1" customHeight="1" spans="1:97">
      <c r="A660" s="518">
        <v>45987</v>
      </c>
      <c r="B660" s="519" t="s">
        <v>280</v>
      </c>
      <c r="C660" s="520" t="s">
        <v>249</v>
      </c>
      <c r="D660" s="427">
        <v>4500185474</v>
      </c>
      <c r="E660" s="520" t="s">
        <v>2413</v>
      </c>
      <c r="F660" s="427" t="s">
        <v>2414</v>
      </c>
      <c r="G660" s="521" t="s">
        <v>102</v>
      </c>
      <c r="H660" s="520" t="s">
        <v>65</v>
      </c>
      <c r="I660" s="520">
        <v>4000</v>
      </c>
      <c r="J660" s="520">
        <v>0</v>
      </c>
      <c r="K660" s="520">
        <v>16</v>
      </c>
      <c r="L660" s="804">
        <f t="shared" si="208"/>
        <v>250</v>
      </c>
      <c r="M660" s="537">
        <v>46028</v>
      </c>
      <c r="N660" s="537">
        <v>46024</v>
      </c>
      <c r="O660" s="526"/>
      <c r="P660" s="526" t="s">
        <v>103</v>
      </c>
      <c r="Q660" s="530"/>
      <c r="R660" s="533">
        <v>45987</v>
      </c>
      <c r="S660" s="533" t="s">
        <v>66</v>
      </c>
      <c r="T660" s="533" t="s">
        <v>2415</v>
      </c>
      <c r="U660" s="533"/>
      <c r="V660" s="532"/>
      <c r="W660" s="532" t="s">
        <v>2416</v>
      </c>
      <c r="X660" s="540" t="s">
        <v>2036</v>
      </c>
      <c r="Y660" s="538">
        <v>4.2489</v>
      </c>
      <c r="Z660" s="808">
        <f t="shared" si="207"/>
        <v>16995.6</v>
      </c>
      <c r="AA660" s="521"/>
      <c r="AB660" s="521" t="s">
        <v>102</v>
      </c>
      <c r="AC660" s="520" t="s">
        <v>76</v>
      </c>
      <c r="AD660" s="521"/>
      <c r="AE660" s="521"/>
      <c r="AF660" s="521">
        <v>1</v>
      </c>
      <c r="AG660" s="521">
        <v>4000</v>
      </c>
      <c r="AH660" s="522">
        <f t="shared" si="210"/>
        <v>0</v>
      </c>
      <c r="AI660" s="521"/>
      <c r="AJ660" s="521"/>
      <c r="AK660" s="543"/>
      <c r="AL660" s="543">
        <f t="shared" si="202"/>
        <v>4000</v>
      </c>
      <c r="AM660" s="543"/>
      <c r="AN660" s="543"/>
      <c r="AO660" s="427"/>
      <c r="AP660" s="543">
        <f>I660</f>
        <v>4000</v>
      </c>
      <c r="AQ660" s="543"/>
      <c r="AR660" s="543">
        <f t="shared" si="205"/>
        <v>4000</v>
      </c>
      <c r="AS660" s="543"/>
      <c r="AT660" s="543">
        <f t="shared" si="206"/>
        <v>4000</v>
      </c>
      <c r="AU660" s="546"/>
      <c r="AV660" s="427"/>
      <c r="AW660" s="427"/>
      <c r="AX660" s="427"/>
      <c r="AY660" s="427"/>
      <c r="AZ660" s="543"/>
      <c r="BA660" s="543"/>
      <c r="BB660" s="427"/>
      <c r="BC660" s="427"/>
      <c r="BD660" s="543">
        <f>I660/4</f>
        <v>1000</v>
      </c>
      <c r="BE660" s="543"/>
      <c r="BF660" s="427"/>
      <c r="BG660" s="543"/>
      <c r="BH660" s="543"/>
      <c r="BI660" s="427"/>
      <c r="BJ660" s="427"/>
      <c r="BK660" s="427"/>
      <c r="BL660" s="427"/>
      <c r="BM660" s="427"/>
      <c r="BN660" s="835"/>
      <c r="BO660" s="427"/>
      <c r="BP660" s="427"/>
      <c r="BQ660" s="427"/>
      <c r="BR660" s="427"/>
      <c r="BS660" s="427"/>
      <c r="BT660" s="427"/>
      <c r="BU660" s="427"/>
      <c r="BV660" s="427"/>
      <c r="BW660" s="427"/>
      <c r="BX660" s="427"/>
      <c r="BY660" s="427"/>
      <c r="BZ660" s="427"/>
      <c r="CA660" s="427"/>
      <c r="CB660" s="427"/>
      <c r="CC660" s="427"/>
      <c r="CD660" s="427"/>
      <c r="CE660" s="427"/>
      <c r="CF660" s="544"/>
      <c r="CG660" s="544"/>
      <c r="CH660" s="544"/>
      <c r="CI660" s="544"/>
      <c r="CJ660" s="544"/>
      <c r="CK660" s="427"/>
      <c r="CL660" s="427"/>
      <c r="CM660" s="427"/>
      <c r="CN660" s="544"/>
      <c r="CO660" s="544"/>
      <c r="CP660" s="544"/>
      <c r="CQ660" s="544"/>
      <c r="CR660" s="544"/>
      <c r="CS660" s="544"/>
    </row>
    <row r="661" s="431" customFormat="1" ht="31" hidden="1" customHeight="1" spans="1:97">
      <c r="A661" s="518">
        <v>45953</v>
      </c>
      <c r="B661" s="519" t="s">
        <v>2417</v>
      </c>
      <c r="C661" s="520" t="s">
        <v>271</v>
      </c>
      <c r="D661" s="427">
        <v>4500182683</v>
      </c>
      <c r="E661" s="520">
        <v>5200008007</v>
      </c>
      <c r="F661" s="427" t="s">
        <v>2418</v>
      </c>
      <c r="G661" s="521" t="s">
        <v>141</v>
      </c>
      <c r="H661" s="520" t="s">
        <v>94</v>
      </c>
      <c r="I661" s="520">
        <v>3400</v>
      </c>
      <c r="J661" s="520">
        <v>0</v>
      </c>
      <c r="K661" s="520">
        <v>4</v>
      </c>
      <c r="L661" s="804">
        <f t="shared" si="208"/>
        <v>850</v>
      </c>
      <c r="M661" s="537">
        <v>46029</v>
      </c>
      <c r="N661" s="537">
        <v>46025</v>
      </c>
      <c r="O661" s="526"/>
      <c r="P661" s="526" t="s">
        <v>103</v>
      </c>
      <c r="Q661" s="530"/>
      <c r="R661" s="530">
        <v>45960</v>
      </c>
      <c r="S661" s="533" t="s">
        <v>66</v>
      </c>
      <c r="T661" s="533" t="s">
        <v>66</v>
      </c>
      <c r="U661" s="532"/>
      <c r="V661" s="532"/>
      <c r="W661" s="532" t="s">
        <v>2419</v>
      </c>
      <c r="X661" s="540" t="s">
        <v>391</v>
      </c>
      <c r="Y661" s="538">
        <v>4.2946</v>
      </c>
      <c r="Z661" s="808">
        <f t="shared" si="207"/>
        <v>14601.64</v>
      </c>
      <c r="AA661" s="521"/>
      <c r="AB661" s="521" t="s">
        <v>141</v>
      </c>
      <c r="AC661" s="520" t="s">
        <v>76</v>
      </c>
      <c r="AD661" s="521"/>
      <c r="AE661" s="521"/>
      <c r="AF661" s="521">
        <v>1</v>
      </c>
      <c r="AG661" s="521">
        <v>3400</v>
      </c>
      <c r="AH661" s="521">
        <f t="shared" si="210"/>
        <v>0</v>
      </c>
      <c r="AI661" s="521"/>
      <c r="AJ661" s="521"/>
      <c r="AK661" s="543"/>
      <c r="AL661" s="543">
        <f t="shared" si="202"/>
        <v>3400</v>
      </c>
      <c r="AM661" s="628"/>
      <c r="AN661" s="628"/>
      <c r="AO661" s="628"/>
      <c r="AP661" s="543"/>
      <c r="AQ661" s="543">
        <f>I661</f>
        <v>3400</v>
      </c>
      <c r="AR661" s="543">
        <f t="shared" si="205"/>
        <v>3400</v>
      </c>
      <c r="AS661" s="543"/>
      <c r="AT661" s="543">
        <f t="shared" si="206"/>
        <v>3400</v>
      </c>
      <c r="AU661" s="546"/>
      <c r="AV661" s="427"/>
      <c r="AW661" s="427"/>
      <c r="AX661" s="427"/>
      <c r="AY661" s="427"/>
      <c r="AZ661" s="543"/>
      <c r="BA661" s="543"/>
      <c r="BB661" s="427"/>
      <c r="BC661" s="427"/>
      <c r="BD661" s="543"/>
      <c r="BE661" s="543">
        <f>I661/4</f>
        <v>850</v>
      </c>
      <c r="BF661" s="427"/>
      <c r="BG661" s="427"/>
      <c r="BH661" s="427"/>
      <c r="BI661" s="427"/>
      <c r="BJ661" s="427"/>
      <c r="BK661" s="427"/>
      <c r="BL661" s="427"/>
      <c r="BM661" s="427"/>
      <c r="BN661" s="835"/>
      <c r="BO661" s="427"/>
      <c r="BP661" s="427"/>
      <c r="BQ661" s="427"/>
      <c r="BR661" s="427"/>
      <c r="BS661" s="427"/>
      <c r="BT661" s="427"/>
      <c r="BU661" s="427"/>
      <c r="BV661" s="427"/>
      <c r="BW661" s="427"/>
      <c r="BX661" s="427"/>
      <c r="BY661" s="427"/>
      <c r="BZ661" s="427"/>
      <c r="CA661" s="427"/>
      <c r="CB661" s="427"/>
      <c r="CC661" s="427"/>
      <c r="CD661" s="427"/>
      <c r="CE661" s="427"/>
      <c r="CF661" s="544"/>
      <c r="CG661" s="544"/>
      <c r="CH661" s="544"/>
      <c r="CI661" s="544"/>
      <c r="CJ661" s="544"/>
      <c r="CK661" s="427"/>
      <c r="CL661" s="427"/>
      <c r="CM661" s="427"/>
      <c r="CN661" s="544"/>
      <c r="CO661" s="544"/>
      <c r="CP661" s="544"/>
      <c r="CQ661" s="544"/>
      <c r="CR661" s="544"/>
      <c r="CS661" s="544"/>
    </row>
    <row r="662" s="431" customFormat="1" ht="31" hidden="1" customHeight="1" spans="1:97">
      <c r="A662" s="518">
        <v>46013</v>
      </c>
      <c r="B662" s="519" t="s">
        <v>2420</v>
      </c>
      <c r="C662" s="520" t="s">
        <v>2421</v>
      </c>
      <c r="D662" s="427">
        <v>4500189510</v>
      </c>
      <c r="E662" s="520"/>
      <c r="F662" s="427" t="s">
        <v>2422</v>
      </c>
      <c r="G662" s="521" t="s">
        <v>102</v>
      </c>
      <c r="H662" s="520" t="s">
        <v>65</v>
      </c>
      <c r="I662" s="520">
        <v>96</v>
      </c>
      <c r="J662" s="520">
        <v>0</v>
      </c>
      <c r="K662" s="520">
        <v>16</v>
      </c>
      <c r="L662" s="804">
        <f t="shared" si="208"/>
        <v>6</v>
      </c>
      <c r="M662" s="537">
        <v>46006</v>
      </c>
      <c r="N662" s="537">
        <v>46002</v>
      </c>
      <c r="O662" s="526" t="s">
        <v>2423</v>
      </c>
      <c r="P662" s="526" t="s">
        <v>103</v>
      </c>
      <c r="Q662" s="530"/>
      <c r="R662" s="530">
        <v>45973</v>
      </c>
      <c r="S662" s="533" t="s">
        <v>66</v>
      </c>
      <c r="T662" s="533" t="s">
        <v>2424</v>
      </c>
      <c r="U662" s="532"/>
      <c r="V662" s="532"/>
      <c r="W662" s="532" t="s">
        <v>2425</v>
      </c>
      <c r="X662" s="540" t="s">
        <v>2216</v>
      </c>
      <c r="Y662" s="538">
        <v>4.2542</v>
      </c>
      <c r="Z662" s="808">
        <f t="shared" si="207"/>
        <v>408.4032</v>
      </c>
      <c r="AA662" s="521"/>
      <c r="AB662" s="521" t="s">
        <v>102</v>
      </c>
      <c r="AC662" s="520" t="s">
        <v>76</v>
      </c>
      <c r="AD662" s="521"/>
      <c r="AE662" s="521"/>
      <c r="AF662" s="521">
        <v>1</v>
      </c>
      <c r="AG662" s="521"/>
      <c r="AH662" s="521">
        <f t="shared" si="210"/>
        <v>-96</v>
      </c>
      <c r="AI662" s="521"/>
      <c r="AJ662" s="521"/>
      <c r="AK662" s="543"/>
      <c r="AL662" s="543">
        <f t="shared" si="202"/>
        <v>96</v>
      </c>
      <c r="AM662" s="628"/>
      <c r="AN662" s="628"/>
      <c r="AO662" s="628"/>
      <c r="AP662" s="543">
        <f>I662</f>
        <v>96</v>
      </c>
      <c r="AQ662" s="543"/>
      <c r="AR662" s="543">
        <f t="shared" si="205"/>
        <v>96</v>
      </c>
      <c r="AS662" s="543"/>
      <c r="AT662" s="543">
        <f t="shared" si="206"/>
        <v>96</v>
      </c>
      <c r="AU662" s="546"/>
      <c r="AV662" s="427"/>
      <c r="AW662" s="427"/>
      <c r="AX662" s="427"/>
      <c r="AY662" s="427"/>
      <c r="AZ662" s="543"/>
      <c r="BA662" s="543"/>
      <c r="BB662" s="427"/>
      <c r="BC662" s="427"/>
      <c r="BD662" s="543">
        <f>I662/4</f>
        <v>24</v>
      </c>
      <c r="BE662" s="543"/>
      <c r="BF662" s="427"/>
      <c r="BG662" s="427"/>
      <c r="BH662" s="427"/>
      <c r="BI662" s="427"/>
      <c r="BJ662" s="427"/>
      <c r="BK662" s="427"/>
      <c r="BL662" s="427"/>
      <c r="BM662" s="427"/>
      <c r="BN662" s="835"/>
      <c r="BO662" s="427"/>
      <c r="BP662" s="427"/>
      <c r="BQ662" s="427"/>
      <c r="BR662" s="427"/>
      <c r="BS662" s="427"/>
      <c r="BT662" s="427"/>
      <c r="BU662" s="427"/>
      <c r="BV662" s="427"/>
      <c r="BW662" s="427"/>
      <c r="BX662" s="427"/>
      <c r="BY662" s="427"/>
      <c r="BZ662" s="427"/>
      <c r="CA662" s="427"/>
      <c r="CB662" s="427"/>
      <c r="CC662" s="427"/>
      <c r="CD662" s="427"/>
      <c r="CE662" s="427"/>
      <c r="CF662" s="544"/>
      <c r="CG662" s="544"/>
      <c r="CH662" s="544"/>
      <c r="CI662" s="544"/>
      <c r="CJ662" s="544"/>
      <c r="CK662" s="427"/>
      <c r="CL662" s="427"/>
      <c r="CM662" s="427"/>
      <c r="CN662" s="544"/>
      <c r="CO662" s="544"/>
      <c r="CP662" s="544"/>
      <c r="CQ662" s="544"/>
      <c r="CR662" s="544"/>
      <c r="CS662" s="544"/>
    </row>
    <row r="663" s="431" customFormat="1" ht="31" hidden="1" customHeight="1" spans="1:97">
      <c r="A663" s="518">
        <v>45965</v>
      </c>
      <c r="B663" s="519" t="s">
        <v>1105</v>
      </c>
      <c r="C663" s="520" t="s">
        <v>468</v>
      </c>
      <c r="D663" s="427">
        <v>4500184293</v>
      </c>
      <c r="E663" s="520"/>
      <c r="F663" s="427" t="s">
        <v>2426</v>
      </c>
      <c r="G663" s="521" t="s">
        <v>64</v>
      </c>
      <c r="H663" s="520" t="s">
        <v>65</v>
      </c>
      <c r="I663" s="520">
        <v>600</v>
      </c>
      <c r="J663" s="520">
        <v>0</v>
      </c>
      <c r="K663" s="520">
        <v>12</v>
      </c>
      <c r="L663" s="804">
        <f t="shared" si="208"/>
        <v>50</v>
      </c>
      <c r="M663" s="537">
        <v>46007</v>
      </c>
      <c r="N663" s="537">
        <v>46052</v>
      </c>
      <c r="O663" s="526"/>
      <c r="P663" s="526"/>
      <c r="Q663" s="530"/>
      <c r="R663" s="530">
        <v>46026</v>
      </c>
      <c r="S663" s="533" t="s">
        <v>66</v>
      </c>
      <c r="T663" s="533" t="s">
        <v>2427</v>
      </c>
      <c r="U663" s="532"/>
      <c r="V663" s="532"/>
      <c r="W663" s="532" t="s">
        <v>2428</v>
      </c>
      <c r="X663" s="540" t="s">
        <v>304</v>
      </c>
      <c r="Y663" s="538">
        <v>4.1623</v>
      </c>
      <c r="Z663" s="808">
        <f t="shared" si="207"/>
        <v>2497.38</v>
      </c>
      <c r="AA663" s="521"/>
      <c r="AB663" s="521" t="s">
        <v>165</v>
      </c>
      <c r="AC663" s="520" t="s">
        <v>76</v>
      </c>
      <c r="AD663" s="521"/>
      <c r="AE663" s="521"/>
      <c r="AF663" s="521">
        <v>1</v>
      </c>
      <c r="AG663" s="521">
        <v>600</v>
      </c>
      <c r="AH663" s="521">
        <f t="shared" si="210"/>
        <v>0</v>
      </c>
      <c r="AI663" s="521"/>
      <c r="AJ663" s="521"/>
      <c r="AK663" s="543"/>
      <c r="AL663" s="543">
        <f t="shared" si="202"/>
        <v>600</v>
      </c>
      <c r="AM663" s="628"/>
      <c r="AN663" s="628"/>
      <c r="AO663" s="628"/>
      <c r="AP663" s="543"/>
      <c r="AQ663" s="543">
        <f>I663</f>
        <v>600</v>
      </c>
      <c r="AR663" s="543"/>
      <c r="AS663" s="543"/>
      <c r="AT663" s="543">
        <f t="shared" si="206"/>
        <v>600</v>
      </c>
      <c r="AU663" s="546"/>
      <c r="AV663" s="427"/>
      <c r="AW663" s="427"/>
      <c r="AX663" s="427"/>
      <c r="AY663" s="427"/>
      <c r="AZ663" s="543"/>
      <c r="BA663" s="543"/>
      <c r="BB663" s="427"/>
      <c r="BC663" s="427"/>
      <c r="BD663" s="543"/>
      <c r="BE663" s="543"/>
      <c r="BF663" s="427"/>
      <c r="BG663" s="427"/>
      <c r="BH663" s="427"/>
      <c r="BI663" s="427"/>
      <c r="BJ663" s="427"/>
      <c r="BK663" s="427"/>
      <c r="BL663" s="427"/>
      <c r="BM663" s="427"/>
      <c r="BN663" s="835"/>
      <c r="BO663" s="427"/>
      <c r="BP663" s="427"/>
      <c r="BQ663" s="427"/>
      <c r="BR663" s="427"/>
      <c r="BS663" s="427"/>
      <c r="BT663" s="427"/>
      <c r="BU663" s="427"/>
      <c r="BV663" s="427"/>
      <c r="BW663" s="427"/>
      <c r="BX663" s="427"/>
      <c r="BY663" s="427"/>
      <c r="BZ663" s="427"/>
      <c r="CA663" s="427"/>
      <c r="CB663" s="427"/>
      <c r="CC663" s="427"/>
      <c r="CD663" s="427"/>
      <c r="CE663" s="427"/>
      <c r="CF663" s="544"/>
      <c r="CG663" s="544"/>
      <c r="CH663" s="544"/>
      <c r="CI663" s="544"/>
      <c r="CJ663" s="544"/>
      <c r="CK663" s="427"/>
      <c r="CL663" s="427"/>
      <c r="CM663" s="427"/>
      <c r="CN663" s="544"/>
      <c r="CO663" s="544"/>
      <c r="CP663" s="544"/>
      <c r="CQ663" s="544"/>
      <c r="CR663" s="544"/>
      <c r="CS663" s="544"/>
    </row>
    <row r="664" s="431" customFormat="1" ht="31" hidden="1" customHeight="1" spans="1:97">
      <c r="A664" s="518">
        <v>45978</v>
      </c>
      <c r="B664" s="519" t="s">
        <v>1372</v>
      </c>
      <c r="C664" s="520" t="s">
        <v>90</v>
      </c>
      <c r="D664" s="427">
        <v>4500185916</v>
      </c>
      <c r="E664" s="890" t="s">
        <v>2429</v>
      </c>
      <c r="F664" s="427" t="s">
        <v>2430</v>
      </c>
      <c r="G664" s="521" t="s">
        <v>2431</v>
      </c>
      <c r="H664" s="520" t="s">
        <v>744</v>
      </c>
      <c r="I664" s="520">
        <v>5400</v>
      </c>
      <c r="J664" s="520">
        <v>0</v>
      </c>
      <c r="K664" s="520">
        <v>75</v>
      </c>
      <c r="L664" s="804">
        <v>72</v>
      </c>
      <c r="M664" s="537">
        <v>46028</v>
      </c>
      <c r="N664" s="537">
        <v>46024</v>
      </c>
      <c r="O664" s="526"/>
      <c r="P664" s="526" t="s">
        <v>103</v>
      </c>
      <c r="Q664" s="530"/>
      <c r="R664" s="530" t="s">
        <v>2432</v>
      </c>
      <c r="S664" s="533" t="s">
        <v>66</v>
      </c>
      <c r="T664" s="533" t="s">
        <v>66</v>
      </c>
      <c r="U664" s="532"/>
      <c r="V664" s="532"/>
      <c r="W664" s="532" t="s">
        <v>2433</v>
      </c>
      <c r="X664" s="540" t="s">
        <v>821</v>
      </c>
      <c r="Y664" s="538">
        <v>359.3436</v>
      </c>
      <c r="Z664" s="808">
        <v>25872.7392</v>
      </c>
      <c r="AA664" s="521"/>
      <c r="AB664" s="521" t="s">
        <v>1378</v>
      </c>
      <c r="AC664" s="520" t="s">
        <v>76</v>
      </c>
      <c r="AD664" s="521"/>
      <c r="AE664" s="521"/>
      <c r="AF664" s="521">
        <v>1</v>
      </c>
      <c r="AG664" s="521"/>
      <c r="AH664" s="521">
        <f t="shared" si="210"/>
        <v>-5400</v>
      </c>
      <c r="AI664" s="521"/>
      <c r="AJ664" s="521"/>
      <c r="AK664" s="543"/>
      <c r="AL664" s="543"/>
      <c r="AM664" s="628">
        <f>I664</f>
        <v>5400</v>
      </c>
      <c r="AN664" s="628"/>
      <c r="AO664" s="628"/>
      <c r="AP664" s="543"/>
      <c r="AQ664" s="543"/>
      <c r="AR664" s="543"/>
      <c r="AS664" s="543"/>
      <c r="AT664" s="543"/>
      <c r="AU664" s="546"/>
      <c r="AV664" s="427"/>
      <c r="AW664" s="427">
        <f>I664</f>
        <v>5400</v>
      </c>
      <c r="AX664" s="427">
        <f>I664</f>
        <v>5400</v>
      </c>
      <c r="AY664" s="427">
        <f>I664</f>
        <v>5400</v>
      </c>
      <c r="AZ664" s="543"/>
      <c r="BA664" s="543"/>
      <c r="BB664" s="427"/>
      <c r="BC664" s="427"/>
      <c r="BD664" s="543"/>
      <c r="BE664" s="543"/>
      <c r="BF664" s="427"/>
      <c r="BG664" s="427">
        <f>I664</f>
        <v>5400</v>
      </c>
      <c r="BH664" s="427">
        <f>I664/5</f>
        <v>1080</v>
      </c>
      <c r="BI664" s="427"/>
      <c r="BJ664" s="427"/>
      <c r="BK664" s="427"/>
      <c r="BL664" s="427"/>
      <c r="BM664" s="427"/>
      <c r="BN664" s="835"/>
      <c r="BO664" s="427"/>
      <c r="BP664" s="427"/>
      <c r="BQ664" s="427"/>
      <c r="BR664" s="427"/>
      <c r="BS664" s="427"/>
      <c r="BT664" s="427"/>
      <c r="BU664" s="427"/>
      <c r="BV664" s="427"/>
      <c r="BW664" s="427"/>
      <c r="BX664" s="427"/>
      <c r="BY664" s="427"/>
      <c r="BZ664" s="427"/>
      <c r="CA664" s="427"/>
      <c r="CB664" s="427"/>
      <c r="CC664" s="427"/>
      <c r="CD664" s="427"/>
      <c r="CE664" s="427"/>
      <c r="CF664" s="544"/>
      <c r="CG664" s="544"/>
      <c r="CH664" s="544"/>
      <c r="CI664" s="544"/>
      <c r="CJ664" s="544"/>
      <c r="CK664" s="427"/>
      <c r="CL664" s="427"/>
      <c r="CM664" s="427"/>
      <c r="CN664" s="544"/>
      <c r="CO664" s="544"/>
      <c r="CP664" s="544"/>
      <c r="CQ664" s="544"/>
      <c r="CR664" s="544"/>
      <c r="CS664" s="544"/>
    </row>
    <row r="665" s="431" customFormat="1" ht="31" hidden="1" customHeight="1" spans="1:97">
      <c r="A665" s="518">
        <v>45960</v>
      </c>
      <c r="B665" s="519" t="s">
        <v>220</v>
      </c>
      <c r="C665" s="520" t="s">
        <v>90</v>
      </c>
      <c r="D665" s="427">
        <v>4500183692</v>
      </c>
      <c r="E665" s="520" t="s">
        <v>2434</v>
      </c>
      <c r="F665" s="427" t="s">
        <v>2435</v>
      </c>
      <c r="G665" s="521" t="s">
        <v>223</v>
      </c>
      <c r="H665" s="520" t="s">
        <v>224</v>
      </c>
      <c r="I665" s="520">
        <v>5000</v>
      </c>
      <c r="J665" s="520">
        <v>0</v>
      </c>
      <c r="K665" s="520">
        <v>4</v>
      </c>
      <c r="L665" s="804">
        <f t="shared" ref="L664:L710" si="211">I665/K665</f>
        <v>1250</v>
      </c>
      <c r="M665" s="537">
        <v>46030</v>
      </c>
      <c r="N665" s="537">
        <v>46027</v>
      </c>
      <c r="O665" s="526" t="s">
        <v>2105</v>
      </c>
      <c r="P665" s="526" t="s">
        <v>103</v>
      </c>
      <c r="Q665" s="530"/>
      <c r="R665" s="530">
        <v>45999</v>
      </c>
      <c r="S665" s="533" t="s">
        <v>96</v>
      </c>
      <c r="T665" s="533">
        <v>45975</v>
      </c>
      <c r="U665" s="532" t="s">
        <v>2172</v>
      </c>
      <c r="V665" s="532"/>
      <c r="W665" s="532" t="s">
        <v>2176</v>
      </c>
      <c r="X665" s="540" t="s">
        <v>226</v>
      </c>
      <c r="Y665" s="538">
        <v>2.7832</v>
      </c>
      <c r="Z665" s="808">
        <f>Y665*I665</f>
        <v>13916</v>
      </c>
      <c r="AA665" s="521"/>
      <c r="AB665" s="521" t="s">
        <v>223</v>
      </c>
      <c r="AC665" s="520" t="s">
        <v>76</v>
      </c>
      <c r="AD665" s="521"/>
      <c r="AE665" s="521"/>
      <c r="AF665" s="521">
        <v>1</v>
      </c>
      <c r="AG665" s="521">
        <f>4320+680</f>
        <v>5000</v>
      </c>
      <c r="AH665" s="521">
        <f t="shared" si="210"/>
        <v>0</v>
      </c>
      <c r="AI665" s="521"/>
      <c r="AJ665" s="521"/>
      <c r="AK665" s="543"/>
      <c r="AL665" s="543"/>
      <c r="AM665" s="628"/>
      <c r="AN665" s="628">
        <f>I665</f>
        <v>5000</v>
      </c>
      <c r="AO665" s="628"/>
      <c r="AP665" s="543"/>
      <c r="AQ665" s="543"/>
      <c r="AR665" s="543"/>
      <c r="AS665" s="543"/>
      <c r="AT665" s="543">
        <f t="shared" ref="AT664:AT672" si="212">I665</f>
        <v>5000</v>
      </c>
      <c r="AU665" s="546"/>
      <c r="AV665" s="427"/>
      <c r="AW665" s="427"/>
      <c r="AX665" s="427"/>
      <c r="AY665" s="427"/>
      <c r="AZ665" s="543"/>
      <c r="BA665" s="543"/>
      <c r="BB665" s="427">
        <f>I665</f>
        <v>5000</v>
      </c>
      <c r="BC665" s="427">
        <f>I665</f>
        <v>5000</v>
      </c>
      <c r="BD665" s="543">
        <f>I665/4</f>
        <v>1250</v>
      </c>
      <c r="BE665" s="543"/>
      <c r="BF665" s="427"/>
      <c r="BG665" s="427"/>
      <c r="BH665" s="427"/>
      <c r="BI665" s="427"/>
      <c r="BJ665" s="427"/>
      <c r="BK665" s="427"/>
      <c r="BL665" s="427"/>
      <c r="BM665" s="427"/>
      <c r="BN665" s="835"/>
      <c r="BO665" s="427"/>
      <c r="BP665" s="427"/>
      <c r="BQ665" s="427"/>
      <c r="BR665" s="427"/>
      <c r="BS665" s="427"/>
      <c r="BT665" s="427"/>
      <c r="BU665" s="427"/>
      <c r="BV665" s="427"/>
      <c r="BW665" s="427"/>
      <c r="BX665" s="427"/>
      <c r="BY665" s="427"/>
      <c r="BZ665" s="427"/>
      <c r="CA665" s="427"/>
      <c r="CB665" s="427"/>
      <c r="CC665" s="427"/>
      <c r="CD665" s="427"/>
      <c r="CE665" s="427"/>
      <c r="CF665" s="544"/>
      <c r="CG665" s="544"/>
      <c r="CH665" s="544"/>
      <c r="CI665" s="544"/>
      <c r="CJ665" s="544"/>
      <c r="CK665" s="427"/>
      <c r="CL665" s="427"/>
      <c r="CM665" s="427"/>
      <c r="CN665" s="544"/>
      <c r="CO665" s="544"/>
      <c r="CP665" s="544"/>
      <c r="CQ665" s="544"/>
      <c r="CR665" s="544"/>
      <c r="CS665" s="544"/>
    </row>
    <row r="666" s="431" customFormat="1" ht="31" hidden="1" customHeight="1" spans="1:97">
      <c r="A666" s="518">
        <v>45980</v>
      </c>
      <c r="B666" s="519" t="s">
        <v>2436</v>
      </c>
      <c r="C666" s="520" t="s">
        <v>90</v>
      </c>
      <c r="D666" s="427">
        <v>4500186227</v>
      </c>
      <c r="E666" s="520">
        <v>273145</v>
      </c>
      <c r="F666" s="427" t="s">
        <v>2437</v>
      </c>
      <c r="G666" s="521" t="s">
        <v>64</v>
      </c>
      <c r="H666" s="520" t="s">
        <v>65</v>
      </c>
      <c r="I666" s="520">
        <v>3996</v>
      </c>
      <c r="J666" s="520">
        <v>0</v>
      </c>
      <c r="K666" s="520">
        <v>12</v>
      </c>
      <c r="L666" s="804">
        <f t="shared" si="211"/>
        <v>333</v>
      </c>
      <c r="M666" s="537">
        <v>46030</v>
      </c>
      <c r="N666" s="537">
        <v>46027</v>
      </c>
      <c r="O666" s="526" t="s">
        <v>2438</v>
      </c>
      <c r="P666" s="526" t="s">
        <v>103</v>
      </c>
      <c r="Q666" s="530"/>
      <c r="R666" s="530">
        <v>45982</v>
      </c>
      <c r="S666" s="533" t="s">
        <v>96</v>
      </c>
      <c r="T666" s="533" t="s">
        <v>2439</v>
      </c>
      <c r="U666" s="532"/>
      <c r="V666" s="532"/>
      <c r="W666" s="532" t="s">
        <v>2440</v>
      </c>
      <c r="X666" s="540" t="s">
        <v>2441</v>
      </c>
      <c r="Y666" s="538">
        <v>2.5499</v>
      </c>
      <c r="Z666" s="808">
        <f>Y666*I666</f>
        <v>10189.4004</v>
      </c>
      <c r="AA666" s="521"/>
      <c r="AB666" s="521" t="s">
        <v>64</v>
      </c>
      <c r="AC666" s="520" t="s">
        <v>76</v>
      </c>
      <c r="AD666" s="521"/>
      <c r="AE666" s="521"/>
      <c r="AF666" s="521">
        <v>1</v>
      </c>
      <c r="AG666" s="521">
        <f>1008+2988</f>
        <v>3996</v>
      </c>
      <c r="AH666" s="521">
        <f t="shared" si="210"/>
        <v>0</v>
      </c>
      <c r="AI666" s="521"/>
      <c r="AJ666" s="521" t="s">
        <v>403</v>
      </c>
      <c r="AK666" s="543"/>
      <c r="AL666" s="543">
        <f>I666</f>
        <v>3996</v>
      </c>
      <c r="AM666" s="628"/>
      <c r="AN666" s="628"/>
      <c r="AO666" s="628"/>
      <c r="AP666" s="543">
        <f>I666</f>
        <v>3996</v>
      </c>
      <c r="AQ666" s="543"/>
      <c r="AR666" s="543">
        <f>I666</f>
        <v>3996</v>
      </c>
      <c r="AS666" s="543"/>
      <c r="AT666" s="543">
        <f t="shared" si="212"/>
        <v>3996</v>
      </c>
      <c r="AU666" s="546"/>
      <c r="AV666" s="427"/>
      <c r="AW666" s="427"/>
      <c r="AX666" s="427"/>
      <c r="AY666" s="427"/>
      <c r="AZ666" s="543"/>
      <c r="BA666" s="543"/>
      <c r="BB666" s="427"/>
      <c r="BC666" s="427"/>
      <c r="BD666" s="543"/>
      <c r="BE666" s="543"/>
      <c r="BF666" s="427"/>
      <c r="BG666" s="427"/>
      <c r="BH666" s="427"/>
      <c r="BI666" s="427"/>
      <c r="BJ666" s="427"/>
      <c r="BK666" s="427"/>
      <c r="BL666" s="427"/>
      <c r="BM666" s="427"/>
      <c r="BN666" s="835"/>
      <c r="BO666" s="427"/>
      <c r="BP666" s="427"/>
      <c r="BQ666" s="427"/>
      <c r="BR666" s="427"/>
      <c r="BS666" s="427"/>
      <c r="BT666" s="427"/>
      <c r="BU666" s="427"/>
      <c r="BV666" s="427"/>
      <c r="BW666" s="427"/>
      <c r="BX666" s="427"/>
      <c r="BY666" s="427"/>
      <c r="BZ666" s="427"/>
      <c r="CA666" s="427"/>
      <c r="CB666" s="427"/>
      <c r="CC666" s="427"/>
      <c r="CD666" s="427"/>
      <c r="CE666" s="427"/>
      <c r="CF666" s="544"/>
      <c r="CG666" s="544"/>
      <c r="CH666" s="544"/>
      <c r="CI666" s="544"/>
      <c r="CJ666" s="544"/>
      <c r="CK666" s="427"/>
      <c r="CL666" s="427"/>
      <c r="CM666" s="427"/>
      <c r="CN666" s="544"/>
      <c r="CO666" s="544"/>
      <c r="CP666" s="544"/>
      <c r="CQ666" s="544"/>
      <c r="CR666" s="544"/>
      <c r="CS666" s="544"/>
    </row>
    <row r="667" s="431" customFormat="1" ht="31" hidden="1" customHeight="1" spans="1:97">
      <c r="A667" s="518">
        <v>45987</v>
      </c>
      <c r="B667" s="519" t="s">
        <v>190</v>
      </c>
      <c r="C667" s="520" t="s">
        <v>191</v>
      </c>
      <c r="D667" s="427">
        <v>4500187090</v>
      </c>
      <c r="E667" s="520" t="s">
        <v>2442</v>
      </c>
      <c r="F667" s="427" t="s">
        <v>2443</v>
      </c>
      <c r="G667" s="521" t="s">
        <v>102</v>
      </c>
      <c r="H667" s="520" t="s">
        <v>65</v>
      </c>
      <c r="I667" s="520">
        <v>1808</v>
      </c>
      <c r="J667" s="520">
        <v>0</v>
      </c>
      <c r="K667" s="520">
        <v>16</v>
      </c>
      <c r="L667" s="804">
        <f t="shared" si="211"/>
        <v>113</v>
      </c>
      <c r="M667" s="537">
        <v>46030</v>
      </c>
      <c r="N667" s="537">
        <v>46027</v>
      </c>
      <c r="O667" s="526"/>
      <c r="P667" s="526" t="s">
        <v>103</v>
      </c>
      <c r="Q667" s="530"/>
      <c r="R667" s="530">
        <v>45987</v>
      </c>
      <c r="S667" s="533" t="s">
        <v>66</v>
      </c>
      <c r="T667" s="533" t="s">
        <v>2195</v>
      </c>
      <c r="U667" s="532"/>
      <c r="V667" s="532"/>
      <c r="W667" s="532" t="s">
        <v>2444</v>
      </c>
      <c r="X667" s="540" t="s">
        <v>1663</v>
      </c>
      <c r="Y667" s="538">
        <v>4.2114</v>
      </c>
      <c r="Z667" s="808">
        <f>Y667*I667</f>
        <v>7614.2112</v>
      </c>
      <c r="AA667" s="521"/>
      <c r="AB667" s="521" t="s">
        <v>102</v>
      </c>
      <c r="AC667" s="520" t="s">
        <v>76</v>
      </c>
      <c r="AD667" s="521"/>
      <c r="AE667" s="521"/>
      <c r="AF667" s="521">
        <v>1</v>
      </c>
      <c r="AG667" s="521">
        <v>1808</v>
      </c>
      <c r="AH667" s="521">
        <f t="shared" si="210"/>
        <v>0</v>
      </c>
      <c r="AI667" s="521"/>
      <c r="AJ667" s="521"/>
      <c r="AK667" s="543"/>
      <c r="AL667" s="543">
        <f>I667</f>
        <v>1808</v>
      </c>
      <c r="AM667" s="628"/>
      <c r="AN667" s="628"/>
      <c r="AO667" s="628"/>
      <c r="AP667" s="543">
        <f>I667</f>
        <v>1808</v>
      </c>
      <c r="AQ667" s="543"/>
      <c r="AR667" s="543">
        <f>I667</f>
        <v>1808</v>
      </c>
      <c r="AS667" s="543"/>
      <c r="AT667" s="543">
        <f t="shared" si="212"/>
        <v>1808</v>
      </c>
      <c r="AU667" s="546"/>
      <c r="AV667" s="427"/>
      <c r="AW667" s="427"/>
      <c r="AX667" s="427"/>
      <c r="AY667" s="427"/>
      <c r="AZ667" s="543"/>
      <c r="BA667" s="543"/>
      <c r="BB667" s="427"/>
      <c r="BC667" s="427"/>
      <c r="BD667" s="543">
        <f>I667/4</f>
        <v>452</v>
      </c>
      <c r="BE667" s="543"/>
      <c r="BF667" s="427"/>
      <c r="BG667" s="427"/>
      <c r="BH667" s="427"/>
      <c r="BI667" s="427"/>
      <c r="BJ667" s="427"/>
      <c r="BK667" s="427"/>
      <c r="BL667" s="427"/>
      <c r="BM667" s="427"/>
      <c r="BN667" s="835"/>
      <c r="BO667" s="427"/>
      <c r="BP667" s="427"/>
      <c r="BQ667" s="427"/>
      <c r="BR667" s="427"/>
      <c r="BS667" s="427"/>
      <c r="BT667" s="427"/>
      <c r="BU667" s="427"/>
      <c r="BV667" s="427"/>
      <c r="BW667" s="427"/>
      <c r="BX667" s="427"/>
      <c r="BY667" s="427"/>
      <c r="BZ667" s="427"/>
      <c r="CA667" s="427"/>
      <c r="CB667" s="427"/>
      <c r="CC667" s="427"/>
      <c r="CD667" s="427"/>
      <c r="CE667" s="427"/>
      <c r="CF667" s="544"/>
      <c r="CG667" s="544"/>
      <c r="CH667" s="544"/>
      <c r="CI667" s="544"/>
      <c r="CJ667" s="544"/>
      <c r="CK667" s="427"/>
      <c r="CL667" s="427"/>
      <c r="CM667" s="427"/>
      <c r="CN667" s="544"/>
      <c r="CO667" s="544"/>
      <c r="CP667" s="544"/>
      <c r="CQ667" s="544"/>
      <c r="CR667" s="544"/>
      <c r="CS667" s="544"/>
    </row>
    <row r="668" s="431" customFormat="1" ht="31" hidden="1" customHeight="1" spans="1:97">
      <c r="A668" s="518">
        <v>45987</v>
      </c>
      <c r="B668" s="519" t="s">
        <v>190</v>
      </c>
      <c r="C668" s="520" t="s">
        <v>191</v>
      </c>
      <c r="D668" s="427">
        <v>4500187090</v>
      </c>
      <c r="E668" s="520" t="s">
        <v>2442</v>
      </c>
      <c r="F668" s="427" t="s">
        <v>2445</v>
      </c>
      <c r="G668" s="521" t="s">
        <v>463</v>
      </c>
      <c r="H668" s="520" t="s">
        <v>424</v>
      </c>
      <c r="I668" s="520">
        <v>720</v>
      </c>
      <c r="J668" s="520">
        <v>0</v>
      </c>
      <c r="K668" s="520">
        <v>6</v>
      </c>
      <c r="L668" s="804">
        <f t="shared" si="211"/>
        <v>120</v>
      </c>
      <c r="M668" s="537">
        <v>46030</v>
      </c>
      <c r="N668" s="537">
        <v>46027</v>
      </c>
      <c r="O668" s="526"/>
      <c r="P668" s="526" t="s">
        <v>103</v>
      </c>
      <c r="Q668" s="530"/>
      <c r="R668" s="530">
        <v>45987</v>
      </c>
      <c r="S668" s="533" t="s">
        <v>66</v>
      </c>
      <c r="T668" s="533" t="s">
        <v>2446</v>
      </c>
      <c r="U668" s="532"/>
      <c r="V668" s="532"/>
      <c r="W668" s="532" t="s">
        <v>2447</v>
      </c>
      <c r="X668" s="540" t="s">
        <v>1663</v>
      </c>
      <c r="Y668" s="538">
        <v>7.0456</v>
      </c>
      <c r="Z668" s="808">
        <f>Y668*I668</f>
        <v>5072.832</v>
      </c>
      <c r="AA668" s="521"/>
      <c r="AB668" s="521" t="s">
        <v>2069</v>
      </c>
      <c r="AC668" s="520" t="s">
        <v>76</v>
      </c>
      <c r="AD668" s="521"/>
      <c r="AE668" s="521"/>
      <c r="AF668" s="521">
        <v>1</v>
      </c>
      <c r="AG668" s="521">
        <v>720</v>
      </c>
      <c r="AH668" s="521">
        <f t="shared" si="210"/>
        <v>0</v>
      </c>
      <c r="AI668" s="521"/>
      <c r="AJ668" s="521"/>
      <c r="AK668" s="543"/>
      <c r="AL668" s="543">
        <f>I668</f>
        <v>720</v>
      </c>
      <c r="AM668" s="628"/>
      <c r="AN668" s="628"/>
      <c r="AO668" s="628"/>
      <c r="AP668" s="543">
        <f>I668</f>
        <v>720</v>
      </c>
      <c r="AQ668" s="543"/>
      <c r="AR668" s="543"/>
      <c r="AS668" s="543">
        <f>I668</f>
        <v>720</v>
      </c>
      <c r="AT668" s="543">
        <f t="shared" si="212"/>
        <v>720</v>
      </c>
      <c r="AU668" s="546"/>
      <c r="AV668" s="427"/>
      <c r="AW668" s="427"/>
      <c r="AX668" s="427"/>
      <c r="AY668" s="427"/>
      <c r="AZ668" s="543"/>
      <c r="BA668" s="543"/>
      <c r="BB668" s="427"/>
      <c r="BC668" s="427"/>
      <c r="BD668" s="543"/>
      <c r="BE668" s="543"/>
      <c r="BF668" s="427"/>
      <c r="BG668" s="427"/>
      <c r="BH668" s="427"/>
      <c r="BI668" s="427"/>
      <c r="BJ668" s="427">
        <f>I668</f>
        <v>720</v>
      </c>
      <c r="BK668" s="427"/>
      <c r="BL668" s="427"/>
      <c r="BM668" s="427"/>
      <c r="BN668" s="835"/>
      <c r="BO668" s="427"/>
      <c r="BP668" s="427"/>
      <c r="BQ668" s="427"/>
      <c r="BR668" s="427"/>
      <c r="BS668" s="427"/>
      <c r="BT668" s="427"/>
      <c r="BU668" s="427"/>
      <c r="BV668" s="427"/>
      <c r="BW668" s="427"/>
      <c r="BX668" s="427"/>
      <c r="BY668" s="427"/>
      <c r="BZ668" s="427"/>
      <c r="CA668" s="427"/>
      <c r="CB668" s="427"/>
      <c r="CC668" s="427"/>
      <c r="CD668" s="427"/>
      <c r="CE668" s="427"/>
      <c r="CF668" s="544"/>
      <c r="CG668" s="544"/>
      <c r="CH668" s="544"/>
      <c r="CI668" s="544"/>
      <c r="CJ668" s="544"/>
      <c r="CK668" s="427"/>
      <c r="CL668" s="427"/>
      <c r="CM668" s="427"/>
      <c r="CN668" s="544"/>
      <c r="CO668" s="544"/>
      <c r="CP668" s="544"/>
      <c r="CQ668" s="544"/>
      <c r="CR668" s="544"/>
      <c r="CS668" s="544"/>
    </row>
    <row r="669" s="431" customFormat="1" ht="31" hidden="1" customHeight="1" spans="1:97">
      <c r="A669" s="518">
        <v>45946</v>
      </c>
      <c r="B669" s="519" t="s">
        <v>338</v>
      </c>
      <c r="C669" s="520" t="s">
        <v>90</v>
      </c>
      <c r="D669" s="427">
        <v>4500182145</v>
      </c>
      <c r="E669" s="520" t="s">
        <v>2448</v>
      </c>
      <c r="F669" s="427" t="s">
        <v>2449</v>
      </c>
      <c r="G669" s="521" t="s">
        <v>102</v>
      </c>
      <c r="H669" s="520" t="s">
        <v>65</v>
      </c>
      <c r="I669" s="520">
        <v>10400</v>
      </c>
      <c r="J669" s="520">
        <v>0</v>
      </c>
      <c r="K669" s="520">
        <v>16</v>
      </c>
      <c r="L669" s="804">
        <f t="shared" si="211"/>
        <v>650</v>
      </c>
      <c r="M669" s="537">
        <v>46031</v>
      </c>
      <c r="N669" s="537">
        <v>46027</v>
      </c>
      <c r="O669" s="526"/>
      <c r="P669" s="526" t="s">
        <v>103</v>
      </c>
      <c r="Q669" s="530"/>
      <c r="R669" s="530">
        <v>45987</v>
      </c>
      <c r="S669" s="533" t="s">
        <v>66</v>
      </c>
      <c r="T669" s="533" t="s">
        <v>66</v>
      </c>
      <c r="U669" s="532"/>
      <c r="V669" s="532"/>
      <c r="W669" s="532" t="s">
        <v>1651</v>
      </c>
      <c r="X669" s="540" t="s">
        <v>1652</v>
      </c>
      <c r="Y669" s="538">
        <v>2.5262</v>
      </c>
      <c r="Z669" s="808">
        <f t="shared" ref="Z669:Z683" si="213">Y669*I669</f>
        <v>26272.48</v>
      </c>
      <c r="AA669" s="521"/>
      <c r="AB669" s="521" t="s">
        <v>102</v>
      </c>
      <c r="AC669" s="520" t="s">
        <v>76</v>
      </c>
      <c r="AD669" s="521"/>
      <c r="AE669" s="521"/>
      <c r="AF669" s="521">
        <v>1</v>
      </c>
      <c r="AG669" s="521">
        <v>10400</v>
      </c>
      <c r="AH669" s="521">
        <f t="shared" si="210"/>
        <v>0</v>
      </c>
      <c r="AI669" s="521"/>
      <c r="AJ669" s="521"/>
      <c r="AK669" s="543"/>
      <c r="AL669" s="543">
        <f t="shared" ref="AL669:AL685" si="214">I669</f>
        <v>10400</v>
      </c>
      <c r="AM669" s="628"/>
      <c r="AN669" s="628"/>
      <c r="AO669" s="628"/>
      <c r="AP669" s="543">
        <f>I669</f>
        <v>10400</v>
      </c>
      <c r="AQ669" s="543"/>
      <c r="AR669" s="543">
        <f>I669</f>
        <v>10400</v>
      </c>
      <c r="AS669" s="543"/>
      <c r="AT669" s="543">
        <f t="shared" si="212"/>
        <v>10400</v>
      </c>
      <c r="AU669" s="546"/>
      <c r="AV669" s="427"/>
      <c r="AW669" s="427"/>
      <c r="AX669" s="427"/>
      <c r="AY669" s="427"/>
      <c r="AZ669" s="543"/>
      <c r="BA669" s="543"/>
      <c r="BB669" s="427"/>
      <c r="BC669" s="427"/>
      <c r="BD669" s="543">
        <f>I669/4</f>
        <v>2600</v>
      </c>
      <c r="BE669" s="543"/>
      <c r="BF669" s="427"/>
      <c r="BG669" s="427"/>
      <c r="BH669" s="427"/>
      <c r="BI669" s="427"/>
      <c r="BJ669" s="427"/>
      <c r="BK669" s="427"/>
      <c r="BL669" s="427"/>
      <c r="BM669" s="427"/>
      <c r="BN669" s="835"/>
      <c r="BO669" s="427"/>
      <c r="BP669" s="427"/>
      <c r="BQ669" s="427"/>
      <c r="BR669" s="427"/>
      <c r="BS669" s="427"/>
      <c r="BT669" s="427"/>
      <c r="BU669" s="427"/>
      <c r="BV669" s="427"/>
      <c r="BW669" s="427"/>
      <c r="BX669" s="427"/>
      <c r="BY669" s="427"/>
      <c r="BZ669" s="427"/>
      <c r="CA669" s="427"/>
      <c r="CB669" s="427"/>
      <c r="CC669" s="427"/>
      <c r="CD669" s="427"/>
      <c r="CE669" s="427"/>
      <c r="CF669" s="544"/>
      <c r="CG669" s="544"/>
      <c r="CH669" s="544"/>
      <c r="CI669" s="544"/>
      <c r="CJ669" s="544"/>
      <c r="CK669" s="427"/>
      <c r="CL669" s="427"/>
      <c r="CM669" s="427"/>
      <c r="CN669" s="544"/>
      <c r="CO669" s="544"/>
      <c r="CP669" s="544"/>
      <c r="CQ669" s="544"/>
      <c r="CR669" s="544"/>
      <c r="CS669" s="544"/>
    </row>
    <row r="670" s="431" customFormat="1" ht="31" hidden="1" customHeight="1" spans="1:97">
      <c r="A670" s="518">
        <v>45947</v>
      </c>
      <c r="B670" s="519" t="s">
        <v>1837</v>
      </c>
      <c r="C670" s="520" t="s">
        <v>271</v>
      </c>
      <c r="D670" s="427">
        <v>4500182290</v>
      </c>
      <c r="E670" s="520" t="s">
        <v>2450</v>
      </c>
      <c r="F670" s="427" t="s">
        <v>2451</v>
      </c>
      <c r="G670" s="521" t="s">
        <v>463</v>
      </c>
      <c r="H670" s="520" t="s">
        <v>424</v>
      </c>
      <c r="I670" s="520">
        <v>504</v>
      </c>
      <c r="J670" s="520">
        <v>0</v>
      </c>
      <c r="K670" s="520">
        <v>6</v>
      </c>
      <c r="L670" s="804">
        <f t="shared" si="211"/>
        <v>84</v>
      </c>
      <c r="M670" s="537">
        <v>46031</v>
      </c>
      <c r="N670" s="537">
        <v>46027</v>
      </c>
      <c r="O670" s="526"/>
      <c r="P670" s="526" t="s">
        <v>103</v>
      </c>
      <c r="Q670" s="530"/>
      <c r="R670" s="530" t="s">
        <v>1840</v>
      </c>
      <c r="S670" s="533" t="s">
        <v>66</v>
      </c>
      <c r="T670" s="533" t="s">
        <v>2452</v>
      </c>
      <c r="U670" s="532"/>
      <c r="V670" s="532"/>
      <c r="W670" s="532" t="s">
        <v>2453</v>
      </c>
      <c r="X670" s="540" t="s">
        <v>414</v>
      </c>
      <c r="Y670" s="538">
        <v>7.1628</v>
      </c>
      <c r="Z670" s="808">
        <f t="shared" si="213"/>
        <v>3610.0512</v>
      </c>
      <c r="AA670" s="521"/>
      <c r="AB670" s="521" t="s">
        <v>427</v>
      </c>
      <c r="AC670" s="520" t="s">
        <v>76</v>
      </c>
      <c r="AD670" s="521"/>
      <c r="AE670" s="521"/>
      <c r="AF670" s="521">
        <v>1</v>
      </c>
      <c r="AG670" s="521">
        <f>492+12</f>
        <v>504</v>
      </c>
      <c r="AH670" s="521">
        <f t="shared" si="210"/>
        <v>0</v>
      </c>
      <c r="AI670" s="521"/>
      <c r="AJ670" s="521"/>
      <c r="AK670" s="543"/>
      <c r="AL670" s="543">
        <f t="shared" si="214"/>
        <v>504</v>
      </c>
      <c r="AM670" s="628"/>
      <c r="AN670" s="628"/>
      <c r="AO670" s="628"/>
      <c r="AP670" s="543"/>
      <c r="AQ670" s="543">
        <f>I670</f>
        <v>504</v>
      </c>
      <c r="AR670" s="543">
        <f>I670</f>
        <v>504</v>
      </c>
      <c r="AS670" s="543"/>
      <c r="AT670" s="543">
        <f t="shared" si="212"/>
        <v>504</v>
      </c>
      <c r="AU670" s="546"/>
      <c r="AV670" s="427"/>
      <c r="AW670" s="427"/>
      <c r="AX670" s="427"/>
      <c r="AY670" s="427"/>
      <c r="AZ670" s="543"/>
      <c r="BA670" s="543"/>
      <c r="BB670" s="427"/>
      <c r="BC670" s="427"/>
      <c r="BD670" s="543"/>
      <c r="BE670" s="543"/>
      <c r="BF670" s="427"/>
      <c r="BG670" s="427"/>
      <c r="BH670" s="427"/>
      <c r="BI670" s="427"/>
      <c r="BJ670" s="427">
        <f>I670</f>
        <v>504</v>
      </c>
      <c r="BK670" s="427"/>
      <c r="BL670" s="427"/>
      <c r="BM670" s="427"/>
      <c r="BN670" s="835"/>
      <c r="BO670" s="427"/>
      <c r="BP670" s="427"/>
      <c r="BQ670" s="427"/>
      <c r="BR670" s="427"/>
      <c r="BS670" s="427"/>
      <c r="BT670" s="427"/>
      <c r="BU670" s="427"/>
      <c r="BV670" s="427"/>
      <c r="BW670" s="427"/>
      <c r="BX670" s="427"/>
      <c r="BY670" s="427"/>
      <c r="BZ670" s="427"/>
      <c r="CA670" s="427"/>
      <c r="CB670" s="427"/>
      <c r="CC670" s="427"/>
      <c r="CD670" s="427"/>
      <c r="CE670" s="427"/>
      <c r="CF670" s="544"/>
      <c r="CG670" s="544"/>
      <c r="CH670" s="544"/>
      <c r="CI670" s="544"/>
      <c r="CJ670" s="544"/>
      <c r="CK670" s="427"/>
      <c r="CL670" s="427"/>
      <c r="CM670" s="427"/>
      <c r="CN670" s="544"/>
      <c r="CO670" s="544"/>
      <c r="CP670" s="544"/>
      <c r="CQ670" s="544"/>
      <c r="CR670" s="544"/>
      <c r="CS670" s="544"/>
    </row>
    <row r="671" s="431" customFormat="1" ht="31" hidden="1" customHeight="1" spans="1:97">
      <c r="A671" s="518">
        <v>45953</v>
      </c>
      <c r="B671" s="519" t="s">
        <v>1545</v>
      </c>
      <c r="C671" s="520" t="s">
        <v>90</v>
      </c>
      <c r="D671" s="427">
        <v>4500182822</v>
      </c>
      <c r="E671" s="520">
        <v>2052407</v>
      </c>
      <c r="F671" s="427" t="s">
        <v>2454</v>
      </c>
      <c r="G671" s="521" t="s">
        <v>64</v>
      </c>
      <c r="H671" s="520" t="s">
        <v>65</v>
      </c>
      <c r="I671" s="520">
        <v>1128</v>
      </c>
      <c r="J671" s="520">
        <v>0</v>
      </c>
      <c r="K671" s="520">
        <v>12</v>
      </c>
      <c r="L671" s="804">
        <f t="shared" si="211"/>
        <v>94</v>
      </c>
      <c r="M671" s="537">
        <v>46031</v>
      </c>
      <c r="N671" s="537">
        <v>46027</v>
      </c>
      <c r="O671" s="526"/>
      <c r="P671" s="526" t="s">
        <v>103</v>
      </c>
      <c r="Q671" s="530"/>
      <c r="R671" s="530">
        <v>45953</v>
      </c>
      <c r="S671" s="533" t="s">
        <v>66</v>
      </c>
      <c r="T671" s="533" t="s">
        <v>2455</v>
      </c>
      <c r="U671" s="532"/>
      <c r="V671" s="532"/>
      <c r="W671" s="532" t="s">
        <v>2456</v>
      </c>
      <c r="X671" s="540" t="s">
        <v>794</v>
      </c>
      <c r="Y671" s="538">
        <v>2.4874</v>
      </c>
      <c r="Z671" s="808">
        <f t="shared" si="213"/>
        <v>2805.7872</v>
      </c>
      <c r="AA671" s="521"/>
      <c r="AB671" s="521" t="s">
        <v>64</v>
      </c>
      <c r="AC671" s="520" t="s">
        <v>76</v>
      </c>
      <c r="AD671" s="521"/>
      <c r="AE671" s="521"/>
      <c r="AF671" s="521">
        <v>1</v>
      </c>
      <c r="AG671" s="521">
        <v>1128</v>
      </c>
      <c r="AH671" s="521">
        <f t="shared" ref="AH669:AH692" si="215">AG671-I671</f>
        <v>0</v>
      </c>
      <c r="AI671" s="521"/>
      <c r="AJ671" s="521" t="s">
        <v>2191</v>
      </c>
      <c r="AK671" s="543"/>
      <c r="AL671" s="543">
        <f t="shared" si="214"/>
        <v>1128</v>
      </c>
      <c r="AM671" s="628"/>
      <c r="AN671" s="628"/>
      <c r="AO671" s="628"/>
      <c r="AP671" s="543">
        <f>I671</f>
        <v>1128</v>
      </c>
      <c r="AQ671" s="543"/>
      <c r="AR671" s="543">
        <f>I671</f>
        <v>1128</v>
      </c>
      <c r="AS671" s="543"/>
      <c r="AT671" s="543">
        <f t="shared" si="212"/>
        <v>1128</v>
      </c>
      <c r="AU671" s="546"/>
      <c r="AV671" s="427"/>
      <c r="AW671" s="427"/>
      <c r="AX671" s="427"/>
      <c r="AY671" s="427"/>
      <c r="AZ671" s="543"/>
      <c r="BA671" s="543"/>
      <c r="BB671" s="427"/>
      <c r="BC671" s="427"/>
      <c r="BD671" s="543"/>
      <c r="BE671" s="543"/>
      <c r="BF671" s="427"/>
      <c r="BG671" s="427"/>
      <c r="BH671" s="427"/>
      <c r="BI671" s="427"/>
      <c r="BJ671" s="427"/>
      <c r="BK671" s="427"/>
      <c r="BL671" s="427"/>
      <c r="BM671" s="427"/>
      <c r="BN671" s="835"/>
      <c r="BO671" s="427"/>
      <c r="BP671" s="427"/>
      <c r="BQ671" s="427"/>
      <c r="BR671" s="427"/>
      <c r="BS671" s="427"/>
      <c r="BT671" s="427"/>
      <c r="BU671" s="427"/>
      <c r="BV671" s="427"/>
      <c r="BW671" s="427"/>
      <c r="BX671" s="427"/>
      <c r="BY671" s="427"/>
      <c r="BZ671" s="427"/>
      <c r="CA671" s="427"/>
      <c r="CB671" s="427"/>
      <c r="CC671" s="427"/>
      <c r="CD671" s="427"/>
      <c r="CE671" s="427"/>
      <c r="CF671" s="544"/>
      <c r="CG671" s="544"/>
      <c r="CH671" s="544"/>
      <c r="CI671" s="544"/>
      <c r="CJ671" s="544"/>
      <c r="CK671" s="427"/>
      <c r="CL671" s="427"/>
      <c r="CM671" s="427"/>
      <c r="CN671" s="544"/>
      <c r="CO671" s="544"/>
      <c r="CP671" s="544"/>
      <c r="CQ671" s="544"/>
      <c r="CR671" s="544"/>
      <c r="CS671" s="544"/>
    </row>
    <row r="672" s="431" customFormat="1" ht="31" hidden="1" customHeight="1" spans="1:97">
      <c r="A672" s="518">
        <v>45953</v>
      </c>
      <c r="B672" s="519" t="s">
        <v>1545</v>
      </c>
      <c r="C672" s="520" t="s">
        <v>90</v>
      </c>
      <c r="D672" s="427">
        <v>4500182822</v>
      </c>
      <c r="E672" s="520">
        <v>2052408</v>
      </c>
      <c r="F672" s="427" t="s">
        <v>2457</v>
      </c>
      <c r="G672" s="521" t="s">
        <v>64</v>
      </c>
      <c r="H672" s="520" t="s">
        <v>65</v>
      </c>
      <c r="I672" s="520">
        <v>384</v>
      </c>
      <c r="J672" s="520">
        <v>0</v>
      </c>
      <c r="K672" s="520">
        <v>12</v>
      </c>
      <c r="L672" s="804">
        <f t="shared" si="211"/>
        <v>32</v>
      </c>
      <c r="M672" s="537">
        <v>46031</v>
      </c>
      <c r="N672" s="537">
        <v>46027</v>
      </c>
      <c r="O672" s="526"/>
      <c r="P672" s="526" t="s">
        <v>103</v>
      </c>
      <c r="Q672" s="530"/>
      <c r="R672" s="530">
        <v>45953</v>
      </c>
      <c r="S672" s="533" t="s">
        <v>66</v>
      </c>
      <c r="T672" s="533" t="s">
        <v>2455</v>
      </c>
      <c r="U672" s="532"/>
      <c r="V672" s="532"/>
      <c r="W672" s="532" t="s">
        <v>2456</v>
      </c>
      <c r="X672" s="540" t="s">
        <v>794</v>
      </c>
      <c r="Y672" s="538">
        <v>2.4874</v>
      </c>
      <c r="Z672" s="808">
        <f t="shared" si="213"/>
        <v>955.1616</v>
      </c>
      <c r="AA672" s="521"/>
      <c r="AB672" s="521" t="s">
        <v>64</v>
      </c>
      <c r="AC672" s="520" t="s">
        <v>76</v>
      </c>
      <c r="AD672" s="521"/>
      <c r="AE672" s="521"/>
      <c r="AF672" s="521">
        <v>1</v>
      </c>
      <c r="AG672" s="521">
        <v>384</v>
      </c>
      <c r="AH672" s="521">
        <f t="shared" si="215"/>
        <v>0</v>
      </c>
      <c r="AI672" s="521"/>
      <c r="AJ672" s="521" t="s">
        <v>2191</v>
      </c>
      <c r="AK672" s="543"/>
      <c r="AL672" s="543">
        <f t="shared" si="214"/>
        <v>384</v>
      </c>
      <c r="AM672" s="628"/>
      <c r="AN672" s="628"/>
      <c r="AO672" s="628"/>
      <c r="AP672" s="543">
        <f>I672</f>
        <v>384</v>
      </c>
      <c r="AQ672" s="543"/>
      <c r="AR672" s="543">
        <f>I672</f>
        <v>384</v>
      </c>
      <c r="AS672" s="543"/>
      <c r="AT672" s="543">
        <f t="shared" si="212"/>
        <v>384</v>
      </c>
      <c r="AU672" s="546"/>
      <c r="AV672" s="427"/>
      <c r="AW672" s="427"/>
      <c r="AX672" s="427"/>
      <c r="AY672" s="427"/>
      <c r="AZ672" s="543"/>
      <c r="BA672" s="543"/>
      <c r="BB672" s="427"/>
      <c r="BC672" s="427"/>
      <c r="BD672" s="543"/>
      <c r="BE672" s="543"/>
      <c r="BF672" s="427"/>
      <c r="BG672" s="427"/>
      <c r="BH672" s="427"/>
      <c r="BI672" s="427"/>
      <c r="BJ672" s="427"/>
      <c r="BK672" s="427"/>
      <c r="BL672" s="427"/>
      <c r="BM672" s="427"/>
      <c r="BN672" s="835"/>
      <c r="BO672" s="427"/>
      <c r="BP672" s="427"/>
      <c r="BQ672" s="427"/>
      <c r="BR672" s="427"/>
      <c r="BS672" s="427"/>
      <c r="BT672" s="427"/>
      <c r="BU672" s="427"/>
      <c r="BV672" s="427"/>
      <c r="BW672" s="427"/>
      <c r="BX672" s="427"/>
      <c r="BY672" s="427"/>
      <c r="BZ672" s="427"/>
      <c r="CA672" s="427"/>
      <c r="CB672" s="427"/>
      <c r="CC672" s="427"/>
      <c r="CD672" s="427"/>
      <c r="CE672" s="427"/>
      <c r="CF672" s="544"/>
      <c r="CG672" s="544"/>
      <c r="CH672" s="544"/>
      <c r="CI672" s="544"/>
      <c r="CJ672" s="544"/>
      <c r="CK672" s="427"/>
      <c r="CL672" s="427"/>
      <c r="CM672" s="427"/>
      <c r="CN672" s="544"/>
      <c r="CO672" s="544"/>
      <c r="CP672" s="544"/>
      <c r="CQ672" s="544"/>
      <c r="CR672" s="544"/>
      <c r="CS672" s="544"/>
    </row>
    <row r="673" s="431" customFormat="1" ht="31" hidden="1" customHeight="1" spans="1:97">
      <c r="A673" s="518">
        <v>45957</v>
      </c>
      <c r="B673" s="519" t="s">
        <v>2458</v>
      </c>
      <c r="C673" s="520" t="s">
        <v>153</v>
      </c>
      <c r="D673" s="427">
        <v>4500183001</v>
      </c>
      <c r="E673" s="520" t="s">
        <v>2459</v>
      </c>
      <c r="F673" s="427" t="s">
        <v>2460</v>
      </c>
      <c r="G673" s="521" t="s">
        <v>2461</v>
      </c>
      <c r="H673" s="520" t="s">
        <v>2462</v>
      </c>
      <c r="I673" s="520">
        <v>132</v>
      </c>
      <c r="J673" s="520">
        <v>0</v>
      </c>
      <c r="K673" s="520">
        <v>6</v>
      </c>
      <c r="L673" s="804">
        <f t="shared" si="211"/>
        <v>22</v>
      </c>
      <c r="M673" s="537">
        <v>46031</v>
      </c>
      <c r="N673" s="537">
        <v>46027</v>
      </c>
      <c r="O673" s="526"/>
      <c r="P673" s="526" t="s">
        <v>103</v>
      </c>
      <c r="Q673" s="530"/>
      <c r="R673" s="530">
        <v>45995</v>
      </c>
      <c r="S673" s="533" t="s">
        <v>66</v>
      </c>
      <c r="T673" s="533" t="s">
        <v>66</v>
      </c>
      <c r="U673" s="532"/>
      <c r="V673" s="532"/>
      <c r="W673" s="532" t="s">
        <v>2463</v>
      </c>
      <c r="X673" s="540" t="s">
        <v>164</v>
      </c>
      <c r="Y673" s="538">
        <v>7.1628</v>
      </c>
      <c r="Z673" s="808">
        <f t="shared" si="213"/>
        <v>945.4896</v>
      </c>
      <c r="AA673" s="521"/>
      <c r="AB673" s="521" t="s">
        <v>2464</v>
      </c>
      <c r="AC673" s="520" t="s">
        <v>76</v>
      </c>
      <c r="AD673" s="521"/>
      <c r="AE673" s="521"/>
      <c r="AF673" s="521">
        <v>1</v>
      </c>
      <c r="AG673" s="521">
        <v>132</v>
      </c>
      <c r="AH673" s="521">
        <f t="shared" si="215"/>
        <v>0</v>
      </c>
      <c r="AI673" s="521"/>
      <c r="AJ673" s="521" t="s">
        <v>2191</v>
      </c>
      <c r="AK673" s="543"/>
      <c r="AL673" s="543">
        <f t="shared" si="214"/>
        <v>132</v>
      </c>
      <c r="AM673" s="628"/>
      <c r="AN673" s="628"/>
      <c r="AO673" s="628"/>
      <c r="AP673" s="543"/>
      <c r="AQ673" s="543">
        <f t="shared" ref="AQ673:AQ679" si="216">I673</f>
        <v>132</v>
      </c>
      <c r="AR673" s="543">
        <f t="shared" ref="AR673:AR684" si="217">I673</f>
        <v>132</v>
      </c>
      <c r="AS673" s="543"/>
      <c r="AT673" s="543">
        <f t="shared" ref="AT673:AT684" si="218">I673</f>
        <v>132</v>
      </c>
      <c r="AU673" s="546"/>
      <c r="AV673" s="427"/>
      <c r="AW673" s="427"/>
      <c r="AX673" s="427"/>
      <c r="AY673" s="427"/>
      <c r="AZ673" s="543"/>
      <c r="BA673" s="543"/>
      <c r="BB673" s="427"/>
      <c r="BC673" s="427"/>
      <c r="BD673" s="543"/>
      <c r="BE673" s="543"/>
      <c r="BF673" s="427"/>
      <c r="BG673" s="427"/>
      <c r="BH673" s="427"/>
      <c r="BI673" s="427">
        <f t="shared" ref="BI673:BI678" si="219">I673</f>
        <v>132</v>
      </c>
      <c r="BJ673" s="427"/>
      <c r="BK673" s="427"/>
      <c r="BL673" s="427"/>
      <c r="BM673" s="427"/>
      <c r="BN673" s="835"/>
      <c r="BO673" s="427"/>
      <c r="BP673" s="427"/>
      <c r="BQ673" s="427"/>
      <c r="BR673" s="427"/>
      <c r="BS673" s="427"/>
      <c r="BT673" s="427"/>
      <c r="BU673" s="427"/>
      <c r="BV673" s="427"/>
      <c r="BW673" s="427"/>
      <c r="BX673" s="427"/>
      <c r="BY673" s="427"/>
      <c r="BZ673" s="427"/>
      <c r="CA673" s="427"/>
      <c r="CB673" s="427"/>
      <c r="CC673" s="427"/>
      <c r="CD673" s="427"/>
      <c r="CE673" s="427"/>
      <c r="CF673" s="544"/>
      <c r="CG673" s="544"/>
      <c r="CH673" s="544"/>
      <c r="CI673" s="544"/>
      <c r="CJ673" s="544"/>
      <c r="CK673" s="427"/>
      <c r="CL673" s="427"/>
      <c r="CM673" s="427"/>
      <c r="CN673" s="544"/>
      <c r="CO673" s="544"/>
      <c r="CP673" s="544"/>
      <c r="CQ673" s="544"/>
      <c r="CR673" s="544"/>
      <c r="CS673" s="544"/>
    </row>
    <row r="674" s="431" customFormat="1" ht="31" hidden="1" customHeight="1" spans="1:97">
      <c r="A674" s="518">
        <v>45957</v>
      </c>
      <c r="B674" s="519" t="s">
        <v>2458</v>
      </c>
      <c r="C674" s="520" t="s">
        <v>153</v>
      </c>
      <c r="D674" s="427">
        <v>4500183001</v>
      </c>
      <c r="E674" s="520" t="s">
        <v>2459</v>
      </c>
      <c r="F674" s="427" t="s">
        <v>2465</v>
      </c>
      <c r="G674" s="521" t="s">
        <v>2461</v>
      </c>
      <c r="H674" s="520" t="s">
        <v>424</v>
      </c>
      <c r="I674" s="520">
        <v>132</v>
      </c>
      <c r="J674" s="520">
        <v>0</v>
      </c>
      <c r="K674" s="520">
        <v>6</v>
      </c>
      <c r="L674" s="804">
        <f t="shared" si="211"/>
        <v>22</v>
      </c>
      <c r="M674" s="537">
        <v>46031</v>
      </c>
      <c r="N674" s="537">
        <v>46027</v>
      </c>
      <c r="O674" s="526"/>
      <c r="P674" s="526" t="s">
        <v>103</v>
      </c>
      <c r="Q674" s="530"/>
      <c r="R674" s="530">
        <v>45995</v>
      </c>
      <c r="S674" s="533" t="s">
        <v>66</v>
      </c>
      <c r="T674" s="533" t="s">
        <v>66</v>
      </c>
      <c r="U674" s="532"/>
      <c r="V674" s="532"/>
      <c r="W674" s="532" t="s">
        <v>2463</v>
      </c>
      <c r="X674" s="540" t="s">
        <v>164</v>
      </c>
      <c r="Y674" s="538">
        <v>7.1628</v>
      </c>
      <c r="Z674" s="808">
        <f t="shared" si="213"/>
        <v>945.4896</v>
      </c>
      <c r="AA674" s="521"/>
      <c r="AB674" s="521" t="s">
        <v>2464</v>
      </c>
      <c r="AC674" s="520" t="s">
        <v>76</v>
      </c>
      <c r="AD674" s="521"/>
      <c r="AE674" s="521"/>
      <c r="AF674" s="521">
        <v>1</v>
      </c>
      <c r="AG674" s="521">
        <v>132</v>
      </c>
      <c r="AH674" s="521">
        <f t="shared" si="215"/>
        <v>0</v>
      </c>
      <c r="AI674" s="521"/>
      <c r="AJ674" s="521" t="s">
        <v>2191</v>
      </c>
      <c r="AK674" s="543"/>
      <c r="AL674" s="543">
        <f t="shared" si="214"/>
        <v>132</v>
      </c>
      <c r="AM674" s="628"/>
      <c r="AN674" s="628"/>
      <c r="AO674" s="628"/>
      <c r="AP674" s="543"/>
      <c r="AQ674" s="543">
        <f t="shared" si="216"/>
        <v>132</v>
      </c>
      <c r="AR674" s="543">
        <f t="shared" si="217"/>
        <v>132</v>
      </c>
      <c r="AS674" s="543"/>
      <c r="AT674" s="543">
        <f t="shared" si="218"/>
        <v>132</v>
      </c>
      <c r="AU674" s="546"/>
      <c r="AV674" s="427"/>
      <c r="AW674" s="427"/>
      <c r="AX674" s="427"/>
      <c r="AY674" s="427"/>
      <c r="AZ674" s="543"/>
      <c r="BA674" s="543"/>
      <c r="BB674" s="427"/>
      <c r="BC674" s="427"/>
      <c r="BD674" s="543"/>
      <c r="BE674" s="543"/>
      <c r="BF674" s="427"/>
      <c r="BG674" s="427"/>
      <c r="BH674" s="427"/>
      <c r="BI674" s="427">
        <f t="shared" si="219"/>
        <v>132</v>
      </c>
      <c r="BJ674" s="427"/>
      <c r="BK674" s="427"/>
      <c r="BL674" s="427"/>
      <c r="BM674" s="427"/>
      <c r="BN674" s="835"/>
      <c r="BO674" s="427"/>
      <c r="BP674" s="427"/>
      <c r="BQ674" s="427"/>
      <c r="BR674" s="427"/>
      <c r="BS674" s="427"/>
      <c r="BT674" s="427"/>
      <c r="BU674" s="427"/>
      <c r="BV674" s="427"/>
      <c r="BW674" s="427"/>
      <c r="BX674" s="427"/>
      <c r="BY674" s="427"/>
      <c r="BZ674" s="427"/>
      <c r="CA674" s="427"/>
      <c r="CB674" s="427"/>
      <c r="CC674" s="427"/>
      <c r="CD674" s="427"/>
      <c r="CE674" s="427"/>
      <c r="CF674" s="544"/>
      <c r="CG674" s="544"/>
      <c r="CH674" s="544"/>
      <c r="CI674" s="544"/>
      <c r="CJ674" s="544"/>
      <c r="CK674" s="427"/>
      <c r="CL674" s="427"/>
      <c r="CM674" s="427"/>
      <c r="CN674" s="544"/>
      <c r="CO674" s="544"/>
      <c r="CP674" s="544"/>
      <c r="CQ674" s="544"/>
      <c r="CR674" s="544"/>
      <c r="CS674" s="544"/>
    </row>
    <row r="675" s="431" customFormat="1" ht="31" hidden="1" customHeight="1" spans="1:97">
      <c r="A675" s="518">
        <v>45957</v>
      </c>
      <c r="B675" s="519" t="s">
        <v>2466</v>
      </c>
      <c r="C675" s="520" t="s">
        <v>153</v>
      </c>
      <c r="D675" s="427">
        <v>4500183043</v>
      </c>
      <c r="E675" s="520" t="s">
        <v>2467</v>
      </c>
      <c r="F675" s="427" t="s">
        <v>2468</v>
      </c>
      <c r="G675" s="521" t="s">
        <v>2461</v>
      </c>
      <c r="H675" s="520" t="s">
        <v>424</v>
      </c>
      <c r="I675" s="520">
        <v>720</v>
      </c>
      <c r="J675" s="520">
        <v>0</v>
      </c>
      <c r="K675" s="520">
        <v>6</v>
      </c>
      <c r="L675" s="804">
        <f t="shared" si="211"/>
        <v>120</v>
      </c>
      <c r="M675" s="537">
        <v>46031</v>
      </c>
      <c r="N675" s="537">
        <v>46027</v>
      </c>
      <c r="O675" s="526"/>
      <c r="P675" s="526" t="s">
        <v>103</v>
      </c>
      <c r="Q675" s="530"/>
      <c r="R675" s="530">
        <v>45995</v>
      </c>
      <c r="S675" s="533" t="s">
        <v>66</v>
      </c>
      <c r="T675" s="533" t="s">
        <v>66</v>
      </c>
      <c r="U675" s="532"/>
      <c r="V675" s="532"/>
      <c r="W675" s="532" t="s">
        <v>2469</v>
      </c>
      <c r="X675" s="540" t="s">
        <v>164</v>
      </c>
      <c r="Y675" s="538">
        <v>7.1628</v>
      </c>
      <c r="Z675" s="808">
        <f t="shared" si="213"/>
        <v>5157.216</v>
      </c>
      <c r="AA675" s="521"/>
      <c r="AB675" s="521" t="s">
        <v>2464</v>
      </c>
      <c r="AC675" s="520" t="s">
        <v>76</v>
      </c>
      <c r="AD675" s="521"/>
      <c r="AE675" s="521"/>
      <c r="AF675" s="521">
        <v>1</v>
      </c>
      <c r="AG675" s="521">
        <v>720</v>
      </c>
      <c r="AH675" s="521">
        <f t="shared" si="215"/>
        <v>0</v>
      </c>
      <c r="AI675" s="521"/>
      <c r="AJ675" s="521"/>
      <c r="AK675" s="543"/>
      <c r="AL675" s="543">
        <f t="shared" si="214"/>
        <v>720</v>
      </c>
      <c r="AM675" s="628"/>
      <c r="AN675" s="628"/>
      <c r="AO675" s="628"/>
      <c r="AP675" s="543"/>
      <c r="AQ675" s="543">
        <f t="shared" si="216"/>
        <v>720</v>
      </c>
      <c r="AR675" s="543">
        <f t="shared" si="217"/>
        <v>720</v>
      </c>
      <c r="AS675" s="543"/>
      <c r="AT675" s="543">
        <f t="shared" si="218"/>
        <v>720</v>
      </c>
      <c r="AU675" s="546"/>
      <c r="AV675" s="427"/>
      <c r="AW675" s="427"/>
      <c r="AX675" s="427"/>
      <c r="AY675" s="427"/>
      <c r="AZ675" s="543"/>
      <c r="BA675" s="543"/>
      <c r="BB675" s="427"/>
      <c r="BC675" s="427"/>
      <c r="BD675" s="543"/>
      <c r="BE675" s="543"/>
      <c r="BF675" s="427"/>
      <c r="BG675" s="427"/>
      <c r="BH675" s="427"/>
      <c r="BI675" s="427">
        <f t="shared" si="219"/>
        <v>720</v>
      </c>
      <c r="BJ675" s="427"/>
      <c r="BK675" s="427"/>
      <c r="BL675" s="427"/>
      <c r="BM675" s="427"/>
      <c r="BN675" s="835"/>
      <c r="BO675" s="427"/>
      <c r="BP675" s="427"/>
      <c r="BQ675" s="427"/>
      <c r="BR675" s="427"/>
      <c r="BS675" s="427"/>
      <c r="BT675" s="427"/>
      <c r="BU675" s="427"/>
      <c r="BV675" s="427"/>
      <c r="BW675" s="427"/>
      <c r="BX675" s="427"/>
      <c r="BY675" s="427"/>
      <c r="BZ675" s="427"/>
      <c r="CA675" s="427"/>
      <c r="CB675" s="427"/>
      <c r="CC675" s="427"/>
      <c r="CD675" s="427"/>
      <c r="CE675" s="427"/>
      <c r="CF675" s="544"/>
      <c r="CG675" s="544"/>
      <c r="CH675" s="544"/>
      <c r="CI675" s="544"/>
      <c r="CJ675" s="544"/>
      <c r="CK675" s="427"/>
      <c r="CL675" s="427"/>
      <c r="CM675" s="427"/>
      <c r="CN675" s="544"/>
      <c r="CO675" s="544"/>
      <c r="CP675" s="544"/>
      <c r="CQ675" s="544"/>
      <c r="CR675" s="544"/>
      <c r="CS675" s="544"/>
    </row>
    <row r="676" s="431" customFormat="1" ht="31" hidden="1" customHeight="1" spans="1:97">
      <c r="A676" s="518">
        <v>45957</v>
      </c>
      <c r="B676" s="519" t="s">
        <v>2458</v>
      </c>
      <c r="C676" s="520" t="s">
        <v>153</v>
      </c>
      <c r="D676" s="427">
        <v>4500183051</v>
      </c>
      <c r="E676" s="520" t="s">
        <v>2470</v>
      </c>
      <c r="F676" s="427" t="s">
        <v>2471</v>
      </c>
      <c r="G676" s="521" t="s">
        <v>2461</v>
      </c>
      <c r="H676" s="520" t="s">
        <v>424</v>
      </c>
      <c r="I676" s="520">
        <v>180</v>
      </c>
      <c r="J676" s="520">
        <v>0</v>
      </c>
      <c r="K676" s="520">
        <v>6</v>
      </c>
      <c r="L676" s="804">
        <f t="shared" si="211"/>
        <v>30</v>
      </c>
      <c r="M676" s="537">
        <v>46031</v>
      </c>
      <c r="N676" s="537">
        <v>46027</v>
      </c>
      <c r="O676" s="526"/>
      <c r="P676" s="526" t="s">
        <v>103</v>
      </c>
      <c r="Q676" s="530"/>
      <c r="R676" s="530">
        <v>45995</v>
      </c>
      <c r="S676" s="533" t="s">
        <v>66</v>
      </c>
      <c r="T676" s="533" t="s">
        <v>66</v>
      </c>
      <c r="U676" s="532"/>
      <c r="V676" s="532"/>
      <c r="W676" s="532" t="s">
        <v>2469</v>
      </c>
      <c r="X676" s="540" t="s">
        <v>164</v>
      </c>
      <c r="Y676" s="538">
        <v>6.8326</v>
      </c>
      <c r="Z676" s="808">
        <f t="shared" si="213"/>
        <v>1229.868</v>
      </c>
      <c r="AA676" s="521"/>
      <c r="AB676" s="521" t="s">
        <v>2464</v>
      </c>
      <c r="AC676" s="520" t="s">
        <v>76</v>
      </c>
      <c r="AD676" s="521"/>
      <c r="AE676" s="521"/>
      <c r="AF676" s="521">
        <v>1</v>
      </c>
      <c r="AG676" s="521">
        <v>180</v>
      </c>
      <c r="AH676" s="521">
        <f t="shared" si="215"/>
        <v>0</v>
      </c>
      <c r="AI676" s="521"/>
      <c r="AJ676" s="521"/>
      <c r="AK676" s="543"/>
      <c r="AL676" s="543">
        <f t="shared" si="214"/>
        <v>180</v>
      </c>
      <c r="AM676" s="628"/>
      <c r="AN676" s="628"/>
      <c r="AO676" s="628"/>
      <c r="AP676" s="543"/>
      <c r="AQ676" s="543">
        <f t="shared" si="216"/>
        <v>180</v>
      </c>
      <c r="AR676" s="543">
        <f t="shared" si="217"/>
        <v>180</v>
      </c>
      <c r="AS676" s="543"/>
      <c r="AT676" s="543">
        <f t="shared" si="218"/>
        <v>180</v>
      </c>
      <c r="AU676" s="546"/>
      <c r="AV676" s="427"/>
      <c r="AW676" s="427"/>
      <c r="AX676" s="427"/>
      <c r="AY676" s="427"/>
      <c r="AZ676" s="543"/>
      <c r="BA676" s="543"/>
      <c r="BB676" s="427"/>
      <c r="BC676" s="427"/>
      <c r="BD676" s="543"/>
      <c r="BE676" s="543"/>
      <c r="BF676" s="427"/>
      <c r="BG676" s="427"/>
      <c r="BH676" s="427"/>
      <c r="BI676" s="427">
        <f t="shared" si="219"/>
        <v>180</v>
      </c>
      <c r="BJ676" s="427"/>
      <c r="BK676" s="427"/>
      <c r="BL676" s="427"/>
      <c r="BM676" s="427"/>
      <c r="BN676" s="835"/>
      <c r="BO676" s="427"/>
      <c r="BP676" s="427"/>
      <c r="BQ676" s="427"/>
      <c r="BR676" s="427"/>
      <c r="BS676" s="427"/>
      <c r="BT676" s="427"/>
      <c r="BU676" s="427"/>
      <c r="BV676" s="427"/>
      <c r="BW676" s="427"/>
      <c r="BX676" s="427"/>
      <c r="BY676" s="427"/>
      <c r="BZ676" s="427"/>
      <c r="CA676" s="427"/>
      <c r="CB676" s="427"/>
      <c r="CC676" s="427"/>
      <c r="CD676" s="427"/>
      <c r="CE676" s="427"/>
      <c r="CF676" s="544"/>
      <c r="CG676" s="544"/>
      <c r="CH676" s="544"/>
      <c r="CI676" s="544"/>
      <c r="CJ676" s="544"/>
      <c r="CK676" s="427"/>
      <c r="CL676" s="427"/>
      <c r="CM676" s="427"/>
      <c r="CN676" s="544"/>
      <c r="CO676" s="544"/>
      <c r="CP676" s="544"/>
      <c r="CQ676" s="544"/>
      <c r="CR676" s="544"/>
      <c r="CS676" s="544"/>
    </row>
    <row r="677" s="431" customFormat="1" ht="31" hidden="1" customHeight="1" spans="1:97">
      <c r="A677" s="518">
        <v>45957</v>
      </c>
      <c r="B677" s="519" t="s">
        <v>2458</v>
      </c>
      <c r="C677" s="520" t="s">
        <v>153</v>
      </c>
      <c r="D677" s="427">
        <v>4500183051</v>
      </c>
      <c r="E677" s="520" t="s">
        <v>2470</v>
      </c>
      <c r="F677" s="427" t="s">
        <v>2472</v>
      </c>
      <c r="G677" s="521" t="s">
        <v>2461</v>
      </c>
      <c r="H677" s="520" t="s">
        <v>424</v>
      </c>
      <c r="I677" s="520">
        <v>720</v>
      </c>
      <c r="J677" s="520">
        <v>0</v>
      </c>
      <c r="K677" s="520">
        <v>6</v>
      </c>
      <c r="L677" s="804">
        <f t="shared" si="211"/>
        <v>120</v>
      </c>
      <c r="M677" s="537">
        <v>46031</v>
      </c>
      <c r="N677" s="537">
        <v>46027</v>
      </c>
      <c r="O677" s="526"/>
      <c r="P677" s="526" t="s">
        <v>103</v>
      </c>
      <c r="Q677" s="530"/>
      <c r="R677" s="530">
        <v>45995</v>
      </c>
      <c r="S677" s="533" t="s">
        <v>66</v>
      </c>
      <c r="T677" s="533" t="s">
        <v>66</v>
      </c>
      <c r="U677" s="532"/>
      <c r="V677" s="532"/>
      <c r="W677" s="532" t="s">
        <v>2469</v>
      </c>
      <c r="X677" s="540" t="s">
        <v>164</v>
      </c>
      <c r="Y677" s="538">
        <v>6.8326</v>
      </c>
      <c r="Z677" s="808">
        <f t="shared" si="213"/>
        <v>4919.472</v>
      </c>
      <c r="AA677" s="521"/>
      <c r="AB677" s="521" t="s">
        <v>2464</v>
      </c>
      <c r="AC677" s="520" t="s">
        <v>76</v>
      </c>
      <c r="AD677" s="521"/>
      <c r="AE677" s="521"/>
      <c r="AF677" s="521">
        <v>1</v>
      </c>
      <c r="AG677" s="521">
        <f>708+12</f>
        <v>720</v>
      </c>
      <c r="AH677" s="521">
        <f t="shared" si="215"/>
        <v>0</v>
      </c>
      <c r="AI677" s="521"/>
      <c r="AJ677" s="521"/>
      <c r="AK677" s="543"/>
      <c r="AL677" s="543">
        <f t="shared" si="214"/>
        <v>720</v>
      </c>
      <c r="AM677" s="628"/>
      <c r="AN677" s="628"/>
      <c r="AO677" s="628"/>
      <c r="AP677" s="543"/>
      <c r="AQ677" s="543">
        <f t="shared" si="216"/>
        <v>720</v>
      </c>
      <c r="AR677" s="543">
        <f t="shared" si="217"/>
        <v>720</v>
      </c>
      <c r="AS677" s="543"/>
      <c r="AT677" s="543">
        <f t="shared" si="218"/>
        <v>720</v>
      </c>
      <c r="AU677" s="546"/>
      <c r="AV677" s="427"/>
      <c r="AW677" s="427"/>
      <c r="AX677" s="427"/>
      <c r="AY677" s="427"/>
      <c r="AZ677" s="543"/>
      <c r="BA677" s="543"/>
      <c r="BB677" s="427"/>
      <c r="BC677" s="427"/>
      <c r="BD677" s="543"/>
      <c r="BE677" s="543"/>
      <c r="BF677" s="427"/>
      <c r="BG677" s="427"/>
      <c r="BH677" s="427"/>
      <c r="BI677" s="427">
        <f t="shared" si="219"/>
        <v>720</v>
      </c>
      <c r="BJ677" s="427"/>
      <c r="BK677" s="427"/>
      <c r="BL677" s="427"/>
      <c r="BM677" s="427"/>
      <c r="BN677" s="835"/>
      <c r="BO677" s="427"/>
      <c r="BP677" s="427"/>
      <c r="BQ677" s="427"/>
      <c r="BR677" s="427"/>
      <c r="BS677" s="427"/>
      <c r="BT677" s="427"/>
      <c r="BU677" s="427"/>
      <c r="BV677" s="427"/>
      <c r="BW677" s="427"/>
      <c r="BX677" s="427"/>
      <c r="BY677" s="427"/>
      <c r="BZ677" s="427"/>
      <c r="CA677" s="427"/>
      <c r="CB677" s="427"/>
      <c r="CC677" s="427"/>
      <c r="CD677" s="427"/>
      <c r="CE677" s="427"/>
      <c r="CF677" s="544"/>
      <c r="CG677" s="544"/>
      <c r="CH677" s="544"/>
      <c r="CI677" s="544"/>
      <c r="CJ677" s="544"/>
      <c r="CK677" s="427"/>
      <c r="CL677" s="427"/>
      <c r="CM677" s="427"/>
      <c r="CN677" s="544"/>
      <c r="CO677" s="544"/>
      <c r="CP677" s="544"/>
      <c r="CQ677" s="544"/>
      <c r="CR677" s="544"/>
      <c r="CS677" s="544"/>
    </row>
    <row r="678" s="431" customFormat="1" ht="31" hidden="1" customHeight="1" spans="1:97">
      <c r="A678" s="518">
        <v>45957</v>
      </c>
      <c r="B678" s="519" t="s">
        <v>2458</v>
      </c>
      <c r="C678" s="520" t="s">
        <v>153</v>
      </c>
      <c r="D678" s="427">
        <v>4500183051</v>
      </c>
      <c r="E678" s="520" t="s">
        <v>2470</v>
      </c>
      <c r="F678" s="427" t="s">
        <v>2473</v>
      </c>
      <c r="G678" s="521" t="s">
        <v>2461</v>
      </c>
      <c r="H678" s="520" t="s">
        <v>424</v>
      </c>
      <c r="I678" s="520">
        <v>180</v>
      </c>
      <c r="J678" s="520">
        <v>0</v>
      </c>
      <c r="K678" s="520">
        <v>6</v>
      </c>
      <c r="L678" s="804">
        <f t="shared" si="211"/>
        <v>30</v>
      </c>
      <c r="M678" s="537">
        <v>46031</v>
      </c>
      <c r="N678" s="537">
        <v>46027</v>
      </c>
      <c r="O678" s="526"/>
      <c r="P678" s="526" t="s">
        <v>103</v>
      </c>
      <c r="Q678" s="530"/>
      <c r="R678" s="530">
        <v>45995</v>
      </c>
      <c r="S678" s="533" t="s">
        <v>66</v>
      </c>
      <c r="T678" s="533" t="s">
        <v>66</v>
      </c>
      <c r="U678" s="532"/>
      <c r="V678" s="532"/>
      <c r="W678" s="532" t="s">
        <v>2469</v>
      </c>
      <c r="X678" s="540" t="s">
        <v>164</v>
      </c>
      <c r="Y678" s="538">
        <v>6.8326</v>
      </c>
      <c r="Z678" s="808">
        <f t="shared" si="213"/>
        <v>1229.868</v>
      </c>
      <c r="AA678" s="521"/>
      <c r="AB678" s="521" t="s">
        <v>2464</v>
      </c>
      <c r="AC678" s="520" t="s">
        <v>76</v>
      </c>
      <c r="AD678" s="521"/>
      <c r="AE678" s="521"/>
      <c r="AF678" s="521">
        <v>1</v>
      </c>
      <c r="AG678" s="521">
        <v>180</v>
      </c>
      <c r="AH678" s="521">
        <f t="shared" si="215"/>
        <v>0</v>
      </c>
      <c r="AI678" s="521"/>
      <c r="AJ678" s="521"/>
      <c r="AK678" s="543"/>
      <c r="AL678" s="543">
        <f t="shared" si="214"/>
        <v>180</v>
      </c>
      <c r="AM678" s="628"/>
      <c r="AN678" s="628"/>
      <c r="AO678" s="628"/>
      <c r="AP678" s="543"/>
      <c r="AQ678" s="543">
        <f t="shared" si="216"/>
        <v>180</v>
      </c>
      <c r="AR678" s="543">
        <f t="shared" si="217"/>
        <v>180</v>
      </c>
      <c r="AS678" s="543"/>
      <c r="AT678" s="543">
        <f t="shared" si="218"/>
        <v>180</v>
      </c>
      <c r="AU678" s="546"/>
      <c r="AV678" s="427"/>
      <c r="AW678" s="427"/>
      <c r="AX678" s="427"/>
      <c r="AY678" s="427"/>
      <c r="AZ678" s="543"/>
      <c r="BA678" s="543"/>
      <c r="BB678" s="427"/>
      <c r="BC678" s="427"/>
      <c r="BD678" s="543"/>
      <c r="BE678" s="543"/>
      <c r="BF678" s="427"/>
      <c r="BG678" s="427"/>
      <c r="BH678" s="427"/>
      <c r="BI678" s="427">
        <f t="shared" si="219"/>
        <v>180</v>
      </c>
      <c r="BJ678" s="427"/>
      <c r="BK678" s="427"/>
      <c r="BL678" s="427"/>
      <c r="BM678" s="427"/>
      <c r="BN678" s="835"/>
      <c r="BO678" s="427"/>
      <c r="BP678" s="427"/>
      <c r="BQ678" s="427"/>
      <c r="BR678" s="427"/>
      <c r="BS678" s="427"/>
      <c r="BT678" s="427"/>
      <c r="BU678" s="427"/>
      <c r="BV678" s="427"/>
      <c r="BW678" s="427"/>
      <c r="BX678" s="427"/>
      <c r="BY678" s="427"/>
      <c r="BZ678" s="427"/>
      <c r="CA678" s="427"/>
      <c r="CB678" s="427"/>
      <c r="CC678" s="427"/>
      <c r="CD678" s="427"/>
      <c r="CE678" s="427"/>
      <c r="CF678" s="544"/>
      <c r="CG678" s="544"/>
      <c r="CH678" s="544"/>
      <c r="CI678" s="544"/>
      <c r="CJ678" s="544"/>
      <c r="CK678" s="427"/>
      <c r="CL678" s="427"/>
      <c r="CM678" s="427"/>
      <c r="CN678" s="544"/>
      <c r="CO678" s="544"/>
      <c r="CP678" s="544"/>
      <c r="CQ678" s="544"/>
      <c r="CR678" s="544"/>
      <c r="CS678" s="544"/>
    </row>
    <row r="679" s="431" customFormat="1" ht="31" hidden="1" customHeight="1" spans="1:97">
      <c r="A679" s="518">
        <v>45968</v>
      </c>
      <c r="B679" s="519" t="s">
        <v>658</v>
      </c>
      <c r="C679" s="520" t="s">
        <v>310</v>
      </c>
      <c r="D679" s="427">
        <v>4500183616</v>
      </c>
      <c r="E679" s="520" t="s">
        <v>2474</v>
      </c>
      <c r="F679" s="427" t="s">
        <v>2475</v>
      </c>
      <c r="G679" s="521" t="s">
        <v>64</v>
      </c>
      <c r="H679" s="520" t="s">
        <v>65</v>
      </c>
      <c r="I679" s="520">
        <v>1560</v>
      </c>
      <c r="J679" s="520">
        <v>0</v>
      </c>
      <c r="K679" s="520">
        <v>12</v>
      </c>
      <c r="L679" s="804">
        <f t="shared" si="211"/>
        <v>130</v>
      </c>
      <c r="M679" s="537">
        <v>46031</v>
      </c>
      <c r="N679" s="537">
        <v>46027</v>
      </c>
      <c r="O679" s="526"/>
      <c r="P679" s="526" t="s">
        <v>103</v>
      </c>
      <c r="Q679" s="530"/>
      <c r="R679" s="530">
        <v>45995</v>
      </c>
      <c r="S679" s="533" t="s">
        <v>66</v>
      </c>
      <c r="T679" s="533" t="s">
        <v>2476</v>
      </c>
      <c r="U679" s="532"/>
      <c r="V679" s="532"/>
      <c r="W679" s="532" t="s">
        <v>2477</v>
      </c>
      <c r="X679" s="540" t="s">
        <v>473</v>
      </c>
      <c r="Y679" s="538">
        <v>4.1623</v>
      </c>
      <c r="Z679" s="808">
        <f t="shared" si="213"/>
        <v>6493.188</v>
      </c>
      <c r="AA679" s="521"/>
      <c r="AB679" s="521" t="s">
        <v>165</v>
      </c>
      <c r="AC679" s="520" t="s">
        <v>76</v>
      </c>
      <c r="AD679" s="521"/>
      <c r="AE679" s="521"/>
      <c r="AF679" s="521">
        <v>1</v>
      </c>
      <c r="AG679" s="521">
        <v>1560</v>
      </c>
      <c r="AH679" s="521">
        <f t="shared" si="215"/>
        <v>0</v>
      </c>
      <c r="AI679" s="521"/>
      <c r="AJ679" s="521" t="s">
        <v>2191</v>
      </c>
      <c r="AK679" s="543"/>
      <c r="AL679" s="543">
        <f t="shared" si="214"/>
        <v>1560</v>
      </c>
      <c r="AM679" s="628"/>
      <c r="AN679" s="628"/>
      <c r="AO679" s="628"/>
      <c r="AP679" s="543"/>
      <c r="AQ679" s="543">
        <f t="shared" si="216"/>
        <v>1560</v>
      </c>
      <c r="AR679" s="543">
        <f t="shared" si="217"/>
        <v>1560</v>
      </c>
      <c r="AS679" s="543"/>
      <c r="AT679" s="543">
        <f t="shared" si="218"/>
        <v>1560</v>
      </c>
      <c r="AU679" s="546"/>
      <c r="AV679" s="427"/>
      <c r="AW679" s="427"/>
      <c r="AX679" s="427"/>
      <c r="AY679" s="427"/>
      <c r="AZ679" s="543"/>
      <c r="BA679" s="543"/>
      <c r="BB679" s="427"/>
      <c r="BC679" s="427"/>
      <c r="BD679" s="543"/>
      <c r="BE679" s="543"/>
      <c r="BF679" s="427"/>
      <c r="BG679" s="427"/>
      <c r="BH679" s="427"/>
      <c r="BI679" s="427"/>
      <c r="BJ679" s="427"/>
      <c r="BK679" s="427"/>
      <c r="BL679" s="427"/>
      <c r="BM679" s="427"/>
      <c r="BN679" s="835"/>
      <c r="BO679" s="427"/>
      <c r="BP679" s="427"/>
      <c r="BQ679" s="427"/>
      <c r="BR679" s="427"/>
      <c r="BS679" s="427"/>
      <c r="BT679" s="427"/>
      <c r="BU679" s="427"/>
      <c r="BV679" s="427"/>
      <c r="BW679" s="427"/>
      <c r="BX679" s="427"/>
      <c r="BY679" s="427"/>
      <c r="BZ679" s="427"/>
      <c r="CA679" s="427"/>
      <c r="CB679" s="427"/>
      <c r="CC679" s="427"/>
      <c r="CD679" s="427"/>
      <c r="CE679" s="427"/>
      <c r="CF679" s="544"/>
      <c r="CG679" s="544"/>
      <c r="CH679" s="544"/>
      <c r="CI679" s="544"/>
      <c r="CJ679" s="544"/>
      <c r="CK679" s="427"/>
      <c r="CL679" s="427"/>
      <c r="CM679" s="427"/>
      <c r="CN679" s="544"/>
      <c r="CO679" s="544"/>
      <c r="CP679" s="544"/>
      <c r="CQ679" s="544"/>
      <c r="CR679" s="544"/>
      <c r="CS679" s="544"/>
    </row>
    <row r="680" s="431" customFormat="1" ht="31" hidden="1" customHeight="1" spans="1:97">
      <c r="A680" s="518">
        <v>45978</v>
      </c>
      <c r="B680" s="519" t="s">
        <v>197</v>
      </c>
      <c r="C680" s="520" t="s">
        <v>198</v>
      </c>
      <c r="D680" s="427">
        <v>4500185972</v>
      </c>
      <c r="E680" s="520" t="s">
        <v>2478</v>
      </c>
      <c r="F680" s="427" t="s">
        <v>2479</v>
      </c>
      <c r="G680" s="521" t="s">
        <v>102</v>
      </c>
      <c r="H680" s="520" t="s">
        <v>65</v>
      </c>
      <c r="I680" s="520">
        <v>336</v>
      </c>
      <c r="J680" s="520">
        <v>0</v>
      </c>
      <c r="K680" s="520">
        <v>16</v>
      </c>
      <c r="L680" s="804">
        <f t="shared" si="211"/>
        <v>21</v>
      </c>
      <c r="M680" s="537">
        <v>46031</v>
      </c>
      <c r="N680" s="537">
        <v>46027</v>
      </c>
      <c r="O680" s="526"/>
      <c r="P680" s="526" t="s">
        <v>103</v>
      </c>
      <c r="Q680" s="530"/>
      <c r="R680" s="530">
        <v>45978</v>
      </c>
      <c r="S680" s="533" t="s">
        <v>66</v>
      </c>
      <c r="T680" s="533" t="s">
        <v>2480</v>
      </c>
      <c r="U680" s="532"/>
      <c r="V680" s="532"/>
      <c r="W680" s="532" t="s">
        <v>2481</v>
      </c>
      <c r="X680" s="540" t="s">
        <v>1663</v>
      </c>
      <c r="Y680" s="538">
        <v>4.2542</v>
      </c>
      <c r="Z680" s="808">
        <f t="shared" si="213"/>
        <v>1429.4112</v>
      </c>
      <c r="AA680" s="521"/>
      <c r="AB680" s="521" t="s">
        <v>102</v>
      </c>
      <c r="AC680" s="520" t="s">
        <v>76</v>
      </c>
      <c r="AD680" s="521"/>
      <c r="AE680" s="521"/>
      <c r="AF680" s="521">
        <v>1</v>
      </c>
      <c r="AG680" s="521">
        <v>336</v>
      </c>
      <c r="AH680" s="521">
        <f t="shared" si="215"/>
        <v>0</v>
      </c>
      <c r="AI680" s="521"/>
      <c r="AJ680" s="521"/>
      <c r="AK680" s="543"/>
      <c r="AL680" s="543">
        <f t="shared" si="214"/>
        <v>336</v>
      </c>
      <c r="AM680" s="628"/>
      <c r="AN680" s="628"/>
      <c r="AO680" s="628"/>
      <c r="AP680" s="543">
        <f>I680</f>
        <v>336</v>
      </c>
      <c r="AQ680" s="543"/>
      <c r="AR680" s="543">
        <f t="shared" si="217"/>
        <v>336</v>
      </c>
      <c r="AS680" s="543"/>
      <c r="AT680" s="543">
        <f t="shared" si="218"/>
        <v>336</v>
      </c>
      <c r="AU680" s="546"/>
      <c r="AV680" s="427"/>
      <c r="AW680" s="427"/>
      <c r="AX680" s="427"/>
      <c r="AY680" s="427"/>
      <c r="AZ680" s="543"/>
      <c r="BA680" s="543"/>
      <c r="BB680" s="427"/>
      <c r="BC680" s="427"/>
      <c r="BD680" s="543">
        <f>I680/4</f>
        <v>84</v>
      </c>
      <c r="BE680" s="543"/>
      <c r="BF680" s="427"/>
      <c r="BG680" s="427"/>
      <c r="BH680" s="427"/>
      <c r="BI680" s="427"/>
      <c r="BJ680" s="427"/>
      <c r="BK680" s="427"/>
      <c r="BL680" s="427"/>
      <c r="BM680" s="427"/>
      <c r="BN680" s="835"/>
      <c r="BO680" s="427"/>
      <c r="BP680" s="427"/>
      <c r="BQ680" s="427"/>
      <c r="BR680" s="427"/>
      <c r="BS680" s="427"/>
      <c r="BT680" s="427"/>
      <c r="BU680" s="427"/>
      <c r="BV680" s="427"/>
      <c r="BW680" s="427"/>
      <c r="BX680" s="427"/>
      <c r="BY680" s="427"/>
      <c r="BZ680" s="427"/>
      <c r="CA680" s="427"/>
      <c r="CB680" s="427"/>
      <c r="CC680" s="427"/>
      <c r="CD680" s="427"/>
      <c r="CE680" s="427"/>
      <c r="CF680" s="544"/>
      <c r="CG680" s="544"/>
      <c r="CH680" s="544"/>
      <c r="CI680" s="544"/>
      <c r="CJ680" s="544"/>
      <c r="CK680" s="427"/>
      <c r="CL680" s="427"/>
      <c r="CM680" s="427"/>
      <c r="CN680" s="544"/>
      <c r="CO680" s="544"/>
      <c r="CP680" s="544"/>
      <c r="CQ680" s="544"/>
      <c r="CR680" s="544"/>
      <c r="CS680" s="544"/>
    </row>
    <row r="681" s="431" customFormat="1" ht="31" hidden="1" customHeight="1" spans="1:97">
      <c r="A681" s="518">
        <v>45987</v>
      </c>
      <c r="B681" s="519" t="s">
        <v>1769</v>
      </c>
      <c r="C681" s="520" t="s">
        <v>139</v>
      </c>
      <c r="D681" s="427">
        <v>4500187023</v>
      </c>
      <c r="E681" s="520">
        <v>5200007969</v>
      </c>
      <c r="F681" s="427" t="s">
        <v>2482</v>
      </c>
      <c r="G681" s="521" t="s">
        <v>141</v>
      </c>
      <c r="H681" s="520" t="s">
        <v>94</v>
      </c>
      <c r="I681" s="520">
        <v>2400</v>
      </c>
      <c r="J681" s="520">
        <v>0</v>
      </c>
      <c r="K681" s="520">
        <v>4</v>
      </c>
      <c r="L681" s="804">
        <f t="shared" si="211"/>
        <v>600</v>
      </c>
      <c r="M681" s="537">
        <v>46031</v>
      </c>
      <c r="N681" s="537">
        <v>46027</v>
      </c>
      <c r="O681" s="526"/>
      <c r="P681" s="526" t="s">
        <v>103</v>
      </c>
      <c r="Q681" s="530"/>
      <c r="R681" s="530">
        <v>45987</v>
      </c>
      <c r="S681" s="533" t="s">
        <v>66</v>
      </c>
      <c r="T681" s="533" t="s">
        <v>2483</v>
      </c>
      <c r="U681" s="532"/>
      <c r="V681" s="532"/>
      <c r="W681" s="532" t="s">
        <v>2484</v>
      </c>
      <c r="X681" s="540" t="s">
        <v>1140</v>
      </c>
      <c r="Y681" s="538">
        <v>4.3</v>
      </c>
      <c r="Z681" s="808">
        <f t="shared" si="213"/>
        <v>10320</v>
      </c>
      <c r="AA681" s="521"/>
      <c r="AB681" s="521" t="s">
        <v>141</v>
      </c>
      <c r="AC681" s="520" t="s">
        <v>76</v>
      </c>
      <c r="AD681" s="521"/>
      <c r="AE681" s="521"/>
      <c r="AF681" s="521">
        <v>1</v>
      </c>
      <c r="AG681" s="521">
        <f>2160+240</f>
        <v>2400</v>
      </c>
      <c r="AH681" s="521">
        <f t="shared" si="215"/>
        <v>0</v>
      </c>
      <c r="AI681" s="521"/>
      <c r="AJ681" s="521" t="s">
        <v>2191</v>
      </c>
      <c r="AK681" s="543"/>
      <c r="AL681" s="543">
        <f t="shared" si="214"/>
        <v>2400</v>
      </c>
      <c r="AM681" s="628"/>
      <c r="AN681" s="628"/>
      <c r="AO681" s="628"/>
      <c r="AP681" s="543"/>
      <c r="AQ681" s="543">
        <f>I681</f>
        <v>2400</v>
      </c>
      <c r="AR681" s="543">
        <f t="shared" si="217"/>
        <v>2400</v>
      </c>
      <c r="AS681" s="543"/>
      <c r="AT681" s="543">
        <f t="shared" si="218"/>
        <v>2400</v>
      </c>
      <c r="AU681" s="546"/>
      <c r="AV681" s="427"/>
      <c r="AW681" s="427"/>
      <c r="AX681" s="427"/>
      <c r="AY681" s="427"/>
      <c r="AZ681" s="543"/>
      <c r="BA681" s="543"/>
      <c r="BB681" s="427"/>
      <c r="BC681" s="427"/>
      <c r="BD681" s="543"/>
      <c r="BE681" s="543">
        <f>I681/4</f>
        <v>600</v>
      </c>
      <c r="BF681" s="427"/>
      <c r="BG681" s="427"/>
      <c r="BH681" s="427"/>
      <c r="BI681" s="427"/>
      <c r="BJ681" s="427"/>
      <c r="BK681" s="427"/>
      <c r="BL681" s="427"/>
      <c r="BM681" s="427"/>
      <c r="BN681" s="835"/>
      <c r="BO681" s="427"/>
      <c r="BP681" s="427"/>
      <c r="BQ681" s="427"/>
      <c r="BR681" s="427"/>
      <c r="BS681" s="427"/>
      <c r="BT681" s="427"/>
      <c r="BU681" s="427"/>
      <c r="BV681" s="427"/>
      <c r="BW681" s="427"/>
      <c r="BX681" s="427"/>
      <c r="BY681" s="427"/>
      <c r="BZ681" s="427"/>
      <c r="CA681" s="427"/>
      <c r="CB681" s="427"/>
      <c r="CC681" s="427"/>
      <c r="CD681" s="427"/>
      <c r="CE681" s="427"/>
      <c r="CF681" s="544"/>
      <c r="CG681" s="544"/>
      <c r="CH681" s="544"/>
      <c r="CI681" s="544"/>
      <c r="CJ681" s="544"/>
      <c r="CK681" s="427"/>
      <c r="CL681" s="427"/>
      <c r="CM681" s="427"/>
      <c r="CN681" s="544"/>
      <c r="CO681" s="544"/>
      <c r="CP681" s="544"/>
      <c r="CQ681" s="544"/>
      <c r="CR681" s="544"/>
      <c r="CS681" s="544"/>
    </row>
    <row r="682" s="431" customFormat="1" ht="31" hidden="1" customHeight="1" spans="1:97">
      <c r="A682" s="518">
        <v>45990</v>
      </c>
      <c r="B682" s="519" t="s">
        <v>1492</v>
      </c>
      <c r="C682" s="520" t="s">
        <v>249</v>
      </c>
      <c r="D682" s="427">
        <v>4500187430</v>
      </c>
      <c r="E682" s="520">
        <v>4400528012</v>
      </c>
      <c r="F682" s="427" t="s">
        <v>2485</v>
      </c>
      <c r="G682" s="521" t="s">
        <v>148</v>
      </c>
      <c r="H682" s="520" t="s">
        <v>65</v>
      </c>
      <c r="I682" s="520">
        <v>2000</v>
      </c>
      <c r="J682" s="520">
        <v>0</v>
      </c>
      <c r="K682" s="520">
        <v>8</v>
      </c>
      <c r="L682" s="804">
        <f t="shared" si="211"/>
        <v>250</v>
      </c>
      <c r="M682" s="537">
        <v>46032</v>
      </c>
      <c r="N682" s="537">
        <v>46028</v>
      </c>
      <c r="O682" s="526"/>
      <c r="P682" s="526" t="s">
        <v>103</v>
      </c>
      <c r="Q682" s="530"/>
      <c r="R682" s="530">
        <v>45990</v>
      </c>
      <c r="S682" s="533" t="s">
        <v>66</v>
      </c>
      <c r="T682" s="533" t="s">
        <v>149</v>
      </c>
      <c r="U682" s="532"/>
      <c r="V682" s="532"/>
      <c r="W682" s="532" t="s">
        <v>2486</v>
      </c>
      <c r="X682" s="540" t="s">
        <v>1424</v>
      </c>
      <c r="Y682" s="538">
        <v>4.2714</v>
      </c>
      <c r="Z682" s="808">
        <f t="shared" si="213"/>
        <v>8542.8</v>
      </c>
      <c r="AA682" s="521"/>
      <c r="AB682" s="521" t="s">
        <v>2202</v>
      </c>
      <c r="AC682" s="520" t="s">
        <v>76</v>
      </c>
      <c r="AD682" s="521"/>
      <c r="AE682" s="521"/>
      <c r="AF682" s="521">
        <v>1</v>
      </c>
      <c r="AG682" s="521">
        <v>2000</v>
      </c>
      <c r="AH682" s="521">
        <f t="shared" si="215"/>
        <v>0</v>
      </c>
      <c r="AI682" s="521"/>
      <c r="AJ682" s="521"/>
      <c r="AK682" s="543"/>
      <c r="AL682" s="543">
        <f t="shared" si="214"/>
        <v>2000</v>
      </c>
      <c r="AM682" s="628"/>
      <c r="AN682" s="628"/>
      <c r="AO682" s="628"/>
      <c r="AP682" s="543"/>
      <c r="AQ682" s="543">
        <f>I682</f>
        <v>2000</v>
      </c>
      <c r="AR682" s="543">
        <f t="shared" si="217"/>
        <v>2000</v>
      </c>
      <c r="AS682" s="543"/>
      <c r="AT682" s="543">
        <f t="shared" si="218"/>
        <v>2000</v>
      </c>
      <c r="AU682" s="546"/>
      <c r="AV682" s="427"/>
      <c r="AW682" s="427"/>
      <c r="AX682" s="427"/>
      <c r="AY682" s="427"/>
      <c r="AZ682" s="543"/>
      <c r="BA682" s="543"/>
      <c r="BB682" s="427"/>
      <c r="BC682" s="427"/>
      <c r="BD682" s="543"/>
      <c r="BE682" s="543">
        <f>I682/4</f>
        <v>500</v>
      </c>
      <c r="BF682" s="427"/>
      <c r="BG682" s="427"/>
      <c r="BH682" s="427"/>
      <c r="BI682" s="427"/>
      <c r="BJ682" s="427"/>
      <c r="BK682" s="427"/>
      <c r="BL682" s="427"/>
      <c r="BM682" s="427"/>
      <c r="BN682" s="835"/>
      <c r="BO682" s="427"/>
      <c r="BP682" s="427"/>
      <c r="BQ682" s="427"/>
      <c r="BR682" s="427"/>
      <c r="BS682" s="427"/>
      <c r="BT682" s="427"/>
      <c r="BU682" s="427"/>
      <c r="BV682" s="427"/>
      <c r="BW682" s="427"/>
      <c r="BX682" s="427"/>
      <c r="BY682" s="427"/>
      <c r="BZ682" s="427"/>
      <c r="CA682" s="427"/>
      <c r="CB682" s="427"/>
      <c r="CC682" s="427"/>
      <c r="CD682" s="427"/>
      <c r="CE682" s="427"/>
      <c r="CF682" s="544"/>
      <c r="CG682" s="544"/>
      <c r="CH682" s="544"/>
      <c r="CI682" s="544"/>
      <c r="CJ682" s="544"/>
      <c r="CK682" s="427"/>
      <c r="CL682" s="427"/>
      <c r="CM682" s="427"/>
      <c r="CN682" s="544"/>
      <c r="CO682" s="544"/>
      <c r="CP682" s="544"/>
      <c r="CQ682" s="544"/>
      <c r="CR682" s="544"/>
      <c r="CS682" s="544"/>
    </row>
    <row r="683" s="431" customFormat="1" ht="31" hidden="1" customHeight="1" spans="1:97">
      <c r="A683" s="518">
        <v>45990</v>
      </c>
      <c r="B683" s="519" t="s">
        <v>1419</v>
      </c>
      <c r="C683" s="520" t="s">
        <v>231</v>
      </c>
      <c r="D683" s="427">
        <v>4500187445</v>
      </c>
      <c r="E683" s="520">
        <v>4400528011</v>
      </c>
      <c r="F683" s="427" t="s">
        <v>2487</v>
      </c>
      <c r="G683" s="521" t="s">
        <v>148</v>
      </c>
      <c r="H683" s="520" t="s">
        <v>65</v>
      </c>
      <c r="I683" s="520">
        <v>504</v>
      </c>
      <c r="J683" s="520">
        <v>0</v>
      </c>
      <c r="K683" s="520">
        <v>8</v>
      </c>
      <c r="L683" s="804">
        <f t="shared" si="211"/>
        <v>63</v>
      </c>
      <c r="M683" s="537">
        <v>46032</v>
      </c>
      <c r="N683" s="537">
        <v>46028</v>
      </c>
      <c r="O683" s="526"/>
      <c r="P683" s="526" t="s">
        <v>103</v>
      </c>
      <c r="Q683" s="530"/>
      <c r="R683" s="530">
        <v>45990</v>
      </c>
      <c r="S683" s="533" t="s">
        <v>66</v>
      </c>
      <c r="T683" s="533" t="s">
        <v>149</v>
      </c>
      <c r="U683" s="532"/>
      <c r="V683" s="532"/>
      <c r="W683" s="532" t="s">
        <v>2488</v>
      </c>
      <c r="X683" s="540" t="s">
        <v>1424</v>
      </c>
      <c r="Y683" s="538">
        <v>4.2714</v>
      </c>
      <c r="Z683" s="808">
        <f t="shared" si="213"/>
        <v>2152.7856</v>
      </c>
      <c r="AA683" s="521"/>
      <c r="AB683" s="521" t="s">
        <v>2202</v>
      </c>
      <c r="AC683" s="520" t="s">
        <v>76</v>
      </c>
      <c r="AD683" s="521"/>
      <c r="AE683" s="521"/>
      <c r="AF683" s="521">
        <v>1</v>
      </c>
      <c r="AG683" s="521">
        <v>504</v>
      </c>
      <c r="AH683" s="521">
        <f t="shared" si="215"/>
        <v>0</v>
      </c>
      <c r="AI683" s="521"/>
      <c r="AJ683" s="521"/>
      <c r="AK683" s="543"/>
      <c r="AL683" s="543">
        <f t="shared" si="214"/>
        <v>504</v>
      </c>
      <c r="AM683" s="628"/>
      <c r="AN683" s="628"/>
      <c r="AO683" s="628"/>
      <c r="AP683" s="543"/>
      <c r="AQ683" s="543">
        <f>I683</f>
        <v>504</v>
      </c>
      <c r="AR683" s="543">
        <f t="shared" si="217"/>
        <v>504</v>
      </c>
      <c r="AS683" s="543"/>
      <c r="AT683" s="543">
        <f t="shared" si="218"/>
        <v>504</v>
      </c>
      <c r="AU683" s="546"/>
      <c r="AV683" s="427"/>
      <c r="AW683" s="427"/>
      <c r="AX683" s="427"/>
      <c r="AY683" s="427"/>
      <c r="AZ683" s="543"/>
      <c r="BA683" s="543"/>
      <c r="BB683" s="427"/>
      <c r="BC683" s="427"/>
      <c r="BD683" s="543"/>
      <c r="BE683" s="543">
        <f>I683/4</f>
        <v>126</v>
      </c>
      <c r="BF683" s="427"/>
      <c r="BG683" s="427"/>
      <c r="BH683" s="427"/>
      <c r="BI683" s="427"/>
      <c r="BJ683" s="427"/>
      <c r="BK683" s="427"/>
      <c r="BL683" s="427"/>
      <c r="BM683" s="427"/>
      <c r="BN683" s="835"/>
      <c r="BO683" s="427"/>
      <c r="BP683" s="427"/>
      <c r="BQ683" s="427"/>
      <c r="BR683" s="427"/>
      <c r="BS683" s="427"/>
      <c r="BT683" s="427"/>
      <c r="BU683" s="427"/>
      <c r="BV683" s="427"/>
      <c r="BW683" s="427"/>
      <c r="BX683" s="427"/>
      <c r="BY683" s="427"/>
      <c r="BZ683" s="427"/>
      <c r="CA683" s="427"/>
      <c r="CB683" s="427"/>
      <c r="CC683" s="427"/>
      <c r="CD683" s="427"/>
      <c r="CE683" s="427"/>
      <c r="CF683" s="544"/>
      <c r="CG683" s="544"/>
      <c r="CH683" s="544"/>
      <c r="CI683" s="544"/>
      <c r="CJ683" s="544"/>
      <c r="CK683" s="427"/>
      <c r="CL683" s="427"/>
      <c r="CM683" s="427"/>
      <c r="CN683" s="544"/>
      <c r="CO683" s="544"/>
      <c r="CP683" s="544"/>
      <c r="CQ683" s="544"/>
      <c r="CR683" s="544"/>
      <c r="CS683" s="544"/>
    </row>
    <row r="684" s="431" customFormat="1" ht="31" hidden="1" customHeight="1" spans="1:97">
      <c r="A684" s="518">
        <v>45985</v>
      </c>
      <c r="B684" s="519" t="s">
        <v>2489</v>
      </c>
      <c r="C684" s="520" t="s">
        <v>90</v>
      </c>
      <c r="D684" s="427">
        <v>4500186676</v>
      </c>
      <c r="E684" s="520">
        <v>60265478</v>
      </c>
      <c r="F684" s="427" t="s">
        <v>2490</v>
      </c>
      <c r="G684" s="521" t="s">
        <v>2491</v>
      </c>
      <c r="H684" s="520" t="s">
        <v>2492</v>
      </c>
      <c r="I684" s="520">
        <v>3000</v>
      </c>
      <c r="J684" s="520">
        <v>0</v>
      </c>
      <c r="K684" s="520">
        <v>8</v>
      </c>
      <c r="L684" s="804">
        <f t="shared" si="211"/>
        <v>375</v>
      </c>
      <c r="M684" s="537">
        <v>46034</v>
      </c>
      <c r="N684" s="537">
        <v>46030</v>
      </c>
      <c r="O684" s="526"/>
      <c r="P684" s="526" t="s">
        <v>103</v>
      </c>
      <c r="Q684" s="530"/>
      <c r="R684" s="530">
        <v>45985</v>
      </c>
      <c r="S684" s="533" t="s">
        <v>66</v>
      </c>
      <c r="T684" s="533" t="s">
        <v>2493</v>
      </c>
      <c r="U684" s="532"/>
      <c r="V684" s="532"/>
      <c r="W684" s="532" t="s">
        <v>2494</v>
      </c>
      <c r="X684" s="540" t="s">
        <v>2441</v>
      </c>
      <c r="Y684" s="538">
        <v>3.9826</v>
      </c>
      <c r="Z684" s="808">
        <f>Y684*L684</f>
        <v>1493.475</v>
      </c>
      <c r="AA684" s="521"/>
      <c r="AB684" s="521" t="s">
        <v>2495</v>
      </c>
      <c r="AC684" s="520" t="s">
        <v>76</v>
      </c>
      <c r="AD684" s="521"/>
      <c r="AE684" s="521"/>
      <c r="AF684" s="521">
        <v>1</v>
      </c>
      <c r="AG684" s="521">
        <v>3000</v>
      </c>
      <c r="AH684" s="521">
        <f t="shared" si="215"/>
        <v>0</v>
      </c>
      <c r="AI684" s="521"/>
      <c r="AJ684" s="521" t="s">
        <v>2191</v>
      </c>
      <c r="AK684" s="543"/>
      <c r="AL684" s="543">
        <f t="shared" si="214"/>
        <v>3000</v>
      </c>
      <c r="AM684" s="628"/>
      <c r="AN684" s="628"/>
      <c r="AO684" s="628"/>
      <c r="AP684" s="543">
        <f>I684</f>
        <v>3000</v>
      </c>
      <c r="AQ684" s="543"/>
      <c r="AR684" s="543">
        <f t="shared" ref="AR684:AR692" si="220">I684</f>
        <v>3000</v>
      </c>
      <c r="AS684" s="543"/>
      <c r="AT684" s="543">
        <f t="shared" ref="AT684:AT695" si="221">I684</f>
        <v>3000</v>
      </c>
      <c r="AU684" s="546"/>
      <c r="AV684" s="427"/>
      <c r="AW684" s="427"/>
      <c r="AX684" s="427"/>
      <c r="AY684" s="427"/>
      <c r="AZ684" s="543"/>
      <c r="BA684" s="543"/>
      <c r="BB684" s="427"/>
      <c r="BC684" s="427"/>
      <c r="BD684" s="543"/>
      <c r="BE684" s="543"/>
      <c r="BF684" s="427"/>
      <c r="BG684" s="427"/>
      <c r="BH684" s="427"/>
      <c r="BI684" s="427"/>
      <c r="BJ684" s="427">
        <f>I684</f>
        <v>3000</v>
      </c>
      <c r="BK684" s="427"/>
      <c r="BL684" s="427"/>
      <c r="BM684" s="427"/>
      <c r="BN684" s="835"/>
      <c r="BO684" s="427"/>
      <c r="BP684" s="427"/>
      <c r="BQ684" s="427"/>
      <c r="BR684" s="427"/>
      <c r="BS684" s="427"/>
      <c r="BT684" s="427"/>
      <c r="BU684" s="427"/>
      <c r="BV684" s="427"/>
      <c r="BW684" s="427"/>
      <c r="BX684" s="427"/>
      <c r="BY684" s="427"/>
      <c r="BZ684" s="427"/>
      <c r="CA684" s="427"/>
      <c r="CB684" s="427"/>
      <c r="CC684" s="427"/>
      <c r="CD684" s="427"/>
      <c r="CE684" s="427"/>
      <c r="CF684" s="544"/>
      <c r="CG684" s="544"/>
      <c r="CH684" s="544"/>
      <c r="CI684" s="544"/>
      <c r="CJ684" s="544"/>
      <c r="CK684" s="427"/>
      <c r="CL684" s="427"/>
      <c r="CM684" s="427"/>
      <c r="CN684" s="544"/>
      <c r="CO684" s="544"/>
      <c r="CP684" s="544"/>
      <c r="CQ684" s="544"/>
      <c r="CR684" s="544"/>
      <c r="CS684" s="544"/>
    </row>
    <row r="685" s="431" customFormat="1" ht="31" hidden="1" customHeight="1" spans="1:97">
      <c r="A685" s="518">
        <v>45985</v>
      </c>
      <c r="B685" s="519" t="s">
        <v>2489</v>
      </c>
      <c r="C685" s="520" t="s">
        <v>90</v>
      </c>
      <c r="D685" s="427">
        <v>4500186676</v>
      </c>
      <c r="E685" s="520">
        <v>60265481</v>
      </c>
      <c r="F685" s="427" t="s">
        <v>2496</v>
      </c>
      <c r="G685" s="521" t="s">
        <v>2491</v>
      </c>
      <c r="H685" s="520" t="s">
        <v>2492</v>
      </c>
      <c r="I685" s="520">
        <v>1600</v>
      </c>
      <c r="J685" s="520">
        <v>0</v>
      </c>
      <c r="K685" s="520">
        <v>8</v>
      </c>
      <c r="L685" s="804">
        <f t="shared" si="211"/>
        <v>200</v>
      </c>
      <c r="M685" s="537">
        <v>46034</v>
      </c>
      <c r="N685" s="537">
        <v>46030</v>
      </c>
      <c r="O685" s="526"/>
      <c r="P685" s="526" t="s">
        <v>103</v>
      </c>
      <c r="Q685" s="530"/>
      <c r="R685" s="530">
        <v>45985</v>
      </c>
      <c r="S685" s="533" t="s">
        <v>66</v>
      </c>
      <c r="T685" s="533" t="s">
        <v>2493</v>
      </c>
      <c r="U685" s="532"/>
      <c r="V685" s="532"/>
      <c r="W685" s="532" t="s">
        <v>2494</v>
      </c>
      <c r="X685" s="540" t="s">
        <v>2441</v>
      </c>
      <c r="Y685" s="538">
        <v>4.0996</v>
      </c>
      <c r="Z685" s="808">
        <f>Y685*L685</f>
        <v>819.92</v>
      </c>
      <c r="AA685" s="521"/>
      <c r="AB685" s="521" t="s">
        <v>2495</v>
      </c>
      <c r="AC685" s="520" t="s">
        <v>76</v>
      </c>
      <c r="AD685" s="521"/>
      <c r="AE685" s="521"/>
      <c r="AF685" s="521">
        <v>1</v>
      </c>
      <c r="AG685" s="521">
        <v>1600</v>
      </c>
      <c r="AH685" s="521">
        <f t="shared" si="215"/>
        <v>0</v>
      </c>
      <c r="AI685" s="521"/>
      <c r="AJ685" s="521" t="s">
        <v>2191</v>
      </c>
      <c r="AK685" s="543"/>
      <c r="AL685" s="543">
        <f t="shared" si="214"/>
        <v>1600</v>
      </c>
      <c r="AM685" s="628"/>
      <c r="AN685" s="628"/>
      <c r="AO685" s="628"/>
      <c r="AP685" s="543">
        <f>I685</f>
        <v>1600</v>
      </c>
      <c r="AQ685" s="543"/>
      <c r="AR685" s="543">
        <f t="shared" si="220"/>
        <v>1600</v>
      </c>
      <c r="AS685" s="543"/>
      <c r="AT685" s="543">
        <f t="shared" si="221"/>
        <v>1600</v>
      </c>
      <c r="AU685" s="546"/>
      <c r="AV685" s="427"/>
      <c r="AW685" s="427"/>
      <c r="AX685" s="427"/>
      <c r="AY685" s="427"/>
      <c r="AZ685" s="543"/>
      <c r="BA685" s="543"/>
      <c r="BB685" s="427"/>
      <c r="BC685" s="427"/>
      <c r="BD685" s="543"/>
      <c r="BE685" s="543"/>
      <c r="BF685" s="427"/>
      <c r="BG685" s="427"/>
      <c r="BH685" s="427"/>
      <c r="BI685" s="427"/>
      <c r="BJ685" s="427">
        <f>I685</f>
        <v>1600</v>
      </c>
      <c r="BK685" s="427"/>
      <c r="BL685" s="427"/>
      <c r="BM685" s="427"/>
      <c r="BN685" s="835"/>
      <c r="BO685" s="427"/>
      <c r="BP685" s="427"/>
      <c r="BQ685" s="427"/>
      <c r="BR685" s="427"/>
      <c r="BS685" s="427"/>
      <c r="BT685" s="427"/>
      <c r="BU685" s="427"/>
      <c r="BV685" s="427"/>
      <c r="BW685" s="427"/>
      <c r="BX685" s="427"/>
      <c r="BY685" s="427"/>
      <c r="BZ685" s="427"/>
      <c r="CA685" s="427"/>
      <c r="CB685" s="427"/>
      <c r="CC685" s="427"/>
      <c r="CD685" s="427"/>
      <c r="CE685" s="427"/>
      <c r="CF685" s="544"/>
      <c r="CG685" s="544"/>
      <c r="CH685" s="544"/>
      <c r="CI685" s="544"/>
      <c r="CJ685" s="544"/>
      <c r="CK685" s="427"/>
      <c r="CL685" s="427"/>
      <c r="CM685" s="427"/>
      <c r="CN685" s="544"/>
      <c r="CO685" s="544"/>
      <c r="CP685" s="544"/>
      <c r="CQ685" s="544"/>
      <c r="CR685" s="544"/>
      <c r="CS685" s="544"/>
    </row>
    <row r="686" s="431" customFormat="1" ht="31" hidden="1" customHeight="1" spans="1:97">
      <c r="A686" s="518">
        <v>45988</v>
      </c>
      <c r="B686" s="519" t="s">
        <v>128</v>
      </c>
      <c r="C686" s="520" t="s">
        <v>90</v>
      </c>
      <c r="D686" s="427">
        <v>4500187244</v>
      </c>
      <c r="E686" s="890" t="s">
        <v>2497</v>
      </c>
      <c r="F686" s="427" t="s">
        <v>2498</v>
      </c>
      <c r="G686" s="521" t="s">
        <v>93</v>
      </c>
      <c r="H686" s="520" t="s">
        <v>94</v>
      </c>
      <c r="I686" s="520">
        <v>9280</v>
      </c>
      <c r="J686" s="520">
        <v>0</v>
      </c>
      <c r="K686" s="520">
        <v>4</v>
      </c>
      <c r="L686" s="804">
        <f t="shared" si="211"/>
        <v>2320</v>
      </c>
      <c r="M686" s="537">
        <v>46034</v>
      </c>
      <c r="N686" s="537">
        <v>46030</v>
      </c>
      <c r="O686" s="526" t="s">
        <v>2499</v>
      </c>
      <c r="P686" s="526" t="s">
        <v>103</v>
      </c>
      <c r="Q686" s="530"/>
      <c r="R686" s="530" t="s">
        <v>2021</v>
      </c>
      <c r="S686" s="533" t="s">
        <v>66</v>
      </c>
      <c r="T686" s="533" t="s">
        <v>133</v>
      </c>
      <c r="U686" s="532"/>
      <c r="V686" s="532"/>
      <c r="W686" s="532" t="s">
        <v>1281</v>
      </c>
      <c r="X686" s="540" t="s">
        <v>98</v>
      </c>
      <c r="Y686" s="538">
        <v>2.5656</v>
      </c>
      <c r="Z686" s="808">
        <f t="shared" ref="Z686:Z692" si="222">Y686*I686</f>
        <v>23808.768</v>
      </c>
      <c r="AA686" s="521"/>
      <c r="AB686" s="521" t="s">
        <v>93</v>
      </c>
      <c r="AC686" s="520" t="s">
        <v>76</v>
      </c>
      <c r="AD686" s="521"/>
      <c r="AE686" s="521"/>
      <c r="AF686" s="521">
        <v>1</v>
      </c>
      <c r="AG686" s="521">
        <f>7280+2000</f>
        <v>9280</v>
      </c>
      <c r="AH686" s="521">
        <f t="shared" si="215"/>
        <v>0</v>
      </c>
      <c r="AI686" s="521"/>
      <c r="AJ686" s="521" t="s">
        <v>2191</v>
      </c>
      <c r="AK686" s="543"/>
      <c r="AL686" s="543">
        <f t="shared" ref="AL686:AL692" si="223">I686</f>
        <v>9280</v>
      </c>
      <c r="AM686" s="628"/>
      <c r="AN686" s="628"/>
      <c r="AO686" s="628"/>
      <c r="AP686" s="543">
        <f t="shared" ref="AP686:AP692" si="224">I686</f>
        <v>9280</v>
      </c>
      <c r="AQ686" s="543"/>
      <c r="AR686" s="543">
        <f t="shared" si="220"/>
        <v>9280</v>
      </c>
      <c r="AS686" s="543"/>
      <c r="AT686" s="543">
        <f t="shared" si="221"/>
        <v>9280</v>
      </c>
      <c r="AU686" s="546"/>
      <c r="AV686" s="427"/>
      <c r="AW686" s="427"/>
      <c r="AX686" s="427"/>
      <c r="AY686" s="427"/>
      <c r="AZ686" s="543"/>
      <c r="BA686" s="543"/>
      <c r="BB686" s="427"/>
      <c r="BC686" s="427"/>
      <c r="BD686" s="543">
        <f t="shared" ref="BD686:BD693" si="225">I686/4</f>
        <v>2320</v>
      </c>
      <c r="BE686" s="543"/>
      <c r="BF686" s="427"/>
      <c r="BG686" s="427"/>
      <c r="BH686" s="427"/>
      <c r="BI686" s="427"/>
      <c r="BJ686" s="427"/>
      <c r="BK686" s="427"/>
      <c r="BL686" s="427"/>
      <c r="BM686" s="427"/>
      <c r="BN686" s="835"/>
      <c r="BO686" s="427"/>
      <c r="BP686" s="427"/>
      <c r="BQ686" s="427"/>
      <c r="BR686" s="427"/>
      <c r="BS686" s="427"/>
      <c r="BT686" s="427"/>
      <c r="BU686" s="427"/>
      <c r="BV686" s="427"/>
      <c r="BW686" s="427"/>
      <c r="BX686" s="427"/>
      <c r="BY686" s="427"/>
      <c r="BZ686" s="427"/>
      <c r="CA686" s="427"/>
      <c r="CB686" s="427"/>
      <c r="CC686" s="427"/>
      <c r="CD686" s="427"/>
      <c r="CE686" s="427"/>
      <c r="CF686" s="544"/>
      <c r="CG686" s="544"/>
      <c r="CH686" s="544"/>
      <c r="CI686" s="544"/>
      <c r="CJ686" s="544"/>
      <c r="CK686" s="427"/>
      <c r="CL686" s="427"/>
      <c r="CM686" s="427"/>
      <c r="CN686" s="544"/>
      <c r="CO686" s="544"/>
      <c r="CP686" s="544"/>
      <c r="CQ686" s="544"/>
      <c r="CR686" s="544"/>
      <c r="CS686" s="544"/>
    </row>
    <row r="687" s="431" customFormat="1" ht="31" hidden="1" customHeight="1" spans="1:97">
      <c r="A687" s="518">
        <v>45988</v>
      </c>
      <c r="B687" s="519" t="s">
        <v>128</v>
      </c>
      <c r="C687" s="520" t="s">
        <v>90</v>
      </c>
      <c r="D687" s="427">
        <v>4500187244</v>
      </c>
      <c r="E687" s="890" t="s">
        <v>2500</v>
      </c>
      <c r="F687" s="427" t="s">
        <v>2501</v>
      </c>
      <c r="G687" s="521" t="s">
        <v>93</v>
      </c>
      <c r="H687" s="520" t="s">
        <v>94</v>
      </c>
      <c r="I687" s="520">
        <v>4160</v>
      </c>
      <c r="J687" s="520">
        <v>0</v>
      </c>
      <c r="K687" s="520">
        <v>4</v>
      </c>
      <c r="L687" s="804">
        <f t="shared" si="211"/>
        <v>1040</v>
      </c>
      <c r="M687" s="537">
        <v>46034</v>
      </c>
      <c r="N687" s="537">
        <v>46030</v>
      </c>
      <c r="O687" s="526" t="s">
        <v>2499</v>
      </c>
      <c r="P687" s="526" t="s">
        <v>103</v>
      </c>
      <c r="Q687" s="530"/>
      <c r="R687" s="530" t="s">
        <v>2021</v>
      </c>
      <c r="S687" s="533" t="s">
        <v>66</v>
      </c>
      <c r="T687" s="533" t="s">
        <v>133</v>
      </c>
      <c r="U687" s="532"/>
      <c r="V687" s="532"/>
      <c r="W687" s="532" t="s">
        <v>1281</v>
      </c>
      <c r="X687" s="540" t="s">
        <v>98</v>
      </c>
      <c r="Y687" s="538">
        <v>2.5768</v>
      </c>
      <c r="Z687" s="808">
        <f t="shared" si="222"/>
        <v>10719.488</v>
      </c>
      <c r="AA687" s="521"/>
      <c r="AB687" s="521" t="s">
        <v>93</v>
      </c>
      <c r="AC687" s="520" t="s">
        <v>76</v>
      </c>
      <c r="AD687" s="521"/>
      <c r="AE687" s="521"/>
      <c r="AF687" s="521">
        <v>1</v>
      </c>
      <c r="AG687" s="521">
        <v>4160</v>
      </c>
      <c r="AH687" s="521">
        <f t="shared" si="215"/>
        <v>0</v>
      </c>
      <c r="AI687" s="521"/>
      <c r="AJ687" s="521" t="s">
        <v>2191</v>
      </c>
      <c r="AK687" s="543"/>
      <c r="AL687" s="543">
        <f t="shared" si="223"/>
        <v>4160</v>
      </c>
      <c r="AM687" s="628"/>
      <c r="AN687" s="628"/>
      <c r="AO687" s="628"/>
      <c r="AP687" s="543">
        <f t="shared" si="224"/>
        <v>4160</v>
      </c>
      <c r="AQ687" s="543"/>
      <c r="AR687" s="543">
        <f t="shared" si="220"/>
        <v>4160</v>
      </c>
      <c r="AS687" s="543"/>
      <c r="AT687" s="543">
        <f t="shared" si="221"/>
        <v>4160</v>
      </c>
      <c r="AU687" s="546"/>
      <c r="AV687" s="427"/>
      <c r="AW687" s="427"/>
      <c r="AX687" s="427"/>
      <c r="AY687" s="427"/>
      <c r="AZ687" s="543"/>
      <c r="BA687" s="543"/>
      <c r="BB687" s="427"/>
      <c r="BC687" s="427"/>
      <c r="BD687" s="543">
        <f t="shared" si="225"/>
        <v>1040</v>
      </c>
      <c r="BE687" s="543"/>
      <c r="BF687" s="427"/>
      <c r="BG687" s="427"/>
      <c r="BH687" s="427"/>
      <c r="BI687" s="427"/>
      <c r="BJ687" s="427"/>
      <c r="BK687" s="427"/>
      <c r="BL687" s="427"/>
      <c r="BM687" s="427"/>
      <c r="BN687" s="835"/>
      <c r="BO687" s="427"/>
      <c r="BP687" s="427"/>
      <c r="BQ687" s="427"/>
      <c r="BR687" s="427"/>
      <c r="BS687" s="427"/>
      <c r="BT687" s="427"/>
      <c r="BU687" s="427"/>
      <c r="BV687" s="427"/>
      <c r="BW687" s="427"/>
      <c r="BX687" s="427"/>
      <c r="BY687" s="427"/>
      <c r="BZ687" s="427"/>
      <c r="CA687" s="427"/>
      <c r="CB687" s="427"/>
      <c r="CC687" s="427"/>
      <c r="CD687" s="427"/>
      <c r="CE687" s="427"/>
      <c r="CF687" s="544"/>
      <c r="CG687" s="544"/>
      <c r="CH687" s="544"/>
      <c r="CI687" s="544"/>
      <c r="CJ687" s="544"/>
      <c r="CK687" s="427"/>
      <c r="CL687" s="427"/>
      <c r="CM687" s="427"/>
      <c r="CN687" s="544"/>
      <c r="CO687" s="544"/>
      <c r="CP687" s="544"/>
      <c r="CQ687" s="544"/>
      <c r="CR687" s="544"/>
      <c r="CS687" s="544"/>
    </row>
    <row r="688" s="431" customFormat="1" ht="31" hidden="1" customHeight="1" spans="1:97">
      <c r="A688" s="518">
        <v>45988</v>
      </c>
      <c r="B688" s="519" t="s">
        <v>128</v>
      </c>
      <c r="C688" s="520" t="s">
        <v>90</v>
      </c>
      <c r="D688" s="427">
        <v>4500187244</v>
      </c>
      <c r="E688" s="890" t="s">
        <v>2502</v>
      </c>
      <c r="F688" s="427" t="s">
        <v>2503</v>
      </c>
      <c r="G688" s="521" t="s">
        <v>93</v>
      </c>
      <c r="H688" s="520" t="s">
        <v>94</v>
      </c>
      <c r="I688" s="520">
        <v>5760</v>
      </c>
      <c r="J688" s="520">
        <v>0</v>
      </c>
      <c r="K688" s="520">
        <v>4</v>
      </c>
      <c r="L688" s="804">
        <f t="shared" si="211"/>
        <v>1440</v>
      </c>
      <c r="M688" s="537">
        <v>46034</v>
      </c>
      <c r="N688" s="537">
        <v>46030</v>
      </c>
      <c r="O688" s="526" t="s">
        <v>2499</v>
      </c>
      <c r="P688" s="526" t="s">
        <v>103</v>
      </c>
      <c r="Q688" s="530"/>
      <c r="R688" s="530" t="s">
        <v>2021</v>
      </c>
      <c r="S688" s="533" t="s">
        <v>66</v>
      </c>
      <c r="T688" s="533" t="s">
        <v>133</v>
      </c>
      <c r="U688" s="532"/>
      <c r="V688" s="532"/>
      <c r="W688" s="532" t="s">
        <v>1281</v>
      </c>
      <c r="X688" s="540" t="s">
        <v>98</v>
      </c>
      <c r="Y688" s="538">
        <v>2.5656</v>
      </c>
      <c r="Z688" s="808">
        <f t="shared" si="222"/>
        <v>14777.856</v>
      </c>
      <c r="AA688" s="521"/>
      <c r="AB688" s="521" t="s">
        <v>93</v>
      </c>
      <c r="AC688" s="520" t="s">
        <v>76</v>
      </c>
      <c r="AD688" s="521"/>
      <c r="AE688" s="521"/>
      <c r="AF688" s="521">
        <v>1</v>
      </c>
      <c r="AG688" s="521">
        <v>5760</v>
      </c>
      <c r="AH688" s="521">
        <f t="shared" si="215"/>
        <v>0</v>
      </c>
      <c r="AI688" s="521"/>
      <c r="AJ688" s="521" t="s">
        <v>2191</v>
      </c>
      <c r="AK688" s="543"/>
      <c r="AL688" s="543">
        <f t="shared" si="223"/>
        <v>5760</v>
      </c>
      <c r="AM688" s="628"/>
      <c r="AN688" s="628"/>
      <c r="AO688" s="628"/>
      <c r="AP688" s="543">
        <f t="shared" si="224"/>
        <v>5760</v>
      </c>
      <c r="AQ688" s="543"/>
      <c r="AR688" s="543">
        <f t="shared" si="220"/>
        <v>5760</v>
      </c>
      <c r="AS688" s="543"/>
      <c r="AT688" s="543">
        <f t="shared" si="221"/>
        <v>5760</v>
      </c>
      <c r="AU688" s="546"/>
      <c r="AV688" s="427"/>
      <c r="AW688" s="427"/>
      <c r="AX688" s="427"/>
      <c r="AY688" s="427"/>
      <c r="AZ688" s="543"/>
      <c r="BA688" s="543"/>
      <c r="BB688" s="427"/>
      <c r="BC688" s="427"/>
      <c r="BD688" s="543">
        <f t="shared" si="225"/>
        <v>1440</v>
      </c>
      <c r="BE688" s="543"/>
      <c r="BF688" s="427"/>
      <c r="BG688" s="427"/>
      <c r="BH688" s="427"/>
      <c r="BI688" s="427"/>
      <c r="BJ688" s="427"/>
      <c r="BK688" s="427"/>
      <c r="BL688" s="427"/>
      <c r="BM688" s="427"/>
      <c r="BN688" s="835"/>
      <c r="BO688" s="427"/>
      <c r="BP688" s="427"/>
      <c r="BQ688" s="427"/>
      <c r="BR688" s="427"/>
      <c r="BS688" s="427"/>
      <c r="BT688" s="427"/>
      <c r="BU688" s="427"/>
      <c r="BV688" s="427"/>
      <c r="BW688" s="427"/>
      <c r="BX688" s="427"/>
      <c r="BY688" s="427"/>
      <c r="BZ688" s="427"/>
      <c r="CA688" s="427"/>
      <c r="CB688" s="427"/>
      <c r="CC688" s="427"/>
      <c r="CD688" s="427"/>
      <c r="CE688" s="427"/>
      <c r="CF688" s="544"/>
      <c r="CG688" s="544"/>
      <c r="CH688" s="544"/>
      <c r="CI688" s="544"/>
      <c r="CJ688" s="544"/>
      <c r="CK688" s="427"/>
      <c r="CL688" s="427"/>
      <c r="CM688" s="427"/>
      <c r="CN688" s="544"/>
      <c r="CO688" s="544"/>
      <c r="CP688" s="544"/>
      <c r="CQ688" s="544"/>
      <c r="CR688" s="544"/>
      <c r="CS688" s="544"/>
    </row>
    <row r="689" s="431" customFormat="1" ht="31" hidden="1" customHeight="1" spans="1:97">
      <c r="A689" s="518">
        <v>45988</v>
      </c>
      <c r="B689" s="519" t="s">
        <v>128</v>
      </c>
      <c r="C689" s="520" t="s">
        <v>90</v>
      </c>
      <c r="D689" s="427">
        <v>4500187244</v>
      </c>
      <c r="E689" s="890" t="s">
        <v>2504</v>
      </c>
      <c r="F689" s="427" t="s">
        <v>2505</v>
      </c>
      <c r="G689" s="521" t="s">
        <v>93</v>
      </c>
      <c r="H689" s="520" t="s">
        <v>94</v>
      </c>
      <c r="I689" s="520">
        <v>10240</v>
      </c>
      <c r="J689" s="520">
        <v>0</v>
      </c>
      <c r="K689" s="520">
        <v>4</v>
      </c>
      <c r="L689" s="804">
        <f t="shared" si="211"/>
        <v>2560</v>
      </c>
      <c r="M689" s="537">
        <v>46034</v>
      </c>
      <c r="N689" s="537">
        <v>46030</v>
      </c>
      <c r="O689" s="526" t="s">
        <v>2506</v>
      </c>
      <c r="P689" s="526" t="s">
        <v>103</v>
      </c>
      <c r="Q689" s="530"/>
      <c r="R689" s="530" t="s">
        <v>2021</v>
      </c>
      <c r="S689" s="533" t="s">
        <v>66</v>
      </c>
      <c r="T689" s="533" t="s">
        <v>133</v>
      </c>
      <c r="U689" s="532"/>
      <c r="V689" s="532"/>
      <c r="W689" s="532" t="s">
        <v>1281</v>
      </c>
      <c r="X689" s="540" t="s">
        <v>98</v>
      </c>
      <c r="Y689" s="538">
        <v>2.5537</v>
      </c>
      <c r="Z689" s="808">
        <f t="shared" si="222"/>
        <v>26149.888</v>
      </c>
      <c r="AA689" s="521"/>
      <c r="AB689" s="521" t="s">
        <v>93</v>
      </c>
      <c r="AC689" s="520" t="s">
        <v>76</v>
      </c>
      <c r="AD689" s="521"/>
      <c r="AE689" s="521"/>
      <c r="AF689" s="521">
        <v>1</v>
      </c>
      <c r="AG689" s="521">
        <v>10240</v>
      </c>
      <c r="AH689" s="521">
        <f t="shared" si="215"/>
        <v>0</v>
      </c>
      <c r="AI689" s="521"/>
      <c r="AJ689" s="521" t="s">
        <v>2191</v>
      </c>
      <c r="AK689" s="543"/>
      <c r="AL689" s="543">
        <f t="shared" si="223"/>
        <v>10240</v>
      </c>
      <c r="AM689" s="628"/>
      <c r="AN689" s="628"/>
      <c r="AO689" s="628"/>
      <c r="AP689" s="543">
        <f t="shared" si="224"/>
        <v>10240</v>
      </c>
      <c r="AQ689" s="543"/>
      <c r="AR689" s="543">
        <f t="shared" si="220"/>
        <v>10240</v>
      </c>
      <c r="AS689" s="543"/>
      <c r="AT689" s="543">
        <f t="shared" si="221"/>
        <v>10240</v>
      </c>
      <c r="AU689" s="546"/>
      <c r="AV689" s="427"/>
      <c r="AW689" s="427"/>
      <c r="AX689" s="427"/>
      <c r="AY689" s="427"/>
      <c r="AZ689" s="543"/>
      <c r="BA689" s="543"/>
      <c r="BB689" s="427"/>
      <c r="BC689" s="427"/>
      <c r="BD689" s="543">
        <f t="shared" si="225"/>
        <v>2560</v>
      </c>
      <c r="BE689" s="543"/>
      <c r="BF689" s="427"/>
      <c r="BG689" s="427"/>
      <c r="BH689" s="427"/>
      <c r="BI689" s="427"/>
      <c r="BJ689" s="427"/>
      <c r="BK689" s="427"/>
      <c r="BL689" s="427"/>
      <c r="BM689" s="427"/>
      <c r="BN689" s="835"/>
      <c r="BO689" s="427"/>
      <c r="BP689" s="427"/>
      <c r="BQ689" s="427"/>
      <c r="BR689" s="427"/>
      <c r="BS689" s="427"/>
      <c r="BT689" s="427"/>
      <c r="BU689" s="427"/>
      <c r="BV689" s="427"/>
      <c r="BW689" s="427"/>
      <c r="BX689" s="427"/>
      <c r="BY689" s="427"/>
      <c r="BZ689" s="427"/>
      <c r="CA689" s="427"/>
      <c r="CB689" s="427"/>
      <c r="CC689" s="427"/>
      <c r="CD689" s="427"/>
      <c r="CE689" s="427"/>
      <c r="CF689" s="544"/>
      <c r="CG689" s="544"/>
      <c r="CH689" s="544"/>
      <c r="CI689" s="544"/>
      <c r="CJ689" s="544"/>
      <c r="CK689" s="427"/>
      <c r="CL689" s="427"/>
      <c r="CM689" s="427"/>
      <c r="CN689" s="544"/>
      <c r="CO689" s="544"/>
      <c r="CP689" s="544"/>
      <c r="CQ689" s="544"/>
      <c r="CR689" s="544"/>
      <c r="CS689" s="544"/>
    </row>
    <row r="690" s="431" customFormat="1" ht="31" hidden="1" customHeight="1" spans="1:97">
      <c r="A690" s="518">
        <v>45988</v>
      </c>
      <c r="B690" s="519" t="s">
        <v>128</v>
      </c>
      <c r="C690" s="520" t="s">
        <v>90</v>
      </c>
      <c r="D690" s="427">
        <v>4500187244</v>
      </c>
      <c r="E690" s="890" t="s">
        <v>2507</v>
      </c>
      <c r="F690" s="427" t="s">
        <v>2508</v>
      </c>
      <c r="G690" s="521" t="s">
        <v>93</v>
      </c>
      <c r="H690" s="520" t="s">
        <v>94</v>
      </c>
      <c r="I690" s="520">
        <v>3200</v>
      </c>
      <c r="J690" s="520">
        <v>0</v>
      </c>
      <c r="K690" s="520">
        <v>4</v>
      </c>
      <c r="L690" s="804">
        <f t="shared" si="211"/>
        <v>800</v>
      </c>
      <c r="M690" s="537">
        <v>46034</v>
      </c>
      <c r="N690" s="537">
        <v>46030</v>
      </c>
      <c r="O690" s="526" t="s">
        <v>2499</v>
      </c>
      <c r="P690" s="526" t="s">
        <v>103</v>
      </c>
      <c r="Q690" s="530"/>
      <c r="R690" s="530" t="s">
        <v>2021</v>
      </c>
      <c r="S690" s="533" t="s">
        <v>66</v>
      </c>
      <c r="T690" s="533" t="s">
        <v>133</v>
      </c>
      <c r="U690" s="532"/>
      <c r="V690" s="532"/>
      <c r="W690" s="532" t="s">
        <v>1281</v>
      </c>
      <c r="X690" s="540" t="s">
        <v>98</v>
      </c>
      <c r="Y690" s="538">
        <v>2.5768</v>
      </c>
      <c r="Z690" s="808">
        <f t="shared" si="222"/>
        <v>8245.76</v>
      </c>
      <c r="AA690" s="521"/>
      <c r="AB690" s="521" t="s">
        <v>93</v>
      </c>
      <c r="AC690" s="520" t="s">
        <v>76</v>
      </c>
      <c r="AD690" s="521"/>
      <c r="AE690" s="521"/>
      <c r="AF690" s="521">
        <v>1</v>
      </c>
      <c r="AG690" s="521">
        <v>3200</v>
      </c>
      <c r="AH690" s="521">
        <f t="shared" si="215"/>
        <v>0</v>
      </c>
      <c r="AI690" s="521"/>
      <c r="AJ690" s="521" t="s">
        <v>2191</v>
      </c>
      <c r="AK690" s="543"/>
      <c r="AL690" s="543">
        <f t="shared" si="223"/>
        <v>3200</v>
      </c>
      <c r="AM690" s="628"/>
      <c r="AN690" s="628"/>
      <c r="AO690" s="628"/>
      <c r="AP690" s="543">
        <f t="shared" si="224"/>
        <v>3200</v>
      </c>
      <c r="AQ690" s="543"/>
      <c r="AR690" s="543">
        <f t="shared" si="220"/>
        <v>3200</v>
      </c>
      <c r="AS690" s="543"/>
      <c r="AT690" s="543">
        <f t="shared" si="221"/>
        <v>3200</v>
      </c>
      <c r="AU690" s="546"/>
      <c r="AV690" s="427"/>
      <c r="AW690" s="427"/>
      <c r="AX690" s="427"/>
      <c r="AY690" s="427"/>
      <c r="AZ690" s="543"/>
      <c r="BA690" s="543"/>
      <c r="BB690" s="427"/>
      <c r="BC690" s="427"/>
      <c r="BD690" s="543">
        <f t="shared" si="225"/>
        <v>800</v>
      </c>
      <c r="BE690" s="543"/>
      <c r="BF690" s="427"/>
      <c r="BG690" s="427"/>
      <c r="BH690" s="427"/>
      <c r="BI690" s="427"/>
      <c r="BJ690" s="427"/>
      <c r="BK690" s="427"/>
      <c r="BL690" s="427"/>
      <c r="BM690" s="427"/>
      <c r="BN690" s="835"/>
      <c r="BO690" s="427"/>
      <c r="BP690" s="427"/>
      <c r="BQ690" s="427"/>
      <c r="BR690" s="427"/>
      <c r="BS690" s="427"/>
      <c r="BT690" s="427"/>
      <c r="BU690" s="427"/>
      <c r="BV690" s="427"/>
      <c r="BW690" s="427"/>
      <c r="BX690" s="427"/>
      <c r="BY690" s="427"/>
      <c r="BZ690" s="427"/>
      <c r="CA690" s="427"/>
      <c r="CB690" s="427"/>
      <c r="CC690" s="427"/>
      <c r="CD690" s="427"/>
      <c r="CE690" s="427"/>
      <c r="CF690" s="544"/>
      <c r="CG690" s="544"/>
      <c r="CH690" s="544"/>
      <c r="CI690" s="544"/>
      <c r="CJ690" s="544"/>
      <c r="CK690" s="427"/>
      <c r="CL690" s="427"/>
      <c r="CM690" s="427"/>
      <c r="CN690" s="544"/>
      <c r="CO690" s="544"/>
      <c r="CP690" s="544"/>
      <c r="CQ690" s="544"/>
      <c r="CR690" s="544"/>
      <c r="CS690" s="544"/>
    </row>
    <row r="691" s="431" customFormat="1" ht="31" hidden="1" customHeight="1" spans="1:97">
      <c r="A691" s="518">
        <v>45994</v>
      </c>
      <c r="B691" s="519" t="s">
        <v>2509</v>
      </c>
      <c r="C691" s="520" t="s">
        <v>2510</v>
      </c>
      <c r="D691" s="427">
        <v>4500187931</v>
      </c>
      <c r="E691" s="520"/>
      <c r="F691" s="427" t="s">
        <v>2511</v>
      </c>
      <c r="G691" s="521" t="s">
        <v>93</v>
      </c>
      <c r="H691" s="520" t="s">
        <v>94</v>
      </c>
      <c r="I691" s="520">
        <v>208</v>
      </c>
      <c r="J691" s="520">
        <v>0</v>
      </c>
      <c r="K691" s="520">
        <v>4</v>
      </c>
      <c r="L691" s="804">
        <f t="shared" si="211"/>
        <v>52</v>
      </c>
      <c r="M691" s="537">
        <v>46034</v>
      </c>
      <c r="N691" s="537">
        <v>46030</v>
      </c>
      <c r="O691" s="526"/>
      <c r="P691" s="526" t="s">
        <v>103</v>
      </c>
      <c r="Q691" s="530"/>
      <c r="R691" s="530">
        <v>45995</v>
      </c>
      <c r="S691" s="533" t="s">
        <v>66</v>
      </c>
      <c r="T691" s="533" t="s">
        <v>66</v>
      </c>
      <c r="U691" s="532"/>
      <c r="V691" s="532"/>
      <c r="W691" s="532" t="s">
        <v>2512</v>
      </c>
      <c r="X691" s="540" t="s">
        <v>1663</v>
      </c>
      <c r="Y691" s="538">
        <v>4.2501</v>
      </c>
      <c r="Z691" s="808">
        <f t="shared" si="222"/>
        <v>884.0208</v>
      </c>
      <c r="AA691" s="521"/>
      <c r="AB691" s="521" t="s">
        <v>93</v>
      </c>
      <c r="AC691" s="520" t="s">
        <v>76</v>
      </c>
      <c r="AD691" s="521"/>
      <c r="AE691" s="521"/>
      <c r="AF691" s="521">
        <v>1</v>
      </c>
      <c r="AG691" s="521">
        <v>208</v>
      </c>
      <c r="AH691" s="521">
        <f t="shared" si="215"/>
        <v>0</v>
      </c>
      <c r="AI691" s="521"/>
      <c r="AJ691" s="521"/>
      <c r="AK691" s="543"/>
      <c r="AL691" s="543">
        <f t="shared" si="223"/>
        <v>208</v>
      </c>
      <c r="AM691" s="628"/>
      <c r="AN691" s="628"/>
      <c r="AO691" s="628"/>
      <c r="AP691" s="543">
        <f t="shared" si="224"/>
        <v>208</v>
      </c>
      <c r="AQ691" s="543"/>
      <c r="AR691" s="543">
        <f t="shared" si="220"/>
        <v>208</v>
      </c>
      <c r="AS691" s="543"/>
      <c r="AT691" s="543">
        <f t="shared" si="221"/>
        <v>208</v>
      </c>
      <c r="AU691" s="546"/>
      <c r="AV691" s="427"/>
      <c r="AW691" s="427"/>
      <c r="AX691" s="427"/>
      <c r="AY691" s="427"/>
      <c r="AZ691" s="543"/>
      <c r="BA691" s="543"/>
      <c r="BB691" s="427"/>
      <c r="BC691" s="427"/>
      <c r="BD691" s="543">
        <f t="shared" si="225"/>
        <v>52</v>
      </c>
      <c r="BE691" s="543"/>
      <c r="BF691" s="427"/>
      <c r="BG691" s="427"/>
      <c r="BH691" s="427"/>
      <c r="BI691" s="427"/>
      <c r="BJ691" s="427"/>
      <c r="BK691" s="427"/>
      <c r="BL691" s="427"/>
      <c r="BM691" s="427"/>
      <c r="BN691" s="835"/>
      <c r="BO691" s="427"/>
      <c r="BP691" s="427"/>
      <c r="BQ691" s="427"/>
      <c r="BR691" s="427"/>
      <c r="BS691" s="427"/>
      <c r="BT691" s="427"/>
      <c r="BU691" s="427"/>
      <c r="BV691" s="427"/>
      <c r="BW691" s="427"/>
      <c r="BX691" s="427"/>
      <c r="BY691" s="427"/>
      <c r="BZ691" s="427"/>
      <c r="CA691" s="427"/>
      <c r="CB691" s="427"/>
      <c r="CC691" s="427"/>
      <c r="CD691" s="427"/>
      <c r="CE691" s="427"/>
      <c r="CF691" s="544"/>
      <c r="CG691" s="544"/>
      <c r="CH691" s="544"/>
      <c r="CI691" s="544"/>
      <c r="CJ691" s="544"/>
      <c r="CK691" s="427"/>
      <c r="CL691" s="427"/>
      <c r="CM691" s="427"/>
      <c r="CN691" s="544"/>
      <c r="CO691" s="544"/>
      <c r="CP691" s="544"/>
      <c r="CQ691" s="544"/>
      <c r="CR691" s="544"/>
      <c r="CS691" s="544"/>
    </row>
    <row r="692" s="431" customFormat="1" ht="31" hidden="1" customHeight="1" spans="1:97">
      <c r="A692" s="518">
        <v>45951</v>
      </c>
      <c r="B692" s="519" t="s">
        <v>2513</v>
      </c>
      <c r="C692" s="520" t="s">
        <v>153</v>
      </c>
      <c r="D692" s="427">
        <v>4500182548</v>
      </c>
      <c r="E692" s="520">
        <v>942104</v>
      </c>
      <c r="F692" s="427" t="s">
        <v>2514</v>
      </c>
      <c r="G692" s="521" t="s">
        <v>93</v>
      </c>
      <c r="H692" s="520" t="s">
        <v>94</v>
      </c>
      <c r="I692" s="520">
        <v>320</v>
      </c>
      <c r="J692" s="520">
        <v>0</v>
      </c>
      <c r="K692" s="520">
        <v>4</v>
      </c>
      <c r="L692" s="804">
        <f t="shared" si="211"/>
        <v>80</v>
      </c>
      <c r="M692" s="537">
        <v>46034</v>
      </c>
      <c r="N692" s="537">
        <v>46030</v>
      </c>
      <c r="O692" s="526"/>
      <c r="P692" s="526" t="s">
        <v>103</v>
      </c>
      <c r="Q692" s="530"/>
      <c r="R692" s="530">
        <v>45961</v>
      </c>
      <c r="S692" s="533" t="s">
        <v>66</v>
      </c>
      <c r="T692" s="533">
        <v>45951</v>
      </c>
      <c r="U692" s="532" t="s">
        <v>406</v>
      </c>
      <c r="V692" s="532"/>
      <c r="W692" s="532" t="s">
        <v>2515</v>
      </c>
      <c r="X692" s="540" t="s">
        <v>1213</v>
      </c>
      <c r="Y692" s="538">
        <v>4.3</v>
      </c>
      <c r="Z692" s="808">
        <f t="shared" si="222"/>
        <v>1376</v>
      </c>
      <c r="AA692" s="521"/>
      <c r="AB692" s="521" t="s">
        <v>93</v>
      </c>
      <c r="AC692" s="520" t="s">
        <v>76</v>
      </c>
      <c r="AD692" s="521"/>
      <c r="AE692" s="521"/>
      <c r="AF692" s="521">
        <v>1</v>
      </c>
      <c r="AG692" s="521">
        <v>320</v>
      </c>
      <c r="AH692" s="521">
        <f t="shared" si="215"/>
        <v>0</v>
      </c>
      <c r="AI692" s="521"/>
      <c r="AJ692" s="521"/>
      <c r="AK692" s="543"/>
      <c r="AL692" s="543">
        <f t="shared" si="223"/>
        <v>320</v>
      </c>
      <c r="AM692" s="628"/>
      <c r="AN692" s="628"/>
      <c r="AO692" s="628"/>
      <c r="AP692" s="543">
        <f t="shared" si="224"/>
        <v>320</v>
      </c>
      <c r="AQ692" s="543"/>
      <c r="AR692" s="543">
        <f t="shared" si="220"/>
        <v>320</v>
      </c>
      <c r="AS692" s="543"/>
      <c r="AT692" s="543">
        <f t="shared" si="221"/>
        <v>320</v>
      </c>
      <c r="AU692" s="546"/>
      <c r="AV692" s="427"/>
      <c r="AW692" s="427"/>
      <c r="AX692" s="427"/>
      <c r="AY692" s="427"/>
      <c r="AZ692" s="543"/>
      <c r="BA692" s="543"/>
      <c r="BB692" s="427"/>
      <c r="BC692" s="427"/>
      <c r="BD692" s="543">
        <f t="shared" si="225"/>
        <v>80</v>
      </c>
      <c r="BE692" s="543"/>
      <c r="BF692" s="427"/>
      <c r="BG692" s="427"/>
      <c r="BH692" s="427"/>
      <c r="BI692" s="427"/>
      <c r="BJ692" s="427"/>
      <c r="BK692" s="427"/>
      <c r="BL692" s="427"/>
      <c r="BM692" s="427"/>
      <c r="BN692" s="835"/>
      <c r="BO692" s="427"/>
      <c r="BP692" s="427"/>
      <c r="BQ692" s="427"/>
      <c r="BR692" s="427"/>
      <c r="BS692" s="427"/>
      <c r="BT692" s="427"/>
      <c r="BU692" s="427"/>
      <c r="BV692" s="427"/>
      <c r="BW692" s="427"/>
      <c r="BX692" s="427"/>
      <c r="BY692" s="427"/>
      <c r="BZ692" s="427"/>
      <c r="CA692" s="427"/>
      <c r="CB692" s="427"/>
      <c r="CC692" s="427"/>
      <c r="CD692" s="427"/>
      <c r="CE692" s="427"/>
      <c r="CF692" s="544"/>
      <c r="CG692" s="544"/>
      <c r="CH692" s="544"/>
      <c r="CI692" s="544"/>
      <c r="CJ692" s="544"/>
      <c r="CK692" s="427"/>
      <c r="CL692" s="427"/>
      <c r="CM692" s="427"/>
      <c r="CN692" s="544"/>
      <c r="CO692" s="544"/>
      <c r="CP692" s="544"/>
      <c r="CQ692" s="544"/>
      <c r="CR692" s="544"/>
      <c r="CS692" s="544"/>
    </row>
    <row r="693" s="431" customFormat="1" ht="31" hidden="1" customHeight="1" spans="1:97">
      <c r="A693" s="518">
        <v>45989</v>
      </c>
      <c r="B693" s="519" t="s">
        <v>220</v>
      </c>
      <c r="C693" s="520" t="s">
        <v>90</v>
      </c>
      <c r="D693" s="427">
        <v>4500187335</v>
      </c>
      <c r="E693" s="520" t="s">
        <v>2516</v>
      </c>
      <c r="F693" s="427" t="s">
        <v>2517</v>
      </c>
      <c r="G693" s="521" t="s">
        <v>223</v>
      </c>
      <c r="H693" s="520" t="s">
        <v>224</v>
      </c>
      <c r="I693" s="520">
        <v>9000</v>
      </c>
      <c r="J693" s="520">
        <v>0</v>
      </c>
      <c r="K693" s="520">
        <v>4</v>
      </c>
      <c r="L693" s="804">
        <f t="shared" si="211"/>
        <v>2250</v>
      </c>
      <c r="M693" s="537">
        <v>46035</v>
      </c>
      <c r="N693" s="537">
        <f>M693-4</f>
        <v>46031</v>
      </c>
      <c r="O693" s="526"/>
      <c r="P693" s="526" t="s">
        <v>103</v>
      </c>
      <c r="Q693" s="530"/>
      <c r="R693" s="530">
        <v>46006</v>
      </c>
      <c r="S693" s="533" t="s">
        <v>96</v>
      </c>
      <c r="T693" s="533">
        <v>46013</v>
      </c>
      <c r="U693" s="532"/>
      <c r="V693" s="532"/>
      <c r="W693" s="532" t="s">
        <v>2518</v>
      </c>
      <c r="X693" s="540" t="s">
        <v>226</v>
      </c>
      <c r="Y693" s="538">
        <v>2.7832</v>
      </c>
      <c r="Z693" s="808">
        <f t="shared" ref="Z687:Z710" si="226">Y693*I693</f>
        <v>25048.8</v>
      </c>
      <c r="AA693" s="521"/>
      <c r="AB693" s="521" t="s">
        <v>223</v>
      </c>
      <c r="AC693" s="520" t="s">
        <v>76</v>
      </c>
      <c r="AD693" s="521"/>
      <c r="AE693" s="521"/>
      <c r="AF693" s="521"/>
      <c r="AG693" s="521">
        <f>2880+6120</f>
        <v>9000</v>
      </c>
      <c r="AH693" s="521">
        <f t="shared" ref="AH685:AH739" si="227">AG693-I693</f>
        <v>0</v>
      </c>
      <c r="AI693" s="521"/>
      <c r="AJ693" s="521"/>
      <c r="AK693" s="543"/>
      <c r="AL693" s="543"/>
      <c r="AM693" s="628"/>
      <c r="AN693" s="628">
        <f>I693</f>
        <v>9000</v>
      </c>
      <c r="AO693" s="628"/>
      <c r="AP693" s="543"/>
      <c r="AQ693" s="543"/>
      <c r="AR693" s="543"/>
      <c r="AS693" s="543"/>
      <c r="AT693" s="543">
        <f t="shared" si="221"/>
        <v>9000</v>
      </c>
      <c r="AU693" s="546"/>
      <c r="AV693" s="427"/>
      <c r="AW693" s="427"/>
      <c r="AX693" s="427"/>
      <c r="AY693" s="427"/>
      <c r="AZ693" s="543"/>
      <c r="BA693" s="543"/>
      <c r="BB693" s="427">
        <f>I693</f>
        <v>9000</v>
      </c>
      <c r="BC693" s="427">
        <f>I693</f>
        <v>9000</v>
      </c>
      <c r="BD693" s="543">
        <f t="shared" si="225"/>
        <v>2250</v>
      </c>
      <c r="BE693" s="543"/>
      <c r="BF693" s="427"/>
      <c r="BG693" s="427"/>
      <c r="BH693" s="427"/>
      <c r="BI693" s="427"/>
      <c r="BJ693" s="427"/>
      <c r="BK693" s="427"/>
      <c r="BL693" s="427"/>
      <c r="BM693" s="427"/>
      <c r="BN693" s="835"/>
      <c r="BO693" s="427"/>
      <c r="BP693" s="427"/>
      <c r="BQ693" s="427"/>
      <c r="BR693" s="427"/>
      <c r="BS693" s="427"/>
      <c r="BT693" s="427"/>
      <c r="BU693" s="427"/>
      <c r="BV693" s="427"/>
      <c r="BW693" s="427"/>
      <c r="BX693" s="427"/>
      <c r="BY693" s="427"/>
      <c r="BZ693" s="427"/>
      <c r="CA693" s="427"/>
      <c r="CB693" s="427"/>
      <c r="CC693" s="427"/>
      <c r="CD693" s="427"/>
      <c r="CE693" s="427"/>
      <c r="CF693" s="544"/>
      <c r="CG693" s="544"/>
      <c r="CH693" s="544"/>
      <c r="CI693" s="544"/>
      <c r="CJ693" s="544"/>
      <c r="CK693" s="427"/>
      <c r="CL693" s="427"/>
      <c r="CM693" s="427"/>
      <c r="CN693" s="544"/>
      <c r="CO693" s="544"/>
      <c r="CP693" s="544"/>
      <c r="CQ693" s="544"/>
      <c r="CR693" s="544"/>
      <c r="CS693" s="544"/>
    </row>
    <row r="694" s="431" customFormat="1" ht="31" hidden="1" customHeight="1" spans="1:97">
      <c r="A694" s="518">
        <v>45968</v>
      </c>
      <c r="B694" s="519" t="s">
        <v>788</v>
      </c>
      <c r="C694" s="520" t="s">
        <v>90</v>
      </c>
      <c r="D694" s="427">
        <v>4500184978</v>
      </c>
      <c r="E694" s="520" t="s">
        <v>2519</v>
      </c>
      <c r="F694" s="427" t="s">
        <v>2520</v>
      </c>
      <c r="G694" s="521" t="s">
        <v>186</v>
      </c>
      <c r="H694" s="520" t="s">
        <v>94</v>
      </c>
      <c r="I694" s="520">
        <v>1256</v>
      </c>
      <c r="J694" s="520">
        <v>0</v>
      </c>
      <c r="K694" s="520">
        <v>4</v>
      </c>
      <c r="L694" s="804">
        <f t="shared" si="211"/>
        <v>314</v>
      </c>
      <c r="M694" s="537">
        <v>46036</v>
      </c>
      <c r="N694" s="537">
        <v>46032</v>
      </c>
      <c r="O694" s="526"/>
      <c r="P694" s="526" t="s">
        <v>103</v>
      </c>
      <c r="Q694" s="530"/>
      <c r="R694" s="530">
        <v>45985</v>
      </c>
      <c r="S694" s="533" t="s">
        <v>66</v>
      </c>
      <c r="T694" s="533" t="s">
        <v>66</v>
      </c>
      <c r="U694" s="532"/>
      <c r="V694" s="532"/>
      <c r="W694" s="532" t="s">
        <v>2521</v>
      </c>
      <c r="X694" s="540" t="s">
        <v>794</v>
      </c>
      <c r="Y694" s="538">
        <v>2.5502</v>
      </c>
      <c r="Z694" s="808">
        <f t="shared" si="226"/>
        <v>3203.0512</v>
      </c>
      <c r="AA694" s="521"/>
      <c r="AB694" s="521" t="s">
        <v>186</v>
      </c>
      <c r="AC694" s="520" t="s">
        <v>76</v>
      </c>
      <c r="AD694" s="521"/>
      <c r="AE694" s="521"/>
      <c r="AF694" s="521">
        <v>1</v>
      </c>
      <c r="AG694" s="521">
        <v>1256</v>
      </c>
      <c r="AH694" s="521">
        <f t="shared" si="227"/>
        <v>0</v>
      </c>
      <c r="AI694" s="521"/>
      <c r="AJ694" s="521"/>
      <c r="AK694" s="543"/>
      <c r="AL694" s="543">
        <f>I694</f>
        <v>1256</v>
      </c>
      <c r="AM694" s="628"/>
      <c r="AN694" s="628"/>
      <c r="AO694" s="628"/>
      <c r="AP694" s="543">
        <f>I694</f>
        <v>1256</v>
      </c>
      <c r="AQ694" s="543"/>
      <c r="AR694" s="543">
        <f>I694</f>
        <v>1256</v>
      </c>
      <c r="AS694" s="543"/>
      <c r="AT694" s="543">
        <f t="shared" si="221"/>
        <v>1256</v>
      </c>
      <c r="AU694" s="546"/>
      <c r="AV694" s="427"/>
      <c r="AW694" s="427"/>
      <c r="AX694" s="427"/>
      <c r="AY694" s="427"/>
      <c r="AZ694" s="543"/>
      <c r="BA694" s="543"/>
      <c r="BB694" s="427"/>
      <c r="BC694" s="427"/>
      <c r="BD694" s="543"/>
      <c r="BE694" s="543"/>
      <c r="BF694" s="427"/>
      <c r="BG694" s="427"/>
      <c r="BH694" s="427"/>
      <c r="BI694" s="427"/>
      <c r="BJ694" s="427"/>
      <c r="BK694" s="427"/>
      <c r="BL694" s="427"/>
      <c r="BM694" s="427"/>
      <c r="BN694" s="835"/>
      <c r="BO694" s="427"/>
      <c r="BP694" s="427"/>
      <c r="BQ694" s="427"/>
      <c r="BR694" s="427"/>
      <c r="BS694" s="427"/>
      <c r="BT694" s="427"/>
      <c r="BU694" s="427"/>
      <c r="BV694" s="427"/>
      <c r="BW694" s="427"/>
      <c r="BX694" s="427"/>
      <c r="BY694" s="427"/>
      <c r="BZ694" s="427"/>
      <c r="CA694" s="427"/>
      <c r="CB694" s="427"/>
      <c r="CC694" s="427"/>
      <c r="CD694" s="427"/>
      <c r="CE694" s="427"/>
      <c r="CF694" s="544"/>
      <c r="CG694" s="544"/>
      <c r="CH694" s="544"/>
      <c r="CI694" s="544"/>
      <c r="CJ694" s="544"/>
      <c r="CK694" s="427"/>
      <c r="CL694" s="427"/>
      <c r="CM694" s="427"/>
      <c r="CN694" s="544"/>
      <c r="CO694" s="544"/>
      <c r="CP694" s="544"/>
      <c r="CQ694" s="544"/>
      <c r="CR694" s="544"/>
      <c r="CS694" s="544"/>
    </row>
    <row r="695" s="431" customFormat="1" ht="31" hidden="1" customHeight="1" spans="1:97">
      <c r="A695" s="518">
        <v>45946</v>
      </c>
      <c r="B695" s="519" t="s">
        <v>1314</v>
      </c>
      <c r="C695" s="520" t="s">
        <v>366</v>
      </c>
      <c r="D695" s="427">
        <v>4500182177</v>
      </c>
      <c r="E695" s="520">
        <v>5200007981</v>
      </c>
      <c r="F695" s="427" t="s">
        <v>2522</v>
      </c>
      <c r="G695" s="521" t="s">
        <v>141</v>
      </c>
      <c r="H695" s="520" t="s">
        <v>94</v>
      </c>
      <c r="I695" s="520">
        <v>1200</v>
      </c>
      <c r="J695" s="520">
        <v>0</v>
      </c>
      <c r="K695" s="520">
        <v>4</v>
      </c>
      <c r="L695" s="804">
        <f t="shared" si="211"/>
        <v>300</v>
      </c>
      <c r="M695" s="537">
        <v>46037</v>
      </c>
      <c r="N695" s="537">
        <v>46034</v>
      </c>
      <c r="O695" s="526"/>
      <c r="P695" s="526" t="s">
        <v>103</v>
      </c>
      <c r="Q695" s="530"/>
      <c r="R695" s="530">
        <v>45947</v>
      </c>
      <c r="S695" s="533" t="s">
        <v>66</v>
      </c>
      <c r="T695" s="533" t="s">
        <v>2523</v>
      </c>
      <c r="U695" s="532"/>
      <c r="V695" s="532"/>
      <c r="W695" s="532" t="s">
        <v>2524</v>
      </c>
      <c r="X695" s="540" t="s">
        <v>370</v>
      </c>
      <c r="Y695" s="538">
        <v>4.3</v>
      </c>
      <c r="Z695" s="808">
        <f t="shared" si="226"/>
        <v>5160</v>
      </c>
      <c r="AA695" s="521"/>
      <c r="AB695" s="521" t="s">
        <v>141</v>
      </c>
      <c r="AC695" s="520" t="s">
        <v>76</v>
      </c>
      <c r="AD695" s="521"/>
      <c r="AE695" s="521"/>
      <c r="AF695" s="521">
        <v>1</v>
      </c>
      <c r="AG695" s="521">
        <v>1200</v>
      </c>
      <c r="AH695" s="521">
        <f t="shared" si="227"/>
        <v>0</v>
      </c>
      <c r="AI695" s="521"/>
      <c r="AJ695" s="521" t="s">
        <v>2191</v>
      </c>
      <c r="AK695" s="543"/>
      <c r="AL695" s="543">
        <f t="shared" ref="AL695:AL708" si="228">I695</f>
        <v>1200</v>
      </c>
      <c r="AM695" s="628"/>
      <c r="AN695" s="628"/>
      <c r="AO695" s="628"/>
      <c r="AP695" s="543"/>
      <c r="AQ695" s="543">
        <f>I695</f>
        <v>1200</v>
      </c>
      <c r="AR695" s="543">
        <f>I695</f>
        <v>1200</v>
      </c>
      <c r="AS695" s="543"/>
      <c r="AT695" s="543">
        <f t="shared" si="221"/>
        <v>1200</v>
      </c>
      <c r="AU695" s="546"/>
      <c r="AV695" s="427"/>
      <c r="AW695" s="427"/>
      <c r="AX695" s="427"/>
      <c r="AY695" s="427"/>
      <c r="AZ695" s="543"/>
      <c r="BA695" s="543"/>
      <c r="BB695" s="427"/>
      <c r="BC695" s="427"/>
      <c r="BD695" s="543"/>
      <c r="BE695" s="543">
        <f>I695/4</f>
        <v>300</v>
      </c>
      <c r="BF695" s="427"/>
      <c r="BG695" s="427"/>
      <c r="BH695" s="427"/>
      <c r="BI695" s="427"/>
      <c r="BJ695" s="427"/>
      <c r="BK695" s="427"/>
      <c r="BL695" s="427"/>
      <c r="BM695" s="427"/>
      <c r="BN695" s="835"/>
      <c r="BO695" s="427"/>
      <c r="BP695" s="427"/>
      <c r="BQ695" s="427"/>
      <c r="BR695" s="427"/>
      <c r="BS695" s="427"/>
      <c r="BT695" s="427"/>
      <c r="BU695" s="427"/>
      <c r="BV695" s="427"/>
      <c r="BW695" s="427"/>
      <c r="BX695" s="427"/>
      <c r="BY695" s="427"/>
      <c r="BZ695" s="427"/>
      <c r="CA695" s="427"/>
      <c r="CB695" s="427"/>
      <c r="CC695" s="427"/>
      <c r="CD695" s="427"/>
      <c r="CE695" s="427"/>
      <c r="CF695" s="544"/>
      <c r="CG695" s="544"/>
      <c r="CH695" s="544"/>
      <c r="CI695" s="544"/>
      <c r="CJ695" s="544"/>
      <c r="CK695" s="427"/>
      <c r="CL695" s="427"/>
      <c r="CM695" s="427"/>
      <c r="CN695" s="544"/>
      <c r="CO695" s="544"/>
      <c r="CP695" s="544"/>
      <c r="CQ695" s="544"/>
      <c r="CR695" s="544"/>
      <c r="CS695" s="544"/>
    </row>
    <row r="696" s="431" customFormat="1" ht="31" hidden="1" customHeight="1" spans="1:97">
      <c r="A696" s="518">
        <v>45952</v>
      </c>
      <c r="B696" s="519" t="s">
        <v>1669</v>
      </c>
      <c r="C696" s="520" t="s">
        <v>663</v>
      </c>
      <c r="D696" s="427">
        <v>4500178919</v>
      </c>
      <c r="E696" s="520">
        <v>5000001988</v>
      </c>
      <c r="F696" s="427" t="s">
        <v>2525</v>
      </c>
      <c r="G696" s="521" t="s">
        <v>463</v>
      </c>
      <c r="H696" s="520" t="s">
        <v>424</v>
      </c>
      <c r="I696" s="520">
        <v>660</v>
      </c>
      <c r="J696" s="520">
        <v>0</v>
      </c>
      <c r="K696" s="520">
        <v>6</v>
      </c>
      <c r="L696" s="804">
        <f t="shared" si="211"/>
        <v>110</v>
      </c>
      <c r="M696" s="537">
        <v>46037</v>
      </c>
      <c r="N696" s="537">
        <v>46034</v>
      </c>
      <c r="O696" s="526"/>
      <c r="P696" s="526" t="s">
        <v>103</v>
      </c>
      <c r="Q696" s="530"/>
      <c r="R696" s="530">
        <v>45960</v>
      </c>
      <c r="S696" s="784" t="s">
        <v>96</v>
      </c>
      <c r="T696" s="533" t="s">
        <v>2067</v>
      </c>
      <c r="U696" s="532"/>
      <c r="V696" s="532"/>
      <c r="W696" s="532" t="s">
        <v>2068</v>
      </c>
      <c r="X696" s="540" t="s">
        <v>1674</v>
      </c>
      <c r="Y696" s="538">
        <v>6.34</v>
      </c>
      <c r="Z696" s="808">
        <f t="shared" si="226"/>
        <v>4184.4</v>
      </c>
      <c r="AA696" s="521"/>
      <c r="AB696" s="521" t="s">
        <v>2069</v>
      </c>
      <c r="AC696" s="520" t="s">
        <v>76</v>
      </c>
      <c r="AD696" s="521"/>
      <c r="AE696" s="521"/>
      <c r="AF696" s="521">
        <v>1</v>
      </c>
      <c r="AG696" s="521">
        <v>660</v>
      </c>
      <c r="AH696" s="521">
        <f t="shared" si="227"/>
        <v>0</v>
      </c>
      <c r="AI696" s="521"/>
      <c r="AJ696" s="521"/>
      <c r="AK696" s="543"/>
      <c r="AL696" s="543">
        <f t="shared" si="228"/>
        <v>660</v>
      </c>
      <c r="AM696" s="628"/>
      <c r="AN696" s="628"/>
      <c r="AO696" s="628"/>
      <c r="AP696" s="543">
        <f>I696</f>
        <v>660</v>
      </c>
      <c r="AQ696" s="543"/>
      <c r="AR696" s="543"/>
      <c r="AS696" s="543">
        <f>I696</f>
        <v>660</v>
      </c>
      <c r="AT696" s="543"/>
      <c r="AU696" s="546">
        <f>I696</f>
        <v>660</v>
      </c>
      <c r="AV696" s="427"/>
      <c r="AW696" s="427"/>
      <c r="AX696" s="427"/>
      <c r="AY696" s="427"/>
      <c r="AZ696" s="543"/>
      <c r="BA696" s="543"/>
      <c r="BB696" s="427"/>
      <c r="BC696" s="427"/>
      <c r="BD696" s="543"/>
      <c r="BE696" s="543"/>
      <c r="BF696" s="427"/>
      <c r="BG696" s="427"/>
      <c r="BH696" s="427"/>
      <c r="BI696" s="427"/>
      <c r="BJ696" s="427">
        <f>I696</f>
        <v>660</v>
      </c>
      <c r="BK696" s="427"/>
      <c r="BL696" s="427"/>
      <c r="BM696" s="427"/>
      <c r="BN696" s="835"/>
      <c r="BO696" s="427"/>
      <c r="BP696" s="427"/>
      <c r="BQ696" s="427"/>
      <c r="BR696" s="427"/>
      <c r="BS696" s="427"/>
      <c r="BT696" s="427"/>
      <c r="BU696" s="427"/>
      <c r="BV696" s="427"/>
      <c r="BW696" s="427"/>
      <c r="BX696" s="427"/>
      <c r="BY696" s="427"/>
      <c r="BZ696" s="427"/>
      <c r="CA696" s="427"/>
      <c r="CB696" s="427"/>
      <c r="CC696" s="427"/>
      <c r="CD696" s="427"/>
      <c r="CE696" s="427"/>
      <c r="CF696" s="544"/>
      <c r="CG696" s="544"/>
      <c r="CH696" s="544"/>
      <c r="CI696" s="544"/>
      <c r="CJ696" s="544"/>
      <c r="CK696" s="427"/>
      <c r="CL696" s="427"/>
      <c r="CM696" s="427"/>
      <c r="CN696" s="544"/>
      <c r="CO696" s="544"/>
      <c r="CP696" s="544"/>
      <c r="CQ696" s="544"/>
      <c r="CR696" s="544"/>
      <c r="CS696" s="544"/>
    </row>
    <row r="697" s="431" customFormat="1" ht="31" hidden="1" customHeight="1" spans="1:97">
      <c r="A697" s="518">
        <v>45952</v>
      </c>
      <c r="B697" s="519" t="s">
        <v>1669</v>
      </c>
      <c r="C697" s="520" t="s">
        <v>663</v>
      </c>
      <c r="D697" s="427">
        <v>4500178919</v>
      </c>
      <c r="E697" s="520">
        <v>5000001988</v>
      </c>
      <c r="F697" s="427" t="s">
        <v>2526</v>
      </c>
      <c r="G697" s="521" t="s">
        <v>118</v>
      </c>
      <c r="H697" s="520" t="s">
        <v>119</v>
      </c>
      <c r="I697" s="520">
        <v>960</v>
      </c>
      <c r="J697" s="520">
        <v>0</v>
      </c>
      <c r="K697" s="520">
        <v>6</v>
      </c>
      <c r="L697" s="804">
        <f t="shared" si="211"/>
        <v>160</v>
      </c>
      <c r="M697" s="537">
        <v>46037</v>
      </c>
      <c r="N697" s="537">
        <v>46034</v>
      </c>
      <c r="O697" s="526"/>
      <c r="P697" s="526" t="s">
        <v>103</v>
      </c>
      <c r="Q697" s="530"/>
      <c r="R697" s="530">
        <v>45960</v>
      </c>
      <c r="S697" s="784" t="s">
        <v>96</v>
      </c>
      <c r="T697" s="533" t="s">
        <v>2067</v>
      </c>
      <c r="U697" s="532"/>
      <c r="V697" s="532"/>
      <c r="W697" s="532" t="s">
        <v>2045</v>
      </c>
      <c r="X697" s="540" t="s">
        <v>1674</v>
      </c>
      <c r="Y697" s="538">
        <v>4.147</v>
      </c>
      <c r="Z697" s="808">
        <f t="shared" si="226"/>
        <v>3981.12</v>
      </c>
      <c r="AA697" s="521"/>
      <c r="AB697" s="521" t="s">
        <v>2047</v>
      </c>
      <c r="AC697" s="520" t="s">
        <v>76</v>
      </c>
      <c r="AD697" s="521"/>
      <c r="AE697" s="521"/>
      <c r="AF697" s="521">
        <v>1</v>
      </c>
      <c r="AG697" s="521">
        <v>960</v>
      </c>
      <c r="AH697" s="521">
        <f t="shared" si="227"/>
        <v>0</v>
      </c>
      <c r="AI697" s="521"/>
      <c r="AJ697" s="521"/>
      <c r="AK697" s="543"/>
      <c r="AL697" s="543">
        <f t="shared" si="228"/>
        <v>960</v>
      </c>
      <c r="AM697" s="628"/>
      <c r="AN697" s="628"/>
      <c r="AO697" s="628"/>
      <c r="AP697" s="543">
        <f>I697</f>
        <v>960</v>
      </c>
      <c r="AQ697" s="543"/>
      <c r="AR697" s="543"/>
      <c r="AS697" s="543">
        <f>I697</f>
        <v>960</v>
      </c>
      <c r="AT697" s="543"/>
      <c r="AU697" s="546">
        <f>I697</f>
        <v>960</v>
      </c>
      <c r="AV697" s="427"/>
      <c r="AW697" s="427"/>
      <c r="AX697" s="427"/>
      <c r="AY697" s="427"/>
      <c r="AZ697" s="543"/>
      <c r="BA697" s="543"/>
      <c r="BB697" s="427"/>
      <c r="BC697" s="427"/>
      <c r="BD697" s="543"/>
      <c r="BE697" s="543"/>
      <c r="BF697" s="427"/>
      <c r="BG697" s="427"/>
      <c r="BH697" s="427"/>
      <c r="BI697" s="427"/>
      <c r="BJ697" s="427"/>
      <c r="BK697" s="427"/>
      <c r="BL697" s="427"/>
      <c r="BM697" s="427"/>
      <c r="BN697" s="835"/>
      <c r="BO697" s="427"/>
      <c r="BP697" s="427"/>
      <c r="BQ697" s="427"/>
      <c r="BR697" s="427"/>
      <c r="BS697" s="427"/>
      <c r="BT697" s="427"/>
      <c r="BU697" s="427"/>
      <c r="BV697" s="427"/>
      <c r="BW697" s="427"/>
      <c r="BX697" s="427"/>
      <c r="BY697" s="427"/>
      <c r="BZ697" s="427"/>
      <c r="CA697" s="427"/>
      <c r="CB697" s="427"/>
      <c r="CC697" s="427"/>
      <c r="CD697" s="427"/>
      <c r="CE697" s="427"/>
      <c r="CF697" s="544"/>
      <c r="CG697" s="544"/>
      <c r="CH697" s="544"/>
      <c r="CI697" s="544"/>
      <c r="CJ697" s="544"/>
      <c r="CK697" s="427"/>
      <c r="CL697" s="427"/>
      <c r="CM697" s="427"/>
      <c r="CN697" s="544"/>
      <c r="CO697" s="544"/>
      <c r="CP697" s="544"/>
      <c r="CQ697" s="544"/>
      <c r="CR697" s="544"/>
      <c r="CS697" s="544"/>
    </row>
    <row r="698" s="431" customFormat="1" ht="31" hidden="1" customHeight="1" spans="1:97">
      <c r="A698" s="518">
        <v>45952</v>
      </c>
      <c r="B698" s="519" t="s">
        <v>1669</v>
      </c>
      <c r="C698" s="520" t="s">
        <v>663</v>
      </c>
      <c r="D698" s="427">
        <v>4500178919</v>
      </c>
      <c r="E698" s="520">
        <v>5000001988</v>
      </c>
      <c r="F698" s="427" t="s">
        <v>2527</v>
      </c>
      <c r="G698" s="521" t="s">
        <v>118</v>
      </c>
      <c r="H698" s="520" t="s">
        <v>119</v>
      </c>
      <c r="I698" s="520">
        <v>3600</v>
      </c>
      <c r="J698" s="520">
        <v>0</v>
      </c>
      <c r="K698" s="520">
        <v>6</v>
      </c>
      <c r="L698" s="804">
        <f t="shared" si="211"/>
        <v>600</v>
      </c>
      <c r="M698" s="537">
        <v>46037</v>
      </c>
      <c r="N698" s="537">
        <v>46034</v>
      </c>
      <c r="O698" s="526"/>
      <c r="P698" s="526" t="s">
        <v>103</v>
      </c>
      <c r="Q698" s="530"/>
      <c r="R698" s="530">
        <v>45960</v>
      </c>
      <c r="S698" s="784" t="s">
        <v>96</v>
      </c>
      <c r="T698" s="533" t="s">
        <v>2067</v>
      </c>
      <c r="U698" s="532"/>
      <c r="V698" s="532"/>
      <c r="W698" s="532" t="s">
        <v>2045</v>
      </c>
      <c r="X698" s="540" t="s">
        <v>1674</v>
      </c>
      <c r="Y698" s="538">
        <v>4.147</v>
      </c>
      <c r="Z698" s="808">
        <f t="shared" si="226"/>
        <v>14929.2</v>
      </c>
      <c r="AA698" s="521"/>
      <c r="AB698" s="521" t="s">
        <v>2047</v>
      </c>
      <c r="AC698" s="520" t="s">
        <v>76</v>
      </c>
      <c r="AD698" s="521"/>
      <c r="AE698" s="521"/>
      <c r="AF698" s="521">
        <v>1</v>
      </c>
      <c r="AG698" s="521">
        <v>3600</v>
      </c>
      <c r="AH698" s="521">
        <f t="shared" si="227"/>
        <v>0</v>
      </c>
      <c r="AI698" s="521"/>
      <c r="AJ698" s="521"/>
      <c r="AK698" s="543"/>
      <c r="AL698" s="543">
        <f t="shared" si="228"/>
        <v>3600</v>
      </c>
      <c r="AM698" s="628"/>
      <c r="AN698" s="628"/>
      <c r="AO698" s="628"/>
      <c r="AP698" s="543">
        <f>I698</f>
        <v>3600</v>
      </c>
      <c r="AQ698" s="543"/>
      <c r="AR698" s="543"/>
      <c r="AS698" s="543">
        <f>I698</f>
        <v>3600</v>
      </c>
      <c r="AT698" s="543"/>
      <c r="AU698" s="546">
        <f>I698</f>
        <v>3600</v>
      </c>
      <c r="AV698" s="427"/>
      <c r="AW698" s="427"/>
      <c r="AX698" s="427"/>
      <c r="AY698" s="427"/>
      <c r="AZ698" s="543"/>
      <c r="BA698" s="543"/>
      <c r="BB698" s="427"/>
      <c r="BC698" s="427"/>
      <c r="BD698" s="543"/>
      <c r="BE698" s="543"/>
      <c r="BF698" s="427"/>
      <c r="BG698" s="427"/>
      <c r="BH698" s="427"/>
      <c r="BI698" s="427"/>
      <c r="BJ698" s="427"/>
      <c r="BK698" s="427"/>
      <c r="BL698" s="427"/>
      <c r="BM698" s="427"/>
      <c r="BN698" s="835"/>
      <c r="BO698" s="427"/>
      <c r="BP698" s="427"/>
      <c r="BQ698" s="427"/>
      <c r="BR698" s="427"/>
      <c r="BS698" s="427"/>
      <c r="BT698" s="427"/>
      <c r="BU698" s="427"/>
      <c r="BV698" s="427"/>
      <c r="BW698" s="427"/>
      <c r="BX698" s="427"/>
      <c r="BY698" s="427"/>
      <c r="BZ698" s="427"/>
      <c r="CA698" s="427"/>
      <c r="CB698" s="427"/>
      <c r="CC698" s="427"/>
      <c r="CD698" s="427"/>
      <c r="CE698" s="427"/>
      <c r="CF698" s="544"/>
      <c r="CG698" s="544"/>
      <c r="CH698" s="544"/>
      <c r="CI698" s="544"/>
      <c r="CJ698" s="544"/>
      <c r="CK698" s="427"/>
      <c r="CL698" s="427"/>
      <c r="CM698" s="427"/>
      <c r="CN698" s="544"/>
      <c r="CO698" s="544"/>
      <c r="CP698" s="544"/>
      <c r="CQ698" s="544"/>
      <c r="CR698" s="544"/>
      <c r="CS698" s="544"/>
    </row>
    <row r="699" s="431" customFormat="1" ht="31" hidden="1" customHeight="1" spans="1:97">
      <c r="A699" s="518">
        <v>45959</v>
      </c>
      <c r="B699" s="519" t="s">
        <v>2528</v>
      </c>
      <c r="C699" s="520" t="s">
        <v>759</v>
      </c>
      <c r="D699" s="427">
        <v>4500183488</v>
      </c>
      <c r="E699" s="520" t="s">
        <v>2529</v>
      </c>
      <c r="F699" s="427" t="s">
        <v>2530</v>
      </c>
      <c r="G699" s="521" t="s">
        <v>64</v>
      </c>
      <c r="H699" s="520" t="s">
        <v>65</v>
      </c>
      <c r="I699" s="520">
        <v>1092</v>
      </c>
      <c r="J699" s="520">
        <v>0</v>
      </c>
      <c r="K699" s="520">
        <v>12</v>
      </c>
      <c r="L699" s="804">
        <f t="shared" si="211"/>
        <v>91</v>
      </c>
      <c r="M699" s="537">
        <v>46037</v>
      </c>
      <c r="N699" s="537">
        <v>46034</v>
      </c>
      <c r="O699" s="526"/>
      <c r="P699" s="526" t="s">
        <v>103</v>
      </c>
      <c r="Q699" s="530"/>
      <c r="R699" s="530">
        <v>45959</v>
      </c>
      <c r="S699" s="533" t="s">
        <v>66</v>
      </c>
      <c r="T699" s="533" t="s">
        <v>2531</v>
      </c>
      <c r="U699" s="532"/>
      <c r="V699" s="532"/>
      <c r="W699" s="532" t="s">
        <v>2532</v>
      </c>
      <c r="X699" s="540" t="s">
        <v>2533</v>
      </c>
      <c r="Y699" s="538">
        <v>4.1623</v>
      </c>
      <c r="Z699" s="808">
        <f t="shared" si="226"/>
        <v>4545.2316</v>
      </c>
      <c r="AA699" s="521"/>
      <c r="AB699" s="521" t="s">
        <v>165</v>
      </c>
      <c r="AC699" s="520" t="s">
        <v>76</v>
      </c>
      <c r="AD699" s="521"/>
      <c r="AE699" s="521"/>
      <c r="AF699" s="521">
        <v>1</v>
      </c>
      <c r="AG699" s="521">
        <v>1092</v>
      </c>
      <c r="AH699" s="521">
        <f t="shared" si="227"/>
        <v>0</v>
      </c>
      <c r="AI699" s="521"/>
      <c r="AJ699" s="521" t="s">
        <v>2191</v>
      </c>
      <c r="AK699" s="543"/>
      <c r="AL699" s="543">
        <f t="shared" si="228"/>
        <v>1092</v>
      </c>
      <c r="AM699" s="628"/>
      <c r="AN699" s="628"/>
      <c r="AO699" s="628"/>
      <c r="AP699" s="543"/>
      <c r="AQ699" s="543">
        <f>I699</f>
        <v>1092</v>
      </c>
      <c r="AR699" s="543">
        <f>I699</f>
        <v>1092</v>
      </c>
      <c r="AS699" s="543"/>
      <c r="AT699" s="543">
        <f>I699</f>
        <v>1092</v>
      </c>
      <c r="AU699" s="546"/>
      <c r="AV699" s="427"/>
      <c r="AW699" s="427"/>
      <c r="AX699" s="427"/>
      <c r="AY699" s="427"/>
      <c r="AZ699" s="543"/>
      <c r="BA699" s="543"/>
      <c r="BB699" s="427"/>
      <c r="BC699" s="427"/>
      <c r="BD699" s="543"/>
      <c r="BE699" s="543"/>
      <c r="BF699" s="427"/>
      <c r="BG699" s="427"/>
      <c r="BH699" s="427"/>
      <c r="BI699" s="427"/>
      <c r="BJ699" s="427"/>
      <c r="BK699" s="427"/>
      <c r="BL699" s="427"/>
      <c r="BM699" s="427"/>
      <c r="BN699" s="835"/>
      <c r="BO699" s="427"/>
      <c r="BP699" s="427"/>
      <c r="BQ699" s="427"/>
      <c r="BR699" s="427"/>
      <c r="BS699" s="427"/>
      <c r="BT699" s="427"/>
      <c r="BU699" s="427"/>
      <c r="BV699" s="427"/>
      <c r="BW699" s="427"/>
      <c r="BX699" s="427"/>
      <c r="BY699" s="427"/>
      <c r="BZ699" s="427"/>
      <c r="CA699" s="427"/>
      <c r="CB699" s="427"/>
      <c r="CC699" s="427"/>
      <c r="CD699" s="427"/>
      <c r="CE699" s="427"/>
      <c r="CF699" s="544"/>
      <c r="CG699" s="544"/>
      <c r="CH699" s="544"/>
      <c r="CI699" s="544"/>
      <c r="CJ699" s="544"/>
      <c r="CK699" s="427"/>
      <c r="CL699" s="427"/>
      <c r="CM699" s="427"/>
      <c r="CN699" s="544"/>
      <c r="CO699" s="544"/>
      <c r="CP699" s="544"/>
      <c r="CQ699" s="544"/>
      <c r="CR699" s="544"/>
      <c r="CS699" s="544"/>
    </row>
    <row r="700" s="431" customFormat="1" ht="31" hidden="1" customHeight="1" spans="1:97">
      <c r="A700" s="518">
        <v>45961</v>
      </c>
      <c r="B700" s="519" t="s">
        <v>1669</v>
      </c>
      <c r="C700" s="520" t="s">
        <v>663</v>
      </c>
      <c r="D700" s="427">
        <v>4500178919</v>
      </c>
      <c r="E700" s="520">
        <v>5000001988</v>
      </c>
      <c r="F700" s="427" t="s">
        <v>2534</v>
      </c>
      <c r="G700" s="521" t="s">
        <v>463</v>
      </c>
      <c r="H700" s="520" t="s">
        <v>424</v>
      </c>
      <c r="I700" s="520">
        <v>1800</v>
      </c>
      <c r="J700" s="520">
        <v>0</v>
      </c>
      <c r="K700" s="520">
        <v>6</v>
      </c>
      <c r="L700" s="804">
        <f t="shared" si="211"/>
        <v>300</v>
      </c>
      <c r="M700" s="537">
        <v>46037</v>
      </c>
      <c r="N700" s="537">
        <v>46034</v>
      </c>
      <c r="O700" s="526"/>
      <c r="P700" s="526" t="s">
        <v>103</v>
      </c>
      <c r="Q700" s="530"/>
      <c r="R700" s="530">
        <v>45960</v>
      </c>
      <c r="S700" s="784" t="s">
        <v>96</v>
      </c>
      <c r="T700" s="533" t="s">
        <v>2067</v>
      </c>
      <c r="U700" s="532"/>
      <c r="V700" s="532"/>
      <c r="W700" s="532" t="s">
        <v>2068</v>
      </c>
      <c r="X700" s="540" t="s">
        <v>1674</v>
      </c>
      <c r="Y700" s="538">
        <v>6.3409</v>
      </c>
      <c r="Z700" s="808">
        <f t="shared" si="226"/>
        <v>11413.62</v>
      </c>
      <c r="AA700" s="521"/>
      <c r="AB700" s="521" t="s">
        <v>2069</v>
      </c>
      <c r="AC700" s="520" t="s">
        <v>76</v>
      </c>
      <c r="AD700" s="521"/>
      <c r="AE700" s="521"/>
      <c r="AF700" s="521">
        <v>1</v>
      </c>
      <c r="AG700" s="521">
        <v>1800</v>
      </c>
      <c r="AH700" s="521">
        <f t="shared" si="227"/>
        <v>0</v>
      </c>
      <c r="AI700" s="521"/>
      <c r="AJ700" s="521"/>
      <c r="AK700" s="543"/>
      <c r="AL700" s="543">
        <f t="shared" si="228"/>
        <v>1800</v>
      </c>
      <c r="AM700" s="628"/>
      <c r="AN700" s="628"/>
      <c r="AO700" s="628"/>
      <c r="AP700" s="543">
        <f>I700</f>
        <v>1800</v>
      </c>
      <c r="AQ700" s="543"/>
      <c r="AR700" s="543"/>
      <c r="AS700" s="543">
        <f>I700</f>
        <v>1800</v>
      </c>
      <c r="AT700" s="543"/>
      <c r="AU700" s="546">
        <f>I700</f>
        <v>1800</v>
      </c>
      <c r="AV700" s="427"/>
      <c r="AW700" s="427"/>
      <c r="AX700" s="427"/>
      <c r="AY700" s="427"/>
      <c r="AZ700" s="543"/>
      <c r="BA700" s="543"/>
      <c r="BB700" s="427"/>
      <c r="BC700" s="427"/>
      <c r="BD700" s="543"/>
      <c r="BE700" s="543"/>
      <c r="BF700" s="427"/>
      <c r="BG700" s="427"/>
      <c r="BH700" s="427"/>
      <c r="BI700" s="427"/>
      <c r="BJ700" s="427">
        <f>I700</f>
        <v>1800</v>
      </c>
      <c r="BK700" s="427"/>
      <c r="BL700" s="427"/>
      <c r="BM700" s="427"/>
      <c r="BN700" s="835"/>
      <c r="BO700" s="427"/>
      <c r="BP700" s="427"/>
      <c r="BQ700" s="427"/>
      <c r="BR700" s="427"/>
      <c r="BS700" s="427"/>
      <c r="BT700" s="427"/>
      <c r="BU700" s="427"/>
      <c r="BV700" s="427"/>
      <c r="BW700" s="427"/>
      <c r="BX700" s="427"/>
      <c r="BY700" s="427"/>
      <c r="BZ700" s="427"/>
      <c r="CA700" s="427"/>
      <c r="CB700" s="427"/>
      <c r="CC700" s="427"/>
      <c r="CD700" s="427"/>
      <c r="CE700" s="427"/>
      <c r="CF700" s="544"/>
      <c r="CG700" s="544"/>
      <c r="CH700" s="544"/>
      <c r="CI700" s="544"/>
      <c r="CJ700" s="544"/>
      <c r="CK700" s="427"/>
      <c r="CL700" s="427"/>
      <c r="CM700" s="427"/>
      <c r="CN700" s="544"/>
      <c r="CO700" s="544"/>
      <c r="CP700" s="544"/>
      <c r="CQ700" s="544"/>
      <c r="CR700" s="544"/>
      <c r="CS700" s="544"/>
    </row>
    <row r="701" s="431" customFormat="1" ht="31" hidden="1" customHeight="1" spans="1:97">
      <c r="A701" s="518">
        <v>45965</v>
      </c>
      <c r="B701" s="519" t="s">
        <v>509</v>
      </c>
      <c r="C701" s="520" t="s">
        <v>510</v>
      </c>
      <c r="D701" s="427">
        <v>4500184304</v>
      </c>
      <c r="E701" s="520"/>
      <c r="F701" s="427" t="s">
        <v>2535</v>
      </c>
      <c r="G701" s="521" t="s">
        <v>102</v>
      </c>
      <c r="H701" s="520" t="s">
        <v>65</v>
      </c>
      <c r="I701" s="520">
        <v>608</v>
      </c>
      <c r="J701" s="520">
        <v>0</v>
      </c>
      <c r="K701" s="520">
        <v>16</v>
      </c>
      <c r="L701" s="804">
        <f t="shared" si="211"/>
        <v>38</v>
      </c>
      <c r="M701" s="537">
        <v>46037</v>
      </c>
      <c r="N701" s="537">
        <v>46034</v>
      </c>
      <c r="O701" s="526"/>
      <c r="P701" s="526" t="s">
        <v>103</v>
      </c>
      <c r="Q701" s="530"/>
      <c r="R701" s="530">
        <v>45965</v>
      </c>
      <c r="S701" s="533" t="s">
        <v>66</v>
      </c>
      <c r="T701" s="533" t="s">
        <v>406</v>
      </c>
      <c r="U701" s="532"/>
      <c r="V701" s="532"/>
      <c r="W701" s="532" t="s">
        <v>2536</v>
      </c>
      <c r="X701" s="540" t="s">
        <v>515</v>
      </c>
      <c r="Y701" s="538">
        <v>4.2542</v>
      </c>
      <c r="Z701" s="808">
        <f t="shared" si="226"/>
        <v>2586.5536</v>
      </c>
      <c r="AA701" s="521"/>
      <c r="AB701" s="521" t="s">
        <v>102</v>
      </c>
      <c r="AC701" s="520" t="s">
        <v>76</v>
      </c>
      <c r="AD701" s="521"/>
      <c r="AE701" s="521"/>
      <c r="AF701" s="521">
        <v>1</v>
      </c>
      <c r="AG701" s="521">
        <v>608</v>
      </c>
      <c r="AH701" s="521">
        <f t="shared" si="227"/>
        <v>0</v>
      </c>
      <c r="AI701" s="521"/>
      <c r="AJ701" s="521" t="s">
        <v>2191</v>
      </c>
      <c r="AK701" s="543"/>
      <c r="AL701" s="543">
        <f t="shared" si="228"/>
        <v>608</v>
      </c>
      <c r="AM701" s="628"/>
      <c r="AN701" s="628"/>
      <c r="AO701" s="628"/>
      <c r="AP701" s="543">
        <f>I701</f>
        <v>608</v>
      </c>
      <c r="AQ701" s="543"/>
      <c r="AR701" s="543">
        <f>I701</f>
        <v>608</v>
      </c>
      <c r="AS701" s="543"/>
      <c r="AT701" s="543">
        <f>I701</f>
        <v>608</v>
      </c>
      <c r="AU701" s="546"/>
      <c r="AV701" s="427"/>
      <c r="AW701" s="427"/>
      <c r="AX701" s="427"/>
      <c r="AY701" s="427"/>
      <c r="AZ701" s="543"/>
      <c r="BA701" s="543"/>
      <c r="BB701" s="427"/>
      <c r="BC701" s="427"/>
      <c r="BD701" s="543">
        <f>I701/4</f>
        <v>152</v>
      </c>
      <c r="BE701" s="543"/>
      <c r="BF701" s="427"/>
      <c r="BG701" s="427"/>
      <c r="BH701" s="427"/>
      <c r="BI701" s="427"/>
      <c r="BJ701" s="427"/>
      <c r="BK701" s="427"/>
      <c r="BL701" s="427"/>
      <c r="BM701" s="427"/>
      <c r="BN701" s="835"/>
      <c r="BO701" s="427"/>
      <c r="BP701" s="427"/>
      <c r="BQ701" s="427"/>
      <c r="BR701" s="427"/>
      <c r="BS701" s="427"/>
      <c r="BT701" s="427"/>
      <c r="BU701" s="427"/>
      <c r="BV701" s="427"/>
      <c r="BW701" s="427"/>
      <c r="BX701" s="427"/>
      <c r="BY701" s="427"/>
      <c r="BZ701" s="427"/>
      <c r="CA701" s="427"/>
      <c r="CB701" s="427"/>
      <c r="CC701" s="427"/>
      <c r="CD701" s="427"/>
      <c r="CE701" s="427"/>
      <c r="CF701" s="544"/>
      <c r="CG701" s="544"/>
      <c r="CH701" s="544"/>
      <c r="CI701" s="544"/>
      <c r="CJ701" s="544"/>
      <c r="CK701" s="427"/>
      <c r="CL701" s="427"/>
      <c r="CM701" s="427"/>
      <c r="CN701" s="544"/>
      <c r="CO701" s="544"/>
      <c r="CP701" s="544"/>
      <c r="CQ701" s="544"/>
      <c r="CR701" s="544"/>
      <c r="CS701" s="544"/>
    </row>
    <row r="702" s="431" customFormat="1" ht="31" hidden="1" customHeight="1" spans="1:97">
      <c r="A702" s="518">
        <v>45974</v>
      </c>
      <c r="B702" s="519" t="s">
        <v>1669</v>
      </c>
      <c r="C702" s="520" t="s">
        <v>663</v>
      </c>
      <c r="D702" s="427">
        <v>4500178919</v>
      </c>
      <c r="E702" s="520">
        <v>5000001988</v>
      </c>
      <c r="F702" s="427" t="s">
        <v>2537</v>
      </c>
      <c r="G702" s="521" t="s">
        <v>463</v>
      </c>
      <c r="H702" s="520" t="s">
        <v>424</v>
      </c>
      <c r="I702" s="520">
        <v>1200</v>
      </c>
      <c r="J702" s="520">
        <v>0</v>
      </c>
      <c r="K702" s="520">
        <v>6</v>
      </c>
      <c r="L702" s="804">
        <f t="shared" si="211"/>
        <v>200</v>
      </c>
      <c r="M702" s="537">
        <v>46037</v>
      </c>
      <c r="N702" s="537">
        <v>46034</v>
      </c>
      <c r="O702" s="526"/>
      <c r="P702" s="526" t="s">
        <v>103</v>
      </c>
      <c r="Q702" s="530"/>
      <c r="R702" s="530">
        <v>45960</v>
      </c>
      <c r="S702" s="784" t="s">
        <v>96</v>
      </c>
      <c r="T702" s="533" t="s">
        <v>2067</v>
      </c>
      <c r="U702" s="532"/>
      <c r="V702" s="532"/>
      <c r="W702" s="532" t="s">
        <v>2538</v>
      </c>
      <c r="X702" s="540" t="s">
        <v>1674</v>
      </c>
      <c r="Y702" s="538">
        <v>6.3409</v>
      </c>
      <c r="Z702" s="808">
        <f t="shared" si="226"/>
        <v>7609.08</v>
      </c>
      <c r="AA702" s="521"/>
      <c r="AB702" s="521" t="s">
        <v>2069</v>
      </c>
      <c r="AC702" s="520" t="s">
        <v>76</v>
      </c>
      <c r="AD702" s="521"/>
      <c r="AE702" s="521"/>
      <c r="AF702" s="521">
        <v>1</v>
      </c>
      <c r="AG702" s="521">
        <v>1200</v>
      </c>
      <c r="AH702" s="521">
        <f t="shared" si="227"/>
        <v>0</v>
      </c>
      <c r="AI702" s="521"/>
      <c r="AJ702" s="521"/>
      <c r="AK702" s="543"/>
      <c r="AL702" s="543">
        <f t="shared" si="228"/>
        <v>1200</v>
      </c>
      <c r="AM702" s="628"/>
      <c r="AN702" s="628"/>
      <c r="AO702" s="628"/>
      <c r="AP702" s="543">
        <f>I702</f>
        <v>1200</v>
      </c>
      <c r="AQ702" s="543"/>
      <c r="AR702" s="543"/>
      <c r="AS702" s="543">
        <f>I702</f>
        <v>1200</v>
      </c>
      <c r="AT702" s="543"/>
      <c r="AU702" s="546">
        <f>I702</f>
        <v>1200</v>
      </c>
      <c r="AV702" s="427"/>
      <c r="AW702" s="427"/>
      <c r="AX702" s="427"/>
      <c r="AY702" s="427"/>
      <c r="AZ702" s="543"/>
      <c r="BA702" s="543"/>
      <c r="BB702" s="427"/>
      <c r="BC702" s="427"/>
      <c r="BD702" s="543"/>
      <c r="BE702" s="543"/>
      <c r="BF702" s="427"/>
      <c r="BG702" s="427"/>
      <c r="BH702" s="427"/>
      <c r="BI702" s="427"/>
      <c r="BJ702" s="427">
        <f>I702</f>
        <v>1200</v>
      </c>
      <c r="BK702" s="427"/>
      <c r="BL702" s="427"/>
      <c r="BM702" s="427"/>
      <c r="BN702" s="835"/>
      <c r="BO702" s="427"/>
      <c r="BP702" s="427"/>
      <c r="BQ702" s="427"/>
      <c r="BR702" s="427"/>
      <c r="BS702" s="427"/>
      <c r="BT702" s="427"/>
      <c r="BU702" s="427"/>
      <c r="BV702" s="427"/>
      <c r="BW702" s="427"/>
      <c r="BX702" s="427"/>
      <c r="BY702" s="427"/>
      <c r="BZ702" s="427"/>
      <c r="CA702" s="427"/>
      <c r="CB702" s="427"/>
      <c r="CC702" s="427"/>
      <c r="CD702" s="427"/>
      <c r="CE702" s="427"/>
      <c r="CF702" s="544"/>
      <c r="CG702" s="544"/>
      <c r="CH702" s="544"/>
      <c r="CI702" s="544"/>
      <c r="CJ702" s="544"/>
      <c r="CK702" s="427"/>
      <c r="CL702" s="427"/>
      <c r="CM702" s="427"/>
      <c r="CN702" s="544"/>
      <c r="CO702" s="544"/>
      <c r="CP702" s="544"/>
      <c r="CQ702" s="544"/>
      <c r="CR702" s="544"/>
      <c r="CS702" s="544"/>
    </row>
    <row r="703" s="431" customFormat="1" ht="31" hidden="1" customHeight="1" spans="1:97">
      <c r="A703" s="518">
        <v>45980</v>
      </c>
      <c r="B703" s="519" t="s">
        <v>1147</v>
      </c>
      <c r="C703" s="520" t="s">
        <v>468</v>
      </c>
      <c r="D703" s="427">
        <v>4500186234</v>
      </c>
      <c r="E703" s="520">
        <v>17242705</v>
      </c>
      <c r="F703" s="427" t="s">
        <v>2539</v>
      </c>
      <c r="G703" s="521" t="s">
        <v>64</v>
      </c>
      <c r="H703" s="520" t="s">
        <v>65</v>
      </c>
      <c r="I703" s="520">
        <v>960</v>
      </c>
      <c r="J703" s="520">
        <v>0</v>
      </c>
      <c r="K703" s="520">
        <v>12</v>
      </c>
      <c r="L703" s="804">
        <f t="shared" si="211"/>
        <v>80</v>
      </c>
      <c r="M703" s="537">
        <v>46037</v>
      </c>
      <c r="N703" s="537">
        <v>46034</v>
      </c>
      <c r="O703" s="526"/>
      <c r="P703" s="526" t="s">
        <v>103</v>
      </c>
      <c r="Q703" s="530"/>
      <c r="R703" s="530">
        <v>46001</v>
      </c>
      <c r="S703" s="533" t="s">
        <v>66</v>
      </c>
      <c r="T703" s="533" t="s">
        <v>2540</v>
      </c>
      <c r="U703" s="532"/>
      <c r="V703" s="532"/>
      <c r="W703" s="532" t="s">
        <v>2541</v>
      </c>
      <c r="X703" s="540" t="s">
        <v>304</v>
      </c>
      <c r="Y703" s="538">
        <v>4.1623</v>
      </c>
      <c r="Z703" s="808">
        <f t="shared" si="226"/>
        <v>3995.808</v>
      </c>
      <c r="AA703" s="521"/>
      <c r="AB703" s="521" t="s">
        <v>165</v>
      </c>
      <c r="AC703" s="520" t="s">
        <v>76</v>
      </c>
      <c r="AD703" s="521"/>
      <c r="AE703" s="521"/>
      <c r="AF703" s="521">
        <v>1</v>
      </c>
      <c r="AG703" s="521">
        <v>960</v>
      </c>
      <c r="AH703" s="521">
        <f t="shared" si="227"/>
        <v>0</v>
      </c>
      <c r="AI703" s="521"/>
      <c r="AJ703" s="521"/>
      <c r="AK703" s="543"/>
      <c r="AL703" s="543">
        <f t="shared" si="228"/>
        <v>960</v>
      </c>
      <c r="AM703" s="628"/>
      <c r="AN703" s="628"/>
      <c r="AO703" s="628"/>
      <c r="AP703" s="543"/>
      <c r="AQ703" s="543">
        <f>I703</f>
        <v>960</v>
      </c>
      <c r="AR703" s="543">
        <f>I703</f>
        <v>960</v>
      </c>
      <c r="AS703" s="543"/>
      <c r="AT703" s="543">
        <f t="shared" ref="AT703:AT710" si="229">I703</f>
        <v>960</v>
      </c>
      <c r="AU703" s="546"/>
      <c r="AV703" s="427"/>
      <c r="AW703" s="427"/>
      <c r="AX703" s="427"/>
      <c r="AY703" s="427"/>
      <c r="AZ703" s="543"/>
      <c r="BA703" s="543"/>
      <c r="BB703" s="427"/>
      <c r="BC703" s="427"/>
      <c r="BD703" s="543"/>
      <c r="BE703" s="543"/>
      <c r="BF703" s="427"/>
      <c r="BG703" s="427"/>
      <c r="BH703" s="427"/>
      <c r="BI703" s="427"/>
      <c r="BJ703" s="427"/>
      <c r="BK703" s="427"/>
      <c r="BL703" s="427"/>
      <c r="BM703" s="427"/>
      <c r="BN703" s="835"/>
      <c r="BO703" s="427"/>
      <c r="BP703" s="427"/>
      <c r="BQ703" s="427"/>
      <c r="BR703" s="427"/>
      <c r="BS703" s="427"/>
      <c r="BT703" s="427"/>
      <c r="BU703" s="427"/>
      <c r="BV703" s="427"/>
      <c r="BW703" s="427"/>
      <c r="BX703" s="427"/>
      <c r="BY703" s="427"/>
      <c r="BZ703" s="427"/>
      <c r="CA703" s="427"/>
      <c r="CB703" s="427"/>
      <c r="CC703" s="427"/>
      <c r="CD703" s="427"/>
      <c r="CE703" s="427"/>
      <c r="CF703" s="544"/>
      <c r="CG703" s="544"/>
      <c r="CH703" s="544"/>
      <c r="CI703" s="544"/>
      <c r="CJ703" s="544"/>
      <c r="CK703" s="427"/>
      <c r="CL703" s="427"/>
      <c r="CM703" s="427"/>
      <c r="CN703" s="544"/>
      <c r="CO703" s="544"/>
      <c r="CP703" s="544"/>
      <c r="CQ703" s="544"/>
      <c r="CR703" s="544"/>
      <c r="CS703" s="544"/>
    </row>
    <row r="704" s="431" customFormat="1" ht="31" hidden="1" customHeight="1" spans="1:97">
      <c r="A704" s="518">
        <v>45971</v>
      </c>
      <c r="B704" s="519" t="s">
        <v>2542</v>
      </c>
      <c r="C704" s="520" t="s">
        <v>2543</v>
      </c>
      <c r="D704" s="427">
        <v>4500185120</v>
      </c>
      <c r="E704" s="520"/>
      <c r="F704" s="427" t="s">
        <v>2544</v>
      </c>
      <c r="G704" s="521" t="s">
        <v>64</v>
      </c>
      <c r="H704" s="520" t="s">
        <v>65</v>
      </c>
      <c r="I704" s="520">
        <v>720</v>
      </c>
      <c r="J704" s="520">
        <v>0</v>
      </c>
      <c r="K704" s="520">
        <v>12</v>
      </c>
      <c r="L704" s="804">
        <f t="shared" si="211"/>
        <v>60</v>
      </c>
      <c r="M704" s="537">
        <v>46037</v>
      </c>
      <c r="N704" s="537">
        <v>46034</v>
      </c>
      <c r="O704" s="526"/>
      <c r="P704" s="526" t="s">
        <v>103</v>
      </c>
      <c r="Q704" s="530"/>
      <c r="R704" s="530">
        <v>45982</v>
      </c>
      <c r="S704" s="533" t="s">
        <v>66</v>
      </c>
      <c r="T704" s="533" t="s">
        <v>2397</v>
      </c>
      <c r="U704" s="532"/>
      <c r="V704" s="532"/>
      <c r="W704" s="532" t="s">
        <v>2545</v>
      </c>
      <c r="X704" s="540" t="s">
        <v>473</v>
      </c>
      <c r="Y704" s="538">
        <v>4.1623</v>
      </c>
      <c r="Z704" s="808">
        <f t="shared" si="226"/>
        <v>2996.856</v>
      </c>
      <c r="AA704" s="521"/>
      <c r="AB704" s="521" t="s">
        <v>165</v>
      </c>
      <c r="AC704" s="520" t="s">
        <v>76</v>
      </c>
      <c r="AD704" s="521"/>
      <c r="AE704" s="521"/>
      <c r="AF704" s="521">
        <v>1</v>
      </c>
      <c r="AG704" s="521">
        <v>720</v>
      </c>
      <c r="AH704" s="521">
        <f t="shared" si="227"/>
        <v>0</v>
      </c>
      <c r="AI704" s="521"/>
      <c r="AJ704" s="521" t="s">
        <v>2191</v>
      </c>
      <c r="AK704" s="543"/>
      <c r="AL704" s="543">
        <f t="shared" si="228"/>
        <v>720</v>
      </c>
      <c r="AM704" s="628"/>
      <c r="AN704" s="628"/>
      <c r="AO704" s="628"/>
      <c r="AP704" s="543"/>
      <c r="AQ704" s="543">
        <f>I704</f>
        <v>720</v>
      </c>
      <c r="AR704" s="543">
        <f>I704</f>
        <v>720</v>
      </c>
      <c r="AS704" s="543"/>
      <c r="AT704" s="543">
        <f t="shared" si="229"/>
        <v>720</v>
      </c>
      <c r="AU704" s="546"/>
      <c r="AV704" s="427"/>
      <c r="AW704" s="427"/>
      <c r="AX704" s="427"/>
      <c r="AY704" s="427"/>
      <c r="AZ704" s="543"/>
      <c r="BA704" s="543"/>
      <c r="BB704" s="427"/>
      <c r="BC704" s="427"/>
      <c r="BD704" s="543"/>
      <c r="BE704" s="543"/>
      <c r="BF704" s="427"/>
      <c r="BG704" s="427"/>
      <c r="BH704" s="427"/>
      <c r="BI704" s="427"/>
      <c r="BJ704" s="427"/>
      <c r="BK704" s="427"/>
      <c r="BL704" s="427"/>
      <c r="BM704" s="427"/>
      <c r="BN704" s="835"/>
      <c r="BO704" s="427"/>
      <c r="BP704" s="427"/>
      <c r="BQ704" s="427"/>
      <c r="BR704" s="427"/>
      <c r="BS704" s="427"/>
      <c r="BT704" s="427"/>
      <c r="BU704" s="427"/>
      <c r="BV704" s="427"/>
      <c r="BW704" s="427"/>
      <c r="BX704" s="427"/>
      <c r="BY704" s="427"/>
      <c r="BZ704" s="427"/>
      <c r="CA704" s="427"/>
      <c r="CB704" s="427"/>
      <c r="CC704" s="427"/>
      <c r="CD704" s="427"/>
      <c r="CE704" s="427"/>
      <c r="CF704" s="544"/>
      <c r="CG704" s="544"/>
      <c r="CH704" s="544"/>
      <c r="CI704" s="544"/>
      <c r="CJ704" s="544"/>
      <c r="CK704" s="427"/>
      <c r="CL704" s="427"/>
      <c r="CM704" s="427"/>
      <c r="CN704" s="544"/>
      <c r="CO704" s="544"/>
      <c r="CP704" s="544"/>
      <c r="CQ704" s="544"/>
      <c r="CR704" s="544"/>
      <c r="CS704" s="544"/>
    </row>
    <row r="705" s="431" customFormat="1" ht="31" hidden="1" customHeight="1" spans="1:97">
      <c r="A705" s="518">
        <v>45999</v>
      </c>
      <c r="B705" s="519" t="s">
        <v>220</v>
      </c>
      <c r="C705" s="520" t="s">
        <v>90</v>
      </c>
      <c r="D705" s="427">
        <v>4500188344</v>
      </c>
      <c r="E705" s="520" t="s">
        <v>2546</v>
      </c>
      <c r="F705" s="427" t="s">
        <v>2547</v>
      </c>
      <c r="G705" s="521" t="s">
        <v>223</v>
      </c>
      <c r="H705" s="520" t="s">
        <v>224</v>
      </c>
      <c r="I705" s="520">
        <v>15000</v>
      </c>
      <c r="J705" s="520">
        <v>0</v>
      </c>
      <c r="K705" s="520">
        <v>4</v>
      </c>
      <c r="L705" s="804">
        <f t="shared" si="211"/>
        <v>3750</v>
      </c>
      <c r="M705" s="537">
        <v>46037</v>
      </c>
      <c r="N705" s="537">
        <v>46034</v>
      </c>
      <c r="O705" s="526"/>
      <c r="P705" s="526" t="s">
        <v>103</v>
      </c>
      <c r="Q705" s="530"/>
      <c r="R705" s="530">
        <v>45999</v>
      </c>
      <c r="S705" s="533" t="s">
        <v>96</v>
      </c>
      <c r="T705" s="533" t="s">
        <v>2106</v>
      </c>
      <c r="U705" s="532"/>
      <c r="V705" s="532"/>
      <c r="W705" s="532" t="s">
        <v>2518</v>
      </c>
      <c r="X705" s="540" t="s">
        <v>226</v>
      </c>
      <c r="Y705" s="538">
        <v>2.7832</v>
      </c>
      <c r="Z705" s="808">
        <f t="shared" si="226"/>
        <v>41748</v>
      </c>
      <c r="AA705" s="521"/>
      <c r="AB705" s="521" t="s">
        <v>223</v>
      </c>
      <c r="AC705" s="520" t="s">
        <v>76</v>
      </c>
      <c r="AD705" s="521"/>
      <c r="AE705" s="521"/>
      <c r="AF705" s="521">
        <v>1</v>
      </c>
      <c r="AG705" s="521">
        <f>10080+4320+600</f>
        <v>15000</v>
      </c>
      <c r="AH705" s="521">
        <f t="shared" si="227"/>
        <v>0</v>
      </c>
      <c r="AI705" s="521"/>
      <c r="AJ705" s="521"/>
      <c r="AK705" s="543"/>
      <c r="AL705" s="543"/>
      <c r="AM705" s="628"/>
      <c r="AN705" s="628">
        <f>I705</f>
        <v>15000</v>
      </c>
      <c r="AO705" s="628"/>
      <c r="AP705" s="543"/>
      <c r="AQ705" s="543"/>
      <c r="AR705" s="543"/>
      <c r="AS705" s="543"/>
      <c r="AT705" s="543">
        <f t="shared" si="229"/>
        <v>15000</v>
      </c>
      <c r="AU705" s="546"/>
      <c r="AV705" s="427"/>
      <c r="AW705" s="427"/>
      <c r="AX705" s="427"/>
      <c r="AY705" s="427"/>
      <c r="AZ705" s="543"/>
      <c r="BA705" s="543"/>
      <c r="BB705" s="427">
        <f>I705</f>
        <v>15000</v>
      </c>
      <c r="BC705" s="427">
        <f>I705</f>
        <v>15000</v>
      </c>
      <c r="BD705" s="543">
        <f>I705/4</f>
        <v>3750</v>
      </c>
      <c r="BE705" s="543"/>
      <c r="BF705" s="427"/>
      <c r="BG705" s="427"/>
      <c r="BH705" s="427"/>
      <c r="BI705" s="427"/>
      <c r="BJ705" s="427"/>
      <c r="BK705" s="427"/>
      <c r="BL705" s="427"/>
      <c r="BM705" s="427"/>
      <c r="BN705" s="835"/>
      <c r="BO705" s="427"/>
      <c r="BP705" s="427"/>
      <c r="BQ705" s="427"/>
      <c r="BR705" s="427"/>
      <c r="BS705" s="427"/>
      <c r="BT705" s="427"/>
      <c r="BU705" s="427"/>
      <c r="BV705" s="427"/>
      <c r="BW705" s="427"/>
      <c r="BX705" s="427"/>
      <c r="BY705" s="427"/>
      <c r="BZ705" s="427"/>
      <c r="CA705" s="427"/>
      <c r="CB705" s="427"/>
      <c r="CC705" s="427"/>
      <c r="CD705" s="427"/>
      <c r="CE705" s="427"/>
      <c r="CF705" s="544"/>
      <c r="CG705" s="544"/>
      <c r="CH705" s="544"/>
      <c r="CI705" s="544"/>
      <c r="CJ705" s="544"/>
      <c r="CK705" s="427"/>
      <c r="CL705" s="427"/>
      <c r="CM705" s="427"/>
      <c r="CN705" s="544"/>
      <c r="CO705" s="544"/>
      <c r="CP705" s="544"/>
      <c r="CQ705" s="544"/>
      <c r="CR705" s="544"/>
      <c r="CS705" s="544"/>
    </row>
    <row r="706" s="431" customFormat="1" ht="31" hidden="1" customHeight="1" spans="1:97">
      <c r="A706" s="518">
        <v>45979</v>
      </c>
      <c r="B706" s="519" t="s">
        <v>355</v>
      </c>
      <c r="C706" s="520" t="s">
        <v>356</v>
      </c>
      <c r="D706" s="427">
        <v>4500186008</v>
      </c>
      <c r="E706" s="520"/>
      <c r="F706" s="427" t="s">
        <v>2548</v>
      </c>
      <c r="G706" s="521" t="s">
        <v>64</v>
      </c>
      <c r="H706" s="520" t="s">
        <v>65</v>
      </c>
      <c r="I706" s="520">
        <v>960</v>
      </c>
      <c r="J706" s="520">
        <v>0</v>
      </c>
      <c r="K706" s="520">
        <v>12</v>
      </c>
      <c r="L706" s="804">
        <f t="shared" si="211"/>
        <v>80</v>
      </c>
      <c r="M706" s="537">
        <v>46038</v>
      </c>
      <c r="N706" s="537">
        <v>46034</v>
      </c>
      <c r="O706" s="526" t="s">
        <v>2549</v>
      </c>
      <c r="P706" s="526" t="s">
        <v>103</v>
      </c>
      <c r="Q706" s="530"/>
      <c r="R706" s="530">
        <v>45951</v>
      </c>
      <c r="S706" s="533" t="s">
        <v>66</v>
      </c>
      <c r="T706" s="533" t="s">
        <v>66</v>
      </c>
      <c r="U706" s="532"/>
      <c r="V706" s="532"/>
      <c r="W706" s="532" t="s">
        <v>2550</v>
      </c>
      <c r="X706" s="540" t="s">
        <v>359</v>
      </c>
      <c r="Y706" s="538">
        <v>4.1623</v>
      </c>
      <c r="Z706" s="808">
        <f t="shared" si="226"/>
        <v>3995.808</v>
      </c>
      <c r="AA706" s="521"/>
      <c r="AB706" s="521" t="s">
        <v>165</v>
      </c>
      <c r="AC706" s="520" t="s">
        <v>76</v>
      </c>
      <c r="AD706" s="521"/>
      <c r="AE706" s="521"/>
      <c r="AF706" s="521">
        <v>1</v>
      </c>
      <c r="AG706" s="521">
        <v>960</v>
      </c>
      <c r="AH706" s="521">
        <f t="shared" si="227"/>
        <v>0</v>
      </c>
      <c r="AI706" s="521"/>
      <c r="AJ706" s="521"/>
      <c r="AK706" s="543"/>
      <c r="AL706" s="543">
        <f>I706</f>
        <v>960</v>
      </c>
      <c r="AM706" s="628"/>
      <c r="AN706" s="628"/>
      <c r="AO706" s="628"/>
      <c r="AP706" s="543"/>
      <c r="AQ706" s="543">
        <f>I706</f>
        <v>960</v>
      </c>
      <c r="AR706" s="543">
        <f>I706</f>
        <v>960</v>
      </c>
      <c r="AS706" s="543"/>
      <c r="AT706" s="543">
        <f t="shared" si="229"/>
        <v>960</v>
      </c>
      <c r="AU706" s="546"/>
      <c r="AV706" s="427"/>
      <c r="AW706" s="427"/>
      <c r="AX706" s="427"/>
      <c r="AY706" s="427"/>
      <c r="AZ706" s="543"/>
      <c r="BA706" s="543"/>
      <c r="BB706" s="427"/>
      <c r="BC706" s="427"/>
      <c r="BD706" s="543"/>
      <c r="BE706" s="543"/>
      <c r="BF706" s="427"/>
      <c r="BG706" s="427"/>
      <c r="BH706" s="427"/>
      <c r="BI706" s="427"/>
      <c r="BJ706" s="427"/>
      <c r="BK706" s="427"/>
      <c r="BL706" s="427"/>
      <c r="BM706" s="427"/>
      <c r="BN706" s="835"/>
      <c r="BO706" s="427"/>
      <c r="BP706" s="427"/>
      <c r="BQ706" s="427"/>
      <c r="BR706" s="427"/>
      <c r="BS706" s="427"/>
      <c r="BT706" s="427"/>
      <c r="BU706" s="427"/>
      <c r="BV706" s="427"/>
      <c r="BW706" s="427"/>
      <c r="BX706" s="427"/>
      <c r="BY706" s="427"/>
      <c r="BZ706" s="427"/>
      <c r="CA706" s="427"/>
      <c r="CB706" s="427"/>
      <c r="CC706" s="427"/>
      <c r="CD706" s="427"/>
      <c r="CE706" s="427"/>
      <c r="CF706" s="544"/>
      <c r="CG706" s="544"/>
      <c r="CH706" s="544"/>
      <c r="CI706" s="544"/>
      <c r="CJ706" s="544"/>
      <c r="CK706" s="427"/>
      <c r="CL706" s="427"/>
      <c r="CM706" s="427"/>
      <c r="CN706" s="544"/>
      <c r="CO706" s="544"/>
      <c r="CP706" s="544"/>
      <c r="CQ706" s="544"/>
      <c r="CR706" s="544"/>
      <c r="CS706" s="544"/>
    </row>
    <row r="707" s="431" customFormat="1" ht="31" hidden="1" customHeight="1" spans="1:97">
      <c r="A707" s="518">
        <v>45979</v>
      </c>
      <c r="B707" s="519" t="s">
        <v>355</v>
      </c>
      <c r="C707" s="520" t="s">
        <v>356</v>
      </c>
      <c r="D707" s="427">
        <v>4500186008</v>
      </c>
      <c r="E707" s="520"/>
      <c r="F707" s="427" t="s">
        <v>2551</v>
      </c>
      <c r="G707" s="521" t="s">
        <v>463</v>
      </c>
      <c r="H707" s="520" t="s">
        <v>424</v>
      </c>
      <c r="I707" s="520">
        <v>360</v>
      </c>
      <c r="J707" s="520">
        <v>0</v>
      </c>
      <c r="K707" s="520">
        <v>6</v>
      </c>
      <c r="L707" s="804">
        <f t="shared" si="211"/>
        <v>60</v>
      </c>
      <c r="M707" s="537">
        <v>46038</v>
      </c>
      <c r="N707" s="537">
        <v>46034</v>
      </c>
      <c r="O707" s="526"/>
      <c r="P707" s="526" t="s">
        <v>103</v>
      </c>
      <c r="Q707" s="530"/>
      <c r="R707" s="530">
        <v>45982</v>
      </c>
      <c r="S707" s="533" t="s">
        <v>66</v>
      </c>
      <c r="T707" s="533" t="s">
        <v>66</v>
      </c>
      <c r="U707" s="532"/>
      <c r="V707" s="532"/>
      <c r="W707" s="532" t="s">
        <v>2552</v>
      </c>
      <c r="X707" s="540" t="s">
        <v>359</v>
      </c>
      <c r="Y707" s="538">
        <v>7.1628</v>
      </c>
      <c r="Z707" s="808">
        <f t="shared" si="226"/>
        <v>2578.608</v>
      </c>
      <c r="AA707" s="521"/>
      <c r="AB707" s="521" t="s">
        <v>427</v>
      </c>
      <c r="AC707" s="520" t="s">
        <v>76</v>
      </c>
      <c r="AD707" s="521"/>
      <c r="AE707" s="521"/>
      <c r="AF707" s="521">
        <v>1</v>
      </c>
      <c r="AG707" s="521">
        <v>360</v>
      </c>
      <c r="AH707" s="521">
        <f t="shared" si="227"/>
        <v>0</v>
      </c>
      <c r="AI707" s="521"/>
      <c r="AJ707" s="521"/>
      <c r="AK707" s="543"/>
      <c r="AL707" s="543">
        <f>I707</f>
        <v>360</v>
      </c>
      <c r="AM707" s="628"/>
      <c r="AN707" s="628"/>
      <c r="AO707" s="628"/>
      <c r="AP707" s="543"/>
      <c r="AQ707" s="543">
        <f>I707</f>
        <v>360</v>
      </c>
      <c r="AR707" s="543">
        <f>I707</f>
        <v>360</v>
      </c>
      <c r="AS707" s="543"/>
      <c r="AT707" s="543">
        <f t="shared" si="229"/>
        <v>360</v>
      </c>
      <c r="AU707" s="546"/>
      <c r="AV707" s="427"/>
      <c r="AW707" s="427"/>
      <c r="AX707" s="427"/>
      <c r="AY707" s="427"/>
      <c r="AZ707" s="543"/>
      <c r="BA707" s="543"/>
      <c r="BB707" s="427"/>
      <c r="BC707" s="427"/>
      <c r="BD707" s="543"/>
      <c r="BE707" s="543"/>
      <c r="BF707" s="427"/>
      <c r="BG707" s="427"/>
      <c r="BH707" s="427"/>
      <c r="BI707" s="427"/>
      <c r="BJ707" s="427">
        <f>I707</f>
        <v>360</v>
      </c>
      <c r="BK707" s="427"/>
      <c r="BL707" s="427"/>
      <c r="BM707" s="427"/>
      <c r="BN707" s="835"/>
      <c r="BO707" s="427"/>
      <c r="BP707" s="427"/>
      <c r="BQ707" s="427"/>
      <c r="BR707" s="427"/>
      <c r="BS707" s="427"/>
      <c r="BT707" s="427"/>
      <c r="BU707" s="427"/>
      <c r="BV707" s="427"/>
      <c r="BW707" s="427"/>
      <c r="BX707" s="427"/>
      <c r="BY707" s="427"/>
      <c r="BZ707" s="427"/>
      <c r="CA707" s="427"/>
      <c r="CB707" s="427"/>
      <c r="CC707" s="427"/>
      <c r="CD707" s="427"/>
      <c r="CE707" s="427"/>
      <c r="CF707" s="544"/>
      <c r="CG707" s="544"/>
      <c r="CH707" s="544"/>
      <c r="CI707" s="544"/>
      <c r="CJ707" s="544"/>
      <c r="CK707" s="427"/>
      <c r="CL707" s="427"/>
      <c r="CM707" s="427"/>
      <c r="CN707" s="544"/>
      <c r="CO707" s="544"/>
      <c r="CP707" s="544"/>
      <c r="CQ707" s="544"/>
      <c r="CR707" s="544"/>
      <c r="CS707" s="544"/>
    </row>
    <row r="708" s="431" customFormat="1" ht="31" hidden="1" customHeight="1" spans="1:97">
      <c r="A708" s="518">
        <v>45985</v>
      </c>
      <c r="B708" s="519" t="s">
        <v>2553</v>
      </c>
      <c r="C708" s="520" t="s">
        <v>90</v>
      </c>
      <c r="D708" s="427">
        <v>4500186566</v>
      </c>
      <c r="E708" s="520">
        <v>70079710</v>
      </c>
      <c r="F708" s="427" t="s">
        <v>2554</v>
      </c>
      <c r="G708" s="521" t="s">
        <v>2491</v>
      </c>
      <c r="H708" s="520" t="s">
        <v>2492</v>
      </c>
      <c r="I708" s="520">
        <v>1200</v>
      </c>
      <c r="J708" s="520">
        <v>0</v>
      </c>
      <c r="K708" s="520">
        <v>8</v>
      </c>
      <c r="L708" s="804">
        <f t="shared" si="211"/>
        <v>150</v>
      </c>
      <c r="M708" s="537">
        <v>46038</v>
      </c>
      <c r="N708" s="537">
        <v>46034</v>
      </c>
      <c r="O708" s="526"/>
      <c r="P708" s="526" t="s">
        <v>103</v>
      </c>
      <c r="Q708" s="530"/>
      <c r="R708" s="530">
        <v>45985</v>
      </c>
      <c r="S708" s="533" t="s">
        <v>66</v>
      </c>
      <c r="T708" s="533" t="s">
        <v>2493</v>
      </c>
      <c r="U708" s="532"/>
      <c r="V708" s="532"/>
      <c r="W708" s="532" t="s">
        <v>2555</v>
      </c>
      <c r="X708" s="540" t="s">
        <v>2556</v>
      </c>
      <c r="Y708" s="538">
        <v>4.0996</v>
      </c>
      <c r="Z708" s="808">
        <f t="shared" si="226"/>
        <v>4919.52</v>
      </c>
      <c r="AA708" s="521"/>
      <c r="AB708" s="521" t="s">
        <v>2495</v>
      </c>
      <c r="AC708" s="520" t="s">
        <v>76</v>
      </c>
      <c r="AD708" s="521"/>
      <c r="AE708" s="521"/>
      <c r="AF708" s="521">
        <v>1</v>
      </c>
      <c r="AG708" s="521">
        <v>1200</v>
      </c>
      <c r="AH708" s="521">
        <f t="shared" si="227"/>
        <v>0</v>
      </c>
      <c r="AI708" s="521"/>
      <c r="AJ708" s="521" t="s">
        <v>2191</v>
      </c>
      <c r="AK708" s="543"/>
      <c r="AL708" s="543">
        <f>I708</f>
        <v>1200</v>
      </c>
      <c r="AM708" s="628"/>
      <c r="AN708" s="628"/>
      <c r="AO708" s="628"/>
      <c r="AP708" s="543">
        <f>I708</f>
        <v>1200</v>
      </c>
      <c r="AQ708" s="543"/>
      <c r="AR708" s="543">
        <f>I708</f>
        <v>1200</v>
      </c>
      <c r="AS708" s="543"/>
      <c r="AT708" s="543">
        <f t="shared" si="229"/>
        <v>1200</v>
      </c>
      <c r="AU708" s="546"/>
      <c r="AV708" s="427"/>
      <c r="AW708" s="427"/>
      <c r="AX708" s="427"/>
      <c r="AY708" s="427"/>
      <c r="AZ708" s="543"/>
      <c r="BA708" s="543"/>
      <c r="BB708" s="427"/>
      <c r="BC708" s="427"/>
      <c r="BD708" s="543"/>
      <c r="BE708" s="543"/>
      <c r="BF708" s="427"/>
      <c r="BG708" s="427"/>
      <c r="BH708" s="427"/>
      <c r="BI708" s="427"/>
      <c r="BJ708" s="427">
        <f>I708</f>
        <v>1200</v>
      </c>
      <c r="BK708" s="427"/>
      <c r="BL708" s="427"/>
      <c r="BM708" s="427"/>
      <c r="BN708" s="835"/>
      <c r="BO708" s="427"/>
      <c r="BP708" s="427"/>
      <c r="BQ708" s="427"/>
      <c r="BR708" s="427"/>
      <c r="BS708" s="427"/>
      <c r="BT708" s="427"/>
      <c r="BU708" s="427"/>
      <c r="BV708" s="427"/>
      <c r="BW708" s="427"/>
      <c r="BX708" s="427"/>
      <c r="BY708" s="427"/>
      <c r="BZ708" s="427"/>
      <c r="CA708" s="427"/>
      <c r="CB708" s="427"/>
      <c r="CC708" s="427"/>
      <c r="CD708" s="427"/>
      <c r="CE708" s="427"/>
      <c r="CF708" s="544"/>
      <c r="CG708" s="544"/>
      <c r="CH708" s="544"/>
      <c r="CI708" s="544"/>
      <c r="CJ708" s="544"/>
      <c r="CK708" s="427"/>
      <c r="CL708" s="427"/>
      <c r="CM708" s="427"/>
      <c r="CN708" s="544"/>
      <c r="CO708" s="544"/>
      <c r="CP708" s="544"/>
      <c r="CQ708" s="544"/>
      <c r="CR708" s="544"/>
      <c r="CS708" s="544"/>
    </row>
    <row r="709" s="431" customFormat="1" ht="31" hidden="1" customHeight="1" spans="1:97">
      <c r="A709" s="518">
        <v>45989</v>
      </c>
      <c r="B709" s="519" t="s">
        <v>220</v>
      </c>
      <c r="C709" s="520" t="s">
        <v>90</v>
      </c>
      <c r="D709" s="427">
        <v>4500187337</v>
      </c>
      <c r="E709" s="520" t="s">
        <v>2557</v>
      </c>
      <c r="F709" s="427" t="s">
        <v>2558</v>
      </c>
      <c r="G709" s="521" t="s">
        <v>223</v>
      </c>
      <c r="H709" s="520" t="s">
        <v>224</v>
      </c>
      <c r="I709" s="520">
        <v>20000</v>
      </c>
      <c r="J709" s="520">
        <v>0</v>
      </c>
      <c r="K709" s="520">
        <v>4</v>
      </c>
      <c r="L709" s="804">
        <f t="shared" si="211"/>
        <v>5000</v>
      </c>
      <c r="M709" s="537">
        <v>46038</v>
      </c>
      <c r="N709" s="537">
        <f>M709-4</f>
        <v>46034</v>
      </c>
      <c r="O709" s="526"/>
      <c r="P709" s="526" t="s">
        <v>103</v>
      </c>
      <c r="Q709" s="530"/>
      <c r="R709" s="530">
        <v>46006</v>
      </c>
      <c r="S709" s="533" t="s">
        <v>96</v>
      </c>
      <c r="T709" s="533">
        <v>46013</v>
      </c>
      <c r="U709" s="532"/>
      <c r="V709" s="532"/>
      <c r="W709" s="532" t="s">
        <v>2518</v>
      </c>
      <c r="X709" s="540" t="s">
        <v>226</v>
      </c>
      <c r="Y709" s="538">
        <v>2.7734</v>
      </c>
      <c r="Z709" s="808">
        <f t="shared" si="226"/>
        <v>55468</v>
      </c>
      <c r="AA709" s="521"/>
      <c r="AB709" s="521" t="s">
        <v>223</v>
      </c>
      <c r="AC709" s="520" t="s">
        <v>76</v>
      </c>
      <c r="AD709" s="521"/>
      <c r="AE709" s="521"/>
      <c r="AF709" s="521">
        <v>1</v>
      </c>
      <c r="AG709" s="521">
        <f>2160+15840+2000</f>
        <v>20000</v>
      </c>
      <c r="AH709" s="521">
        <f t="shared" si="227"/>
        <v>0</v>
      </c>
      <c r="AI709" s="521"/>
      <c r="AJ709" s="521"/>
      <c r="AK709" s="543"/>
      <c r="AL709" s="543"/>
      <c r="AM709" s="628"/>
      <c r="AN709" s="628">
        <f>I709</f>
        <v>20000</v>
      </c>
      <c r="AO709" s="628"/>
      <c r="AP709" s="543"/>
      <c r="AQ709" s="543"/>
      <c r="AR709" s="543"/>
      <c r="AS709" s="543"/>
      <c r="AT709" s="543">
        <f t="shared" si="229"/>
        <v>20000</v>
      </c>
      <c r="AU709" s="546"/>
      <c r="AV709" s="427"/>
      <c r="AW709" s="427"/>
      <c r="AX709" s="427"/>
      <c r="AY709" s="427"/>
      <c r="AZ709" s="543"/>
      <c r="BA709" s="543"/>
      <c r="BB709" s="427">
        <f>I709</f>
        <v>20000</v>
      </c>
      <c r="BC709" s="427">
        <f>I709</f>
        <v>20000</v>
      </c>
      <c r="BD709" s="543">
        <f>I709/4</f>
        <v>5000</v>
      </c>
      <c r="BE709" s="543"/>
      <c r="BF709" s="427"/>
      <c r="BG709" s="427"/>
      <c r="BH709" s="427"/>
      <c r="BI709" s="427"/>
      <c r="BJ709" s="427"/>
      <c r="BK709" s="427"/>
      <c r="BL709" s="427"/>
      <c r="BM709" s="427"/>
      <c r="BN709" s="835"/>
      <c r="BO709" s="427"/>
      <c r="BP709" s="427"/>
      <c r="BQ709" s="427"/>
      <c r="BR709" s="427"/>
      <c r="BS709" s="427"/>
      <c r="BT709" s="427"/>
      <c r="BU709" s="427"/>
      <c r="BV709" s="427"/>
      <c r="BW709" s="427"/>
      <c r="BX709" s="427"/>
      <c r="BY709" s="427"/>
      <c r="BZ709" s="427"/>
      <c r="CA709" s="427"/>
      <c r="CB709" s="427"/>
      <c r="CC709" s="427"/>
      <c r="CD709" s="427"/>
      <c r="CE709" s="427"/>
      <c r="CF709" s="544"/>
      <c r="CG709" s="544"/>
      <c r="CH709" s="544"/>
      <c r="CI709" s="544"/>
      <c r="CJ709" s="544"/>
      <c r="CK709" s="427"/>
      <c r="CL709" s="427"/>
      <c r="CM709" s="427"/>
      <c r="CN709" s="544"/>
      <c r="CO709" s="544"/>
      <c r="CP709" s="544"/>
      <c r="CQ709" s="544"/>
      <c r="CR709" s="544"/>
      <c r="CS709" s="544"/>
    </row>
    <row r="710" s="431" customFormat="1" ht="31" hidden="1" customHeight="1" spans="1:97">
      <c r="A710" s="518">
        <v>45995</v>
      </c>
      <c r="B710" s="519" t="s">
        <v>2559</v>
      </c>
      <c r="C710" s="520" t="s">
        <v>749</v>
      </c>
      <c r="D710" s="427">
        <v>4500187921</v>
      </c>
      <c r="E710" s="520"/>
      <c r="F710" s="427" t="s">
        <v>2560</v>
      </c>
      <c r="G710" s="521" t="s">
        <v>64</v>
      </c>
      <c r="H710" s="520" t="s">
        <v>65</v>
      </c>
      <c r="I710" s="520">
        <v>504</v>
      </c>
      <c r="J710" s="520">
        <v>0</v>
      </c>
      <c r="K710" s="520">
        <v>12</v>
      </c>
      <c r="L710" s="804">
        <f t="shared" si="211"/>
        <v>42</v>
      </c>
      <c r="M710" s="537">
        <v>46038</v>
      </c>
      <c r="N710" s="537">
        <f>M710-4</f>
        <v>46034</v>
      </c>
      <c r="O710" s="526"/>
      <c r="P710" s="526" t="s">
        <v>103</v>
      </c>
      <c r="Q710" s="530"/>
      <c r="R710" s="530">
        <v>46005</v>
      </c>
      <c r="S710" s="533" t="s">
        <v>66</v>
      </c>
      <c r="T710" s="533" t="s">
        <v>2561</v>
      </c>
      <c r="U710" s="532"/>
      <c r="V710" s="532"/>
      <c r="W710" s="532" t="s">
        <v>2562</v>
      </c>
      <c r="X710" s="540" t="s">
        <v>420</v>
      </c>
      <c r="Y710" s="538">
        <v>4.1623</v>
      </c>
      <c r="Z710" s="808">
        <f t="shared" si="226"/>
        <v>2097.7992</v>
      </c>
      <c r="AA710" s="521"/>
      <c r="AB710" s="521" t="s">
        <v>165</v>
      </c>
      <c r="AC710" s="520" t="s">
        <v>76</v>
      </c>
      <c r="AD710" s="521"/>
      <c r="AE710" s="521"/>
      <c r="AF710" s="521">
        <v>1</v>
      </c>
      <c r="AG710" s="521">
        <v>504</v>
      </c>
      <c r="AH710" s="521">
        <f t="shared" si="227"/>
        <v>0</v>
      </c>
      <c r="AI710" s="521"/>
      <c r="AJ710" s="521" t="s">
        <v>2191</v>
      </c>
      <c r="AK710" s="543"/>
      <c r="AL710" s="543">
        <f>I710</f>
        <v>504</v>
      </c>
      <c r="AM710" s="628"/>
      <c r="AN710" s="628"/>
      <c r="AO710" s="628"/>
      <c r="AP710" s="543"/>
      <c r="AQ710" s="543">
        <f>I710</f>
        <v>504</v>
      </c>
      <c r="AR710" s="543">
        <f>I710</f>
        <v>504</v>
      </c>
      <c r="AS710" s="543"/>
      <c r="AT710" s="543">
        <f t="shared" si="229"/>
        <v>504</v>
      </c>
      <c r="AU710" s="546"/>
      <c r="AV710" s="427"/>
      <c r="AW710" s="427"/>
      <c r="AX710" s="427"/>
      <c r="AY710" s="427"/>
      <c r="AZ710" s="543"/>
      <c r="BA710" s="543"/>
      <c r="BB710" s="427"/>
      <c r="BC710" s="427"/>
      <c r="BD710" s="543"/>
      <c r="BE710" s="543"/>
      <c r="BF710" s="427"/>
      <c r="BG710" s="427"/>
      <c r="BH710" s="427"/>
      <c r="BI710" s="427"/>
      <c r="BJ710" s="427"/>
      <c r="BK710" s="427"/>
      <c r="BL710" s="427"/>
      <c r="BM710" s="427"/>
      <c r="BN710" s="835"/>
      <c r="BO710" s="427"/>
      <c r="BP710" s="427"/>
      <c r="BQ710" s="427"/>
      <c r="BR710" s="427"/>
      <c r="BS710" s="427"/>
      <c r="BT710" s="427"/>
      <c r="BU710" s="427"/>
      <c r="BV710" s="427"/>
      <c r="BW710" s="427"/>
      <c r="BX710" s="427"/>
      <c r="BY710" s="427"/>
      <c r="BZ710" s="427"/>
      <c r="CA710" s="427"/>
      <c r="CB710" s="427"/>
      <c r="CC710" s="427"/>
      <c r="CD710" s="427"/>
      <c r="CE710" s="427"/>
      <c r="CF710" s="544"/>
      <c r="CG710" s="544"/>
      <c r="CH710" s="544"/>
      <c r="CI710" s="544"/>
      <c r="CJ710" s="544"/>
      <c r="CK710" s="427"/>
      <c r="CL710" s="427"/>
      <c r="CM710" s="427"/>
      <c r="CN710" s="544"/>
      <c r="CO710" s="544"/>
      <c r="CP710" s="544"/>
      <c r="CQ710" s="544"/>
      <c r="CR710" s="544"/>
      <c r="CS710" s="544"/>
    </row>
    <row r="711" s="431" customFormat="1" ht="31" hidden="1" customHeight="1" spans="1:97">
      <c r="A711" s="518">
        <v>45978</v>
      </c>
      <c r="B711" s="519" t="s">
        <v>1372</v>
      </c>
      <c r="C711" s="520" t="s">
        <v>90</v>
      </c>
      <c r="D711" s="427">
        <v>4500185933</v>
      </c>
      <c r="E711" s="890" t="s">
        <v>2563</v>
      </c>
      <c r="F711" s="427" t="s">
        <v>2564</v>
      </c>
      <c r="G711" s="521" t="s">
        <v>2431</v>
      </c>
      <c r="H711" s="520" t="s">
        <v>744</v>
      </c>
      <c r="I711" s="520">
        <v>5400</v>
      </c>
      <c r="J711" s="520">
        <v>0</v>
      </c>
      <c r="K711" s="520">
        <v>75</v>
      </c>
      <c r="L711" s="804">
        <v>72</v>
      </c>
      <c r="M711" s="537">
        <v>46038</v>
      </c>
      <c r="N711" s="537">
        <v>46034</v>
      </c>
      <c r="O711" s="526"/>
      <c r="P711" s="526" t="s">
        <v>103</v>
      </c>
      <c r="Q711" s="530"/>
      <c r="R711" s="530" t="s">
        <v>2432</v>
      </c>
      <c r="S711" s="533" t="s">
        <v>66</v>
      </c>
      <c r="T711" s="533" t="s">
        <v>66</v>
      </c>
      <c r="U711" s="532"/>
      <c r="V711" s="532"/>
      <c r="W711" s="532" t="s">
        <v>2565</v>
      </c>
      <c r="X711" s="540" t="s">
        <v>821</v>
      </c>
      <c r="Y711" s="538">
        <v>359.3436</v>
      </c>
      <c r="Z711" s="808">
        <v>25872.7392</v>
      </c>
      <c r="AA711" s="521"/>
      <c r="AB711" s="521" t="s">
        <v>1378</v>
      </c>
      <c r="AC711" s="520" t="s">
        <v>76</v>
      </c>
      <c r="AD711" s="521"/>
      <c r="AE711" s="521"/>
      <c r="AF711" s="521">
        <v>1</v>
      </c>
      <c r="AG711" s="521"/>
      <c r="AH711" s="521">
        <f t="shared" si="227"/>
        <v>-5400</v>
      </c>
      <c r="AI711" s="521"/>
      <c r="AJ711" s="521"/>
      <c r="AK711" s="543"/>
      <c r="AL711" s="543"/>
      <c r="AM711" s="628">
        <f>I711</f>
        <v>5400</v>
      </c>
      <c r="AN711" s="628"/>
      <c r="AO711" s="628"/>
      <c r="AP711" s="543"/>
      <c r="AQ711" s="543"/>
      <c r="AR711" s="543"/>
      <c r="AS711" s="543"/>
      <c r="AT711" s="543"/>
      <c r="AU711" s="546"/>
      <c r="AV711" s="427"/>
      <c r="AW711" s="427">
        <f>I711</f>
        <v>5400</v>
      </c>
      <c r="AX711" s="427">
        <f>I711</f>
        <v>5400</v>
      </c>
      <c r="AY711" s="427">
        <f>I711</f>
        <v>5400</v>
      </c>
      <c r="AZ711" s="543"/>
      <c r="BA711" s="543"/>
      <c r="BB711" s="427"/>
      <c r="BC711" s="427"/>
      <c r="BD711" s="543"/>
      <c r="BE711" s="543"/>
      <c r="BF711" s="427"/>
      <c r="BG711" s="427">
        <f>I711</f>
        <v>5400</v>
      </c>
      <c r="BH711" s="427">
        <f>I711/5</f>
        <v>1080</v>
      </c>
      <c r="BI711" s="427"/>
      <c r="BJ711" s="427"/>
      <c r="BK711" s="427"/>
      <c r="BL711" s="427"/>
      <c r="BM711" s="427"/>
      <c r="BN711" s="835"/>
      <c r="BO711" s="427"/>
      <c r="BP711" s="427"/>
      <c r="BQ711" s="427"/>
      <c r="BR711" s="427"/>
      <c r="BS711" s="427"/>
      <c r="BT711" s="427"/>
      <c r="BU711" s="427"/>
      <c r="BV711" s="427"/>
      <c r="BW711" s="427"/>
      <c r="BX711" s="427"/>
      <c r="BY711" s="427"/>
      <c r="BZ711" s="427"/>
      <c r="CA711" s="427"/>
      <c r="CB711" s="427"/>
      <c r="CC711" s="427"/>
      <c r="CD711" s="427"/>
      <c r="CE711" s="427"/>
      <c r="CF711" s="544"/>
      <c r="CG711" s="544"/>
      <c r="CH711" s="544"/>
      <c r="CI711" s="544"/>
      <c r="CJ711" s="544"/>
      <c r="CK711" s="427"/>
      <c r="CL711" s="427"/>
      <c r="CM711" s="427"/>
      <c r="CN711" s="544"/>
      <c r="CO711" s="544"/>
      <c r="CP711" s="544"/>
      <c r="CQ711" s="544"/>
      <c r="CR711" s="544"/>
      <c r="CS711" s="544"/>
    </row>
    <row r="712" s="431" customFormat="1" ht="31" hidden="1" customHeight="1" spans="1:97">
      <c r="A712" s="518">
        <v>45986</v>
      </c>
      <c r="B712" s="519" t="s">
        <v>2566</v>
      </c>
      <c r="C712" s="520" t="s">
        <v>90</v>
      </c>
      <c r="D712" s="427">
        <v>4500186887</v>
      </c>
      <c r="E712" s="520">
        <v>384354205</v>
      </c>
      <c r="F712" s="427" t="s">
        <v>2567</v>
      </c>
      <c r="G712" s="521" t="s">
        <v>118</v>
      </c>
      <c r="H712" s="520" t="s">
        <v>119</v>
      </c>
      <c r="I712" s="520">
        <v>2880</v>
      </c>
      <c r="J712" s="520">
        <v>0</v>
      </c>
      <c r="K712" s="520">
        <v>6</v>
      </c>
      <c r="L712" s="804">
        <f t="shared" ref="L712:L734" si="230">I712/K712</f>
        <v>480</v>
      </c>
      <c r="M712" s="537">
        <v>46041</v>
      </c>
      <c r="N712" s="537">
        <v>46037</v>
      </c>
      <c r="O712" s="526"/>
      <c r="P712" s="526" t="s">
        <v>103</v>
      </c>
      <c r="Q712" s="530"/>
      <c r="R712" s="530">
        <v>45993</v>
      </c>
      <c r="S712" s="533" t="s">
        <v>96</v>
      </c>
      <c r="T712" s="533" t="s">
        <v>2568</v>
      </c>
      <c r="U712" s="532"/>
      <c r="V712" s="532"/>
      <c r="W712" s="532" t="s">
        <v>2569</v>
      </c>
      <c r="X712" s="540" t="s">
        <v>1178</v>
      </c>
      <c r="Y712" s="538">
        <v>2.5327</v>
      </c>
      <c r="Z712" s="808">
        <f t="shared" ref="Z712:Z733" si="231">Y712*I712</f>
        <v>7294.176</v>
      </c>
      <c r="AA712" s="521"/>
      <c r="AB712" s="521" t="s">
        <v>118</v>
      </c>
      <c r="AC712" s="520" t="s">
        <v>76</v>
      </c>
      <c r="AD712" s="521"/>
      <c r="AE712" s="521"/>
      <c r="AF712" s="521">
        <v>1</v>
      </c>
      <c r="AG712" s="521">
        <v>2880</v>
      </c>
      <c r="AH712" s="521">
        <f t="shared" si="227"/>
        <v>0</v>
      </c>
      <c r="AI712" s="521"/>
      <c r="AJ712" s="521"/>
      <c r="AK712" s="543"/>
      <c r="AL712" s="543">
        <f t="shared" ref="AL712:AL731" si="232">I712</f>
        <v>2880</v>
      </c>
      <c r="AM712" s="628"/>
      <c r="AN712" s="628"/>
      <c r="AO712" s="628"/>
      <c r="AP712" s="543">
        <f>I712</f>
        <v>2880</v>
      </c>
      <c r="AQ712" s="543"/>
      <c r="AR712" s="543">
        <f>I712</f>
        <v>2880</v>
      </c>
      <c r="AS712" s="543"/>
      <c r="AT712" s="543">
        <f t="shared" ref="AT712:AT733" si="233">I712</f>
        <v>2880</v>
      </c>
      <c r="AU712" s="546"/>
      <c r="AV712" s="427"/>
      <c r="AW712" s="427"/>
      <c r="AX712" s="427"/>
      <c r="AY712" s="427"/>
      <c r="AZ712" s="543"/>
      <c r="BA712" s="543"/>
      <c r="BB712" s="427"/>
      <c r="BC712" s="427"/>
      <c r="BD712" s="543"/>
      <c r="BE712" s="543"/>
      <c r="BF712" s="427"/>
      <c r="BG712" s="427"/>
      <c r="BH712" s="427"/>
      <c r="BI712" s="427"/>
      <c r="BJ712" s="427"/>
      <c r="BK712" s="427"/>
      <c r="BL712" s="427"/>
      <c r="BM712" s="427"/>
      <c r="BN712" s="835"/>
      <c r="BO712" s="427"/>
      <c r="BP712" s="427"/>
      <c r="BQ712" s="427"/>
      <c r="BR712" s="427"/>
      <c r="BS712" s="427"/>
      <c r="BT712" s="427"/>
      <c r="BU712" s="427"/>
      <c r="BV712" s="427"/>
      <c r="BW712" s="427"/>
      <c r="BX712" s="427"/>
      <c r="BY712" s="427"/>
      <c r="BZ712" s="427"/>
      <c r="CA712" s="427"/>
      <c r="CB712" s="427"/>
      <c r="CC712" s="427"/>
      <c r="CD712" s="427"/>
      <c r="CE712" s="427"/>
      <c r="CF712" s="544"/>
      <c r="CG712" s="544"/>
      <c r="CH712" s="544"/>
      <c r="CI712" s="544"/>
      <c r="CJ712" s="544"/>
      <c r="CK712" s="427"/>
      <c r="CL712" s="427"/>
      <c r="CM712" s="427"/>
      <c r="CN712" s="544"/>
      <c r="CO712" s="544"/>
      <c r="CP712" s="544"/>
      <c r="CQ712" s="544"/>
      <c r="CR712" s="544"/>
      <c r="CS712" s="544"/>
    </row>
    <row r="713" s="431" customFormat="1" ht="31" hidden="1" customHeight="1" spans="1:97">
      <c r="A713" s="518">
        <v>45986</v>
      </c>
      <c r="B713" s="519" t="s">
        <v>2566</v>
      </c>
      <c r="C713" s="520" t="s">
        <v>90</v>
      </c>
      <c r="D713" s="427">
        <v>4500186887</v>
      </c>
      <c r="E713" s="520">
        <v>384354406</v>
      </c>
      <c r="F713" s="427" t="s">
        <v>2570</v>
      </c>
      <c r="G713" s="521" t="s">
        <v>118</v>
      </c>
      <c r="H713" s="520" t="s">
        <v>119</v>
      </c>
      <c r="I713" s="520">
        <v>1440</v>
      </c>
      <c r="J713" s="520">
        <v>0</v>
      </c>
      <c r="K713" s="520">
        <v>6</v>
      </c>
      <c r="L713" s="804">
        <f t="shared" si="230"/>
        <v>240</v>
      </c>
      <c r="M713" s="537">
        <v>46041</v>
      </c>
      <c r="N713" s="537">
        <v>46037</v>
      </c>
      <c r="O713" s="526"/>
      <c r="P713" s="526" t="s">
        <v>103</v>
      </c>
      <c r="Q713" s="530"/>
      <c r="R713" s="530">
        <v>45993</v>
      </c>
      <c r="S713" s="533" t="s">
        <v>96</v>
      </c>
      <c r="T713" s="533" t="s">
        <v>2568</v>
      </c>
      <c r="U713" s="532"/>
      <c r="V713" s="532"/>
      <c r="W713" s="532" t="s">
        <v>2569</v>
      </c>
      <c r="X713" s="540" t="s">
        <v>1178</v>
      </c>
      <c r="Y713" s="538">
        <v>2.5327</v>
      </c>
      <c r="Z713" s="808">
        <f t="shared" si="231"/>
        <v>3647.088</v>
      </c>
      <c r="AA713" s="521"/>
      <c r="AB713" s="521" t="s">
        <v>118</v>
      </c>
      <c r="AC713" s="520" t="s">
        <v>76</v>
      </c>
      <c r="AD713" s="521"/>
      <c r="AE713" s="521"/>
      <c r="AF713" s="521">
        <v>1</v>
      </c>
      <c r="AG713" s="521">
        <v>1440</v>
      </c>
      <c r="AH713" s="521">
        <f t="shared" si="227"/>
        <v>0</v>
      </c>
      <c r="AI713" s="521"/>
      <c r="AJ713" s="521"/>
      <c r="AK713" s="543"/>
      <c r="AL713" s="543">
        <f t="shared" si="232"/>
        <v>1440</v>
      </c>
      <c r="AM713" s="628"/>
      <c r="AN713" s="628"/>
      <c r="AO713" s="628"/>
      <c r="AP713" s="543">
        <f>I713</f>
        <v>1440</v>
      </c>
      <c r="AQ713" s="543"/>
      <c r="AR713" s="543">
        <f>I713</f>
        <v>1440</v>
      </c>
      <c r="AS713" s="543"/>
      <c r="AT713" s="543">
        <f t="shared" si="233"/>
        <v>1440</v>
      </c>
      <c r="AU713" s="546"/>
      <c r="AV713" s="427"/>
      <c r="AW713" s="427"/>
      <c r="AX713" s="427"/>
      <c r="AY713" s="427"/>
      <c r="AZ713" s="543"/>
      <c r="BA713" s="543"/>
      <c r="BB713" s="427"/>
      <c r="BC713" s="427"/>
      <c r="BD713" s="543"/>
      <c r="BE713" s="543"/>
      <c r="BF713" s="427"/>
      <c r="BG713" s="427"/>
      <c r="BH713" s="427"/>
      <c r="BI713" s="427"/>
      <c r="BJ713" s="427"/>
      <c r="BK713" s="427"/>
      <c r="BL713" s="427"/>
      <c r="BM713" s="427"/>
      <c r="BN713" s="835"/>
      <c r="BO713" s="427"/>
      <c r="BP713" s="427"/>
      <c r="BQ713" s="427"/>
      <c r="BR713" s="427"/>
      <c r="BS713" s="427"/>
      <c r="BT713" s="427"/>
      <c r="BU713" s="427"/>
      <c r="BV713" s="427"/>
      <c r="BW713" s="427"/>
      <c r="BX713" s="427"/>
      <c r="BY713" s="427"/>
      <c r="BZ713" s="427"/>
      <c r="CA713" s="427"/>
      <c r="CB713" s="427"/>
      <c r="CC713" s="427"/>
      <c r="CD713" s="427"/>
      <c r="CE713" s="427"/>
      <c r="CF713" s="544"/>
      <c r="CG713" s="544"/>
      <c r="CH713" s="544"/>
      <c r="CI713" s="544"/>
      <c r="CJ713" s="544"/>
      <c r="CK713" s="427"/>
      <c r="CL713" s="427"/>
      <c r="CM713" s="427"/>
      <c r="CN713" s="544"/>
      <c r="CO713" s="544"/>
      <c r="CP713" s="544"/>
      <c r="CQ713" s="544"/>
      <c r="CR713" s="544"/>
      <c r="CS713" s="544"/>
    </row>
    <row r="714" s="431" customFormat="1" ht="31" hidden="1" customHeight="1" spans="1:97">
      <c r="A714" s="518">
        <v>45996</v>
      </c>
      <c r="B714" s="519" t="s">
        <v>1492</v>
      </c>
      <c r="C714" s="520" t="s">
        <v>249</v>
      </c>
      <c r="D714" s="427">
        <v>4500188246</v>
      </c>
      <c r="E714" s="520">
        <v>4400529728</v>
      </c>
      <c r="F714" s="427" t="s">
        <v>2571</v>
      </c>
      <c r="G714" s="521" t="s">
        <v>148</v>
      </c>
      <c r="H714" s="520" t="s">
        <v>65</v>
      </c>
      <c r="I714" s="520">
        <v>3000</v>
      </c>
      <c r="J714" s="520">
        <v>0</v>
      </c>
      <c r="K714" s="520">
        <v>8</v>
      </c>
      <c r="L714" s="804">
        <f t="shared" si="230"/>
        <v>375</v>
      </c>
      <c r="M714" s="537">
        <v>46041</v>
      </c>
      <c r="N714" s="537">
        <v>46037</v>
      </c>
      <c r="O714" s="526"/>
      <c r="P714" s="526" t="s">
        <v>103</v>
      </c>
      <c r="Q714" s="530"/>
      <c r="R714" s="530">
        <v>45996</v>
      </c>
      <c r="S714" s="533" t="s">
        <v>66</v>
      </c>
      <c r="T714" s="533" t="s">
        <v>149</v>
      </c>
      <c r="U714" s="532"/>
      <c r="V714" s="532"/>
      <c r="W714" s="532" t="s">
        <v>2392</v>
      </c>
      <c r="X714" s="540" t="s">
        <v>1424</v>
      </c>
      <c r="Y714" s="538">
        <v>4.2661</v>
      </c>
      <c r="Z714" s="808">
        <f t="shared" si="231"/>
        <v>12798.3</v>
      </c>
      <c r="AA714" s="521"/>
      <c r="AB714" s="521" t="s">
        <v>2202</v>
      </c>
      <c r="AC714" s="520" t="s">
        <v>76</v>
      </c>
      <c r="AD714" s="521"/>
      <c r="AE714" s="521"/>
      <c r="AF714" s="521">
        <v>1</v>
      </c>
      <c r="AG714" s="521">
        <v>3000</v>
      </c>
      <c r="AH714" s="521">
        <f t="shared" si="227"/>
        <v>0</v>
      </c>
      <c r="AI714" s="521"/>
      <c r="AJ714" s="521"/>
      <c r="AK714" s="543"/>
      <c r="AL714" s="543">
        <f t="shared" si="232"/>
        <v>3000</v>
      </c>
      <c r="AM714" s="628"/>
      <c r="AN714" s="628"/>
      <c r="AO714" s="628"/>
      <c r="AP714" s="543"/>
      <c r="AQ714" s="543">
        <f t="shared" ref="AQ714:AQ724" si="234">I714</f>
        <v>3000</v>
      </c>
      <c r="AR714" s="543">
        <f t="shared" ref="AR714:AR723" si="235">I714</f>
        <v>3000</v>
      </c>
      <c r="AS714" s="543"/>
      <c r="AT714" s="543">
        <f t="shared" si="233"/>
        <v>3000</v>
      </c>
      <c r="AU714" s="546"/>
      <c r="AV714" s="427"/>
      <c r="AW714" s="427"/>
      <c r="AX714" s="427"/>
      <c r="AY714" s="427"/>
      <c r="AZ714" s="543"/>
      <c r="BA714" s="543"/>
      <c r="BB714" s="427"/>
      <c r="BC714" s="427"/>
      <c r="BD714" s="543"/>
      <c r="BE714" s="543">
        <f>I714/4</f>
        <v>750</v>
      </c>
      <c r="BF714" s="427"/>
      <c r="BG714" s="427"/>
      <c r="BH714" s="427"/>
      <c r="BI714" s="427"/>
      <c r="BJ714" s="427"/>
      <c r="BK714" s="427"/>
      <c r="BL714" s="427"/>
      <c r="BM714" s="427"/>
      <c r="BN714" s="835"/>
      <c r="BO714" s="427"/>
      <c r="BP714" s="427"/>
      <c r="BQ714" s="427"/>
      <c r="BR714" s="427"/>
      <c r="BS714" s="427"/>
      <c r="BT714" s="427"/>
      <c r="BU714" s="427"/>
      <c r="BV714" s="427"/>
      <c r="BW714" s="427"/>
      <c r="BX714" s="427"/>
      <c r="BY714" s="427"/>
      <c r="BZ714" s="427"/>
      <c r="CA714" s="427"/>
      <c r="CB714" s="427"/>
      <c r="CC714" s="427"/>
      <c r="CD714" s="427"/>
      <c r="CE714" s="427"/>
      <c r="CF714" s="544"/>
      <c r="CG714" s="544"/>
      <c r="CH714" s="544"/>
      <c r="CI714" s="544"/>
      <c r="CJ714" s="544"/>
      <c r="CK714" s="427"/>
      <c r="CL714" s="427"/>
      <c r="CM714" s="427"/>
      <c r="CN714" s="544"/>
      <c r="CO714" s="544"/>
      <c r="CP714" s="544"/>
      <c r="CQ714" s="544"/>
      <c r="CR714" s="544"/>
      <c r="CS714" s="544"/>
    </row>
    <row r="715" s="431" customFormat="1" ht="31" hidden="1" customHeight="1" spans="1:97">
      <c r="A715" s="518">
        <v>45996</v>
      </c>
      <c r="B715" s="519" t="s">
        <v>1419</v>
      </c>
      <c r="C715" s="520" t="s">
        <v>231</v>
      </c>
      <c r="D715" s="427">
        <v>4500188245</v>
      </c>
      <c r="E715" s="520">
        <v>4400529727</v>
      </c>
      <c r="F715" s="427" t="s">
        <v>2572</v>
      </c>
      <c r="G715" s="521" t="s">
        <v>148</v>
      </c>
      <c r="H715" s="520" t="s">
        <v>65</v>
      </c>
      <c r="I715" s="520">
        <v>1504</v>
      </c>
      <c r="J715" s="520">
        <v>0</v>
      </c>
      <c r="K715" s="520">
        <v>8</v>
      </c>
      <c r="L715" s="804">
        <f t="shared" si="230"/>
        <v>188</v>
      </c>
      <c r="M715" s="537">
        <v>46041</v>
      </c>
      <c r="N715" s="537">
        <v>46037</v>
      </c>
      <c r="O715" s="526"/>
      <c r="P715" s="526" t="s">
        <v>103</v>
      </c>
      <c r="Q715" s="530"/>
      <c r="R715" s="530">
        <v>45996</v>
      </c>
      <c r="S715" s="533" t="s">
        <v>66</v>
      </c>
      <c r="T715" s="533" t="s">
        <v>149</v>
      </c>
      <c r="U715" s="532"/>
      <c r="V715" s="532"/>
      <c r="W715" s="532" t="s">
        <v>2392</v>
      </c>
      <c r="X715" s="540" t="s">
        <v>1424</v>
      </c>
      <c r="Y715" s="538">
        <v>4.2714</v>
      </c>
      <c r="Z715" s="808">
        <f t="shared" si="231"/>
        <v>6424.1856</v>
      </c>
      <c r="AA715" s="521"/>
      <c r="AB715" s="521" t="s">
        <v>2202</v>
      </c>
      <c r="AC715" s="520" t="s">
        <v>76</v>
      </c>
      <c r="AD715" s="521"/>
      <c r="AE715" s="521"/>
      <c r="AF715" s="521">
        <v>1</v>
      </c>
      <c r="AG715" s="521">
        <v>1504</v>
      </c>
      <c r="AH715" s="521">
        <f t="shared" si="227"/>
        <v>0</v>
      </c>
      <c r="AI715" s="521"/>
      <c r="AJ715" s="521"/>
      <c r="AK715" s="543"/>
      <c r="AL715" s="543">
        <f t="shared" si="232"/>
        <v>1504</v>
      </c>
      <c r="AM715" s="628"/>
      <c r="AN715" s="628"/>
      <c r="AO715" s="628"/>
      <c r="AP715" s="543"/>
      <c r="AQ715" s="543">
        <f t="shared" si="234"/>
        <v>1504</v>
      </c>
      <c r="AR715" s="543">
        <f t="shared" si="235"/>
        <v>1504</v>
      </c>
      <c r="AS715" s="543"/>
      <c r="AT715" s="543">
        <f t="shared" si="233"/>
        <v>1504</v>
      </c>
      <c r="AU715" s="546"/>
      <c r="AV715" s="427"/>
      <c r="AW715" s="427"/>
      <c r="AX715" s="427"/>
      <c r="AY715" s="427"/>
      <c r="AZ715" s="543"/>
      <c r="BA715" s="543"/>
      <c r="BB715" s="427"/>
      <c r="BC715" s="427"/>
      <c r="BD715" s="543"/>
      <c r="BE715" s="543">
        <f>I715/4</f>
        <v>376</v>
      </c>
      <c r="BF715" s="427"/>
      <c r="BG715" s="427"/>
      <c r="BH715" s="427"/>
      <c r="BI715" s="427"/>
      <c r="BJ715" s="427"/>
      <c r="BK715" s="427"/>
      <c r="BL715" s="427"/>
      <c r="BM715" s="427"/>
      <c r="BN715" s="835"/>
      <c r="BO715" s="427"/>
      <c r="BP715" s="427"/>
      <c r="BQ715" s="427"/>
      <c r="BR715" s="427"/>
      <c r="BS715" s="427"/>
      <c r="BT715" s="427"/>
      <c r="BU715" s="427"/>
      <c r="BV715" s="427"/>
      <c r="BW715" s="427"/>
      <c r="BX715" s="427"/>
      <c r="BY715" s="427"/>
      <c r="BZ715" s="427"/>
      <c r="CA715" s="427"/>
      <c r="CB715" s="427"/>
      <c r="CC715" s="427"/>
      <c r="CD715" s="427"/>
      <c r="CE715" s="427"/>
      <c r="CF715" s="544"/>
      <c r="CG715" s="544"/>
      <c r="CH715" s="544"/>
      <c r="CI715" s="544"/>
      <c r="CJ715" s="544"/>
      <c r="CK715" s="427"/>
      <c r="CL715" s="427"/>
      <c r="CM715" s="427"/>
      <c r="CN715" s="544"/>
      <c r="CO715" s="544"/>
      <c r="CP715" s="544"/>
      <c r="CQ715" s="544"/>
      <c r="CR715" s="544"/>
      <c r="CS715" s="544"/>
    </row>
    <row r="716" s="431" customFormat="1" ht="31" hidden="1" customHeight="1" spans="1:97">
      <c r="A716" s="518">
        <v>46001</v>
      </c>
      <c r="B716" s="519" t="s">
        <v>2393</v>
      </c>
      <c r="C716" s="520" t="s">
        <v>90</v>
      </c>
      <c r="D716" s="427">
        <v>4500188597</v>
      </c>
      <c r="E716" s="520">
        <v>40799202</v>
      </c>
      <c r="F716" s="427" t="s">
        <v>2573</v>
      </c>
      <c r="G716" s="521" t="s">
        <v>2395</v>
      </c>
      <c r="H716" s="520" t="s">
        <v>2396</v>
      </c>
      <c r="I716" s="520">
        <v>392</v>
      </c>
      <c r="J716" s="520">
        <v>0</v>
      </c>
      <c r="K716" s="520">
        <v>8</v>
      </c>
      <c r="L716" s="804">
        <f t="shared" si="230"/>
        <v>49</v>
      </c>
      <c r="M716" s="537">
        <v>46041</v>
      </c>
      <c r="N716" s="537">
        <v>46037</v>
      </c>
      <c r="O716" s="526" t="s">
        <v>2574</v>
      </c>
      <c r="P716" s="526" t="s">
        <v>103</v>
      </c>
      <c r="Q716" s="530"/>
      <c r="R716" s="530">
        <v>46001</v>
      </c>
      <c r="S716" s="533" t="s">
        <v>96</v>
      </c>
      <c r="T716" s="533" t="s">
        <v>2403</v>
      </c>
      <c r="U716" s="532"/>
      <c r="V716" s="532"/>
      <c r="W716" s="532" t="s">
        <v>2404</v>
      </c>
      <c r="X716" s="540" t="s">
        <v>242</v>
      </c>
      <c r="Y716" s="538">
        <v>2.55</v>
      </c>
      <c r="Z716" s="808">
        <f t="shared" si="231"/>
        <v>999.6</v>
      </c>
      <c r="AA716" s="521"/>
      <c r="AB716" s="521" t="s">
        <v>2399</v>
      </c>
      <c r="AC716" s="520" t="s">
        <v>76</v>
      </c>
      <c r="AD716" s="521"/>
      <c r="AE716" s="521"/>
      <c r="AF716" s="521">
        <v>1</v>
      </c>
      <c r="AG716" s="521">
        <v>392</v>
      </c>
      <c r="AH716" s="521">
        <f t="shared" si="227"/>
        <v>0</v>
      </c>
      <c r="AI716" s="521"/>
      <c r="AJ716" s="521" t="s">
        <v>2191</v>
      </c>
      <c r="AK716" s="543"/>
      <c r="AL716" s="543">
        <f t="shared" si="232"/>
        <v>392</v>
      </c>
      <c r="AM716" s="628"/>
      <c r="AN716" s="628"/>
      <c r="AO716" s="628"/>
      <c r="AP716" s="543"/>
      <c r="AQ716" s="543">
        <f t="shared" si="234"/>
        <v>392</v>
      </c>
      <c r="AR716" s="543">
        <f t="shared" si="235"/>
        <v>392</v>
      </c>
      <c r="AS716" s="543"/>
      <c r="AT716" s="543">
        <f t="shared" si="233"/>
        <v>392</v>
      </c>
      <c r="AU716" s="546"/>
      <c r="AV716" s="427"/>
      <c r="AW716" s="427"/>
      <c r="AX716" s="427"/>
      <c r="AY716" s="427"/>
      <c r="AZ716" s="543"/>
      <c r="BA716" s="543"/>
      <c r="BB716" s="427"/>
      <c r="BC716" s="427"/>
      <c r="BD716" s="543"/>
      <c r="BE716" s="543"/>
      <c r="BF716" s="427">
        <f>L716</f>
        <v>49</v>
      </c>
      <c r="BG716" s="427"/>
      <c r="BH716" s="427"/>
      <c r="BI716" s="427"/>
      <c r="BJ716" s="427"/>
      <c r="BK716" s="427"/>
      <c r="BL716" s="427"/>
      <c r="BM716" s="427"/>
      <c r="BN716" s="835"/>
      <c r="BO716" s="427"/>
      <c r="BP716" s="427"/>
      <c r="BQ716" s="427"/>
      <c r="BR716" s="427"/>
      <c r="BS716" s="427"/>
      <c r="BT716" s="427"/>
      <c r="BU716" s="427"/>
      <c r="BV716" s="427"/>
      <c r="BW716" s="427"/>
      <c r="BX716" s="427"/>
      <c r="BY716" s="427"/>
      <c r="BZ716" s="427"/>
      <c r="CA716" s="427"/>
      <c r="CB716" s="427"/>
      <c r="CC716" s="427"/>
      <c r="CD716" s="427"/>
      <c r="CE716" s="427"/>
      <c r="CF716" s="544"/>
      <c r="CG716" s="544"/>
      <c r="CH716" s="544"/>
      <c r="CI716" s="544"/>
      <c r="CJ716" s="544"/>
      <c r="CK716" s="427"/>
      <c r="CL716" s="427"/>
      <c r="CM716" s="427"/>
      <c r="CN716" s="544"/>
      <c r="CO716" s="544"/>
      <c r="CP716" s="544"/>
      <c r="CQ716" s="544"/>
      <c r="CR716" s="544"/>
      <c r="CS716" s="544"/>
    </row>
    <row r="717" s="431" customFormat="1" ht="31" hidden="1" customHeight="1" spans="1:97">
      <c r="A717" s="518">
        <v>45989</v>
      </c>
      <c r="B717" s="519" t="s">
        <v>1769</v>
      </c>
      <c r="C717" s="520" t="s">
        <v>139</v>
      </c>
      <c r="D717" s="427">
        <v>4500189894</v>
      </c>
      <c r="E717" s="520">
        <v>5200008524</v>
      </c>
      <c r="F717" s="427" t="s">
        <v>2575</v>
      </c>
      <c r="G717" s="521" t="s">
        <v>141</v>
      </c>
      <c r="H717" s="520" t="s">
        <v>94</v>
      </c>
      <c r="I717" s="520">
        <v>600</v>
      </c>
      <c r="J717" s="520">
        <v>0</v>
      </c>
      <c r="K717" s="520">
        <v>4</v>
      </c>
      <c r="L717" s="804">
        <f t="shared" si="230"/>
        <v>150</v>
      </c>
      <c r="M717" s="537">
        <v>46042</v>
      </c>
      <c r="N717" s="537">
        <v>46038</v>
      </c>
      <c r="O717" s="526" t="s">
        <v>2576</v>
      </c>
      <c r="P717" s="526" t="s">
        <v>103</v>
      </c>
      <c r="Q717" s="530"/>
      <c r="R717" s="530">
        <v>46000</v>
      </c>
      <c r="S717" s="533" t="s">
        <v>66</v>
      </c>
      <c r="T717" s="533" t="s">
        <v>2577</v>
      </c>
      <c r="U717" s="532"/>
      <c r="V717" s="532"/>
      <c r="W717" s="532" t="s">
        <v>2578</v>
      </c>
      <c r="X717" s="540" t="s">
        <v>1140</v>
      </c>
      <c r="Y717" s="538">
        <v>4.3</v>
      </c>
      <c r="Z717" s="808">
        <f t="shared" si="231"/>
        <v>2580</v>
      </c>
      <c r="AA717" s="521"/>
      <c r="AB717" s="521" t="s">
        <v>141</v>
      </c>
      <c r="AC717" s="520" t="s">
        <v>76</v>
      </c>
      <c r="AD717" s="521"/>
      <c r="AE717" s="521"/>
      <c r="AF717" s="521">
        <v>1</v>
      </c>
      <c r="AG717" s="521">
        <v>600</v>
      </c>
      <c r="AH717" s="521">
        <f t="shared" si="227"/>
        <v>0</v>
      </c>
      <c r="AI717" s="521"/>
      <c r="AJ717" s="521" t="s">
        <v>2191</v>
      </c>
      <c r="AK717" s="543"/>
      <c r="AL717" s="543">
        <f t="shared" si="232"/>
        <v>600</v>
      </c>
      <c r="AM717" s="628"/>
      <c r="AN717" s="628"/>
      <c r="AO717" s="628"/>
      <c r="AP717" s="543"/>
      <c r="AQ717" s="543">
        <f t="shared" si="234"/>
        <v>600</v>
      </c>
      <c r="AR717" s="543">
        <f t="shared" si="235"/>
        <v>600</v>
      </c>
      <c r="AS717" s="543"/>
      <c r="AT717" s="543">
        <f t="shared" si="233"/>
        <v>600</v>
      </c>
      <c r="AU717" s="546"/>
      <c r="AV717" s="427"/>
      <c r="AW717" s="427"/>
      <c r="AX717" s="427"/>
      <c r="AY717" s="427"/>
      <c r="AZ717" s="543"/>
      <c r="BA717" s="543"/>
      <c r="BB717" s="427"/>
      <c r="BC717" s="427"/>
      <c r="BD717" s="543"/>
      <c r="BE717" s="543">
        <f>I717/4</f>
        <v>150</v>
      </c>
      <c r="BF717" s="427"/>
      <c r="BG717" s="427"/>
      <c r="BH717" s="427"/>
      <c r="BI717" s="427"/>
      <c r="BJ717" s="427"/>
      <c r="BK717" s="427"/>
      <c r="BL717" s="427"/>
      <c r="BM717" s="427"/>
      <c r="BN717" s="835"/>
      <c r="BO717" s="427"/>
      <c r="BP717" s="427"/>
      <c r="BQ717" s="427"/>
      <c r="BR717" s="427"/>
      <c r="BS717" s="427"/>
      <c r="BT717" s="427"/>
      <c r="BU717" s="427"/>
      <c r="BV717" s="427"/>
      <c r="BW717" s="427"/>
      <c r="BX717" s="427"/>
      <c r="BY717" s="427"/>
      <c r="BZ717" s="427"/>
      <c r="CA717" s="427"/>
      <c r="CB717" s="427"/>
      <c r="CC717" s="427"/>
      <c r="CD717" s="427"/>
      <c r="CE717" s="427"/>
      <c r="CF717" s="544"/>
      <c r="CG717" s="544"/>
      <c r="CH717" s="544"/>
      <c r="CI717" s="544"/>
      <c r="CJ717" s="544"/>
      <c r="CK717" s="427"/>
      <c r="CL717" s="427"/>
      <c r="CM717" s="427"/>
      <c r="CN717" s="544"/>
      <c r="CO717" s="544"/>
      <c r="CP717" s="544"/>
      <c r="CQ717" s="544"/>
      <c r="CR717" s="544"/>
      <c r="CS717" s="544"/>
    </row>
    <row r="718" s="431" customFormat="1" ht="31" hidden="1" customHeight="1" spans="1:97">
      <c r="A718" s="518">
        <v>45990</v>
      </c>
      <c r="B718" s="519" t="s">
        <v>1595</v>
      </c>
      <c r="C718" s="520" t="s">
        <v>139</v>
      </c>
      <c r="D718" s="427">
        <v>4500187355</v>
      </c>
      <c r="E718" s="520">
        <v>4400526455</v>
      </c>
      <c r="F718" s="427" t="s">
        <v>2579</v>
      </c>
      <c r="G718" s="521" t="s">
        <v>148</v>
      </c>
      <c r="H718" s="520" t="s">
        <v>65</v>
      </c>
      <c r="I718" s="520">
        <v>4000</v>
      </c>
      <c r="J718" s="520">
        <v>0</v>
      </c>
      <c r="K718" s="520">
        <v>8</v>
      </c>
      <c r="L718" s="804">
        <f t="shared" si="230"/>
        <v>500</v>
      </c>
      <c r="M718" s="537">
        <v>46042</v>
      </c>
      <c r="N718" s="537">
        <v>46038</v>
      </c>
      <c r="O718" s="526"/>
      <c r="P718" s="526" t="s">
        <v>103</v>
      </c>
      <c r="Q718" s="530"/>
      <c r="R718" s="530">
        <v>45990</v>
      </c>
      <c r="S718" s="533" t="s">
        <v>66</v>
      </c>
      <c r="T718" s="533" t="s">
        <v>2580</v>
      </c>
      <c r="U718" s="532"/>
      <c r="V718" s="532"/>
      <c r="W718" s="532" t="s">
        <v>2581</v>
      </c>
      <c r="X718" s="540" t="s">
        <v>1424</v>
      </c>
      <c r="Y718" s="538">
        <v>4.2661</v>
      </c>
      <c r="Z718" s="808">
        <f t="shared" si="231"/>
        <v>17064.4</v>
      </c>
      <c r="AA718" s="521"/>
      <c r="AB718" s="521" t="s">
        <v>148</v>
      </c>
      <c r="AC718" s="520" t="s">
        <v>76</v>
      </c>
      <c r="AD718" s="521"/>
      <c r="AE718" s="521"/>
      <c r="AF718" s="521">
        <v>1</v>
      </c>
      <c r="AG718" s="521">
        <f>712+3288</f>
        <v>4000</v>
      </c>
      <c r="AH718" s="521">
        <f t="shared" si="227"/>
        <v>0</v>
      </c>
      <c r="AI718" s="521"/>
      <c r="AJ718" s="521" t="s">
        <v>2191</v>
      </c>
      <c r="AK718" s="543"/>
      <c r="AL718" s="543">
        <f t="shared" si="232"/>
        <v>4000</v>
      </c>
      <c r="AM718" s="628"/>
      <c r="AN718" s="628"/>
      <c r="AO718" s="628"/>
      <c r="AP718" s="543"/>
      <c r="AQ718" s="543"/>
      <c r="AR718" s="543"/>
      <c r="AS718" s="543"/>
      <c r="AT718" s="543">
        <f t="shared" si="233"/>
        <v>4000</v>
      </c>
      <c r="AU718" s="546"/>
      <c r="AV718" s="427"/>
      <c r="AW718" s="427"/>
      <c r="AX718" s="427"/>
      <c r="AY718" s="427"/>
      <c r="AZ718" s="543">
        <f>I718</f>
        <v>4000</v>
      </c>
      <c r="BA718" s="543">
        <f>I718</f>
        <v>4000</v>
      </c>
      <c r="BB718" s="427"/>
      <c r="BC718" s="427"/>
      <c r="BD718" s="543"/>
      <c r="BE718" s="543">
        <f>I718/4</f>
        <v>1000</v>
      </c>
      <c r="BF718" s="427"/>
      <c r="BG718" s="427"/>
      <c r="BH718" s="427"/>
      <c r="BI718" s="427"/>
      <c r="BJ718" s="427"/>
      <c r="BK718" s="427"/>
      <c r="BL718" s="427"/>
      <c r="BM718" s="427"/>
      <c r="BN718" s="835"/>
      <c r="BO718" s="427"/>
      <c r="BP718" s="427"/>
      <c r="BQ718" s="427"/>
      <c r="BR718" s="427"/>
      <c r="BS718" s="427"/>
      <c r="BT718" s="427"/>
      <c r="BU718" s="427"/>
      <c r="BV718" s="427"/>
      <c r="BW718" s="427"/>
      <c r="BX718" s="427"/>
      <c r="BY718" s="427"/>
      <c r="BZ718" s="427"/>
      <c r="CA718" s="427"/>
      <c r="CB718" s="427"/>
      <c r="CC718" s="427"/>
      <c r="CD718" s="427"/>
      <c r="CE718" s="427"/>
      <c r="CF718" s="544"/>
      <c r="CG718" s="544"/>
      <c r="CH718" s="544"/>
      <c r="CI718" s="544"/>
      <c r="CJ718" s="544"/>
      <c r="CK718" s="427"/>
      <c r="CL718" s="427"/>
      <c r="CM718" s="427"/>
      <c r="CN718" s="544"/>
      <c r="CO718" s="544"/>
      <c r="CP718" s="544"/>
      <c r="CQ718" s="544"/>
      <c r="CR718" s="544"/>
      <c r="CS718" s="544"/>
    </row>
    <row r="719" s="431" customFormat="1" ht="31" hidden="1" customHeight="1" spans="1:97">
      <c r="A719" s="518">
        <v>45990</v>
      </c>
      <c r="B719" s="519" t="s">
        <v>845</v>
      </c>
      <c r="C719" s="520" t="s">
        <v>271</v>
      </c>
      <c r="D719" s="427">
        <v>4500187458</v>
      </c>
      <c r="E719" s="520">
        <v>4400524944</v>
      </c>
      <c r="F719" s="427" t="s">
        <v>2582</v>
      </c>
      <c r="G719" s="521" t="s">
        <v>148</v>
      </c>
      <c r="H719" s="520" t="s">
        <v>65</v>
      </c>
      <c r="I719" s="520">
        <v>1000</v>
      </c>
      <c r="J719" s="520">
        <v>0</v>
      </c>
      <c r="K719" s="520">
        <v>8</v>
      </c>
      <c r="L719" s="804">
        <f t="shared" si="230"/>
        <v>125</v>
      </c>
      <c r="M719" s="537">
        <v>46042</v>
      </c>
      <c r="N719" s="537">
        <v>46038</v>
      </c>
      <c r="O719" s="526"/>
      <c r="P719" s="526" t="s">
        <v>103</v>
      </c>
      <c r="Q719" s="530"/>
      <c r="R719" s="530">
        <v>45990</v>
      </c>
      <c r="S719" s="533" t="s">
        <v>66</v>
      </c>
      <c r="T719" s="533" t="s">
        <v>149</v>
      </c>
      <c r="U719" s="532"/>
      <c r="V719" s="532"/>
      <c r="W719" s="532" t="s">
        <v>2583</v>
      </c>
      <c r="X719" s="540" t="s">
        <v>1424</v>
      </c>
      <c r="Y719" s="538">
        <v>4.2714</v>
      </c>
      <c r="Z719" s="808">
        <f t="shared" si="231"/>
        <v>4271.4</v>
      </c>
      <c r="AA719" s="521"/>
      <c r="AB719" s="521" t="s">
        <v>2202</v>
      </c>
      <c r="AC719" s="520" t="s">
        <v>76</v>
      </c>
      <c r="AD719" s="521"/>
      <c r="AE719" s="521"/>
      <c r="AF719" s="521">
        <v>1</v>
      </c>
      <c r="AG719" s="521">
        <v>1000</v>
      </c>
      <c r="AH719" s="521">
        <f t="shared" si="227"/>
        <v>0</v>
      </c>
      <c r="AI719" s="521"/>
      <c r="AJ719" s="521"/>
      <c r="AK719" s="543"/>
      <c r="AL719" s="543">
        <f t="shared" si="232"/>
        <v>1000</v>
      </c>
      <c r="AM719" s="628"/>
      <c r="AN719" s="628"/>
      <c r="AO719" s="628"/>
      <c r="AP719" s="543"/>
      <c r="AQ719" s="543">
        <f t="shared" si="234"/>
        <v>1000</v>
      </c>
      <c r="AR719" s="543">
        <f t="shared" si="235"/>
        <v>1000</v>
      </c>
      <c r="AS719" s="543"/>
      <c r="AT719" s="543">
        <f t="shared" si="233"/>
        <v>1000</v>
      </c>
      <c r="AU719" s="546"/>
      <c r="AV719" s="427"/>
      <c r="AW719" s="427"/>
      <c r="AX719" s="427"/>
      <c r="AY719" s="427"/>
      <c r="AZ719" s="543"/>
      <c r="BA719" s="543"/>
      <c r="BB719" s="427"/>
      <c r="BC719" s="427"/>
      <c r="BD719" s="543"/>
      <c r="BE719" s="543">
        <f>I719/4</f>
        <v>250</v>
      </c>
      <c r="BF719" s="427"/>
      <c r="BG719" s="427"/>
      <c r="BH719" s="427"/>
      <c r="BI719" s="427"/>
      <c r="BJ719" s="427"/>
      <c r="BK719" s="427"/>
      <c r="BL719" s="427"/>
      <c r="BM719" s="427"/>
      <c r="BN719" s="835"/>
      <c r="BO719" s="427"/>
      <c r="BP719" s="427"/>
      <c r="BQ719" s="427"/>
      <c r="BR719" s="427"/>
      <c r="BS719" s="427"/>
      <c r="BT719" s="427"/>
      <c r="BU719" s="427"/>
      <c r="BV719" s="427"/>
      <c r="BW719" s="427"/>
      <c r="BX719" s="427"/>
      <c r="BY719" s="427"/>
      <c r="BZ719" s="427"/>
      <c r="CA719" s="427"/>
      <c r="CB719" s="427"/>
      <c r="CC719" s="427"/>
      <c r="CD719" s="427"/>
      <c r="CE719" s="427"/>
      <c r="CF719" s="544"/>
      <c r="CG719" s="544"/>
      <c r="CH719" s="544"/>
      <c r="CI719" s="544"/>
      <c r="CJ719" s="544"/>
      <c r="CK719" s="427"/>
      <c r="CL719" s="427"/>
      <c r="CM719" s="427"/>
      <c r="CN719" s="544"/>
      <c r="CO719" s="544"/>
      <c r="CP719" s="544"/>
      <c r="CQ719" s="544"/>
      <c r="CR719" s="544"/>
      <c r="CS719" s="544"/>
    </row>
    <row r="720" s="431" customFormat="1" ht="31" hidden="1" customHeight="1" spans="1:97">
      <c r="A720" s="518">
        <v>45990</v>
      </c>
      <c r="B720" s="519" t="s">
        <v>1492</v>
      </c>
      <c r="C720" s="520" t="s">
        <v>249</v>
      </c>
      <c r="D720" s="427">
        <v>4500187433</v>
      </c>
      <c r="E720" s="520">
        <v>4400524894</v>
      </c>
      <c r="F720" s="427" t="s">
        <v>2584</v>
      </c>
      <c r="G720" s="521" t="s">
        <v>148</v>
      </c>
      <c r="H720" s="520" t="s">
        <v>65</v>
      </c>
      <c r="I720" s="520">
        <v>2000</v>
      </c>
      <c r="J720" s="520">
        <v>0</v>
      </c>
      <c r="K720" s="520">
        <v>8</v>
      </c>
      <c r="L720" s="804">
        <f t="shared" si="230"/>
        <v>250</v>
      </c>
      <c r="M720" s="537">
        <v>46042</v>
      </c>
      <c r="N720" s="537">
        <v>46038</v>
      </c>
      <c r="O720" s="526"/>
      <c r="P720" s="526" t="s">
        <v>103</v>
      </c>
      <c r="Q720" s="530"/>
      <c r="R720" s="530">
        <v>45990</v>
      </c>
      <c r="S720" s="533" t="s">
        <v>66</v>
      </c>
      <c r="T720" s="533" t="s">
        <v>149</v>
      </c>
      <c r="U720" s="532"/>
      <c r="V720" s="532"/>
      <c r="W720" s="532" t="s">
        <v>2486</v>
      </c>
      <c r="X720" s="540" t="s">
        <v>1424</v>
      </c>
      <c r="Y720" s="538">
        <v>4.2227</v>
      </c>
      <c r="Z720" s="808">
        <f t="shared" si="231"/>
        <v>8445.4</v>
      </c>
      <c r="AA720" s="521"/>
      <c r="AB720" s="521" t="s">
        <v>2202</v>
      </c>
      <c r="AC720" s="520" t="s">
        <v>76</v>
      </c>
      <c r="AD720" s="521"/>
      <c r="AE720" s="521"/>
      <c r="AF720" s="521">
        <v>1</v>
      </c>
      <c r="AG720" s="521">
        <f>720+1280</f>
        <v>2000</v>
      </c>
      <c r="AH720" s="521">
        <f t="shared" si="227"/>
        <v>0</v>
      </c>
      <c r="AI720" s="521"/>
      <c r="AJ720" s="521"/>
      <c r="AK720" s="543"/>
      <c r="AL720" s="543">
        <f t="shared" si="232"/>
        <v>2000</v>
      </c>
      <c r="AM720" s="628"/>
      <c r="AN720" s="628"/>
      <c r="AO720" s="628"/>
      <c r="AP720" s="543"/>
      <c r="AQ720" s="543">
        <f t="shared" si="234"/>
        <v>2000</v>
      </c>
      <c r="AR720" s="543">
        <f t="shared" si="235"/>
        <v>2000</v>
      </c>
      <c r="AS720" s="543"/>
      <c r="AT720" s="543">
        <f t="shared" si="233"/>
        <v>2000</v>
      </c>
      <c r="AU720" s="546"/>
      <c r="AV720" s="427"/>
      <c r="AW720" s="427"/>
      <c r="AX720" s="427"/>
      <c r="AY720" s="427"/>
      <c r="AZ720" s="543"/>
      <c r="BA720" s="543"/>
      <c r="BB720" s="427"/>
      <c r="BC720" s="427"/>
      <c r="BD720" s="543"/>
      <c r="BE720" s="543">
        <f>I720/4</f>
        <v>500</v>
      </c>
      <c r="BF720" s="427"/>
      <c r="BG720" s="427"/>
      <c r="BH720" s="427"/>
      <c r="BI720" s="427"/>
      <c r="BJ720" s="427"/>
      <c r="BK720" s="427"/>
      <c r="BL720" s="427"/>
      <c r="BM720" s="427"/>
      <c r="BN720" s="835"/>
      <c r="BO720" s="427"/>
      <c r="BP720" s="427"/>
      <c r="BQ720" s="427"/>
      <c r="BR720" s="427"/>
      <c r="BS720" s="427"/>
      <c r="BT720" s="427"/>
      <c r="BU720" s="427"/>
      <c r="BV720" s="427"/>
      <c r="BW720" s="427"/>
      <c r="BX720" s="427"/>
      <c r="BY720" s="427"/>
      <c r="BZ720" s="427"/>
      <c r="CA720" s="427"/>
      <c r="CB720" s="427"/>
      <c r="CC720" s="427"/>
      <c r="CD720" s="427"/>
      <c r="CE720" s="427"/>
      <c r="CF720" s="544"/>
      <c r="CG720" s="544"/>
      <c r="CH720" s="544"/>
      <c r="CI720" s="544"/>
      <c r="CJ720" s="544"/>
      <c r="CK720" s="427"/>
      <c r="CL720" s="427"/>
      <c r="CM720" s="427"/>
      <c r="CN720" s="544"/>
      <c r="CO720" s="544"/>
      <c r="CP720" s="544"/>
      <c r="CQ720" s="544"/>
      <c r="CR720" s="544"/>
      <c r="CS720" s="544"/>
    </row>
    <row r="721" s="431" customFormat="1" ht="31" hidden="1" customHeight="1" spans="1:97">
      <c r="A721" s="518">
        <v>45940</v>
      </c>
      <c r="B721" s="519" t="s">
        <v>498</v>
      </c>
      <c r="C721" s="520" t="s">
        <v>306</v>
      </c>
      <c r="D721" s="427">
        <v>4500181289</v>
      </c>
      <c r="E721" s="520">
        <v>4504470421</v>
      </c>
      <c r="F721" s="427" t="s">
        <v>2585</v>
      </c>
      <c r="G721" s="521" t="s">
        <v>64</v>
      </c>
      <c r="H721" s="520" t="s">
        <v>65</v>
      </c>
      <c r="I721" s="520">
        <v>600</v>
      </c>
      <c r="J721" s="520">
        <v>0</v>
      </c>
      <c r="K721" s="520">
        <v>12</v>
      </c>
      <c r="L721" s="804">
        <f t="shared" si="230"/>
        <v>50</v>
      </c>
      <c r="M721" s="537">
        <v>46044</v>
      </c>
      <c r="N721" s="537">
        <v>46041</v>
      </c>
      <c r="O721" s="526"/>
      <c r="P721" s="526" t="s">
        <v>103</v>
      </c>
      <c r="Q721" s="530"/>
      <c r="R721" s="530">
        <v>45971</v>
      </c>
      <c r="S721" s="533" t="s">
        <v>66</v>
      </c>
      <c r="T721" s="533" t="s">
        <v>2397</v>
      </c>
      <c r="U721" s="532"/>
      <c r="V721" s="532"/>
      <c r="W721" s="532" t="s">
        <v>2586</v>
      </c>
      <c r="X721" s="540" t="s">
        <v>473</v>
      </c>
      <c r="Y721" s="538">
        <v>4.1456</v>
      </c>
      <c r="Z721" s="808">
        <f t="shared" si="231"/>
        <v>2487.36</v>
      </c>
      <c r="AA721" s="521"/>
      <c r="AB721" s="521" t="s">
        <v>165</v>
      </c>
      <c r="AC721" s="520" t="s">
        <v>76</v>
      </c>
      <c r="AD721" s="521"/>
      <c r="AE721" s="521"/>
      <c r="AF721" s="521">
        <v>1</v>
      </c>
      <c r="AG721" s="521">
        <v>600</v>
      </c>
      <c r="AH721" s="521">
        <f t="shared" si="227"/>
        <v>0</v>
      </c>
      <c r="AI721" s="521"/>
      <c r="AJ721" s="521" t="s">
        <v>2191</v>
      </c>
      <c r="AK721" s="543"/>
      <c r="AL721" s="543">
        <f t="shared" si="232"/>
        <v>600</v>
      </c>
      <c r="AM721" s="628"/>
      <c r="AN721" s="628"/>
      <c r="AO721" s="628"/>
      <c r="AP721" s="543"/>
      <c r="AQ721" s="543">
        <f t="shared" si="234"/>
        <v>600</v>
      </c>
      <c r="AR721" s="543">
        <f t="shared" si="235"/>
        <v>600</v>
      </c>
      <c r="AS721" s="543"/>
      <c r="AT721" s="543">
        <f t="shared" si="233"/>
        <v>600</v>
      </c>
      <c r="AU721" s="546"/>
      <c r="AV721" s="427"/>
      <c r="AW721" s="427"/>
      <c r="AX721" s="427"/>
      <c r="AY721" s="427"/>
      <c r="AZ721" s="543"/>
      <c r="BA721" s="543"/>
      <c r="BB721" s="427"/>
      <c r="BC721" s="427"/>
      <c r="BD721" s="543"/>
      <c r="BE721" s="543"/>
      <c r="BF721" s="427"/>
      <c r="BG721" s="427"/>
      <c r="BH721" s="427"/>
      <c r="BI721" s="427"/>
      <c r="BJ721" s="427"/>
      <c r="BK721" s="427"/>
      <c r="BL721" s="427"/>
      <c r="BM721" s="427"/>
      <c r="BN721" s="835"/>
      <c r="BO721" s="427"/>
      <c r="BP721" s="427"/>
      <c r="BQ721" s="427"/>
      <c r="BR721" s="427"/>
      <c r="BS721" s="427"/>
      <c r="BT721" s="427"/>
      <c r="BU721" s="427"/>
      <c r="BV721" s="427"/>
      <c r="BW721" s="427"/>
      <c r="BX721" s="427"/>
      <c r="BY721" s="427"/>
      <c r="BZ721" s="427"/>
      <c r="CA721" s="427"/>
      <c r="CB721" s="427"/>
      <c r="CC721" s="427"/>
      <c r="CD721" s="427"/>
      <c r="CE721" s="427"/>
      <c r="CF721" s="544"/>
      <c r="CG721" s="544"/>
      <c r="CH721" s="544"/>
      <c r="CI721" s="544"/>
      <c r="CJ721" s="544"/>
      <c r="CK721" s="427"/>
      <c r="CL721" s="427"/>
      <c r="CM721" s="427"/>
      <c r="CN721" s="544"/>
      <c r="CO721" s="544"/>
      <c r="CP721" s="544"/>
      <c r="CQ721" s="544"/>
      <c r="CR721" s="544"/>
      <c r="CS721" s="544"/>
    </row>
    <row r="722" s="431" customFormat="1" ht="31" hidden="1" customHeight="1" spans="1:97">
      <c r="A722" s="518">
        <v>45982</v>
      </c>
      <c r="B722" s="519" t="s">
        <v>1782</v>
      </c>
      <c r="C722" s="520" t="s">
        <v>139</v>
      </c>
      <c r="D722" s="427">
        <v>4500186500</v>
      </c>
      <c r="E722" s="520" t="s">
        <v>2587</v>
      </c>
      <c r="F722" s="427" t="s">
        <v>2588</v>
      </c>
      <c r="G722" s="521" t="s">
        <v>463</v>
      </c>
      <c r="H722" s="520" t="s">
        <v>424</v>
      </c>
      <c r="I722" s="520">
        <v>504</v>
      </c>
      <c r="J722" s="520">
        <v>0</v>
      </c>
      <c r="K722" s="520">
        <v>6</v>
      </c>
      <c r="L722" s="804">
        <f t="shared" si="230"/>
        <v>84</v>
      </c>
      <c r="M722" s="537">
        <v>46044</v>
      </c>
      <c r="N722" s="537">
        <v>46041</v>
      </c>
      <c r="O722" s="526"/>
      <c r="P722" s="526" t="s">
        <v>103</v>
      </c>
      <c r="Q722" s="530"/>
      <c r="R722" s="530" t="s">
        <v>411</v>
      </c>
      <c r="S722" s="533" t="s">
        <v>96</v>
      </c>
      <c r="T722" s="533" t="s">
        <v>2589</v>
      </c>
      <c r="U722" s="532"/>
      <c r="V722" s="532"/>
      <c r="W722" s="532" t="s">
        <v>2590</v>
      </c>
      <c r="X722" s="540" t="s">
        <v>2591</v>
      </c>
      <c r="Y722" s="538">
        <v>7.1628</v>
      </c>
      <c r="Z722" s="808">
        <f t="shared" si="231"/>
        <v>3610.0512</v>
      </c>
      <c r="AA722" s="521"/>
      <c r="AB722" s="521" t="s">
        <v>427</v>
      </c>
      <c r="AC722" s="520" t="s">
        <v>76</v>
      </c>
      <c r="AD722" s="521"/>
      <c r="AE722" s="521"/>
      <c r="AF722" s="521">
        <v>1</v>
      </c>
      <c r="AG722" s="521">
        <v>504</v>
      </c>
      <c r="AH722" s="521">
        <f t="shared" si="227"/>
        <v>0</v>
      </c>
      <c r="AI722" s="521"/>
      <c r="AJ722" s="521" t="s">
        <v>2191</v>
      </c>
      <c r="AK722" s="543"/>
      <c r="AL722" s="543">
        <f t="shared" si="232"/>
        <v>504</v>
      </c>
      <c r="AM722" s="628"/>
      <c r="AN722" s="628"/>
      <c r="AO722" s="628"/>
      <c r="AP722" s="543"/>
      <c r="AQ722" s="543">
        <f t="shared" si="234"/>
        <v>504</v>
      </c>
      <c r="AR722" s="543">
        <f t="shared" si="235"/>
        <v>504</v>
      </c>
      <c r="AS722" s="543"/>
      <c r="AT722" s="543">
        <f t="shared" si="233"/>
        <v>504</v>
      </c>
      <c r="AU722" s="546"/>
      <c r="AV722" s="427"/>
      <c r="AW722" s="427"/>
      <c r="AX722" s="427"/>
      <c r="AY722" s="427"/>
      <c r="AZ722" s="543"/>
      <c r="BA722" s="543"/>
      <c r="BB722" s="427"/>
      <c r="BC722" s="427"/>
      <c r="BD722" s="543"/>
      <c r="BE722" s="543"/>
      <c r="BF722" s="427"/>
      <c r="BG722" s="427"/>
      <c r="BH722" s="427"/>
      <c r="BI722" s="427"/>
      <c r="BJ722" s="427">
        <f>I722</f>
        <v>504</v>
      </c>
      <c r="BK722" s="427"/>
      <c r="BL722" s="427"/>
      <c r="BM722" s="427"/>
      <c r="BN722" s="835"/>
      <c r="BO722" s="427"/>
      <c r="BP722" s="427"/>
      <c r="BQ722" s="427"/>
      <c r="BR722" s="427"/>
      <c r="BS722" s="427"/>
      <c r="BT722" s="427"/>
      <c r="BU722" s="427"/>
      <c r="BV722" s="427"/>
      <c r="BW722" s="427"/>
      <c r="BX722" s="427"/>
      <c r="BY722" s="427"/>
      <c r="BZ722" s="427"/>
      <c r="CA722" s="427"/>
      <c r="CB722" s="427"/>
      <c r="CC722" s="427"/>
      <c r="CD722" s="427"/>
      <c r="CE722" s="427"/>
      <c r="CF722" s="544"/>
      <c r="CG722" s="544"/>
      <c r="CH722" s="544"/>
      <c r="CI722" s="544"/>
      <c r="CJ722" s="544"/>
      <c r="CK722" s="427"/>
      <c r="CL722" s="427"/>
      <c r="CM722" s="427"/>
      <c r="CN722" s="544"/>
      <c r="CO722" s="544"/>
      <c r="CP722" s="544"/>
      <c r="CQ722" s="544"/>
      <c r="CR722" s="544"/>
      <c r="CS722" s="544"/>
    </row>
    <row r="723" s="431" customFormat="1" ht="31" hidden="1" customHeight="1" spans="1:97">
      <c r="A723" s="518">
        <v>45990</v>
      </c>
      <c r="B723" s="519" t="s">
        <v>1419</v>
      </c>
      <c r="C723" s="520" t="s">
        <v>2592</v>
      </c>
      <c r="D723" s="427">
        <v>4500187442</v>
      </c>
      <c r="E723" s="520">
        <v>4400524896</v>
      </c>
      <c r="F723" s="427" t="s">
        <v>2593</v>
      </c>
      <c r="G723" s="521" t="s">
        <v>148</v>
      </c>
      <c r="H723" s="520" t="s">
        <v>65</v>
      </c>
      <c r="I723" s="520">
        <v>1504</v>
      </c>
      <c r="J723" s="520">
        <v>0</v>
      </c>
      <c r="K723" s="520">
        <v>8</v>
      </c>
      <c r="L723" s="804">
        <f t="shared" si="230"/>
        <v>188</v>
      </c>
      <c r="M723" s="537">
        <v>46045</v>
      </c>
      <c r="N723" s="537">
        <v>46041</v>
      </c>
      <c r="O723" s="526"/>
      <c r="P723" s="526" t="s">
        <v>103</v>
      </c>
      <c r="Q723" s="530"/>
      <c r="R723" s="530">
        <v>45990</v>
      </c>
      <c r="S723" s="533" t="s">
        <v>66</v>
      </c>
      <c r="T723" s="533" t="s">
        <v>149</v>
      </c>
      <c r="U723" s="532"/>
      <c r="V723" s="532"/>
      <c r="W723" s="532" t="s">
        <v>2486</v>
      </c>
      <c r="X723" s="540" t="s">
        <v>1424</v>
      </c>
      <c r="Y723" s="538">
        <v>4.2714</v>
      </c>
      <c r="Z723" s="808">
        <f t="shared" si="231"/>
        <v>6424.1856</v>
      </c>
      <c r="AA723" s="521"/>
      <c r="AB723" s="521" t="s">
        <v>2202</v>
      </c>
      <c r="AC723" s="520" t="s">
        <v>76</v>
      </c>
      <c r="AD723" s="521"/>
      <c r="AE723" s="521"/>
      <c r="AF723" s="521">
        <v>1</v>
      </c>
      <c r="AG723" s="521">
        <v>1504</v>
      </c>
      <c r="AH723" s="521">
        <f t="shared" si="227"/>
        <v>0</v>
      </c>
      <c r="AI723" s="521"/>
      <c r="AJ723" s="521"/>
      <c r="AK723" s="543"/>
      <c r="AL723" s="543">
        <f t="shared" si="232"/>
        <v>1504</v>
      </c>
      <c r="AM723" s="628"/>
      <c r="AN723" s="628"/>
      <c r="AO723" s="628"/>
      <c r="AP723" s="543"/>
      <c r="AQ723" s="543">
        <f t="shared" si="234"/>
        <v>1504</v>
      </c>
      <c r="AR723" s="543">
        <f t="shared" si="235"/>
        <v>1504</v>
      </c>
      <c r="AS723" s="543"/>
      <c r="AT723" s="543">
        <f t="shared" si="233"/>
        <v>1504</v>
      </c>
      <c r="AU723" s="546"/>
      <c r="AV723" s="427"/>
      <c r="AW723" s="427"/>
      <c r="AX723" s="427"/>
      <c r="AY723" s="427"/>
      <c r="AZ723" s="543"/>
      <c r="BA723" s="543"/>
      <c r="BB723" s="427"/>
      <c r="BC723" s="427"/>
      <c r="BD723" s="543"/>
      <c r="BE723" s="543">
        <f>I723/4</f>
        <v>376</v>
      </c>
      <c r="BF723" s="427"/>
      <c r="BG723" s="427"/>
      <c r="BH723" s="427"/>
      <c r="BI723" s="427"/>
      <c r="BJ723" s="427"/>
      <c r="BK723" s="427"/>
      <c r="BL723" s="427"/>
      <c r="BM723" s="427"/>
      <c r="BN723" s="835"/>
      <c r="BO723" s="427"/>
      <c r="BP723" s="427"/>
      <c r="BQ723" s="427"/>
      <c r="BR723" s="427"/>
      <c r="BS723" s="427"/>
      <c r="BT723" s="427"/>
      <c r="BU723" s="427"/>
      <c r="BV723" s="427"/>
      <c r="BW723" s="427"/>
      <c r="BX723" s="427"/>
      <c r="BY723" s="427"/>
      <c r="BZ723" s="427"/>
      <c r="CA723" s="427"/>
      <c r="CB723" s="427"/>
      <c r="CC723" s="427"/>
      <c r="CD723" s="427"/>
      <c r="CE723" s="427"/>
      <c r="CF723" s="544"/>
      <c r="CG723" s="544"/>
      <c r="CH723" s="544"/>
      <c r="CI723" s="544"/>
      <c r="CJ723" s="544"/>
      <c r="CK723" s="427"/>
      <c r="CL723" s="427"/>
      <c r="CM723" s="427"/>
      <c r="CN723" s="544"/>
      <c r="CO723" s="544"/>
      <c r="CP723" s="544"/>
      <c r="CQ723" s="544"/>
      <c r="CR723" s="544"/>
      <c r="CS723" s="544"/>
    </row>
    <row r="724" s="431" customFormat="1" ht="31" hidden="1" customHeight="1" spans="1:97">
      <c r="A724" s="518">
        <v>46008</v>
      </c>
      <c r="B724" s="519" t="s">
        <v>2594</v>
      </c>
      <c r="C724" s="520" t="s">
        <v>139</v>
      </c>
      <c r="D724" s="427">
        <v>4500189254</v>
      </c>
      <c r="E724" s="520" t="s">
        <v>2595</v>
      </c>
      <c r="F724" s="427" t="s">
        <v>2596</v>
      </c>
      <c r="G724" s="521" t="s">
        <v>102</v>
      </c>
      <c r="H724" s="520" t="s">
        <v>65</v>
      </c>
      <c r="I724" s="520">
        <v>640</v>
      </c>
      <c r="J724" s="520">
        <v>0</v>
      </c>
      <c r="K724" s="520">
        <v>16</v>
      </c>
      <c r="L724" s="804">
        <f t="shared" si="230"/>
        <v>40</v>
      </c>
      <c r="M724" s="537">
        <v>46048</v>
      </c>
      <c r="N724" s="537">
        <v>46044</v>
      </c>
      <c r="O724" s="526"/>
      <c r="P724" s="526" t="s">
        <v>103</v>
      </c>
      <c r="Q724" s="530"/>
      <c r="R724" s="530">
        <v>46016</v>
      </c>
      <c r="S724" s="533" t="s">
        <v>66</v>
      </c>
      <c r="T724" s="533" t="s">
        <v>2597</v>
      </c>
      <c r="U724" s="532"/>
      <c r="V724" s="532" t="s">
        <v>2598</v>
      </c>
      <c r="W724" s="532" t="s">
        <v>2599</v>
      </c>
      <c r="X724" s="540" t="s">
        <v>420</v>
      </c>
      <c r="Y724" s="538">
        <v>4.2542</v>
      </c>
      <c r="Z724" s="808">
        <f t="shared" si="231"/>
        <v>2722.688</v>
      </c>
      <c r="AA724" s="521"/>
      <c r="AB724" s="521" t="s">
        <v>397</v>
      </c>
      <c r="AC724" s="520" t="s">
        <v>76</v>
      </c>
      <c r="AD724" s="521"/>
      <c r="AE724" s="521"/>
      <c r="AF724" s="521">
        <v>1</v>
      </c>
      <c r="AG724" s="521">
        <v>640</v>
      </c>
      <c r="AH724" s="521">
        <f t="shared" si="227"/>
        <v>0</v>
      </c>
      <c r="AI724" s="521"/>
      <c r="AJ724" s="521" t="s">
        <v>2191</v>
      </c>
      <c r="AK724" s="543"/>
      <c r="AL724" s="543">
        <f t="shared" si="232"/>
        <v>640</v>
      </c>
      <c r="AM724" s="628"/>
      <c r="AN724" s="628"/>
      <c r="AO724" s="628"/>
      <c r="AP724" s="543"/>
      <c r="AQ724" s="543">
        <f t="shared" si="234"/>
        <v>640</v>
      </c>
      <c r="AR724" s="543">
        <f t="shared" ref="AR724:AR731" si="236">I724</f>
        <v>640</v>
      </c>
      <c r="AS724" s="543"/>
      <c r="AT724" s="543">
        <f t="shared" si="233"/>
        <v>640</v>
      </c>
      <c r="AU724" s="546"/>
      <c r="AV724" s="427"/>
      <c r="AW724" s="427"/>
      <c r="AX724" s="427"/>
      <c r="AY724" s="427"/>
      <c r="AZ724" s="543"/>
      <c r="BA724" s="543"/>
      <c r="BB724" s="427"/>
      <c r="BC724" s="427"/>
      <c r="BD724" s="543"/>
      <c r="BE724" s="543">
        <f>I724/4</f>
        <v>160</v>
      </c>
      <c r="BF724" s="427"/>
      <c r="BG724" s="427"/>
      <c r="BH724" s="427"/>
      <c r="BI724" s="427"/>
      <c r="BJ724" s="427"/>
      <c r="BK724" s="427"/>
      <c r="BL724" s="427"/>
      <c r="BM724" s="427"/>
      <c r="BN724" s="835"/>
      <c r="BO724" s="427"/>
      <c r="BP724" s="427"/>
      <c r="BQ724" s="427"/>
      <c r="BR724" s="427"/>
      <c r="BS724" s="427"/>
      <c r="BT724" s="427"/>
      <c r="BU724" s="427"/>
      <c r="BV724" s="427"/>
      <c r="BW724" s="427"/>
      <c r="BX724" s="427"/>
      <c r="BY724" s="427"/>
      <c r="BZ724" s="427"/>
      <c r="CA724" s="427"/>
      <c r="CB724" s="427"/>
      <c r="CC724" s="427"/>
      <c r="CD724" s="427"/>
      <c r="CE724" s="427"/>
      <c r="CF724" s="544"/>
      <c r="CG724" s="544"/>
      <c r="CH724" s="544"/>
      <c r="CI724" s="544"/>
      <c r="CJ724" s="544"/>
      <c r="CK724" s="427"/>
      <c r="CL724" s="427"/>
      <c r="CM724" s="427"/>
      <c r="CN724" s="544"/>
      <c r="CO724" s="544"/>
      <c r="CP724" s="544"/>
      <c r="CQ724" s="544"/>
      <c r="CR724" s="544"/>
      <c r="CS724" s="544"/>
    </row>
    <row r="725" s="431" customFormat="1" ht="31" hidden="1" customHeight="1" spans="1:97">
      <c r="A725" s="518">
        <v>45982</v>
      </c>
      <c r="B725" s="519" t="s">
        <v>913</v>
      </c>
      <c r="C725" s="520" t="s">
        <v>90</v>
      </c>
      <c r="D725" s="427">
        <v>4500186456</v>
      </c>
      <c r="E725" s="520" t="s">
        <v>2600</v>
      </c>
      <c r="F725" s="427" t="s">
        <v>2601</v>
      </c>
      <c r="G725" s="521" t="s">
        <v>93</v>
      </c>
      <c r="H725" s="520" t="s">
        <v>94</v>
      </c>
      <c r="I725" s="520">
        <v>580</v>
      </c>
      <c r="J725" s="520">
        <v>0</v>
      </c>
      <c r="K725" s="520">
        <v>4</v>
      </c>
      <c r="L725" s="804">
        <f t="shared" si="230"/>
        <v>145</v>
      </c>
      <c r="M725" s="537">
        <v>46048</v>
      </c>
      <c r="N725" s="537">
        <v>46044</v>
      </c>
      <c r="O725" s="526"/>
      <c r="P725" s="526" t="s">
        <v>103</v>
      </c>
      <c r="Q725" s="530"/>
      <c r="R725" s="530">
        <v>45985</v>
      </c>
      <c r="S725" s="533" t="s">
        <v>66</v>
      </c>
      <c r="T725" s="533" t="s">
        <v>66</v>
      </c>
      <c r="U725" s="532"/>
      <c r="V725" s="532"/>
      <c r="W725" s="532" t="s">
        <v>2602</v>
      </c>
      <c r="X725" s="540" t="s">
        <v>794</v>
      </c>
      <c r="Y725" s="538">
        <v>2.6035</v>
      </c>
      <c r="Z725" s="808">
        <f t="shared" si="231"/>
        <v>1510.03</v>
      </c>
      <c r="AA725" s="521"/>
      <c r="AB725" s="521" t="s">
        <v>93</v>
      </c>
      <c r="AC725" s="520" t="s">
        <v>76</v>
      </c>
      <c r="AD725" s="521"/>
      <c r="AE725" s="521"/>
      <c r="AF725" s="521">
        <v>1</v>
      </c>
      <c r="AG725" s="521">
        <v>580</v>
      </c>
      <c r="AH725" s="521">
        <f t="shared" si="227"/>
        <v>0</v>
      </c>
      <c r="AI725" s="521"/>
      <c r="AJ725" s="521"/>
      <c r="AK725" s="543"/>
      <c r="AL725" s="543">
        <f t="shared" si="232"/>
        <v>580</v>
      </c>
      <c r="AM725" s="628"/>
      <c r="AN725" s="628"/>
      <c r="AO725" s="628"/>
      <c r="AP725" s="543">
        <f>I725</f>
        <v>580</v>
      </c>
      <c r="AQ725" s="543"/>
      <c r="AR725" s="543">
        <f t="shared" si="236"/>
        <v>580</v>
      </c>
      <c r="AS725" s="543"/>
      <c r="AT725" s="543">
        <f t="shared" si="233"/>
        <v>580</v>
      </c>
      <c r="AU725" s="546"/>
      <c r="AV725" s="427"/>
      <c r="AW725" s="427"/>
      <c r="AX725" s="427"/>
      <c r="AY725" s="427"/>
      <c r="AZ725" s="543"/>
      <c r="BA725" s="543"/>
      <c r="BB725" s="427"/>
      <c r="BC725" s="427"/>
      <c r="BD725" s="543">
        <f>I725/4</f>
        <v>145</v>
      </c>
      <c r="BE725" s="543"/>
      <c r="BF725" s="427"/>
      <c r="BG725" s="427"/>
      <c r="BH725" s="427"/>
      <c r="BI725" s="427"/>
      <c r="BJ725" s="427"/>
      <c r="BK725" s="427"/>
      <c r="BL725" s="427"/>
      <c r="BM725" s="427"/>
      <c r="BN725" s="835"/>
      <c r="BO725" s="427"/>
      <c r="BP725" s="427"/>
      <c r="BQ725" s="427"/>
      <c r="BR725" s="427"/>
      <c r="BS725" s="427"/>
      <c r="BT725" s="427"/>
      <c r="BU725" s="427"/>
      <c r="BV725" s="427"/>
      <c r="BW725" s="427"/>
      <c r="BX725" s="427"/>
      <c r="BY725" s="427"/>
      <c r="BZ725" s="427"/>
      <c r="CA725" s="427"/>
      <c r="CB725" s="427"/>
      <c r="CC725" s="427"/>
      <c r="CD725" s="427"/>
      <c r="CE725" s="427"/>
      <c r="CF725" s="544"/>
      <c r="CG725" s="544"/>
      <c r="CH725" s="544"/>
      <c r="CI725" s="544"/>
      <c r="CJ725" s="544"/>
      <c r="CK725" s="427"/>
      <c r="CL725" s="427"/>
      <c r="CM725" s="427"/>
      <c r="CN725" s="544"/>
      <c r="CO725" s="544"/>
      <c r="CP725" s="544"/>
      <c r="CQ725" s="544"/>
      <c r="CR725" s="544"/>
      <c r="CS725" s="544"/>
    </row>
    <row r="726" s="431" customFormat="1" ht="31" hidden="1" customHeight="1" spans="1:97">
      <c r="A726" s="518">
        <v>45988</v>
      </c>
      <c r="B726" s="519" t="s">
        <v>128</v>
      </c>
      <c r="C726" s="520" t="s">
        <v>90</v>
      </c>
      <c r="D726" s="427">
        <v>4500187246</v>
      </c>
      <c r="E726" s="890" t="s">
        <v>2603</v>
      </c>
      <c r="F726" s="427" t="s">
        <v>2604</v>
      </c>
      <c r="G726" s="521" t="s">
        <v>93</v>
      </c>
      <c r="H726" s="520" t="s">
        <v>94</v>
      </c>
      <c r="I726" s="520">
        <v>13440</v>
      </c>
      <c r="J726" s="520">
        <v>0</v>
      </c>
      <c r="K726" s="520">
        <v>4</v>
      </c>
      <c r="L726" s="804">
        <f t="shared" si="230"/>
        <v>3360</v>
      </c>
      <c r="M726" s="537">
        <v>46041</v>
      </c>
      <c r="N726" s="537">
        <v>46037</v>
      </c>
      <c r="O726" s="526" t="s">
        <v>2605</v>
      </c>
      <c r="P726" s="526" t="s">
        <v>103</v>
      </c>
      <c r="Q726" s="530"/>
      <c r="R726" s="530" t="s">
        <v>2021</v>
      </c>
      <c r="S726" s="533" t="s">
        <v>66</v>
      </c>
      <c r="T726" s="533" t="s">
        <v>133</v>
      </c>
      <c r="U726" s="532"/>
      <c r="V726" s="532"/>
      <c r="W726" s="532" t="s">
        <v>1281</v>
      </c>
      <c r="X726" s="540" t="s">
        <v>98</v>
      </c>
      <c r="Y726" s="538">
        <v>2.5238</v>
      </c>
      <c r="Z726" s="808">
        <f t="shared" si="231"/>
        <v>33919.872</v>
      </c>
      <c r="AA726" s="521"/>
      <c r="AB726" s="521" t="s">
        <v>93</v>
      </c>
      <c r="AC726" s="520" t="s">
        <v>76</v>
      </c>
      <c r="AD726" s="521"/>
      <c r="AE726" s="521"/>
      <c r="AF726" s="521">
        <v>1</v>
      </c>
      <c r="AG726" s="521">
        <f>8+2760+9260+1412</f>
        <v>13440</v>
      </c>
      <c r="AH726" s="521">
        <f t="shared" si="227"/>
        <v>0</v>
      </c>
      <c r="AI726" s="521"/>
      <c r="AJ726" s="521"/>
      <c r="AK726" s="543"/>
      <c r="AL726" s="543">
        <f t="shared" si="232"/>
        <v>13440</v>
      </c>
      <c r="AM726" s="628"/>
      <c r="AN726" s="628"/>
      <c r="AO726" s="628"/>
      <c r="AP726" s="543">
        <f>I726</f>
        <v>13440</v>
      </c>
      <c r="AQ726" s="543"/>
      <c r="AR726" s="543">
        <f t="shared" si="236"/>
        <v>13440</v>
      </c>
      <c r="AS726" s="543"/>
      <c r="AT726" s="543">
        <f t="shared" si="233"/>
        <v>13440</v>
      </c>
      <c r="AU726" s="546"/>
      <c r="AV726" s="427"/>
      <c r="AW726" s="427"/>
      <c r="AX726" s="427"/>
      <c r="AY726" s="427"/>
      <c r="AZ726" s="543"/>
      <c r="BA726" s="543"/>
      <c r="BB726" s="427"/>
      <c r="BC726" s="427"/>
      <c r="BD726" s="543">
        <f>I726/4</f>
        <v>3360</v>
      </c>
      <c r="BE726" s="543"/>
      <c r="BF726" s="427"/>
      <c r="BG726" s="427"/>
      <c r="BH726" s="427"/>
      <c r="BI726" s="427"/>
      <c r="BJ726" s="427"/>
      <c r="BK726" s="427"/>
      <c r="BL726" s="427"/>
      <c r="BM726" s="427"/>
      <c r="BN726" s="835"/>
      <c r="BO726" s="427"/>
      <c r="BP726" s="427"/>
      <c r="BQ726" s="427"/>
      <c r="BR726" s="427"/>
      <c r="BS726" s="427"/>
      <c r="BT726" s="427"/>
      <c r="BU726" s="427"/>
      <c r="BV726" s="427"/>
      <c r="BW726" s="427"/>
      <c r="BX726" s="427"/>
      <c r="BY726" s="427"/>
      <c r="BZ726" s="427"/>
      <c r="CA726" s="427"/>
      <c r="CB726" s="427"/>
      <c r="CC726" s="427"/>
      <c r="CD726" s="427"/>
      <c r="CE726" s="427"/>
      <c r="CF726" s="544"/>
      <c r="CG726" s="544"/>
      <c r="CH726" s="544"/>
      <c r="CI726" s="544"/>
      <c r="CJ726" s="544"/>
      <c r="CK726" s="427"/>
      <c r="CL726" s="427"/>
      <c r="CM726" s="427"/>
      <c r="CN726" s="544"/>
      <c r="CO726" s="544"/>
      <c r="CP726" s="544"/>
      <c r="CQ726" s="544"/>
      <c r="CR726" s="544"/>
      <c r="CS726" s="544"/>
    </row>
    <row r="727" s="431" customFormat="1" ht="31" hidden="1" customHeight="1" spans="1:97">
      <c r="A727" s="518">
        <v>45988</v>
      </c>
      <c r="B727" s="519" t="s">
        <v>128</v>
      </c>
      <c r="C727" s="520" t="s">
        <v>90</v>
      </c>
      <c r="D727" s="427">
        <v>4500187246</v>
      </c>
      <c r="E727" s="890" t="s">
        <v>2606</v>
      </c>
      <c r="F727" s="427" t="s">
        <v>2607</v>
      </c>
      <c r="G727" s="521" t="s">
        <v>93</v>
      </c>
      <c r="H727" s="520" t="s">
        <v>94</v>
      </c>
      <c r="I727" s="520">
        <v>9280</v>
      </c>
      <c r="J727" s="520">
        <v>0</v>
      </c>
      <c r="K727" s="520">
        <v>4</v>
      </c>
      <c r="L727" s="804">
        <f t="shared" si="230"/>
        <v>2320</v>
      </c>
      <c r="M727" s="537">
        <v>46041</v>
      </c>
      <c r="N727" s="537">
        <v>46037</v>
      </c>
      <c r="O727" s="526" t="s">
        <v>2605</v>
      </c>
      <c r="P727" s="526" t="s">
        <v>103</v>
      </c>
      <c r="Q727" s="530"/>
      <c r="R727" s="530" t="s">
        <v>2021</v>
      </c>
      <c r="S727" s="533" t="s">
        <v>66</v>
      </c>
      <c r="T727" s="533" t="s">
        <v>133</v>
      </c>
      <c r="U727" s="532"/>
      <c r="V727" s="532"/>
      <c r="W727" s="532" t="s">
        <v>1281</v>
      </c>
      <c r="X727" s="540" t="s">
        <v>98</v>
      </c>
      <c r="Y727" s="538">
        <v>2.5656</v>
      </c>
      <c r="Z727" s="808">
        <f t="shared" si="231"/>
        <v>23808.768</v>
      </c>
      <c r="AA727" s="521"/>
      <c r="AB727" s="521" t="s">
        <v>93</v>
      </c>
      <c r="AC727" s="520" t="s">
        <v>76</v>
      </c>
      <c r="AD727" s="521"/>
      <c r="AE727" s="521"/>
      <c r="AF727" s="521">
        <v>1</v>
      </c>
      <c r="AG727" s="521">
        <f>8+2148+7124</f>
        <v>9280</v>
      </c>
      <c r="AH727" s="521">
        <f t="shared" si="227"/>
        <v>0</v>
      </c>
      <c r="AI727" s="521"/>
      <c r="AJ727" s="521"/>
      <c r="AK727" s="543"/>
      <c r="AL727" s="543">
        <f t="shared" si="232"/>
        <v>9280</v>
      </c>
      <c r="AM727" s="628"/>
      <c r="AN727" s="628"/>
      <c r="AO727" s="628"/>
      <c r="AP727" s="543">
        <f>I727</f>
        <v>9280</v>
      </c>
      <c r="AQ727" s="543"/>
      <c r="AR727" s="543">
        <f t="shared" si="236"/>
        <v>9280</v>
      </c>
      <c r="AS727" s="543"/>
      <c r="AT727" s="543">
        <f t="shared" si="233"/>
        <v>9280</v>
      </c>
      <c r="AU727" s="546"/>
      <c r="AV727" s="427"/>
      <c r="AW727" s="427"/>
      <c r="AX727" s="427"/>
      <c r="AY727" s="427"/>
      <c r="AZ727" s="543"/>
      <c r="BA727" s="543"/>
      <c r="BB727" s="427"/>
      <c r="BC727" s="427"/>
      <c r="BD727" s="543">
        <f>I727/4</f>
        <v>2320</v>
      </c>
      <c r="BE727" s="543"/>
      <c r="BF727" s="427"/>
      <c r="BG727" s="427"/>
      <c r="BH727" s="427"/>
      <c r="BI727" s="427"/>
      <c r="BJ727" s="427"/>
      <c r="BK727" s="427"/>
      <c r="BL727" s="427"/>
      <c r="BM727" s="427"/>
      <c r="BN727" s="835"/>
      <c r="BO727" s="427"/>
      <c r="BP727" s="427"/>
      <c r="BQ727" s="427"/>
      <c r="BR727" s="427"/>
      <c r="BS727" s="427"/>
      <c r="BT727" s="427"/>
      <c r="BU727" s="427"/>
      <c r="BV727" s="427"/>
      <c r="BW727" s="427"/>
      <c r="BX727" s="427"/>
      <c r="BY727" s="427"/>
      <c r="BZ727" s="427"/>
      <c r="CA727" s="427"/>
      <c r="CB727" s="427"/>
      <c r="CC727" s="427"/>
      <c r="CD727" s="427"/>
      <c r="CE727" s="427"/>
      <c r="CF727" s="544"/>
      <c r="CG727" s="544"/>
      <c r="CH727" s="544"/>
      <c r="CI727" s="544"/>
      <c r="CJ727" s="544"/>
      <c r="CK727" s="427"/>
      <c r="CL727" s="427"/>
      <c r="CM727" s="427"/>
      <c r="CN727" s="544"/>
      <c r="CO727" s="544"/>
      <c r="CP727" s="544"/>
      <c r="CQ727" s="544"/>
      <c r="CR727" s="544"/>
      <c r="CS727" s="544"/>
    </row>
    <row r="728" s="431" customFormat="1" ht="31" hidden="1" customHeight="1" spans="1:97">
      <c r="A728" s="518">
        <v>45993</v>
      </c>
      <c r="B728" s="519" t="s">
        <v>675</v>
      </c>
      <c r="C728" s="520" t="s">
        <v>676</v>
      </c>
      <c r="D728" s="427">
        <v>4500187640</v>
      </c>
      <c r="E728" s="520" t="s">
        <v>2608</v>
      </c>
      <c r="F728" s="427" t="s">
        <v>2609</v>
      </c>
      <c r="G728" s="521" t="s">
        <v>64</v>
      </c>
      <c r="H728" s="520" t="s">
        <v>65</v>
      </c>
      <c r="I728" s="520">
        <v>804</v>
      </c>
      <c r="J728" s="520">
        <v>0</v>
      </c>
      <c r="K728" s="520">
        <v>12</v>
      </c>
      <c r="L728" s="804">
        <f t="shared" si="230"/>
        <v>67</v>
      </c>
      <c r="M728" s="537">
        <v>46042</v>
      </c>
      <c r="N728" s="537">
        <v>46038</v>
      </c>
      <c r="O728" s="526"/>
      <c r="P728" s="526" t="s">
        <v>103</v>
      </c>
      <c r="Q728" s="530"/>
      <c r="R728" s="530">
        <v>45999</v>
      </c>
      <c r="S728" s="533" t="s">
        <v>66</v>
      </c>
      <c r="T728" s="533" t="s">
        <v>2610</v>
      </c>
      <c r="U728" s="532"/>
      <c r="V728" s="532"/>
      <c r="W728" s="532" t="s">
        <v>2611</v>
      </c>
      <c r="X728" s="540" t="s">
        <v>473</v>
      </c>
      <c r="Y728" s="538">
        <v>4.1623</v>
      </c>
      <c r="Z728" s="808">
        <f t="shared" si="231"/>
        <v>3346.4892</v>
      </c>
      <c r="AA728" s="521"/>
      <c r="AB728" s="521" t="s">
        <v>165</v>
      </c>
      <c r="AC728" s="520" t="s">
        <v>76</v>
      </c>
      <c r="AD728" s="521"/>
      <c r="AE728" s="521"/>
      <c r="AF728" s="521">
        <v>1</v>
      </c>
      <c r="AG728" s="521">
        <v>804</v>
      </c>
      <c r="AH728" s="521">
        <f t="shared" si="227"/>
        <v>0</v>
      </c>
      <c r="AI728" s="521"/>
      <c r="AJ728" s="521" t="s">
        <v>2191</v>
      </c>
      <c r="AK728" s="543"/>
      <c r="AL728" s="543">
        <f t="shared" si="232"/>
        <v>804</v>
      </c>
      <c r="AM728" s="628"/>
      <c r="AN728" s="628"/>
      <c r="AO728" s="628"/>
      <c r="AP728" s="543"/>
      <c r="AQ728" s="543">
        <f>I728</f>
        <v>804</v>
      </c>
      <c r="AR728" s="543">
        <f t="shared" si="236"/>
        <v>804</v>
      </c>
      <c r="AS728" s="543"/>
      <c r="AT728" s="543">
        <f t="shared" si="233"/>
        <v>804</v>
      </c>
      <c r="AU728" s="546"/>
      <c r="AV728" s="427"/>
      <c r="AW728" s="427"/>
      <c r="AX728" s="427"/>
      <c r="AY728" s="427"/>
      <c r="AZ728" s="543"/>
      <c r="BA728" s="543"/>
      <c r="BB728" s="427"/>
      <c r="BC728" s="427"/>
      <c r="BD728" s="543"/>
      <c r="BE728" s="543"/>
      <c r="BF728" s="427"/>
      <c r="BG728" s="427"/>
      <c r="BH728" s="427"/>
      <c r="BI728" s="427"/>
      <c r="BJ728" s="427"/>
      <c r="BK728" s="427"/>
      <c r="BL728" s="427"/>
      <c r="BM728" s="427"/>
      <c r="BN728" s="835"/>
      <c r="BO728" s="427"/>
      <c r="BP728" s="427"/>
      <c r="BQ728" s="427"/>
      <c r="BR728" s="427"/>
      <c r="BS728" s="427"/>
      <c r="BT728" s="427"/>
      <c r="BU728" s="427"/>
      <c r="BV728" s="427"/>
      <c r="BW728" s="427"/>
      <c r="BX728" s="427"/>
      <c r="BY728" s="427"/>
      <c r="BZ728" s="427"/>
      <c r="CA728" s="427"/>
      <c r="CB728" s="427"/>
      <c r="CC728" s="427"/>
      <c r="CD728" s="427"/>
      <c r="CE728" s="427"/>
      <c r="CF728" s="544"/>
      <c r="CG728" s="544"/>
      <c r="CH728" s="544"/>
      <c r="CI728" s="544"/>
      <c r="CJ728" s="544"/>
      <c r="CK728" s="427"/>
      <c r="CL728" s="427"/>
      <c r="CM728" s="427"/>
      <c r="CN728" s="544"/>
      <c r="CO728" s="544"/>
      <c r="CP728" s="544"/>
      <c r="CQ728" s="544"/>
      <c r="CR728" s="544"/>
      <c r="CS728" s="544"/>
    </row>
    <row r="729" s="431" customFormat="1" ht="31" hidden="1" customHeight="1" spans="1:97">
      <c r="A729" s="518">
        <v>45981</v>
      </c>
      <c r="B729" s="519" t="s">
        <v>2612</v>
      </c>
      <c r="C729" s="520" t="s">
        <v>416</v>
      </c>
      <c r="D729" s="427">
        <v>4500186268</v>
      </c>
      <c r="E729" s="520" t="s">
        <v>2613</v>
      </c>
      <c r="F729" s="427" t="s">
        <v>2614</v>
      </c>
      <c r="G729" s="521" t="s">
        <v>64</v>
      </c>
      <c r="H729" s="520" t="s">
        <v>65</v>
      </c>
      <c r="I729" s="520">
        <v>492</v>
      </c>
      <c r="J729" s="520">
        <v>0</v>
      </c>
      <c r="K729" s="520">
        <v>12</v>
      </c>
      <c r="L729" s="804">
        <f t="shared" si="230"/>
        <v>41</v>
      </c>
      <c r="M729" s="537">
        <v>46044</v>
      </c>
      <c r="N729" s="537">
        <v>46041</v>
      </c>
      <c r="O729" s="526"/>
      <c r="P729" s="526" t="s">
        <v>103</v>
      </c>
      <c r="Q729" s="530"/>
      <c r="R729" s="530">
        <v>45986</v>
      </c>
      <c r="S729" s="533" t="s">
        <v>66</v>
      </c>
      <c r="T729" s="533" t="s">
        <v>2615</v>
      </c>
      <c r="U729" s="532"/>
      <c r="V729" s="532"/>
      <c r="W729" s="532" t="s">
        <v>2616</v>
      </c>
      <c r="X729" s="540" t="s">
        <v>414</v>
      </c>
      <c r="Y729" s="538">
        <v>4.1623</v>
      </c>
      <c r="Z729" s="808">
        <f t="shared" si="231"/>
        <v>2047.8516</v>
      </c>
      <c r="AA729" s="521"/>
      <c r="AB729" s="521" t="s">
        <v>165</v>
      </c>
      <c r="AC729" s="520" t="s">
        <v>76</v>
      </c>
      <c r="AD729" s="521"/>
      <c r="AE729" s="521"/>
      <c r="AF729" s="521">
        <v>1</v>
      </c>
      <c r="AG729" s="521">
        <v>492</v>
      </c>
      <c r="AH729" s="521">
        <f t="shared" si="227"/>
        <v>0</v>
      </c>
      <c r="AI729" s="521"/>
      <c r="AJ729" s="521" t="s">
        <v>2191</v>
      </c>
      <c r="AK729" s="543"/>
      <c r="AL729" s="543">
        <f t="shared" si="232"/>
        <v>492</v>
      </c>
      <c r="AM729" s="628"/>
      <c r="AN729" s="628"/>
      <c r="AO729" s="628"/>
      <c r="AP729" s="543"/>
      <c r="AQ729" s="543">
        <f>I729</f>
        <v>492</v>
      </c>
      <c r="AR729" s="543">
        <f t="shared" si="236"/>
        <v>492</v>
      </c>
      <c r="AS729" s="543"/>
      <c r="AT729" s="543">
        <f t="shared" si="233"/>
        <v>492</v>
      </c>
      <c r="AU729" s="546"/>
      <c r="AV729" s="427"/>
      <c r="AW729" s="427"/>
      <c r="AX729" s="427"/>
      <c r="AY729" s="427"/>
      <c r="AZ729" s="543"/>
      <c r="BA729" s="543"/>
      <c r="BB729" s="427"/>
      <c r="BC729" s="427"/>
      <c r="BD729" s="543"/>
      <c r="BE729" s="543"/>
      <c r="BF729" s="427"/>
      <c r="BG729" s="427"/>
      <c r="BH729" s="427"/>
      <c r="BI729" s="427"/>
      <c r="BJ729" s="427"/>
      <c r="BK729" s="427"/>
      <c r="BL729" s="427"/>
      <c r="BM729" s="427"/>
      <c r="BN729" s="835"/>
      <c r="BO729" s="427"/>
      <c r="BP729" s="427"/>
      <c r="BQ729" s="427"/>
      <c r="BR729" s="427"/>
      <c r="BS729" s="427"/>
      <c r="BT729" s="427"/>
      <c r="BU729" s="427"/>
      <c r="BV729" s="427"/>
      <c r="BW729" s="427"/>
      <c r="BX729" s="427"/>
      <c r="BY729" s="427"/>
      <c r="BZ729" s="427"/>
      <c r="CA729" s="427"/>
      <c r="CB729" s="427"/>
      <c r="CC729" s="427"/>
      <c r="CD729" s="427"/>
      <c r="CE729" s="427"/>
      <c r="CF729" s="544"/>
      <c r="CG729" s="544"/>
      <c r="CH729" s="544"/>
      <c r="CI729" s="544"/>
      <c r="CJ729" s="544"/>
      <c r="CK729" s="427"/>
      <c r="CL729" s="427"/>
      <c r="CM729" s="427"/>
      <c r="CN729" s="544"/>
      <c r="CO729" s="544"/>
      <c r="CP729" s="544"/>
      <c r="CQ729" s="544"/>
      <c r="CR729" s="544"/>
      <c r="CS729" s="544"/>
    </row>
    <row r="730" s="431" customFormat="1" ht="31" hidden="1" customHeight="1" spans="1:97">
      <c r="A730" s="518">
        <v>45985</v>
      </c>
      <c r="B730" s="519" t="s">
        <v>2489</v>
      </c>
      <c r="C730" s="520" t="s">
        <v>90</v>
      </c>
      <c r="D730" s="427">
        <v>4500186392</v>
      </c>
      <c r="E730" s="520">
        <v>60261201</v>
      </c>
      <c r="F730" s="427" t="s">
        <v>2617</v>
      </c>
      <c r="G730" s="521" t="s">
        <v>2491</v>
      </c>
      <c r="H730" s="520" t="s">
        <v>2492</v>
      </c>
      <c r="I730" s="520">
        <v>2000</v>
      </c>
      <c r="J730" s="520">
        <v>0</v>
      </c>
      <c r="K730" s="520">
        <v>8</v>
      </c>
      <c r="L730" s="804">
        <f t="shared" si="230"/>
        <v>250</v>
      </c>
      <c r="M730" s="537">
        <v>46044</v>
      </c>
      <c r="N730" s="537">
        <v>46041</v>
      </c>
      <c r="O730" s="526"/>
      <c r="P730" s="526" t="s">
        <v>103</v>
      </c>
      <c r="Q730" s="530"/>
      <c r="R730" s="530">
        <v>45985</v>
      </c>
      <c r="S730" s="533" t="s">
        <v>66</v>
      </c>
      <c r="T730" s="533" t="s">
        <v>2493</v>
      </c>
      <c r="U730" s="532"/>
      <c r="V730" s="532"/>
      <c r="W730" s="532" t="s">
        <v>2618</v>
      </c>
      <c r="X730" s="540" t="s">
        <v>2441</v>
      </c>
      <c r="Y730" s="538">
        <v>4.097</v>
      </c>
      <c r="Z730" s="808">
        <f t="shared" si="231"/>
        <v>8194</v>
      </c>
      <c r="AA730" s="521"/>
      <c r="AB730" s="521" t="s">
        <v>2495</v>
      </c>
      <c r="AC730" s="520" t="s">
        <v>76</v>
      </c>
      <c r="AD730" s="521"/>
      <c r="AE730" s="521"/>
      <c r="AF730" s="521">
        <v>1</v>
      </c>
      <c r="AG730" s="521">
        <v>2000</v>
      </c>
      <c r="AH730" s="521">
        <f t="shared" si="227"/>
        <v>0</v>
      </c>
      <c r="AI730" s="521"/>
      <c r="AJ730" s="521" t="s">
        <v>2191</v>
      </c>
      <c r="AK730" s="543"/>
      <c r="AL730" s="543">
        <f t="shared" si="232"/>
        <v>2000</v>
      </c>
      <c r="AM730" s="628"/>
      <c r="AN730" s="628"/>
      <c r="AO730" s="628"/>
      <c r="AP730" s="543">
        <f>I730</f>
        <v>2000</v>
      </c>
      <c r="AQ730" s="543"/>
      <c r="AR730" s="543">
        <f t="shared" si="236"/>
        <v>2000</v>
      </c>
      <c r="AS730" s="543"/>
      <c r="AT730" s="543">
        <f t="shared" si="233"/>
        <v>2000</v>
      </c>
      <c r="AU730" s="546"/>
      <c r="AV730" s="427"/>
      <c r="AW730" s="427"/>
      <c r="AX730" s="427"/>
      <c r="AY730" s="427"/>
      <c r="AZ730" s="543"/>
      <c r="BA730" s="543"/>
      <c r="BB730" s="427"/>
      <c r="BC730" s="427"/>
      <c r="BD730" s="543"/>
      <c r="BE730" s="543"/>
      <c r="BF730" s="427"/>
      <c r="BG730" s="427"/>
      <c r="BH730" s="427"/>
      <c r="BI730" s="427"/>
      <c r="BJ730" s="427">
        <f>I730</f>
        <v>2000</v>
      </c>
      <c r="BK730" s="427"/>
      <c r="BL730" s="427"/>
      <c r="BM730" s="427"/>
      <c r="BN730" s="835"/>
      <c r="BO730" s="427"/>
      <c r="BP730" s="427"/>
      <c r="BQ730" s="427"/>
      <c r="BR730" s="427"/>
      <c r="BS730" s="427"/>
      <c r="BT730" s="427"/>
      <c r="BU730" s="427"/>
      <c r="BV730" s="427"/>
      <c r="BW730" s="427"/>
      <c r="BX730" s="427"/>
      <c r="BY730" s="427"/>
      <c r="BZ730" s="427"/>
      <c r="CA730" s="427"/>
      <c r="CB730" s="427"/>
      <c r="CC730" s="427"/>
      <c r="CD730" s="427"/>
      <c r="CE730" s="427"/>
      <c r="CF730" s="544"/>
      <c r="CG730" s="544"/>
      <c r="CH730" s="544"/>
      <c r="CI730" s="544"/>
      <c r="CJ730" s="544"/>
      <c r="CK730" s="427"/>
      <c r="CL730" s="427"/>
      <c r="CM730" s="427"/>
      <c r="CN730" s="544"/>
      <c r="CO730" s="544"/>
      <c r="CP730" s="544"/>
      <c r="CQ730" s="544"/>
      <c r="CR730" s="544"/>
      <c r="CS730" s="544"/>
    </row>
    <row r="731" s="431" customFormat="1" ht="31" hidden="1" customHeight="1" spans="1:97">
      <c r="A731" s="518">
        <v>45980</v>
      </c>
      <c r="B731" s="519" t="s">
        <v>1643</v>
      </c>
      <c r="C731" s="520" t="s">
        <v>249</v>
      </c>
      <c r="D731" s="427">
        <v>4500185077</v>
      </c>
      <c r="E731" s="520" t="s">
        <v>2619</v>
      </c>
      <c r="F731" s="427" t="s">
        <v>2620</v>
      </c>
      <c r="G731" s="521" t="s">
        <v>251</v>
      </c>
      <c r="H731" s="520" t="s">
        <v>252</v>
      </c>
      <c r="I731" s="520">
        <v>800</v>
      </c>
      <c r="J731" s="520">
        <v>4</v>
      </c>
      <c r="K731" s="520">
        <v>16</v>
      </c>
      <c r="L731" s="804">
        <f t="shared" si="230"/>
        <v>50</v>
      </c>
      <c r="M731" s="537">
        <v>46045</v>
      </c>
      <c r="N731" s="537">
        <v>46041</v>
      </c>
      <c r="O731" s="526"/>
      <c r="P731" s="526" t="s">
        <v>103</v>
      </c>
      <c r="Q731" s="530"/>
      <c r="R731" s="530">
        <v>45981</v>
      </c>
      <c r="S731" s="533" t="s">
        <v>66</v>
      </c>
      <c r="T731" s="533" t="s">
        <v>66</v>
      </c>
      <c r="U731" s="532"/>
      <c r="V731" s="532"/>
      <c r="W731" s="532" t="s">
        <v>2621</v>
      </c>
      <c r="X731" s="540" t="s">
        <v>2622</v>
      </c>
      <c r="Y731" s="538">
        <v>4.3217</v>
      </c>
      <c r="Z731" s="808">
        <f t="shared" si="231"/>
        <v>3457.36</v>
      </c>
      <c r="AA731" s="521"/>
      <c r="AB731" s="521" t="s">
        <v>251</v>
      </c>
      <c r="AC731" s="520" t="s">
        <v>76</v>
      </c>
      <c r="AD731" s="521"/>
      <c r="AE731" s="521"/>
      <c r="AF731" s="521">
        <v>1</v>
      </c>
      <c r="AG731" s="521">
        <v>800</v>
      </c>
      <c r="AH731" s="521">
        <f t="shared" si="227"/>
        <v>0</v>
      </c>
      <c r="AI731" s="521"/>
      <c r="AJ731" s="521"/>
      <c r="AK731" s="543"/>
      <c r="AL731" s="543">
        <f t="shared" si="232"/>
        <v>800</v>
      </c>
      <c r="AM731" s="628"/>
      <c r="AN731" s="628"/>
      <c r="AO731" s="628"/>
      <c r="AP731" s="543">
        <f>I731</f>
        <v>800</v>
      </c>
      <c r="AQ731" s="543"/>
      <c r="AR731" s="543">
        <f t="shared" si="236"/>
        <v>800</v>
      </c>
      <c r="AS731" s="543"/>
      <c r="AT731" s="543">
        <f t="shared" si="233"/>
        <v>800</v>
      </c>
      <c r="AU731" s="546"/>
      <c r="AV731" s="427"/>
      <c r="AW731" s="427"/>
      <c r="AX731" s="427"/>
      <c r="AY731" s="427"/>
      <c r="AZ731" s="543"/>
      <c r="BA731" s="543"/>
      <c r="BB731" s="427"/>
      <c r="BC731" s="427"/>
      <c r="BD731" s="543">
        <f>I731/4</f>
        <v>200</v>
      </c>
      <c r="BE731" s="543"/>
      <c r="BF731" s="427"/>
      <c r="BG731" s="427"/>
      <c r="BH731" s="427"/>
      <c r="BI731" s="427"/>
      <c r="BJ731" s="427"/>
      <c r="BK731" s="427"/>
      <c r="BL731" s="427"/>
      <c r="BM731" s="427"/>
      <c r="BN731" s="835"/>
      <c r="BO731" s="427"/>
      <c r="BP731" s="427"/>
      <c r="BQ731" s="427"/>
      <c r="BR731" s="427"/>
      <c r="BS731" s="427"/>
      <c r="BT731" s="427"/>
      <c r="BU731" s="427"/>
      <c r="BV731" s="427"/>
      <c r="BW731" s="427"/>
      <c r="BX731" s="427"/>
      <c r="BY731" s="427"/>
      <c r="BZ731" s="427"/>
      <c r="CA731" s="427"/>
      <c r="CB731" s="427"/>
      <c r="CC731" s="427"/>
      <c r="CD731" s="427"/>
      <c r="CE731" s="427"/>
      <c r="CF731" s="544"/>
      <c r="CG731" s="544"/>
      <c r="CH731" s="544"/>
      <c r="CI731" s="544"/>
      <c r="CJ731" s="544"/>
      <c r="CK731" s="427"/>
      <c r="CL731" s="427"/>
      <c r="CM731" s="427"/>
      <c r="CN731" s="544"/>
      <c r="CO731" s="544"/>
      <c r="CP731" s="544"/>
      <c r="CQ731" s="544"/>
      <c r="CR731" s="544"/>
      <c r="CS731" s="544"/>
    </row>
    <row r="732" s="431" customFormat="1" ht="31" hidden="1" customHeight="1" spans="1:97">
      <c r="A732" s="518">
        <v>45989</v>
      </c>
      <c r="B732" s="519" t="s">
        <v>220</v>
      </c>
      <c r="C732" s="520" t="s">
        <v>90</v>
      </c>
      <c r="D732" s="427">
        <v>4500187340</v>
      </c>
      <c r="E732" s="520" t="s">
        <v>2623</v>
      </c>
      <c r="F732" s="427" t="s">
        <v>2624</v>
      </c>
      <c r="G732" s="521" t="s">
        <v>223</v>
      </c>
      <c r="H732" s="520" t="s">
        <v>224</v>
      </c>
      <c r="I732" s="520">
        <v>21752</v>
      </c>
      <c r="J732" s="520">
        <v>0</v>
      </c>
      <c r="K732" s="520">
        <v>4</v>
      </c>
      <c r="L732" s="804">
        <f t="shared" si="230"/>
        <v>5438</v>
      </c>
      <c r="M732" s="537">
        <v>46045</v>
      </c>
      <c r="N732" s="537">
        <f>M732-4</f>
        <v>46041</v>
      </c>
      <c r="O732" s="526"/>
      <c r="P732" s="526" t="s">
        <v>103</v>
      </c>
      <c r="Q732" s="530"/>
      <c r="R732" s="530">
        <v>46014</v>
      </c>
      <c r="S732" s="533" t="s">
        <v>96</v>
      </c>
      <c r="T732" s="533">
        <v>46027</v>
      </c>
      <c r="U732" s="532"/>
      <c r="V732" s="532"/>
      <c r="W732" s="532" t="s">
        <v>2518</v>
      </c>
      <c r="X732" s="540" t="s">
        <v>226</v>
      </c>
      <c r="Y732" s="538">
        <v>2.7734</v>
      </c>
      <c r="Z732" s="808">
        <f t="shared" si="231"/>
        <v>60326.9968</v>
      </c>
      <c r="AA732" s="521"/>
      <c r="AB732" s="521" t="s">
        <v>223</v>
      </c>
      <c r="AC732" s="520" t="s">
        <v>76</v>
      </c>
      <c r="AD732" s="521"/>
      <c r="AE732" s="521"/>
      <c r="AF732" s="521">
        <v>1</v>
      </c>
      <c r="AG732" s="521">
        <f>1440+15120+5192</f>
        <v>21752</v>
      </c>
      <c r="AH732" s="521">
        <f t="shared" si="227"/>
        <v>0</v>
      </c>
      <c r="AI732" s="521"/>
      <c r="AJ732" s="521" t="s">
        <v>2191</v>
      </c>
      <c r="AK732" s="543"/>
      <c r="AL732" s="543"/>
      <c r="AM732" s="628"/>
      <c r="AN732" s="628">
        <f>I732</f>
        <v>21752</v>
      </c>
      <c r="AO732" s="628"/>
      <c r="AP732" s="543"/>
      <c r="AQ732" s="543"/>
      <c r="AR732" s="543"/>
      <c r="AS732" s="543"/>
      <c r="AT732" s="543">
        <f t="shared" si="233"/>
        <v>21752</v>
      </c>
      <c r="AU732" s="546"/>
      <c r="AV732" s="427"/>
      <c r="AW732" s="427"/>
      <c r="AX732" s="427"/>
      <c r="AY732" s="427"/>
      <c r="AZ732" s="543"/>
      <c r="BA732" s="543"/>
      <c r="BB732" s="427">
        <f>I732</f>
        <v>21752</v>
      </c>
      <c r="BC732" s="427">
        <f>I732</f>
        <v>21752</v>
      </c>
      <c r="BD732" s="543">
        <f>I732/4</f>
        <v>5438</v>
      </c>
      <c r="BE732" s="543"/>
      <c r="BF732" s="427"/>
      <c r="BG732" s="427"/>
      <c r="BH732" s="427"/>
      <c r="BI732" s="427"/>
      <c r="BJ732" s="427"/>
      <c r="BK732" s="427"/>
      <c r="BL732" s="427"/>
      <c r="BM732" s="427"/>
      <c r="BN732" s="835"/>
      <c r="BO732" s="427"/>
      <c r="BP732" s="427"/>
      <c r="BQ732" s="427"/>
      <c r="BR732" s="427"/>
      <c r="BS732" s="427"/>
      <c r="BT732" s="427"/>
      <c r="BU732" s="427"/>
      <c r="BV732" s="427"/>
      <c r="BW732" s="427"/>
      <c r="BX732" s="427"/>
      <c r="BY732" s="427"/>
      <c r="BZ732" s="427"/>
      <c r="CA732" s="427"/>
      <c r="CB732" s="427"/>
      <c r="CC732" s="427"/>
      <c r="CD732" s="427"/>
      <c r="CE732" s="427"/>
      <c r="CF732" s="544"/>
      <c r="CG732" s="544"/>
      <c r="CH732" s="544"/>
      <c r="CI732" s="544"/>
      <c r="CJ732" s="544"/>
      <c r="CK732" s="427"/>
      <c r="CL732" s="427"/>
      <c r="CM732" s="427"/>
      <c r="CN732" s="544"/>
      <c r="CO732" s="544"/>
      <c r="CP732" s="544"/>
      <c r="CQ732" s="544"/>
      <c r="CR732" s="544"/>
      <c r="CS732" s="544"/>
    </row>
    <row r="733" s="431" customFormat="1" ht="31" hidden="1" customHeight="1" spans="1:97">
      <c r="A733" s="518">
        <v>45995</v>
      </c>
      <c r="B733" s="519" t="s">
        <v>202</v>
      </c>
      <c r="C733" s="520" t="s">
        <v>203</v>
      </c>
      <c r="D733" s="427">
        <v>4500187990</v>
      </c>
      <c r="E733" s="520" t="s">
        <v>2625</v>
      </c>
      <c r="F733" s="427" t="s">
        <v>2626</v>
      </c>
      <c r="G733" s="521" t="s">
        <v>64</v>
      </c>
      <c r="H733" s="520" t="s">
        <v>65</v>
      </c>
      <c r="I733" s="520">
        <v>1440</v>
      </c>
      <c r="J733" s="520">
        <v>0</v>
      </c>
      <c r="K733" s="520">
        <v>12</v>
      </c>
      <c r="L733" s="804">
        <f t="shared" si="230"/>
        <v>120</v>
      </c>
      <c r="M733" s="537">
        <v>46045</v>
      </c>
      <c r="N733" s="537">
        <v>46041</v>
      </c>
      <c r="O733" s="526"/>
      <c r="P733" s="526" t="s">
        <v>103</v>
      </c>
      <c r="Q733" s="530"/>
      <c r="R733" s="530">
        <v>45995</v>
      </c>
      <c r="S733" s="533" t="s">
        <v>66</v>
      </c>
      <c r="T733" s="533" t="s">
        <v>2627</v>
      </c>
      <c r="U733" s="532"/>
      <c r="V733" s="532"/>
      <c r="W733" s="532" t="s">
        <v>2628</v>
      </c>
      <c r="X733" s="540" t="s">
        <v>207</v>
      </c>
      <c r="Y733" s="538">
        <v>4.1623</v>
      </c>
      <c r="Z733" s="808">
        <f t="shared" si="231"/>
        <v>5993.712</v>
      </c>
      <c r="AA733" s="521"/>
      <c r="AB733" s="521" t="s">
        <v>64</v>
      </c>
      <c r="AC733" s="520" t="s">
        <v>76</v>
      </c>
      <c r="AD733" s="521"/>
      <c r="AE733" s="521"/>
      <c r="AF733" s="521">
        <v>1</v>
      </c>
      <c r="AG733" s="521">
        <v>1440</v>
      </c>
      <c r="AH733" s="521">
        <f t="shared" si="227"/>
        <v>0</v>
      </c>
      <c r="AI733" s="521"/>
      <c r="AJ733" s="521" t="s">
        <v>2191</v>
      </c>
      <c r="AK733" s="543"/>
      <c r="AL733" s="543">
        <f>I733</f>
        <v>1440</v>
      </c>
      <c r="AM733" s="628"/>
      <c r="AN733" s="628"/>
      <c r="AO733" s="628"/>
      <c r="AP733" s="543">
        <f>I733</f>
        <v>1440</v>
      </c>
      <c r="AQ733" s="543"/>
      <c r="AR733" s="543">
        <f>I733</f>
        <v>1440</v>
      </c>
      <c r="AS733" s="543"/>
      <c r="AT733" s="543">
        <f t="shared" si="233"/>
        <v>1440</v>
      </c>
      <c r="AU733" s="546"/>
      <c r="AV733" s="427"/>
      <c r="AW733" s="427"/>
      <c r="AX733" s="427"/>
      <c r="AY733" s="427"/>
      <c r="AZ733" s="543"/>
      <c r="BA733" s="543"/>
      <c r="BB733" s="427"/>
      <c r="BC733" s="427"/>
      <c r="BD733" s="543"/>
      <c r="BE733" s="543"/>
      <c r="BF733" s="427"/>
      <c r="BG733" s="427"/>
      <c r="BH733" s="427"/>
      <c r="BI733" s="427"/>
      <c r="BJ733" s="427"/>
      <c r="BK733" s="427"/>
      <c r="BL733" s="427"/>
      <c r="BM733" s="427"/>
      <c r="BN733" s="835"/>
      <c r="BO733" s="427"/>
      <c r="BP733" s="427"/>
      <c r="BQ733" s="427"/>
      <c r="BR733" s="427"/>
      <c r="BS733" s="427"/>
      <c r="BT733" s="427"/>
      <c r="BU733" s="427"/>
      <c r="BV733" s="427"/>
      <c r="BW733" s="427"/>
      <c r="BX733" s="427"/>
      <c r="BY733" s="427"/>
      <c r="BZ733" s="427"/>
      <c r="CA733" s="427"/>
      <c r="CB733" s="427"/>
      <c r="CC733" s="427"/>
      <c r="CD733" s="427"/>
      <c r="CE733" s="427"/>
      <c r="CF733" s="544"/>
      <c r="CG733" s="544"/>
      <c r="CH733" s="544"/>
      <c r="CI733" s="544"/>
      <c r="CJ733" s="544"/>
      <c r="CK733" s="427"/>
      <c r="CL733" s="427"/>
      <c r="CM733" s="427"/>
      <c r="CN733" s="544"/>
      <c r="CO733" s="544"/>
      <c r="CP733" s="544"/>
      <c r="CQ733" s="544"/>
      <c r="CR733" s="544"/>
      <c r="CS733" s="544"/>
    </row>
    <row r="734" s="431" customFormat="1" ht="31" hidden="1" customHeight="1" spans="1:97">
      <c r="A734" s="518">
        <v>45999</v>
      </c>
      <c r="B734" s="519" t="s">
        <v>857</v>
      </c>
      <c r="C734" s="520" t="s">
        <v>249</v>
      </c>
      <c r="D734" s="427">
        <v>4500188369</v>
      </c>
      <c r="E734" s="520" t="s">
        <v>2629</v>
      </c>
      <c r="F734" s="427" t="s">
        <v>2630</v>
      </c>
      <c r="G734" s="521" t="s">
        <v>743</v>
      </c>
      <c r="H734" s="520" t="s">
        <v>744</v>
      </c>
      <c r="I734" s="520">
        <v>5400</v>
      </c>
      <c r="J734" s="520">
        <v>0</v>
      </c>
      <c r="K734" s="520">
        <v>75</v>
      </c>
      <c r="L734" s="804">
        <f t="shared" si="230"/>
        <v>72</v>
      </c>
      <c r="M734" s="537">
        <v>46045</v>
      </c>
      <c r="N734" s="537">
        <v>46041</v>
      </c>
      <c r="O734" s="526"/>
      <c r="P734" s="526" t="s">
        <v>103</v>
      </c>
      <c r="Q734" s="530"/>
      <c r="R734" s="530">
        <v>46000</v>
      </c>
      <c r="S734" s="533" t="s">
        <v>66</v>
      </c>
      <c r="T734" s="533" t="s">
        <v>66</v>
      </c>
      <c r="U734" s="532"/>
      <c r="V734" s="532"/>
      <c r="W734" s="532" t="s">
        <v>2631</v>
      </c>
      <c r="X734" s="540" t="s">
        <v>1424</v>
      </c>
      <c r="Y734" s="538">
        <v>24.1361</v>
      </c>
      <c r="Z734" s="808">
        <f>Y734*L734</f>
        <v>1737.7992</v>
      </c>
      <c r="AA734" s="521"/>
      <c r="AB734" s="521" t="s">
        <v>743</v>
      </c>
      <c r="AC734" s="520" t="s">
        <v>76</v>
      </c>
      <c r="AD734" s="521"/>
      <c r="AE734" s="521"/>
      <c r="AF734" s="521" t="s">
        <v>2400</v>
      </c>
      <c r="AG734" s="521">
        <f>4220+1180</f>
        <v>5400</v>
      </c>
      <c r="AH734" s="521">
        <f t="shared" si="227"/>
        <v>0</v>
      </c>
      <c r="AI734" s="521"/>
      <c r="AJ734" s="521"/>
      <c r="AK734" s="543"/>
      <c r="AL734" s="543"/>
      <c r="AM734" s="628"/>
      <c r="AN734" s="628"/>
      <c r="AO734" s="628">
        <f>I734</f>
        <v>5400</v>
      </c>
      <c r="AP734" s="543"/>
      <c r="AQ734" s="543"/>
      <c r="AR734" s="543"/>
      <c r="AS734" s="543"/>
      <c r="AT734" s="543"/>
      <c r="AU734" s="546"/>
      <c r="AV734" s="427"/>
      <c r="AW734" s="427">
        <f>I734</f>
        <v>5400</v>
      </c>
      <c r="AX734" s="427">
        <f>I734</f>
        <v>5400</v>
      </c>
      <c r="AY734" s="427">
        <f>I734</f>
        <v>5400</v>
      </c>
      <c r="AZ734" s="543"/>
      <c r="BA734" s="543"/>
      <c r="BB734" s="427"/>
      <c r="BC734" s="427"/>
      <c r="BD734" s="543"/>
      <c r="BE734" s="543"/>
      <c r="BF734" s="427"/>
      <c r="BG734" s="427"/>
      <c r="BH734" s="427"/>
      <c r="BI734" s="427"/>
      <c r="BJ734" s="427"/>
      <c r="BK734" s="427"/>
      <c r="BL734" s="427"/>
      <c r="BM734" s="427"/>
      <c r="BN734" s="835"/>
      <c r="BO734" s="427"/>
      <c r="BP734" s="427"/>
      <c r="BQ734" s="427"/>
      <c r="BR734" s="427"/>
      <c r="BS734" s="427"/>
      <c r="BT734" s="427"/>
      <c r="BU734" s="427"/>
      <c r="BV734" s="427"/>
      <c r="BW734" s="427"/>
      <c r="BX734" s="427"/>
      <c r="BY734" s="427"/>
      <c r="BZ734" s="427"/>
      <c r="CA734" s="427"/>
      <c r="CB734" s="427"/>
      <c r="CC734" s="427"/>
      <c r="CD734" s="427"/>
      <c r="CE734" s="427"/>
      <c r="CF734" s="544"/>
      <c r="CG734" s="544"/>
      <c r="CH734" s="544"/>
      <c r="CI734" s="544"/>
      <c r="CJ734" s="544"/>
      <c r="CK734" s="427"/>
      <c r="CL734" s="427"/>
      <c r="CM734" s="427"/>
      <c r="CN734" s="544"/>
      <c r="CO734" s="544"/>
      <c r="CP734" s="544"/>
      <c r="CQ734" s="544"/>
      <c r="CR734" s="544"/>
      <c r="CS734" s="544"/>
    </row>
    <row r="735" s="431" customFormat="1" ht="31" hidden="1" customHeight="1" spans="1:97">
      <c r="A735" s="518">
        <v>45985</v>
      </c>
      <c r="B735" s="519" t="s">
        <v>489</v>
      </c>
      <c r="C735" s="520" t="s">
        <v>249</v>
      </c>
      <c r="D735" s="427">
        <v>4500186739</v>
      </c>
      <c r="E735" s="520" t="s">
        <v>2632</v>
      </c>
      <c r="F735" s="427" t="s">
        <v>2633</v>
      </c>
      <c r="G735" s="521" t="s">
        <v>463</v>
      </c>
      <c r="H735" s="520" t="s">
        <v>424</v>
      </c>
      <c r="I735" s="520">
        <v>762</v>
      </c>
      <c r="J735" s="520">
        <v>0</v>
      </c>
      <c r="K735" s="520">
        <v>6</v>
      </c>
      <c r="L735" s="804">
        <f t="shared" ref="L734:L769" si="237">I735/K735</f>
        <v>127</v>
      </c>
      <c r="M735" s="537">
        <v>46048</v>
      </c>
      <c r="N735" s="537">
        <v>46044</v>
      </c>
      <c r="O735" s="526"/>
      <c r="P735" s="526" t="s">
        <v>103</v>
      </c>
      <c r="Q735" s="530"/>
      <c r="R735" s="530" t="s">
        <v>411</v>
      </c>
      <c r="S735" s="533" t="s">
        <v>96</v>
      </c>
      <c r="T735" s="533" t="s">
        <v>2589</v>
      </c>
      <c r="U735" s="532"/>
      <c r="V735" s="532"/>
      <c r="W735" s="532" t="s">
        <v>2634</v>
      </c>
      <c r="X735" s="540" t="s">
        <v>2591</v>
      </c>
      <c r="Y735" s="538">
        <v>7.0456</v>
      </c>
      <c r="Z735" s="808">
        <f t="shared" ref="Z734:Z765" si="238">Y735*I735</f>
        <v>5368.7472</v>
      </c>
      <c r="AA735" s="521"/>
      <c r="AB735" s="521" t="s">
        <v>427</v>
      </c>
      <c r="AC735" s="520" t="s">
        <v>76</v>
      </c>
      <c r="AD735" s="521"/>
      <c r="AE735" s="521"/>
      <c r="AF735" s="521" t="s">
        <v>114</v>
      </c>
      <c r="AG735" s="521">
        <f>648+114</f>
        <v>762</v>
      </c>
      <c r="AH735" s="521">
        <f t="shared" si="227"/>
        <v>0</v>
      </c>
      <c r="AI735" s="521"/>
      <c r="AJ735" s="521" t="s">
        <v>2191</v>
      </c>
      <c r="AK735" s="543"/>
      <c r="AL735" s="543">
        <f t="shared" ref="AL734:AL769" si="239">I735</f>
        <v>762</v>
      </c>
      <c r="AM735" s="628"/>
      <c r="AN735" s="628"/>
      <c r="AO735" s="628"/>
      <c r="AP735" s="543"/>
      <c r="AQ735" s="543">
        <f>I735</f>
        <v>762</v>
      </c>
      <c r="AR735" s="543">
        <f>I735</f>
        <v>762</v>
      </c>
      <c r="AS735" s="543"/>
      <c r="AT735" s="543">
        <f t="shared" ref="AT734:AT769" si="240">I735</f>
        <v>762</v>
      </c>
      <c r="AU735" s="546"/>
      <c r="AV735" s="427"/>
      <c r="AW735" s="427"/>
      <c r="AX735" s="427"/>
      <c r="AY735" s="427"/>
      <c r="AZ735" s="543"/>
      <c r="BA735" s="543"/>
      <c r="BB735" s="427"/>
      <c r="BC735" s="427"/>
      <c r="BD735" s="543"/>
      <c r="BE735" s="543"/>
      <c r="BF735" s="427"/>
      <c r="BG735" s="427"/>
      <c r="BH735" s="427"/>
      <c r="BI735" s="427"/>
      <c r="BJ735" s="427">
        <f>I735</f>
        <v>762</v>
      </c>
      <c r="BK735" s="427"/>
      <c r="BL735" s="427"/>
      <c r="BM735" s="427"/>
      <c r="BN735" s="835"/>
      <c r="BO735" s="427"/>
      <c r="BP735" s="427"/>
      <c r="BQ735" s="427"/>
      <c r="BR735" s="427"/>
      <c r="BS735" s="427"/>
      <c r="BT735" s="427"/>
      <c r="BU735" s="427"/>
      <c r="BV735" s="427"/>
      <c r="BW735" s="427"/>
      <c r="BX735" s="427"/>
      <c r="BY735" s="427"/>
      <c r="BZ735" s="427"/>
      <c r="CA735" s="427"/>
      <c r="CB735" s="427"/>
      <c r="CC735" s="427"/>
      <c r="CD735" s="427"/>
      <c r="CE735" s="427"/>
      <c r="CF735" s="544"/>
      <c r="CG735" s="544"/>
      <c r="CH735" s="544"/>
      <c r="CI735" s="544"/>
      <c r="CJ735" s="544"/>
      <c r="CK735" s="427"/>
      <c r="CL735" s="427"/>
      <c r="CM735" s="427"/>
      <c r="CN735" s="544"/>
      <c r="CO735" s="544"/>
      <c r="CP735" s="544"/>
      <c r="CQ735" s="544"/>
      <c r="CR735" s="544"/>
      <c r="CS735" s="544"/>
    </row>
    <row r="736" s="431" customFormat="1" ht="31" hidden="1" customHeight="1" spans="1:97">
      <c r="A736" s="518">
        <v>45985</v>
      </c>
      <c r="B736" s="519" t="s">
        <v>489</v>
      </c>
      <c r="C736" s="520" t="s">
        <v>249</v>
      </c>
      <c r="D736" s="427">
        <v>4500186739</v>
      </c>
      <c r="E736" s="520" t="s">
        <v>2635</v>
      </c>
      <c r="F736" s="427" t="s">
        <v>2636</v>
      </c>
      <c r="G736" s="521" t="s">
        <v>463</v>
      </c>
      <c r="H736" s="520" t="s">
        <v>424</v>
      </c>
      <c r="I736" s="520">
        <v>504</v>
      </c>
      <c r="J736" s="520">
        <v>0</v>
      </c>
      <c r="K736" s="520">
        <v>6</v>
      </c>
      <c r="L736" s="804">
        <f t="shared" si="237"/>
        <v>84</v>
      </c>
      <c r="M736" s="537">
        <v>46048</v>
      </c>
      <c r="N736" s="537">
        <v>46044</v>
      </c>
      <c r="O736" s="526"/>
      <c r="P736" s="526" t="s">
        <v>103</v>
      </c>
      <c r="Q736" s="530"/>
      <c r="R736" s="530" t="s">
        <v>411</v>
      </c>
      <c r="S736" s="533" t="s">
        <v>96</v>
      </c>
      <c r="T736" s="533" t="s">
        <v>2589</v>
      </c>
      <c r="U736" s="532"/>
      <c r="V736" s="532"/>
      <c r="W736" s="532" t="s">
        <v>2634</v>
      </c>
      <c r="X736" s="540" t="s">
        <v>2591</v>
      </c>
      <c r="Y736" s="538">
        <v>7.0456</v>
      </c>
      <c r="Z736" s="808">
        <f t="shared" si="238"/>
        <v>3550.9824</v>
      </c>
      <c r="AA736" s="521"/>
      <c r="AB736" s="521" t="s">
        <v>427</v>
      </c>
      <c r="AC736" s="520" t="s">
        <v>76</v>
      </c>
      <c r="AD736" s="521"/>
      <c r="AE736" s="521"/>
      <c r="AF736" s="521" t="s">
        <v>114</v>
      </c>
      <c r="AG736" s="521">
        <f>324+180</f>
        <v>504</v>
      </c>
      <c r="AH736" s="521">
        <f t="shared" si="227"/>
        <v>0</v>
      </c>
      <c r="AI736" s="521"/>
      <c r="AJ736" s="521" t="s">
        <v>2191</v>
      </c>
      <c r="AK736" s="543"/>
      <c r="AL736" s="543">
        <f t="shared" si="239"/>
        <v>504</v>
      </c>
      <c r="AM736" s="628"/>
      <c r="AN736" s="628"/>
      <c r="AO736" s="628"/>
      <c r="AP736" s="543"/>
      <c r="AQ736" s="543">
        <f>I736</f>
        <v>504</v>
      </c>
      <c r="AR736" s="543">
        <f>I736</f>
        <v>504</v>
      </c>
      <c r="AS736" s="543"/>
      <c r="AT736" s="543">
        <f t="shared" si="240"/>
        <v>504</v>
      </c>
      <c r="AU736" s="546"/>
      <c r="AV736" s="427"/>
      <c r="AW736" s="427"/>
      <c r="AX736" s="427"/>
      <c r="AY736" s="427"/>
      <c r="AZ736" s="543"/>
      <c r="BA736" s="543"/>
      <c r="BB736" s="427"/>
      <c r="BC736" s="427"/>
      <c r="BD736" s="543"/>
      <c r="BE736" s="543"/>
      <c r="BF736" s="427"/>
      <c r="BG736" s="427"/>
      <c r="BH736" s="427"/>
      <c r="BI736" s="427"/>
      <c r="BJ736" s="427">
        <f>I736</f>
        <v>504</v>
      </c>
      <c r="BK736" s="427"/>
      <c r="BL736" s="427"/>
      <c r="BM736" s="427"/>
      <c r="BN736" s="835"/>
      <c r="BO736" s="427"/>
      <c r="BP736" s="427"/>
      <c r="BQ736" s="427"/>
      <c r="BR736" s="427"/>
      <c r="BS736" s="427"/>
      <c r="BT736" s="427"/>
      <c r="BU736" s="427"/>
      <c r="BV736" s="427"/>
      <c r="BW736" s="427"/>
      <c r="BX736" s="427"/>
      <c r="BY736" s="427"/>
      <c r="BZ736" s="427"/>
      <c r="CA736" s="427"/>
      <c r="CB736" s="427"/>
      <c r="CC736" s="427"/>
      <c r="CD736" s="427"/>
      <c r="CE736" s="427"/>
      <c r="CF736" s="544"/>
      <c r="CG736" s="544"/>
      <c r="CH736" s="544"/>
      <c r="CI736" s="544"/>
      <c r="CJ736" s="544"/>
      <c r="CK736" s="427"/>
      <c r="CL736" s="427"/>
      <c r="CM736" s="427"/>
      <c r="CN736" s="544"/>
      <c r="CO736" s="544"/>
      <c r="CP736" s="544"/>
      <c r="CQ736" s="544"/>
      <c r="CR736" s="544"/>
      <c r="CS736" s="544"/>
    </row>
    <row r="737" s="431" customFormat="1" ht="31" hidden="1" customHeight="1" spans="1:97">
      <c r="A737" s="518">
        <v>45985</v>
      </c>
      <c r="B737" s="519" t="s">
        <v>489</v>
      </c>
      <c r="C737" s="520" t="s">
        <v>249</v>
      </c>
      <c r="D737" s="427">
        <v>4500186739</v>
      </c>
      <c r="E737" s="520" t="s">
        <v>2637</v>
      </c>
      <c r="F737" s="427" t="s">
        <v>2638</v>
      </c>
      <c r="G737" s="521" t="s">
        <v>64</v>
      </c>
      <c r="H737" s="520" t="s">
        <v>65</v>
      </c>
      <c r="I737" s="520">
        <v>1644</v>
      </c>
      <c r="J737" s="520">
        <v>0</v>
      </c>
      <c r="K737" s="520">
        <v>12</v>
      </c>
      <c r="L737" s="804">
        <f t="shared" si="237"/>
        <v>137</v>
      </c>
      <c r="M737" s="537">
        <v>46048</v>
      </c>
      <c r="N737" s="537">
        <v>46044</v>
      </c>
      <c r="O737" s="526"/>
      <c r="P737" s="526" t="s">
        <v>103</v>
      </c>
      <c r="Q737" s="530"/>
      <c r="R737" s="530" t="s">
        <v>492</v>
      </c>
      <c r="S737" s="533" t="s">
        <v>96</v>
      </c>
      <c r="T737" s="533" t="s">
        <v>2639</v>
      </c>
      <c r="U737" s="532"/>
      <c r="V737" s="532"/>
      <c r="W737" s="532" t="s">
        <v>2634</v>
      </c>
      <c r="X737" s="540" t="s">
        <v>2591</v>
      </c>
      <c r="Y737" s="538">
        <v>4.1623</v>
      </c>
      <c r="Z737" s="808">
        <f t="shared" si="238"/>
        <v>6842.8212</v>
      </c>
      <c r="AA737" s="521"/>
      <c r="AB737" s="521" t="s">
        <v>165</v>
      </c>
      <c r="AC737" s="520" t="s">
        <v>76</v>
      </c>
      <c r="AD737" s="521"/>
      <c r="AE737" s="521"/>
      <c r="AF737" s="521" t="s">
        <v>114</v>
      </c>
      <c r="AG737" s="521">
        <v>1644</v>
      </c>
      <c r="AH737" s="521">
        <f t="shared" si="227"/>
        <v>0</v>
      </c>
      <c r="AI737" s="521"/>
      <c r="AJ737" s="521" t="s">
        <v>2191</v>
      </c>
      <c r="AK737" s="543"/>
      <c r="AL737" s="543">
        <f t="shared" si="239"/>
        <v>1644</v>
      </c>
      <c r="AM737" s="628"/>
      <c r="AN737" s="628"/>
      <c r="AO737" s="628"/>
      <c r="AP737" s="543"/>
      <c r="AQ737" s="543">
        <f>I737</f>
        <v>1644</v>
      </c>
      <c r="AR737" s="543">
        <f>I737</f>
        <v>1644</v>
      </c>
      <c r="AS737" s="543"/>
      <c r="AT737" s="543">
        <f t="shared" si="240"/>
        <v>1644</v>
      </c>
      <c r="AU737" s="546"/>
      <c r="AV737" s="427"/>
      <c r="AW737" s="427"/>
      <c r="AX737" s="427"/>
      <c r="AY737" s="427"/>
      <c r="AZ737" s="543"/>
      <c r="BA737" s="543"/>
      <c r="BB737" s="427"/>
      <c r="BC737" s="427"/>
      <c r="BD737" s="543"/>
      <c r="BE737" s="543"/>
      <c r="BF737" s="427"/>
      <c r="BG737" s="427"/>
      <c r="BH737" s="427"/>
      <c r="BI737" s="427"/>
      <c r="BJ737" s="427"/>
      <c r="BK737" s="427"/>
      <c r="BL737" s="427"/>
      <c r="BM737" s="427"/>
      <c r="BN737" s="835"/>
      <c r="BO737" s="427"/>
      <c r="BP737" s="427"/>
      <c r="BQ737" s="427"/>
      <c r="BR737" s="427"/>
      <c r="BS737" s="427"/>
      <c r="BT737" s="427"/>
      <c r="BU737" s="427"/>
      <c r="BV737" s="427"/>
      <c r="BW737" s="427"/>
      <c r="BX737" s="427"/>
      <c r="BY737" s="427"/>
      <c r="BZ737" s="427"/>
      <c r="CA737" s="427"/>
      <c r="CB737" s="427"/>
      <c r="CC737" s="427"/>
      <c r="CD737" s="427"/>
      <c r="CE737" s="427"/>
      <c r="CF737" s="544"/>
      <c r="CG737" s="544"/>
      <c r="CH737" s="544"/>
      <c r="CI737" s="544"/>
      <c r="CJ737" s="544"/>
      <c r="CK737" s="427"/>
      <c r="CL737" s="427"/>
      <c r="CM737" s="427"/>
      <c r="CN737" s="544"/>
      <c r="CO737" s="544"/>
      <c r="CP737" s="544"/>
      <c r="CQ737" s="544"/>
      <c r="CR737" s="544"/>
      <c r="CS737" s="544"/>
    </row>
    <row r="738" s="431" customFormat="1" ht="31" hidden="1" customHeight="1" spans="1:97">
      <c r="A738" s="518">
        <v>45995</v>
      </c>
      <c r="B738" s="519" t="s">
        <v>125</v>
      </c>
      <c r="C738" s="520" t="s">
        <v>71</v>
      </c>
      <c r="D738" s="427">
        <v>4500188118</v>
      </c>
      <c r="E738" s="520">
        <v>21407643</v>
      </c>
      <c r="F738" s="427" t="s">
        <v>2640</v>
      </c>
      <c r="G738" s="521" t="s">
        <v>64</v>
      </c>
      <c r="H738" s="520" t="s">
        <v>65</v>
      </c>
      <c r="I738" s="520">
        <v>420</v>
      </c>
      <c r="J738" s="520">
        <v>0</v>
      </c>
      <c r="K738" s="520">
        <v>12</v>
      </c>
      <c r="L738" s="804">
        <f t="shared" si="237"/>
        <v>35</v>
      </c>
      <c r="M738" s="537">
        <v>46048</v>
      </c>
      <c r="N738" s="537">
        <v>46044</v>
      </c>
      <c r="O738" s="526"/>
      <c r="P738" s="526" t="s">
        <v>103</v>
      </c>
      <c r="Q738" s="530"/>
      <c r="R738" s="530">
        <v>46017</v>
      </c>
      <c r="S738" s="533" t="s">
        <v>96</v>
      </c>
      <c r="T738" s="533" t="s">
        <v>2641</v>
      </c>
      <c r="U738" s="532"/>
      <c r="V738" s="532"/>
      <c r="W738" s="532" t="s">
        <v>2642</v>
      </c>
      <c r="X738" s="540" t="s">
        <v>121</v>
      </c>
      <c r="Y738" s="538">
        <v>4.2552</v>
      </c>
      <c r="Z738" s="808">
        <f t="shared" si="238"/>
        <v>1787.184</v>
      </c>
      <c r="AA738" s="521"/>
      <c r="AB738" s="521" t="s">
        <v>64</v>
      </c>
      <c r="AC738" s="520" t="s">
        <v>76</v>
      </c>
      <c r="AD738" s="521"/>
      <c r="AE738" s="521"/>
      <c r="AF738" s="521" t="s">
        <v>114</v>
      </c>
      <c r="AG738" s="521">
        <v>420</v>
      </c>
      <c r="AH738" s="521">
        <f t="shared" si="227"/>
        <v>0</v>
      </c>
      <c r="AI738" s="521"/>
      <c r="AJ738" s="521" t="s">
        <v>2191</v>
      </c>
      <c r="AK738" s="543"/>
      <c r="AL738" s="543">
        <f t="shared" si="239"/>
        <v>420</v>
      </c>
      <c r="AM738" s="628"/>
      <c r="AN738" s="628"/>
      <c r="AO738" s="628"/>
      <c r="AP738" s="543">
        <f>I738</f>
        <v>420</v>
      </c>
      <c r="AQ738" s="543"/>
      <c r="AR738" s="543">
        <f>I738</f>
        <v>420</v>
      </c>
      <c r="AS738" s="543"/>
      <c r="AT738" s="543">
        <f t="shared" si="240"/>
        <v>420</v>
      </c>
      <c r="AU738" s="546"/>
      <c r="AV738" s="427"/>
      <c r="AW738" s="427"/>
      <c r="AX738" s="427"/>
      <c r="AY738" s="427"/>
      <c r="AZ738" s="543"/>
      <c r="BA738" s="543"/>
      <c r="BB738" s="427"/>
      <c r="BC738" s="427"/>
      <c r="BD738" s="543"/>
      <c r="BE738" s="543"/>
      <c r="BF738" s="427"/>
      <c r="BG738" s="427"/>
      <c r="BH738" s="427"/>
      <c r="BI738" s="427"/>
      <c r="BJ738" s="427"/>
      <c r="BK738" s="427"/>
      <c r="BL738" s="427"/>
      <c r="BM738" s="427"/>
      <c r="BN738" s="835"/>
      <c r="BO738" s="427"/>
      <c r="BP738" s="427"/>
      <c r="BQ738" s="427"/>
      <c r="BR738" s="427"/>
      <c r="BS738" s="427"/>
      <c r="BT738" s="427"/>
      <c r="BU738" s="427"/>
      <c r="BV738" s="427"/>
      <c r="BW738" s="427"/>
      <c r="BX738" s="427"/>
      <c r="BY738" s="427"/>
      <c r="BZ738" s="427"/>
      <c r="CA738" s="427"/>
      <c r="CB738" s="427"/>
      <c r="CC738" s="427"/>
      <c r="CD738" s="427"/>
      <c r="CE738" s="427"/>
      <c r="CF738" s="544"/>
      <c r="CG738" s="544"/>
      <c r="CH738" s="544"/>
      <c r="CI738" s="544"/>
      <c r="CJ738" s="544"/>
      <c r="CK738" s="427"/>
      <c r="CL738" s="427"/>
      <c r="CM738" s="427"/>
      <c r="CN738" s="544"/>
      <c r="CO738" s="544"/>
      <c r="CP738" s="544"/>
      <c r="CQ738" s="544"/>
      <c r="CR738" s="544"/>
      <c r="CS738" s="544"/>
    </row>
    <row r="739" s="431" customFormat="1" ht="31" hidden="1" customHeight="1" spans="1:97">
      <c r="A739" s="518">
        <v>45995</v>
      </c>
      <c r="B739" s="519" t="s">
        <v>122</v>
      </c>
      <c r="C739" s="520" t="s">
        <v>116</v>
      </c>
      <c r="D739" s="427">
        <v>4500187429</v>
      </c>
      <c r="E739" s="520">
        <v>21407638</v>
      </c>
      <c r="F739" s="427" t="s">
        <v>2643</v>
      </c>
      <c r="G739" s="521" t="s">
        <v>64</v>
      </c>
      <c r="H739" s="520" t="s">
        <v>65</v>
      </c>
      <c r="I739" s="520">
        <v>4200</v>
      </c>
      <c r="J739" s="520">
        <v>0</v>
      </c>
      <c r="K739" s="520">
        <v>12</v>
      </c>
      <c r="L739" s="804">
        <f t="shared" si="237"/>
        <v>350</v>
      </c>
      <c r="M739" s="537">
        <v>46048</v>
      </c>
      <c r="N739" s="537">
        <v>46044</v>
      </c>
      <c r="O739" s="526"/>
      <c r="P739" s="526" t="s">
        <v>103</v>
      </c>
      <c r="Q739" s="530"/>
      <c r="R739" s="530">
        <v>46017</v>
      </c>
      <c r="S739" s="533" t="s">
        <v>96</v>
      </c>
      <c r="T739" s="533" t="s">
        <v>2641</v>
      </c>
      <c r="U739" s="532"/>
      <c r="V739" s="532"/>
      <c r="W739" s="532" t="s">
        <v>2644</v>
      </c>
      <c r="X739" s="540" t="s">
        <v>121</v>
      </c>
      <c r="Y739" s="538">
        <v>4.2499</v>
      </c>
      <c r="Z739" s="808">
        <f t="shared" si="238"/>
        <v>17849.58</v>
      </c>
      <c r="AA739" s="521"/>
      <c r="AB739" s="521" t="s">
        <v>64</v>
      </c>
      <c r="AC739" s="520" t="s">
        <v>76</v>
      </c>
      <c r="AD739" s="521"/>
      <c r="AE739" s="521"/>
      <c r="AF739" s="521" t="s">
        <v>114</v>
      </c>
      <c r="AG739" s="521">
        <v>4200</v>
      </c>
      <c r="AH739" s="521">
        <f t="shared" si="227"/>
        <v>0</v>
      </c>
      <c r="AI739" s="521"/>
      <c r="AJ739" s="521" t="s">
        <v>2191</v>
      </c>
      <c r="AK739" s="543"/>
      <c r="AL739" s="543">
        <f t="shared" si="239"/>
        <v>4200</v>
      </c>
      <c r="AM739" s="628"/>
      <c r="AN739" s="628"/>
      <c r="AO739" s="628"/>
      <c r="AP739" s="543">
        <f>I739</f>
        <v>4200</v>
      </c>
      <c r="AQ739" s="543"/>
      <c r="AR739" s="543">
        <f>I739</f>
        <v>4200</v>
      </c>
      <c r="AS739" s="543"/>
      <c r="AT739" s="543">
        <f t="shared" si="240"/>
        <v>4200</v>
      </c>
      <c r="AU739" s="546"/>
      <c r="AV739" s="427"/>
      <c r="AW739" s="427"/>
      <c r="AX739" s="427"/>
      <c r="AY739" s="427"/>
      <c r="AZ739" s="543"/>
      <c r="BA739" s="543"/>
      <c r="BB739" s="427"/>
      <c r="BC739" s="427"/>
      <c r="BD739" s="543"/>
      <c r="BE739" s="543"/>
      <c r="BF739" s="427"/>
      <c r="BG739" s="427"/>
      <c r="BH739" s="427"/>
      <c r="BI739" s="427"/>
      <c r="BJ739" s="427"/>
      <c r="BK739" s="427"/>
      <c r="BL739" s="427"/>
      <c r="BM739" s="427"/>
      <c r="BN739" s="835"/>
      <c r="BO739" s="427"/>
      <c r="BP739" s="427"/>
      <c r="BQ739" s="427"/>
      <c r="BR739" s="427"/>
      <c r="BS739" s="427"/>
      <c r="BT739" s="427"/>
      <c r="BU739" s="427"/>
      <c r="BV739" s="427"/>
      <c r="BW739" s="427"/>
      <c r="BX739" s="427"/>
      <c r="BY739" s="427"/>
      <c r="BZ739" s="427"/>
      <c r="CA739" s="427"/>
      <c r="CB739" s="427"/>
      <c r="CC739" s="427"/>
      <c r="CD739" s="427"/>
      <c r="CE739" s="427"/>
      <c r="CF739" s="544"/>
      <c r="CG739" s="544"/>
      <c r="CH739" s="544"/>
      <c r="CI739" s="544"/>
      <c r="CJ739" s="544"/>
      <c r="CK739" s="427"/>
      <c r="CL739" s="427"/>
      <c r="CM739" s="427"/>
      <c r="CN739" s="544"/>
      <c r="CO739" s="544"/>
      <c r="CP739" s="544"/>
      <c r="CQ739" s="544"/>
      <c r="CR739" s="544"/>
      <c r="CS739" s="544"/>
    </row>
    <row r="740" s="431" customFormat="1" ht="31" hidden="1" customHeight="1" spans="1:97">
      <c r="A740" s="518">
        <v>46000</v>
      </c>
      <c r="B740" s="519" t="s">
        <v>128</v>
      </c>
      <c r="C740" s="520" t="s">
        <v>90</v>
      </c>
      <c r="D740" s="427">
        <v>4500188488</v>
      </c>
      <c r="E740" s="890" t="s">
        <v>2645</v>
      </c>
      <c r="F740" s="427" t="s">
        <v>2646</v>
      </c>
      <c r="G740" s="521" t="s">
        <v>93</v>
      </c>
      <c r="H740" s="520" t="s">
        <v>94</v>
      </c>
      <c r="I740" s="520">
        <v>4800</v>
      </c>
      <c r="J740" s="520">
        <v>0</v>
      </c>
      <c r="K740" s="520">
        <v>4</v>
      </c>
      <c r="L740" s="804">
        <f t="shared" si="237"/>
        <v>1200</v>
      </c>
      <c r="M740" s="537">
        <v>46048</v>
      </c>
      <c r="N740" s="537">
        <v>46044</v>
      </c>
      <c r="O740" s="526" t="s">
        <v>2647</v>
      </c>
      <c r="P740" s="526" t="s">
        <v>103</v>
      </c>
      <c r="Q740" s="530"/>
      <c r="R740" s="530" t="s">
        <v>2021</v>
      </c>
      <c r="S740" s="533" t="s">
        <v>66</v>
      </c>
      <c r="T740" s="533" t="s">
        <v>133</v>
      </c>
      <c r="U740" s="532"/>
      <c r="V740" s="532"/>
      <c r="W740" s="532" t="s">
        <v>1281</v>
      </c>
      <c r="X740" s="540" t="s">
        <v>98</v>
      </c>
      <c r="Y740" s="538">
        <v>2.5768</v>
      </c>
      <c r="Z740" s="808">
        <f t="shared" si="238"/>
        <v>12368.64</v>
      </c>
      <c r="AA740" s="521"/>
      <c r="AB740" s="521" t="s">
        <v>93</v>
      </c>
      <c r="AC740" s="520" t="s">
        <v>76</v>
      </c>
      <c r="AD740" s="521"/>
      <c r="AE740" s="521"/>
      <c r="AF740" s="521" t="s">
        <v>114</v>
      </c>
      <c r="AG740" s="521">
        <f>4068+720+12</f>
        <v>4800</v>
      </c>
      <c r="AH740" s="521">
        <f t="shared" ref="AH740:AH775" si="241">AG740-I740</f>
        <v>0</v>
      </c>
      <c r="AI740" s="521"/>
      <c r="AJ740" s="521"/>
      <c r="AK740" s="543"/>
      <c r="AL740" s="543">
        <f t="shared" si="239"/>
        <v>4800</v>
      </c>
      <c r="AM740" s="628"/>
      <c r="AN740" s="628"/>
      <c r="AO740" s="628"/>
      <c r="AP740" s="543">
        <f t="shared" ref="AP740:AP746" si="242">I740</f>
        <v>4800</v>
      </c>
      <c r="AQ740" s="543"/>
      <c r="AR740" s="543">
        <f t="shared" ref="AR740:AR765" si="243">I740</f>
        <v>4800</v>
      </c>
      <c r="AS740" s="543"/>
      <c r="AT740" s="543">
        <f t="shared" si="240"/>
        <v>4800</v>
      </c>
      <c r="AU740" s="546"/>
      <c r="AV740" s="427"/>
      <c r="AW740" s="427"/>
      <c r="AX740" s="427"/>
      <c r="AY740" s="427"/>
      <c r="AZ740" s="543"/>
      <c r="BA740" s="543"/>
      <c r="BB740" s="427"/>
      <c r="BC740" s="427"/>
      <c r="BD740" s="543">
        <f t="shared" ref="BD740:BD746" si="244">I740/4</f>
        <v>1200</v>
      </c>
      <c r="BE740" s="543"/>
      <c r="BF740" s="427"/>
      <c r="BG740" s="427"/>
      <c r="BH740" s="427"/>
      <c r="BI740" s="427"/>
      <c r="BJ740" s="427"/>
      <c r="BK740" s="427"/>
      <c r="BL740" s="427"/>
      <c r="BM740" s="427"/>
      <c r="BN740" s="835"/>
      <c r="BO740" s="427"/>
      <c r="BP740" s="427"/>
      <c r="BQ740" s="427"/>
      <c r="BR740" s="427"/>
      <c r="BS740" s="427"/>
      <c r="BT740" s="427"/>
      <c r="BU740" s="427"/>
      <c r="BV740" s="427"/>
      <c r="BW740" s="427"/>
      <c r="BX740" s="427"/>
      <c r="BY740" s="427"/>
      <c r="BZ740" s="427"/>
      <c r="CA740" s="427"/>
      <c r="CB740" s="427"/>
      <c r="CC740" s="427"/>
      <c r="CD740" s="427"/>
      <c r="CE740" s="427"/>
      <c r="CF740" s="544"/>
      <c r="CG740" s="544"/>
      <c r="CH740" s="544"/>
      <c r="CI740" s="544"/>
      <c r="CJ740" s="544"/>
      <c r="CK740" s="427"/>
      <c r="CL740" s="427"/>
      <c r="CM740" s="427"/>
      <c r="CN740" s="544"/>
      <c r="CO740" s="544"/>
      <c r="CP740" s="544"/>
      <c r="CQ740" s="544"/>
      <c r="CR740" s="544"/>
      <c r="CS740" s="544"/>
    </row>
    <row r="741" s="431" customFormat="1" ht="31" hidden="1" customHeight="1" spans="1:97">
      <c r="A741" s="518">
        <v>46000</v>
      </c>
      <c r="B741" s="519" t="s">
        <v>128</v>
      </c>
      <c r="C741" s="520" t="s">
        <v>90</v>
      </c>
      <c r="D741" s="427">
        <v>4500188488</v>
      </c>
      <c r="E741" s="890" t="s">
        <v>2648</v>
      </c>
      <c r="F741" s="427" t="s">
        <v>2649</v>
      </c>
      <c r="G741" s="521" t="s">
        <v>93</v>
      </c>
      <c r="H741" s="520" t="s">
        <v>94</v>
      </c>
      <c r="I741" s="845">
        <v>5440</v>
      </c>
      <c r="J741" s="520">
        <v>0</v>
      </c>
      <c r="K741" s="520">
        <v>4</v>
      </c>
      <c r="L741" s="804">
        <f t="shared" si="237"/>
        <v>1360</v>
      </c>
      <c r="M741" s="537">
        <v>46048</v>
      </c>
      <c r="N741" s="537">
        <v>46044</v>
      </c>
      <c r="O741" s="526" t="s">
        <v>2647</v>
      </c>
      <c r="P741" s="526" t="s">
        <v>103</v>
      </c>
      <c r="Q741" s="530"/>
      <c r="R741" s="530" t="s">
        <v>2021</v>
      </c>
      <c r="S741" s="533" t="s">
        <v>66</v>
      </c>
      <c r="T741" s="533" t="s">
        <v>133</v>
      </c>
      <c r="U741" s="532"/>
      <c r="V741" s="532"/>
      <c r="W741" s="532" t="s">
        <v>1281</v>
      </c>
      <c r="X741" s="540" t="s">
        <v>98</v>
      </c>
      <c r="Y741" s="538">
        <v>2.5656</v>
      </c>
      <c r="Z741" s="808">
        <f t="shared" si="238"/>
        <v>13956.864</v>
      </c>
      <c r="AA741" s="521"/>
      <c r="AB741" s="521" t="s">
        <v>93</v>
      </c>
      <c r="AC741" s="520" t="s">
        <v>76</v>
      </c>
      <c r="AD741" s="521"/>
      <c r="AE741" s="521"/>
      <c r="AF741" s="521" t="s">
        <v>114</v>
      </c>
      <c r="AG741" s="521">
        <f>5400+40</f>
        <v>5440</v>
      </c>
      <c r="AH741" s="521">
        <f t="shared" si="241"/>
        <v>0</v>
      </c>
      <c r="AI741" s="521"/>
      <c r="AJ741" s="521"/>
      <c r="AK741" s="543"/>
      <c r="AL741" s="543">
        <f t="shared" si="239"/>
        <v>5440</v>
      </c>
      <c r="AM741" s="628"/>
      <c r="AN741" s="628"/>
      <c r="AO741" s="628"/>
      <c r="AP741" s="543">
        <f t="shared" si="242"/>
        <v>5440</v>
      </c>
      <c r="AQ741" s="543"/>
      <c r="AR741" s="543">
        <f t="shared" si="243"/>
        <v>5440</v>
      </c>
      <c r="AS741" s="543"/>
      <c r="AT741" s="543">
        <f t="shared" si="240"/>
        <v>5440</v>
      </c>
      <c r="AU741" s="546"/>
      <c r="AV741" s="427"/>
      <c r="AW741" s="427"/>
      <c r="AX741" s="427"/>
      <c r="AY741" s="427"/>
      <c r="AZ741" s="543"/>
      <c r="BA741" s="543"/>
      <c r="BB741" s="427"/>
      <c r="BC741" s="427"/>
      <c r="BD741" s="543">
        <f t="shared" si="244"/>
        <v>1360</v>
      </c>
      <c r="BE741" s="543"/>
      <c r="BF741" s="427"/>
      <c r="BG741" s="427"/>
      <c r="BH741" s="427"/>
      <c r="BI741" s="427"/>
      <c r="BJ741" s="427"/>
      <c r="BK741" s="427"/>
      <c r="BL741" s="427"/>
      <c r="BM741" s="427"/>
      <c r="BN741" s="835"/>
      <c r="BO741" s="427"/>
      <c r="BP741" s="427"/>
      <c r="BQ741" s="427"/>
      <c r="BR741" s="427"/>
      <c r="BS741" s="427"/>
      <c r="BT741" s="427"/>
      <c r="BU741" s="427"/>
      <c r="BV741" s="427"/>
      <c r="BW741" s="427"/>
      <c r="BX741" s="427"/>
      <c r="BY741" s="427"/>
      <c r="BZ741" s="427"/>
      <c r="CA741" s="427"/>
      <c r="CB741" s="427"/>
      <c r="CC741" s="427"/>
      <c r="CD741" s="427"/>
      <c r="CE741" s="427"/>
      <c r="CF741" s="544"/>
      <c r="CG741" s="544"/>
      <c r="CH741" s="544"/>
      <c r="CI741" s="544"/>
      <c r="CJ741" s="544"/>
      <c r="CK741" s="427"/>
      <c r="CL741" s="427"/>
      <c r="CM741" s="427"/>
      <c r="CN741" s="544"/>
      <c r="CO741" s="544"/>
      <c r="CP741" s="544"/>
      <c r="CQ741" s="544"/>
      <c r="CR741" s="544"/>
      <c r="CS741" s="544"/>
    </row>
    <row r="742" s="431" customFormat="1" ht="31" hidden="1" customHeight="1" spans="1:97">
      <c r="A742" s="518">
        <v>46000</v>
      </c>
      <c r="B742" s="519" t="s">
        <v>128</v>
      </c>
      <c r="C742" s="520" t="s">
        <v>90</v>
      </c>
      <c r="D742" s="427">
        <v>4500188488</v>
      </c>
      <c r="E742" s="890" t="s">
        <v>2650</v>
      </c>
      <c r="F742" s="427" t="s">
        <v>2651</v>
      </c>
      <c r="G742" s="521" t="s">
        <v>93</v>
      </c>
      <c r="H742" s="520" t="s">
        <v>94</v>
      </c>
      <c r="I742" s="520">
        <v>7360</v>
      </c>
      <c r="J742" s="520">
        <v>0</v>
      </c>
      <c r="K742" s="520">
        <v>4</v>
      </c>
      <c r="L742" s="804">
        <f t="shared" si="237"/>
        <v>1840</v>
      </c>
      <c r="M742" s="537">
        <v>46048</v>
      </c>
      <c r="N742" s="537">
        <v>46044</v>
      </c>
      <c r="O742" s="526" t="s">
        <v>2652</v>
      </c>
      <c r="P742" s="526" t="s">
        <v>103</v>
      </c>
      <c r="Q742" s="530"/>
      <c r="R742" s="530" t="s">
        <v>2021</v>
      </c>
      <c r="S742" s="533" t="s">
        <v>66</v>
      </c>
      <c r="T742" s="533" t="s">
        <v>133</v>
      </c>
      <c r="U742" s="532"/>
      <c r="V742" s="532"/>
      <c r="W742" s="532" t="s">
        <v>1281</v>
      </c>
      <c r="X742" s="540" t="s">
        <v>98</v>
      </c>
      <c r="Y742" s="538">
        <v>2.5656</v>
      </c>
      <c r="Z742" s="808">
        <f t="shared" si="238"/>
        <v>18882.816</v>
      </c>
      <c r="AA742" s="521"/>
      <c r="AB742" s="521" t="s">
        <v>93</v>
      </c>
      <c r="AC742" s="520" t="s">
        <v>76</v>
      </c>
      <c r="AD742" s="521"/>
      <c r="AE742" s="521"/>
      <c r="AF742" s="521" t="s">
        <v>114</v>
      </c>
      <c r="AG742" s="521">
        <f>4320+3040</f>
        <v>7360</v>
      </c>
      <c r="AH742" s="521">
        <f t="shared" si="241"/>
        <v>0</v>
      </c>
      <c r="AI742" s="521"/>
      <c r="AJ742" s="521"/>
      <c r="AK742" s="543"/>
      <c r="AL742" s="543">
        <f t="shared" si="239"/>
        <v>7360</v>
      </c>
      <c r="AM742" s="628"/>
      <c r="AN742" s="628"/>
      <c r="AO742" s="628"/>
      <c r="AP742" s="543">
        <f t="shared" si="242"/>
        <v>7360</v>
      </c>
      <c r="AQ742" s="543"/>
      <c r="AR742" s="543">
        <f t="shared" si="243"/>
        <v>7360</v>
      </c>
      <c r="AS742" s="543"/>
      <c r="AT742" s="543">
        <f t="shared" si="240"/>
        <v>7360</v>
      </c>
      <c r="AU742" s="546"/>
      <c r="AV742" s="427"/>
      <c r="AW742" s="427"/>
      <c r="AX742" s="427"/>
      <c r="AY742" s="427"/>
      <c r="AZ742" s="543"/>
      <c r="BA742" s="543"/>
      <c r="BB742" s="427"/>
      <c r="BC742" s="427"/>
      <c r="BD742" s="543">
        <f t="shared" si="244"/>
        <v>1840</v>
      </c>
      <c r="BE742" s="543"/>
      <c r="BF742" s="427"/>
      <c r="BG742" s="427"/>
      <c r="BH742" s="427"/>
      <c r="BI742" s="427"/>
      <c r="BJ742" s="427"/>
      <c r="BK742" s="427"/>
      <c r="BL742" s="427"/>
      <c r="BM742" s="427"/>
      <c r="BN742" s="835"/>
      <c r="BO742" s="427"/>
      <c r="BP742" s="427"/>
      <c r="BQ742" s="427"/>
      <c r="BR742" s="427"/>
      <c r="BS742" s="427"/>
      <c r="BT742" s="427"/>
      <c r="BU742" s="427"/>
      <c r="BV742" s="427"/>
      <c r="BW742" s="427"/>
      <c r="BX742" s="427"/>
      <c r="BY742" s="427"/>
      <c r="BZ742" s="427"/>
      <c r="CA742" s="427"/>
      <c r="CB742" s="427"/>
      <c r="CC742" s="427"/>
      <c r="CD742" s="427"/>
      <c r="CE742" s="427"/>
      <c r="CF742" s="544"/>
      <c r="CG742" s="544"/>
      <c r="CH742" s="544"/>
      <c r="CI742" s="544"/>
      <c r="CJ742" s="544"/>
      <c r="CK742" s="427"/>
      <c r="CL742" s="427"/>
      <c r="CM742" s="427"/>
      <c r="CN742" s="544"/>
      <c r="CO742" s="544"/>
      <c r="CP742" s="544"/>
      <c r="CQ742" s="544"/>
      <c r="CR742" s="544"/>
      <c r="CS742" s="544"/>
    </row>
    <row r="743" s="431" customFormat="1" ht="31" hidden="1" customHeight="1" spans="1:97">
      <c r="A743" s="518">
        <v>46000</v>
      </c>
      <c r="B743" s="519" t="s">
        <v>128</v>
      </c>
      <c r="C743" s="520" t="s">
        <v>90</v>
      </c>
      <c r="D743" s="427">
        <v>4500188488</v>
      </c>
      <c r="E743" s="890" t="s">
        <v>2653</v>
      </c>
      <c r="F743" s="427" t="s">
        <v>2654</v>
      </c>
      <c r="G743" s="521" t="s">
        <v>93</v>
      </c>
      <c r="H743" s="520" t="s">
        <v>94</v>
      </c>
      <c r="I743" s="520">
        <v>4480</v>
      </c>
      <c r="J743" s="520">
        <v>0</v>
      </c>
      <c r="K743" s="520">
        <v>4</v>
      </c>
      <c r="L743" s="804">
        <f t="shared" si="237"/>
        <v>1120</v>
      </c>
      <c r="M743" s="537">
        <v>46048</v>
      </c>
      <c r="N743" s="537">
        <v>46044</v>
      </c>
      <c r="O743" s="526" t="s">
        <v>2652</v>
      </c>
      <c r="P743" s="526" t="s">
        <v>103</v>
      </c>
      <c r="Q743" s="530"/>
      <c r="R743" s="530" t="s">
        <v>2021</v>
      </c>
      <c r="S743" s="533" t="s">
        <v>66</v>
      </c>
      <c r="T743" s="533" t="s">
        <v>133</v>
      </c>
      <c r="U743" s="532"/>
      <c r="V743" s="532"/>
      <c r="W743" s="532" t="s">
        <v>1281</v>
      </c>
      <c r="X743" s="540" t="s">
        <v>98</v>
      </c>
      <c r="Y743" s="538">
        <v>2.5768</v>
      </c>
      <c r="Z743" s="808">
        <f t="shared" si="238"/>
        <v>11544.064</v>
      </c>
      <c r="AA743" s="521"/>
      <c r="AB743" s="521" t="s">
        <v>93</v>
      </c>
      <c r="AC743" s="520" t="s">
        <v>76</v>
      </c>
      <c r="AD743" s="521"/>
      <c r="AE743" s="521"/>
      <c r="AF743" s="521" t="s">
        <v>114</v>
      </c>
      <c r="AG743" s="521">
        <v>4480</v>
      </c>
      <c r="AH743" s="521">
        <f t="shared" si="241"/>
        <v>0</v>
      </c>
      <c r="AI743" s="521"/>
      <c r="AJ743" s="521"/>
      <c r="AK743" s="543"/>
      <c r="AL743" s="543">
        <f t="shared" si="239"/>
        <v>4480</v>
      </c>
      <c r="AM743" s="628"/>
      <c r="AN743" s="628"/>
      <c r="AO743" s="628"/>
      <c r="AP743" s="543">
        <f t="shared" si="242"/>
        <v>4480</v>
      </c>
      <c r="AQ743" s="543"/>
      <c r="AR743" s="543">
        <f t="shared" si="243"/>
        <v>4480</v>
      </c>
      <c r="AS743" s="543"/>
      <c r="AT743" s="543">
        <f t="shared" si="240"/>
        <v>4480</v>
      </c>
      <c r="AU743" s="546"/>
      <c r="AV743" s="427"/>
      <c r="AW743" s="427"/>
      <c r="AX743" s="427"/>
      <c r="AY743" s="427"/>
      <c r="AZ743" s="543"/>
      <c r="BA743" s="543"/>
      <c r="BB743" s="427"/>
      <c r="BC743" s="427"/>
      <c r="BD743" s="543">
        <f t="shared" si="244"/>
        <v>1120</v>
      </c>
      <c r="BE743" s="543"/>
      <c r="BF743" s="427"/>
      <c r="BG743" s="427"/>
      <c r="BH743" s="427"/>
      <c r="BI743" s="427"/>
      <c r="BJ743" s="427"/>
      <c r="BK743" s="427"/>
      <c r="BL743" s="427"/>
      <c r="BM743" s="427"/>
      <c r="BN743" s="835"/>
      <c r="BO743" s="427"/>
      <c r="BP743" s="427"/>
      <c r="BQ743" s="427"/>
      <c r="BR743" s="427"/>
      <c r="BS743" s="427"/>
      <c r="BT743" s="427"/>
      <c r="BU743" s="427"/>
      <c r="BV743" s="427"/>
      <c r="BW743" s="427"/>
      <c r="BX743" s="427"/>
      <c r="BY743" s="427"/>
      <c r="BZ743" s="427"/>
      <c r="CA743" s="427"/>
      <c r="CB743" s="427"/>
      <c r="CC743" s="427"/>
      <c r="CD743" s="427"/>
      <c r="CE743" s="427"/>
      <c r="CF743" s="544"/>
      <c r="CG743" s="544"/>
      <c r="CH743" s="544"/>
      <c r="CI743" s="544"/>
      <c r="CJ743" s="544"/>
      <c r="CK743" s="427"/>
      <c r="CL743" s="427"/>
      <c r="CM743" s="427"/>
      <c r="CN743" s="544"/>
      <c r="CO743" s="544"/>
      <c r="CP743" s="544"/>
      <c r="CQ743" s="544"/>
      <c r="CR743" s="544"/>
      <c r="CS743" s="544"/>
    </row>
    <row r="744" s="431" customFormat="1" ht="31" hidden="1" customHeight="1" spans="1:97">
      <c r="A744" s="518">
        <v>46000</v>
      </c>
      <c r="B744" s="519" t="s">
        <v>128</v>
      </c>
      <c r="C744" s="520" t="s">
        <v>90</v>
      </c>
      <c r="D744" s="427">
        <v>4500188488</v>
      </c>
      <c r="E744" s="890" t="s">
        <v>2655</v>
      </c>
      <c r="F744" s="427" t="s">
        <v>2656</v>
      </c>
      <c r="G744" s="521" t="s">
        <v>93</v>
      </c>
      <c r="H744" s="520" t="s">
        <v>94</v>
      </c>
      <c r="I744" s="520">
        <v>5760</v>
      </c>
      <c r="J744" s="520">
        <v>0</v>
      </c>
      <c r="K744" s="520">
        <v>4</v>
      </c>
      <c r="L744" s="804">
        <f t="shared" si="237"/>
        <v>1440</v>
      </c>
      <c r="M744" s="537">
        <v>46048</v>
      </c>
      <c r="N744" s="537">
        <v>46044</v>
      </c>
      <c r="O744" s="526" t="s">
        <v>2647</v>
      </c>
      <c r="P744" s="526" t="s">
        <v>103</v>
      </c>
      <c r="Q744" s="530"/>
      <c r="R744" s="530" t="s">
        <v>2021</v>
      </c>
      <c r="S744" s="533" t="s">
        <v>66</v>
      </c>
      <c r="T744" s="533" t="s">
        <v>133</v>
      </c>
      <c r="U744" s="532"/>
      <c r="V744" s="532"/>
      <c r="W744" s="532" t="s">
        <v>1281</v>
      </c>
      <c r="X744" s="540" t="s">
        <v>98</v>
      </c>
      <c r="Y744" s="538">
        <v>2.5656</v>
      </c>
      <c r="Z744" s="808">
        <f t="shared" si="238"/>
        <v>14777.856</v>
      </c>
      <c r="AA744" s="521"/>
      <c r="AB744" s="521" t="s">
        <v>93</v>
      </c>
      <c r="AC744" s="520" t="s">
        <v>76</v>
      </c>
      <c r="AD744" s="521"/>
      <c r="AE744" s="521"/>
      <c r="AF744" s="521" t="s">
        <v>114</v>
      </c>
      <c r="AG744" s="521">
        <f>1440+2160+2160</f>
        <v>5760</v>
      </c>
      <c r="AH744" s="521">
        <f t="shared" si="241"/>
        <v>0</v>
      </c>
      <c r="AI744" s="521"/>
      <c r="AJ744" s="521"/>
      <c r="AK744" s="543"/>
      <c r="AL744" s="543">
        <f t="shared" si="239"/>
        <v>5760</v>
      </c>
      <c r="AM744" s="628"/>
      <c r="AN744" s="628"/>
      <c r="AO744" s="628"/>
      <c r="AP744" s="543">
        <f t="shared" si="242"/>
        <v>5760</v>
      </c>
      <c r="AQ744" s="543"/>
      <c r="AR744" s="543">
        <f t="shared" si="243"/>
        <v>5760</v>
      </c>
      <c r="AS744" s="543"/>
      <c r="AT744" s="543">
        <f t="shared" si="240"/>
        <v>5760</v>
      </c>
      <c r="AU744" s="546"/>
      <c r="AV744" s="427"/>
      <c r="AW744" s="427"/>
      <c r="AX744" s="427"/>
      <c r="AY744" s="427"/>
      <c r="AZ744" s="543"/>
      <c r="BA744" s="543"/>
      <c r="BB744" s="427"/>
      <c r="BC744" s="427"/>
      <c r="BD744" s="543">
        <f t="shared" si="244"/>
        <v>1440</v>
      </c>
      <c r="BE744" s="543"/>
      <c r="BF744" s="427"/>
      <c r="BG744" s="427"/>
      <c r="BH744" s="427"/>
      <c r="BI744" s="427"/>
      <c r="BJ744" s="427"/>
      <c r="BK744" s="427"/>
      <c r="BL744" s="427"/>
      <c r="BM744" s="427"/>
      <c r="BN744" s="835"/>
      <c r="BO744" s="427"/>
      <c r="BP744" s="427"/>
      <c r="BQ744" s="427"/>
      <c r="BR744" s="427"/>
      <c r="BS744" s="427"/>
      <c r="BT744" s="427"/>
      <c r="BU744" s="427"/>
      <c r="BV744" s="427"/>
      <c r="BW744" s="427"/>
      <c r="BX744" s="427"/>
      <c r="BY744" s="427"/>
      <c r="BZ744" s="427"/>
      <c r="CA744" s="427"/>
      <c r="CB744" s="427"/>
      <c r="CC744" s="427"/>
      <c r="CD744" s="427"/>
      <c r="CE744" s="427"/>
      <c r="CF744" s="544"/>
      <c r="CG744" s="544"/>
      <c r="CH744" s="544"/>
      <c r="CI744" s="544"/>
      <c r="CJ744" s="544"/>
      <c r="CK744" s="427"/>
      <c r="CL744" s="427"/>
      <c r="CM744" s="427"/>
      <c r="CN744" s="544"/>
      <c r="CO744" s="544"/>
      <c r="CP744" s="544"/>
      <c r="CQ744" s="544"/>
      <c r="CR744" s="544"/>
      <c r="CS744" s="544"/>
    </row>
    <row r="745" s="431" customFormat="1" ht="31" hidden="1" customHeight="1" spans="1:97">
      <c r="A745" s="518">
        <v>46000</v>
      </c>
      <c r="B745" s="519" t="s">
        <v>128</v>
      </c>
      <c r="C745" s="520" t="s">
        <v>90</v>
      </c>
      <c r="D745" s="427">
        <v>4500188488</v>
      </c>
      <c r="E745" s="890" t="s">
        <v>2657</v>
      </c>
      <c r="F745" s="427" t="s">
        <v>2658</v>
      </c>
      <c r="G745" s="521" t="s">
        <v>93</v>
      </c>
      <c r="H745" s="520" t="s">
        <v>94</v>
      </c>
      <c r="I745" s="520">
        <v>6080</v>
      </c>
      <c r="J745" s="520">
        <v>0</v>
      </c>
      <c r="K745" s="520">
        <v>4</v>
      </c>
      <c r="L745" s="804">
        <f t="shared" si="237"/>
        <v>1520</v>
      </c>
      <c r="M745" s="537">
        <v>46048</v>
      </c>
      <c r="N745" s="537">
        <v>46044</v>
      </c>
      <c r="O745" s="526" t="s">
        <v>2652</v>
      </c>
      <c r="P745" s="526" t="s">
        <v>103</v>
      </c>
      <c r="Q745" s="530"/>
      <c r="R745" s="530" t="s">
        <v>2021</v>
      </c>
      <c r="S745" s="533" t="s">
        <v>66</v>
      </c>
      <c r="T745" s="533" t="s">
        <v>133</v>
      </c>
      <c r="U745" s="532"/>
      <c r="V745" s="532"/>
      <c r="W745" s="532" t="s">
        <v>1281</v>
      </c>
      <c r="X745" s="540" t="s">
        <v>98</v>
      </c>
      <c r="Y745" s="538">
        <v>2.5656</v>
      </c>
      <c r="Z745" s="808">
        <f t="shared" si="238"/>
        <v>15598.848</v>
      </c>
      <c r="AA745" s="521"/>
      <c r="AB745" s="521" t="s">
        <v>93</v>
      </c>
      <c r="AC745" s="520" t="s">
        <v>76</v>
      </c>
      <c r="AD745" s="521"/>
      <c r="AE745" s="521"/>
      <c r="AF745" s="521" t="s">
        <v>114</v>
      </c>
      <c r="AG745" s="521">
        <f>4320+1440+320</f>
        <v>6080</v>
      </c>
      <c r="AH745" s="521">
        <f t="shared" si="241"/>
        <v>0</v>
      </c>
      <c r="AI745" s="521"/>
      <c r="AJ745" s="521"/>
      <c r="AK745" s="543"/>
      <c r="AL745" s="543">
        <f t="shared" si="239"/>
        <v>6080</v>
      </c>
      <c r="AM745" s="628"/>
      <c r="AN745" s="628"/>
      <c r="AO745" s="628"/>
      <c r="AP745" s="543">
        <f t="shared" si="242"/>
        <v>6080</v>
      </c>
      <c r="AQ745" s="543"/>
      <c r="AR745" s="543">
        <f t="shared" si="243"/>
        <v>6080</v>
      </c>
      <c r="AS745" s="543"/>
      <c r="AT745" s="543">
        <f t="shared" si="240"/>
        <v>6080</v>
      </c>
      <c r="AU745" s="546"/>
      <c r="AV745" s="427"/>
      <c r="AW745" s="427"/>
      <c r="AX745" s="427"/>
      <c r="AY745" s="427"/>
      <c r="AZ745" s="543"/>
      <c r="BA745" s="543"/>
      <c r="BB745" s="427"/>
      <c r="BC745" s="427"/>
      <c r="BD745" s="543">
        <f t="shared" si="244"/>
        <v>1520</v>
      </c>
      <c r="BE745" s="543"/>
      <c r="BF745" s="427"/>
      <c r="BG745" s="427"/>
      <c r="BH745" s="427"/>
      <c r="BI745" s="427"/>
      <c r="BJ745" s="427"/>
      <c r="BK745" s="427"/>
      <c r="BL745" s="427"/>
      <c r="BM745" s="427"/>
      <c r="BN745" s="835"/>
      <c r="BO745" s="427"/>
      <c r="BP745" s="427"/>
      <c r="BQ745" s="427"/>
      <c r="BR745" s="427"/>
      <c r="BS745" s="427"/>
      <c r="BT745" s="427"/>
      <c r="BU745" s="427"/>
      <c r="BV745" s="427"/>
      <c r="BW745" s="427"/>
      <c r="BX745" s="427"/>
      <c r="BY745" s="427"/>
      <c r="BZ745" s="427"/>
      <c r="CA745" s="427"/>
      <c r="CB745" s="427"/>
      <c r="CC745" s="427"/>
      <c r="CD745" s="427"/>
      <c r="CE745" s="427"/>
      <c r="CF745" s="544"/>
      <c r="CG745" s="544"/>
      <c r="CH745" s="544"/>
      <c r="CI745" s="544"/>
      <c r="CJ745" s="544"/>
      <c r="CK745" s="427"/>
      <c r="CL745" s="427"/>
      <c r="CM745" s="427"/>
      <c r="CN745" s="544"/>
      <c r="CO745" s="544"/>
      <c r="CP745" s="544"/>
      <c r="CQ745" s="544"/>
      <c r="CR745" s="544"/>
      <c r="CS745" s="544"/>
    </row>
    <row r="746" s="431" customFormat="1" ht="31" hidden="1" customHeight="1" spans="1:97">
      <c r="A746" s="518">
        <v>46000</v>
      </c>
      <c r="B746" s="519" t="s">
        <v>128</v>
      </c>
      <c r="C746" s="520" t="s">
        <v>90</v>
      </c>
      <c r="D746" s="427">
        <v>4500188488</v>
      </c>
      <c r="E746" s="890" t="s">
        <v>2659</v>
      </c>
      <c r="F746" s="427" t="s">
        <v>2660</v>
      </c>
      <c r="G746" s="521" t="s">
        <v>93</v>
      </c>
      <c r="H746" s="520" t="s">
        <v>94</v>
      </c>
      <c r="I746" s="520">
        <v>4160</v>
      </c>
      <c r="J746" s="520">
        <v>0</v>
      </c>
      <c r="K746" s="520">
        <v>4</v>
      </c>
      <c r="L746" s="804">
        <f t="shared" si="237"/>
        <v>1040</v>
      </c>
      <c r="M746" s="537">
        <v>46048</v>
      </c>
      <c r="N746" s="537">
        <v>46044</v>
      </c>
      <c r="O746" s="526" t="s">
        <v>2652</v>
      </c>
      <c r="P746" s="526" t="s">
        <v>103</v>
      </c>
      <c r="Q746" s="530"/>
      <c r="R746" s="530" t="s">
        <v>2021</v>
      </c>
      <c r="S746" s="533" t="s">
        <v>66</v>
      </c>
      <c r="T746" s="533" t="s">
        <v>133</v>
      </c>
      <c r="U746" s="532"/>
      <c r="V746" s="532"/>
      <c r="W746" s="532" t="s">
        <v>1281</v>
      </c>
      <c r="X746" s="540" t="s">
        <v>98</v>
      </c>
      <c r="Y746" s="538">
        <v>2.5768</v>
      </c>
      <c r="Z746" s="808">
        <f t="shared" si="238"/>
        <v>10719.488</v>
      </c>
      <c r="AA746" s="521"/>
      <c r="AB746" s="521" t="s">
        <v>93</v>
      </c>
      <c r="AC746" s="520" t="s">
        <v>76</v>
      </c>
      <c r="AD746" s="521"/>
      <c r="AE746" s="521"/>
      <c r="AF746" s="521" t="s">
        <v>114</v>
      </c>
      <c r="AG746" s="521">
        <f>3600+560</f>
        <v>4160</v>
      </c>
      <c r="AH746" s="521">
        <f t="shared" si="241"/>
        <v>0</v>
      </c>
      <c r="AI746" s="521"/>
      <c r="AJ746" s="521" t="s">
        <v>2191</v>
      </c>
      <c r="AK746" s="543"/>
      <c r="AL746" s="543">
        <f t="shared" si="239"/>
        <v>4160</v>
      </c>
      <c r="AM746" s="628"/>
      <c r="AN746" s="628"/>
      <c r="AO746" s="628"/>
      <c r="AP746" s="543">
        <f t="shared" si="242"/>
        <v>4160</v>
      </c>
      <c r="AQ746" s="543"/>
      <c r="AR746" s="543">
        <f t="shared" si="243"/>
        <v>4160</v>
      </c>
      <c r="AS746" s="543"/>
      <c r="AT746" s="543">
        <f t="shared" si="240"/>
        <v>4160</v>
      </c>
      <c r="AU746" s="546"/>
      <c r="AV746" s="427"/>
      <c r="AW746" s="427"/>
      <c r="AX746" s="427"/>
      <c r="AY746" s="427"/>
      <c r="AZ746" s="543"/>
      <c r="BA746" s="543"/>
      <c r="BB746" s="427"/>
      <c r="BC746" s="427"/>
      <c r="BD746" s="543">
        <f t="shared" si="244"/>
        <v>1040</v>
      </c>
      <c r="BE746" s="543"/>
      <c r="BF746" s="427"/>
      <c r="BG746" s="427"/>
      <c r="BH746" s="427"/>
      <c r="BI746" s="427"/>
      <c r="BJ746" s="427"/>
      <c r="BK746" s="427"/>
      <c r="BL746" s="427"/>
      <c r="BM746" s="427"/>
      <c r="BN746" s="835"/>
      <c r="BO746" s="427"/>
      <c r="BP746" s="427"/>
      <c r="BQ746" s="427"/>
      <c r="BR746" s="427"/>
      <c r="BS746" s="427"/>
      <c r="BT746" s="427"/>
      <c r="BU746" s="427"/>
      <c r="BV746" s="427"/>
      <c r="BW746" s="427"/>
      <c r="BX746" s="427"/>
      <c r="BY746" s="427"/>
      <c r="BZ746" s="427"/>
      <c r="CA746" s="427"/>
      <c r="CB746" s="427"/>
      <c r="CC746" s="427"/>
      <c r="CD746" s="427"/>
      <c r="CE746" s="427"/>
      <c r="CF746" s="544"/>
      <c r="CG746" s="544"/>
      <c r="CH746" s="544"/>
      <c r="CI746" s="544"/>
      <c r="CJ746" s="544"/>
      <c r="CK746" s="427"/>
      <c r="CL746" s="427"/>
      <c r="CM746" s="427"/>
      <c r="CN746" s="544"/>
      <c r="CO746" s="544"/>
      <c r="CP746" s="544"/>
      <c r="CQ746" s="544"/>
      <c r="CR746" s="544"/>
      <c r="CS746" s="544"/>
    </row>
    <row r="747" s="431" customFormat="1" ht="31" hidden="1" customHeight="1" spans="1:97">
      <c r="A747" s="518">
        <v>46001</v>
      </c>
      <c r="B747" s="519" t="s">
        <v>2393</v>
      </c>
      <c r="C747" s="520" t="s">
        <v>90</v>
      </c>
      <c r="D747" s="427">
        <v>4500188598</v>
      </c>
      <c r="E747" s="520">
        <v>40799204</v>
      </c>
      <c r="F747" s="427" t="s">
        <v>2661</v>
      </c>
      <c r="G747" s="521" t="s">
        <v>2395</v>
      </c>
      <c r="H747" s="520" t="s">
        <v>2396</v>
      </c>
      <c r="I747" s="520">
        <v>616</v>
      </c>
      <c r="J747" s="520">
        <v>0</v>
      </c>
      <c r="K747" s="520">
        <v>8</v>
      </c>
      <c r="L747" s="804">
        <f t="shared" si="237"/>
        <v>77</v>
      </c>
      <c r="M747" s="537">
        <v>46048</v>
      </c>
      <c r="N747" s="537">
        <v>46044</v>
      </c>
      <c r="O747" s="526" t="s">
        <v>2574</v>
      </c>
      <c r="P747" s="526" t="s">
        <v>103</v>
      </c>
      <c r="Q747" s="530"/>
      <c r="R747" s="530">
        <v>46001</v>
      </c>
      <c r="S747" s="533" t="s">
        <v>96</v>
      </c>
      <c r="T747" s="533" t="s">
        <v>2403</v>
      </c>
      <c r="U747" s="532"/>
      <c r="V747" s="532"/>
      <c r="W747" s="532" t="s">
        <v>2404</v>
      </c>
      <c r="X747" s="540" t="s">
        <v>242</v>
      </c>
      <c r="Y747" s="538">
        <v>2.55</v>
      </c>
      <c r="Z747" s="808">
        <f t="shared" si="238"/>
        <v>1570.8</v>
      </c>
      <c r="AA747" s="521"/>
      <c r="AB747" s="521" t="s">
        <v>2399</v>
      </c>
      <c r="AC747" s="520" t="s">
        <v>76</v>
      </c>
      <c r="AD747" s="521"/>
      <c r="AE747" s="521"/>
      <c r="AF747" s="521" t="s">
        <v>114</v>
      </c>
      <c r="AG747" s="521">
        <v>616</v>
      </c>
      <c r="AH747" s="521">
        <f t="shared" si="241"/>
        <v>0</v>
      </c>
      <c r="AI747" s="521"/>
      <c r="AJ747" s="521" t="s">
        <v>2191</v>
      </c>
      <c r="AK747" s="543"/>
      <c r="AL747" s="543">
        <f t="shared" si="239"/>
        <v>616</v>
      </c>
      <c r="AM747" s="628"/>
      <c r="AN747" s="628"/>
      <c r="AO747" s="628"/>
      <c r="AP747" s="543"/>
      <c r="AQ747" s="543">
        <f>I747</f>
        <v>616</v>
      </c>
      <c r="AR747" s="543">
        <f t="shared" si="243"/>
        <v>616</v>
      </c>
      <c r="AS747" s="543"/>
      <c r="AT747" s="543">
        <f t="shared" si="240"/>
        <v>616</v>
      </c>
      <c r="AU747" s="546"/>
      <c r="AV747" s="427"/>
      <c r="AW747" s="427"/>
      <c r="AX747" s="427"/>
      <c r="AY747" s="427"/>
      <c r="AZ747" s="543"/>
      <c r="BA747" s="543"/>
      <c r="BB747" s="427"/>
      <c r="BC747" s="427"/>
      <c r="BD747" s="543"/>
      <c r="BE747" s="543"/>
      <c r="BF747" s="427">
        <f>L747</f>
        <v>77</v>
      </c>
      <c r="BG747" s="427"/>
      <c r="BH747" s="427"/>
      <c r="BI747" s="427"/>
      <c r="BJ747" s="427"/>
      <c r="BK747" s="427"/>
      <c r="BL747" s="427"/>
      <c r="BM747" s="427"/>
      <c r="BN747" s="835"/>
      <c r="BO747" s="427"/>
      <c r="BP747" s="427"/>
      <c r="BQ747" s="427"/>
      <c r="BR747" s="427"/>
      <c r="BS747" s="427"/>
      <c r="BT747" s="427"/>
      <c r="BU747" s="427"/>
      <c r="BV747" s="427"/>
      <c r="BW747" s="427"/>
      <c r="BX747" s="427"/>
      <c r="BY747" s="427"/>
      <c r="BZ747" s="427"/>
      <c r="CA747" s="427"/>
      <c r="CB747" s="427"/>
      <c r="CC747" s="427"/>
      <c r="CD747" s="427"/>
      <c r="CE747" s="427"/>
      <c r="CF747" s="544"/>
      <c r="CG747" s="544"/>
      <c r="CH747" s="544"/>
      <c r="CI747" s="544"/>
      <c r="CJ747" s="544"/>
      <c r="CK747" s="427"/>
      <c r="CL747" s="427"/>
      <c r="CM747" s="427"/>
      <c r="CN747" s="544"/>
      <c r="CO747" s="544"/>
      <c r="CP747" s="544"/>
      <c r="CQ747" s="544"/>
      <c r="CR747" s="544"/>
      <c r="CS747" s="544"/>
    </row>
    <row r="748" s="431" customFormat="1" ht="31" hidden="1" customHeight="1" spans="1:97">
      <c r="A748" s="518">
        <v>46001</v>
      </c>
      <c r="B748" s="519" t="s">
        <v>2393</v>
      </c>
      <c r="C748" s="520" t="s">
        <v>90</v>
      </c>
      <c r="D748" s="427">
        <v>4500188599</v>
      </c>
      <c r="E748" s="520">
        <v>40799198</v>
      </c>
      <c r="F748" s="427" t="s">
        <v>2662</v>
      </c>
      <c r="G748" s="521" t="s">
        <v>2395</v>
      </c>
      <c r="H748" s="520" t="s">
        <v>2396</v>
      </c>
      <c r="I748" s="520">
        <v>296</v>
      </c>
      <c r="J748" s="520">
        <v>0</v>
      </c>
      <c r="K748" s="520">
        <v>8</v>
      </c>
      <c r="L748" s="804">
        <f t="shared" si="237"/>
        <v>37</v>
      </c>
      <c r="M748" s="537">
        <v>46048</v>
      </c>
      <c r="N748" s="537">
        <v>46044</v>
      </c>
      <c r="O748" s="526" t="s">
        <v>2574</v>
      </c>
      <c r="P748" s="526" t="s">
        <v>103</v>
      </c>
      <c r="Q748" s="530"/>
      <c r="R748" s="530">
        <v>46001</v>
      </c>
      <c r="S748" s="533" t="s">
        <v>96</v>
      </c>
      <c r="T748" s="533" t="s">
        <v>2403</v>
      </c>
      <c r="U748" s="532"/>
      <c r="V748" s="532"/>
      <c r="W748" s="532" t="s">
        <v>2404</v>
      </c>
      <c r="X748" s="540" t="s">
        <v>242</v>
      </c>
      <c r="Y748" s="538">
        <v>2.6435</v>
      </c>
      <c r="Z748" s="808">
        <f t="shared" si="238"/>
        <v>782.476</v>
      </c>
      <c r="AA748" s="521"/>
      <c r="AB748" s="521" t="s">
        <v>2399</v>
      </c>
      <c r="AC748" s="520" t="s">
        <v>76</v>
      </c>
      <c r="AD748" s="521"/>
      <c r="AE748" s="521"/>
      <c r="AF748" s="521" t="s">
        <v>114</v>
      </c>
      <c r="AG748" s="521">
        <v>296</v>
      </c>
      <c r="AH748" s="521">
        <f t="shared" si="241"/>
        <v>0</v>
      </c>
      <c r="AI748" s="521"/>
      <c r="AJ748" s="521" t="s">
        <v>2191</v>
      </c>
      <c r="AK748" s="543"/>
      <c r="AL748" s="543">
        <f t="shared" si="239"/>
        <v>296</v>
      </c>
      <c r="AM748" s="628"/>
      <c r="AN748" s="628"/>
      <c r="AO748" s="628"/>
      <c r="AP748" s="543"/>
      <c r="AQ748" s="543">
        <f>I748</f>
        <v>296</v>
      </c>
      <c r="AR748" s="543">
        <f t="shared" si="243"/>
        <v>296</v>
      </c>
      <c r="AS748" s="543"/>
      <c r="AT748" s="543">
        <f t="shared" si="240"/>
        <v>296</v>
      </c>
      <c r="AU748" s="546"/>
      <c r="AV748" s="427"/>
      <c r="AW748" s="427"/>
      <c r="AX748" s="427"/>
      <c r="AY748" s="427"/>
      <c r="AZ748" s="543"/>
      <c r="BA748" s="543"/>
      <c r="BB748" s="427"/>
      <c r="BC748" s="427"/>
      <c r="BD748" s="543"/>
      <c r="BE748" s="543"/>
      <c r="BF748" s="427">
        <f>L748</f>
        <v>37</v>
      </c>
      <c r="BG748" s="427"/>
      <c r="BH748" s="427"/>
      <c r="BI748" s="427"/>
      <c r="BJ748" s="427"/>
      <c r="BK748" s="427"/>
      <c r="BL748" s="427"/>
      <c r="BM748" s="427"/>
      <c r="BN748" s="835"/>
      <c r="BO748" s="427"/>
      <c r="BP748" s="427"/>
      <c r="BQ748" s="427"/>
      <c r="BR748" s="427"/>
      <c r="BS748" s="427"/>
      <c r="BT748" s="427"/>
      <c r="BU748" s="427"/>
      <c r="BV748" s="427"/>
      <c r="BW748" s="427"/>
      <c r="BX748" s="427"/>
      <c r="BY748" s="427"/>
      <c r="BZ748" s="427"/>
      <c r="CA748" s="427"/>
      <c r="CB748" s="427"/>
      <c r="CC748" s="427"/>
      <c r="CD748" s="427"/>
      <c r="CE748" s="427"/>
      <c r="CF748" s="544"/>
      <c r="CG748" s="544"/>
      <c r="CH748" s="544"/>
      <c r="CI748" s="544"/>
      <c r="CJ748" s="544"/>
      <c r="CK748" s="427"/>
      <c r="CL748" s="427"/>
      <c r="CM748" s="427"/>
      <c r="CN748" s="544"/>
      <c r="CO748" s="544"/>
      <c r="CP748" s="544"/>
      <c r="CQ748" s="544"/>
      <c r="CR748" s="544"/>
      <c r="CS748" s="544"/>
    </row>
    <row r="749" s="431" customFormat="1" ht="31" hidden="1" customHeight="1" spans="1:97">
      <c r="A749" s="518">
        <v>46001</v>
      </c>
      <c r="B749" s="519" t="s">
        <v>2393</v>
      </c>
      <c r="C749" s="520" t="s">
        <v>90</v>
      </c>
      <c r="D749" s="427">
        <v>4500188600</v>
      </c>
      <c r="E749" s="520">
        <v>40799201</v>
      </c>
      <c r="F749" s="427" t="s">
        <v>2663</v>
      </c>
      <c r="G749" s="521" t="s">
        <v>2395</v>
      </c>
      <c r="H749" s="520" t="s">
        <v>2396</v>
      </c>
      <c r="I749" s="520">
        <v>648</v>
      </c>
      <c r="J749" s="520">
        <v>0</v>
      </c>
      <c r="K749" s="520">
        <v>8</v>
      </c>
      <c r="L749" s="804">
        <f t="shared" si="237"/>
        <v>81</v>
      </c>
      <c r="M749" s="537">
        <v>46048</v>
      </c>
      <c r="N749" s="537">
        <v>46044</v>
      </c>
      <c r="O749" s="526" t="s">
        <v>2574</v>
      </c>
      <c r="P749" s="526" t="s">
        <v>103</v>
      </c>
      <c r="Q749" s="530"/>
      <c r="R749" s="530">
        <v>46001</v>
      </c>
      <c r="S749" s="533" t="s">
        <v>96</v>
      </c>
      <c r="T749" s="533" t="s">
        <v>2403</v>
      </c>
      <c r="U749" s="532"/>
      <c r="V749" s="532"/>
      <c r="W749" s="532" t="s">
        <v>2664</v>
      </c>
      <c r="X749" s="540" t="s">
        <v>242</v>
      </c>
      <c r="Y749" s="538">
        <v>2.6435</v>
      </c>
      <c r="Z749" s="808">
        <f t="shared" si="238"/>
        <v>1712.988</v>
      </c>
      <c r="AA749" s="521"/>
      <c r="AB749" s="521" t="s">
        <v>2399</v>
      </c>
      <c r="AC749" s="520" t="s">
        <v>76</v>
      </c>
      <c r="AD749" s="521"/>
      <c r="AE749" s="521"/>
      <c r="AF749" s="521" t="s">
        <v>114</v>
      </c>
      <c r="AG749" s="521">
        <v>648</v>
      </c>
      <c r="AH749" s="521">
        <f t="shared" si="241"/>
        <v>0</v>
      </c>
      <c r="AI749" s="521"/>
      <c r="AJ749" s="521" t="s">
        <v>2191</v>
      </c>
      <c r="AK749" s="543"/>
      <c r="AL749" s="543">
        <f t="shared" si="239"/>
        <v>648</v>
      </c>
      <c r="AM749" s="628"/>
      <c r="AN749" s="628"/>
      <c r="AO749" s="628"/>
      <c r="AP749" s="543"/>
      <c r="AQ749" s="543">
        <f>I749</f>
        <v>648</v>
      </c>
      <c r="AR749" s="543">
        <f t="shared" si="243"/>
        <v>648</v>
      </c>
      <c r="AS749" s="543"/>
      <c r="AT749" s="543">
        <f t="shared" si="240"/>
        <v>648</v>
      </c>
      <c r="AU749" s="546"/>
      <c r="AV749" s="427"/>
      <c r="AW749" s="427"/>
      <c r="AX749" s="427"/>
      <c r="AY749" s="427"/>
      <c r="AZ749" s="543"/>
      <c r="BA749" s="543"/>
      <c r="BB749" s="427"/>
      <c r="BC749" s="427"/>
      <c r="BD749" s="543"/>
      <c r="BE749" s="543"/>
      <c r="BF749" s="427">
        <f>L749</f>
        <v>81</v>
      </c>
      <c r="BG749" s="427"/>
      <c r="BH749" s="427"/>
      <c r="BI749" s="427"/>
      <c r="BJ749" s="427"/>
      <c r="BK749" s="427"/>
      <c r="BL749" s="427"/>
      <c r="BM749" s="427"/>
      <c r="BN749" s="835"/>
      <c r="BO749" s="427"/>
      <c r="BP749" s="427"/>
      <c r="BQ749" s="427"/>
      <c r="BR749" s="427"/>
      <c r="BS749" s="427"/>
      <c r="BT749" s="427"/>
      <c r="BU749" s="427"/>
      <c r="BV749" s="427"/>
      <c r="BW749" s="427"/>
      <c r="BX749" s="427"/>
      <c r="BY749" s="427"/>
      <c r="BZ749" s="427"/>
      <c r="CA749" s="427"/>
      <c r="CB749" s="427"/>
      <c r="CC749" s="427"/>
      <c r="CD749" s="427"/>
      <c r="CE749" s="427"/>
      <c r="CF749" s="544"/>
      <c r="CG749" s="544"/>
      <c r="CH749" s="544"/>
      <c r="CI749" s="544"/>
      <c r="CJ749" s="544"/>
      <c r="CK749" s="427"/>
      <c r="CL749" s="427"/>
      <c r="CM749" s="427"/>
      <c r="CN749" s="544"/>
      <c r="CO749" s="544"/>
      <c r="CP749" s="544"/>
      <c r="CQ749" s="544"/>
      <c r="CR749" s="544"/>
      <c r="CS749" s="544"/>
    </row>
    <row r="750" s="431" customFormat="1" ht="31" hidden="1" customHeight="1" spans="1:97">
      <c r="A750" s="518">
        <v>46013</v>
      </c>
      <c r="B750" s="519" t="s">
        <v>587</v>
      </c>
      <c r="C750" s="520" t="s">
        <v>2665</v>
      </c>
      <c r="D750" s="427">
        <v>4500189595</v>
      </c>
      <c r="E750" s="520"/>
      <c r="F750" s="427" t="s">
        <v>2666</v>
      </c>
      <c r="G750" s="521" t="s">
        <v>102</v>
      </c>
      <c r="H750" s="520" t="s">
        <v>65</v>
      </c>
      <c r="I750" s="520">
        <v>512</v>
      </c>
      <c r="J750" s="520">
        <v>0</v>
      </c>
      <c r="K750" s="520">
        <v>16</v>
      </c>
      <c r="L750" s="804">
        <f t="shared" si="237"/>
        <v>32</v>
      </c>
      <c r="M750" s="537">
        <v>46048</v>
      </c>
      <c r="N750" s="537">
        <v>46044</v>
      </c>
      <c r="O750" s="526"/>
      <c r="P750" s="526" t="s">
        <v>103</v>
      </c>
      <c r="Q750" s="530"/>
      <c r="R750" s="530">
        <v>46013</v>
      </c>
      <c r="S750" s="533" t="s">
        <v>66</v>
      </c>
      <c r="T750" s="533" t="s">
        <v>406</v>
      </c>
      <c r="U750" s="532"/>
      <c r="V750" s="532"/>
      <c r="W750" s="532" t="s">
        <v>2667</v>
      </c>
      <c r="X750" s="540" t="s">
        <v>515</v>
      </c>
      <c r="Y750" s="538">
        <v>4.2542</v>
      </c>
      <c r="Z750" s="808">
        <f t="shared" si="238"/>
        <v>2178.1504</v>
      </c>
      <c r="AA750" s="521"/>
      <c r="AB750" s="521" t="s">
        <v>102</v>
      </c>
      <c r="AC750" s="520" t="s">
        <v>76</v>
      </c>
      <c r="AD750" s="521"/>
      <c r="AE750" s="521"/>
      <c r="AF750" s="521" t="s">
        <v>114</v>
      </c>
      <c r="AG750" s="521">
        <v>512</v>
      </c>
      <c r="AH750" s="521">
        <f t="shared" si="241"/>
        <v>0</v>
      </c>
      <c r="AI750" s="521"/>
      <c r="AJ750" s="521" t="s">
        <v>2191</v>
      </c>
      <c r="AK750" s="543"/>
      <c r="AL750" s="543">
        <f t="shared" si="239"/>
        <v>512</v>
      </c>
      <c r="AM750" s="628"/>
      <c r="AN750" s="628"/>
      <c r="AO750" s="628"/>
      <c r="AP750" s="543">
        <f>I750</f>
        <v>512</v>
      </c>
      <c r="AQ750" s="543"/>
      <c r="AR750" s="543">
        <f t="shared" si="243"/>
        <v>512</v>
      </c>
      <c r="AS750" s="543"/>
      <c r="AT750" s="543">
        <f t="shared" si="240"/>
        <v>512</v>
      </c>
      <c r="AU750" s="546"/>
      <c r="AV750" s="427"/>
      <c r="AW750" s="427"/>
      <c r="AX750" s="427"/>
      <c r="AY750" s="427"/>
      <c r="AZ750" s="543"/>
      <c r="BA750" s="543"/>
      <c r="BB750" s="427"/>
      <c r="BC750" s="427"/>
      <c r="BD750" s="543">
        <f>I750/4</f>
        <v>128</v>
      </c>
      <c r="BE750" s="543"/>
      <c r="BF750" s="427"/>
      <c r="BG750" s="427"/>
      <c r="BH750" s="427"/>
      <c r="BI750" s="427"/>
      <c r="BJ750" s="427"/>
      <c r="BK750" s="427"/>
      <c r="BL750" s="427"/>
      <c r="BM750" s="427"/>
      <c r="BN750" s="835"/>
      <c r="BO750" s="427"/>
      <c r="BP750" s="427"/>
      <c r="BQ750" s="427"/>
      <c r="BR750" s="427"/>
      <c r="BS750" s="427"/>
      <c r="BT750" s="427"/>
      <c r="BU750" s="427"/>
      <c r="BV750" s="427"/>
      <c r="BW750" s="427"/>
      <c r="BX750" s="427"/>
      <c r="BY750" s="427"/>
      <c r="BZ750" s="427"/>
      <c r="CA750" s="427"/>
      <c r="CB750" s="427"/>
      <c r="CC750" s="427"/>
      <c r="CD750" s="427"/>
      <c r="CE750" s="427"/>
      <c r="CF750" s="544"/>
      <c r="CG750" s="544"/>
      <c r="CH750" s="544"/>
      <c r="CI750" s="544"/>
      <c r="CJ750" s="544"/>
      <c r="CK750" s="427"/>
      <c r="CL750" s="427"/>
      <c r="CM750" s="427"/>
      <c r="CN750" s="544"/>
      <c r="CO750" s="544"/>
      <c r="CP750" s="544"/>
      <c r="CQ750" s="544"/>
      <c r="CR750" s="544"/>
      <c r="CS750" s="544"/>
    </row>
    <row r="751" s="431" customFormat="1" ht="31" hidden="1" customHeight="1" spans="1:97">
      <c r="A751" s="518">
        <v>45993</v>
      </c>
      <c r="B751" s="519" t="s">
        <v>1566</v>
      </c>
      <c r="C751" s="520" t="s">
        <v>1567</v>
      </c>
      <c r="D751" s="427">
        <v>4500187657</v>
      </c>
      <c r="E751" s="520"/>
      <c r="F751" s="427" t="s">
        <v>2668</v>
      </c>
      <c r="G751" s="521" t="s">
        <v>64</v>
      </c>
      <c r="H751" s="520" t="s">
        <v>65</v>
      </c>
      <c r="I751" s="520">
        <v>1200</v>
      </c>
      <c r="J751" s="520">
        <v>0</v>
      </c>
      <c r="K751" s="520">
        <v>12</v>
      </c>
      <c r="L751" s="804">
        <f t="shared" si="237"/>
        <v>100</v>
      </c>
      <c r="M751" s="537">
        <v>46051</v>
      </c>
      <c r="N751" s="537">
        <v>46048</v>
      </c>
      <c r="O751" s="526"/>
      <c r="P751" s="526" t="s">
        <v>103</v>
      </c>
      <c r="Q751" s="530"/>
      <c r="R751" s="530">
        <v>46009</v>
      </c>
      <c r="S751" s="533" t="s">
        <v>66</v>
      </c>
      <c r="T751" s="533" t="s">
        <v>406</v>
      </c>
      <c r="U751" s="532"/>
      <c r="V751" s="532"/>
      <c r="W751" s="532" t="s">
        <v>2669</v>
      </c>
      <c r="X751" s="540" t="s">
        <v>473</v>
      </c>
      <c r="Y751" s="538">
        <v>4.1185</v>
      </c>
      <c r="Z751" s="808">
        <f t="shared" si="238"/>
        <v>4942.2</v>
      </c>
      <c r="AA751" s="521"/>
      <c r="AB751" s="521" t="s">
        <v>165</v>
      </c>
      <c r="AC751" s="520" t="s">
        <v>76</v>
      </c>
      <c r="AD751" s="521"/>
      <c r="AE751" s="521"/>
      <c r="AF751" s="521" t="s">
        <v>114</v>
      </c>
      <c r="AG751" s="521">
        <v>1200</v>
      </c>
      <c r="AH751" s="521">
        <f t="shared" si="241"/>
        <v>0</v>
      </c>
      <c r="AI751" s="521"/>
      <c r="AJ751" s="521" t="s">
        <v>2191</v>
      </c>
      <c r="AK751" s="543"/>
      <c r="AL751" s="543">
        <f t="shared" si="239"/>
        <v>1200</v>
      </c>
      <c r="AM751" s="628"/>
      <c r="AN751" s="628"/>
      <c r="AO751" s="628"/>
      <c r="AP751" s="543"/>
      <c r="AQ751" s="543">
        <f t="shared" ref="AQ751:AQ759" si="245">I751</f>
        <v>1200</v>
      </c>
      <c r="AR751" s="543">
        <f t="shared" si="243"/>
        <v>1200</v>
      </c>
      <c r="AS751" s="543"/>
      <c r="AT751" s="543">
        <f t="shared" si="240"/>
        <v>1200</v>
      </c>
      <c r="AU751" s="546"/>
      <c r="AV751" s="427"/>
      <c r="AW751" s="427"/>
      <c r="AX751" s="427"/>
      <c r="AY751" s="427"/>
      <c r="AZ751" s="543"/>
      <c r="BA751" s="543"/>
      <c r="BB751" s="427"/>
      <c r="BC751" s="427"/>
      <c r="BD751" s="543"/>
      <c r="BE751" s="543"/>
      <c r="BF751" s="427"/>
      <c r="BG751" s="427"/>
      <c r="BH751" s="427"/>
      <c r="BI751" s="427"/>
      <c r="BJ751" s="427"/>
      <c r="BK751" s="427"/>
      <c r="BL751" s="427"/>
      <c r="BM751" s="427"/>
      <c r="BN751" s="835"/>
      <c r="BO751" s="427"/>
      <c r="BP751" s="427"/>
      <c r="BQ751" s="427"/>
      <c r="BR751" s="427"/>
      <c r="BS751" s="427"/>
      <c r="BT751" s="427"/>
      <c r="BU751" s="427"/>
      <c r="BV751" s="427"/>
      <c r="BW751" s="427"/>
      <c r="BX751" s="427"/>
      <c r="BY751" s="427"/>
      <c r="BZ751" s="427"/>
      <c r="CA751" s="427"/>
      <c r="CB751" s="427"/>
      <c r="CC751" s="427"/>
      <c r="CD751" s="427"/>
      <c r="CE751" s="427"/>
      <c r="CF751" s="544"/>
      <c r="CG751" s="544"/>
      <c r="CH751" s="544"/>
      <c r="CI751" s="544"/>
      <c r="CJ751" s="544"/>
      <c r="CK751" s="427"/>
      <c r="CL751" s="427"/>
      <c r="CM751" s="427"/>
      <c r="CN751" s="544"/>
      <c r="CO751" s="544"/>
      <c r="CP751" s="544"/>
      <c r="CQ751" s="544"/>
      <c r="CR751" s="544"/>
      <c r="CS751" s="544"/>
    </row>
    <row r="752" s="431" customFormat="1" ht="31" hidden="1" customHeight="1" spans="1:97">
      <c r="A752" s="518">
        <v>45996</v>
      </c>
      <c r="B752" s="519" t="s">
        <v>1117</v>
      </c>
      <c r="C752" s="520" t="s">
        <v>468</v>
      </c>
      <c r="D752" s="427">
        <v>4500188145</v>
      </c>
      <c r="E752" s="520">
        <v>5120008</v>
      </c>
      <c r="F752" s="427" t="s">
        <v>2670</v>
      </c>
      <c r="G752" s="521" t="s">
        <v>64</v>
      </c>
      <c r="H752" s="520" t="s">
        <v>65</v>
      </c>
      <c r="I752" s="520">
        <v>1500</v>
      </c>
      <c r="J752" s="520">
        <v>0</v>
      </c>
      <c r="K752" s="520">
        <v>12</v>
      </c>
      <c r="L752" s="804">
        <f t="shared" si="237"/>
        <v>125</v>
      </c>
      <c r="M752" s="537">
        <v>46051</v>
      </c>
      <c r="N752" s="537">
        <v>46048</v>
      </c>
      <c r="O752" s="526"/>
      <c r="P752" s="526" t="s">
        <v>103</v>
      </c>
      <c r="Q752" s="530"/>
      <c r="R752" s="530">
        <v>46016</v>
      </c>
      <c r="S752" s="533" t="s">
        <v>66</v>
      </c>
      <c r="T752" s="533" t="s">
        <v>2671</v>
      </c>
      <c r="U752" s="532"/>
      <c r="V752" s="532"/>
      <c r="W752" s="532" t="s">
        <v>2672</v>
      </c>
      <c r="X752" s="540" t="s">
        <v>304</v>
      </c>
      <c r="Y752" s="538">
        <v>4.1456</v>
      </c>
      <c r="Z752" s="808">
        <f t="shared" si="238"/>
        <v>6218.4</v>
      </c>
      <c r="AA752" s="521"/>
      <c r="AB752" s="521" t="s">
        <v>165</v>
      </c>
      <c r="AC752" s="520" t="s">
        <v>76</v>
      </c>
      <c r="AD752" s="521"/>
      <c r="AE752" s="521"/>
      <c r="AF752" s="521" t="s">
        <v>114</v>
      </c>
      <c r="AG752" s="521">
        <v>1500</v>
      </c>
      <c r="AH752" s="521">
        <f t="shared" si="241"/>
        <v>0</v>
      </c>
      <c r="AI752" s="521"/>
      <c r="AJ752" s="521" t="s">
        <v>2191</v>
      </c>
      <c r="AK752" s="543"/>
      <c r="AL752" s="543">
        <f t="shared" si="239"/>
        <v>1500</v>
      </c>
      <c r="AM752" s="628"/>
      <c r="AN752" s="628"/>
      <c r="AO752" s="628"/>
      <c r="AP752" s="543"/>
      <c r="AQ752" s="543">
        <f t="shared" si="245"/>
        <v>1500</v>
      </c>
      <c r="AR752" s="543">
        <f t="shared" si="243"/>
        <v>1500</v>
      </c>
      <c r="AS752" s="543"/>
      <c r="AT752" s="543">
        <f t="shared" si="240"/>
        <v>1500</v>
      </c>
      <c r="AU752" s="546"/>
      <c r="AV752" s="427"/>
      <c r="AW752" s="427"/>
      <c r="AX752" s="427"/>
      <c r="AY752" s="427"/>
      <c r="AZ752" s="543"/>
      <c r="BA752" s="543"/>
      <c r="BB752" s="427"/>
      <c r="BC752" s="427"/>
      <c r="BD752" s="543"/>
      <c r="BE752" s="543"/>
      <c r="BF752" s="427"/>
      <c r="BG752" s="427"/>
      <c r="BH752" s="427"/>
      <c r="BI752" s="427"/>
      <c r="BJ752" s="427"/>
      <c r="BK752" s="427"/>
      <c r="BL752" s="427"/>
      <c r="BM752" s="427"/>
      <c r="BN752" s="835"/>
      <c r="BO752" s="427"/>
      <c r="BP752" s="427"/>
      <c r="BQ752" s="427"/>
      <c r="BR752" s="427"/>
      <c r="BS752" s="427"/>
      <c r="BT752" s="427"/>
      <c r="BU752" s="427"/>
      <c r="BV752" s="427"/>
      <c r="BW752" s="427"/>
      <c r="BX752" s="427"/>
      <c r="BY752" s="427"/>
      <c r="BZ752" s="427"/>
      <c r="CA752" s="427"/>
      <c r="CB752" s="427"/>
      <c r="CC752" s="427"/>
      <c r="CD752" s="427"/>
      <c r="CE752" s="427"/>
      <c r="CF752" s="544"/>
      <c r="CG752" s="544"/>
      <c r="CH752" s="544"/>
      <c r="CI752" s="544"/>
      <c r="CJ752" s="544"/>
      <c r="CK752" s="427"/>
      <c r="CL752" s="427"/>
      <c r="CM752" s="427"/>
      <c r="CN752" s="544"/>
      <c r="CO752" s="544"/>
      <c r="CP752" s="544"/>
      <c r="CQ752" s="544"/>
      <c r="CR752" s="544"/>
      <c r="CS752" s="544"/>
    </row>
    <row r="753" s="431" customFormat="1" ht="31" hidden="1" customHeight="1" spans="1:97">
      <c r="A753" s="518">
        <v>46003</v>
      </c>
      <c r="B753" s="519" t="s">
        <v>2673</v>
      </c>
      <c r="C753" s="520" t="s">
        <v>1130</v>
      </c>
      <c r="D753" s="427">
        <v>4500188881</v>
      </c>
      <c r="E753" s="520"/>
      <c r="F753" s="427" t="s">
        <v>2674</v>
      </c>
      <c r="G753" s="521" t="s">
        <v>64</v>
      </c>
      <c r="H753" s="520" t="s">
        <v>65</v>
      </c>
      <c r="I753" s="520">
        <v>360</v>
      </c>
      <c r="J753" s="520">
        <v>0</v>
      </c>
      <c r="K753" s="520">
        <v>12</v>
      </c>
      <c r="L753" s="804">
        <f t="shared" si="237"/>
        <v>30</v>
      </c>
      <c r="M753" s="537">
        <v>46051</v>
      </c>
      <c r="N753" s="537">
        <v>46048</v>
      </c>
      <c r="O753" s="526"/>
      <c r="P753" s="526" t="s">
        <v>103</v>
      </c>
      <c r="Q753" s="530"/>
      <c r="R753" s="530">
        <v>46022</v>
      </c>
      <c r="S753" s="533" t="s">
        <v>66</v>
      </c>
      <c r="T753" s="533" t="s">
        <v>2675</v>
      </c>
      <c r="U753" s="532"/>
      <c r="V753" s="532"/>
      <c r="W753" s="532" t="s">
        <v>2676</v>
      </c>
      <c r="X753" s="540" t="s">
        <v>473</v>
      </c>
      <c r="Y753" s="538">
        <v>4.1623</v>
      </c>
      <c r="Z753" s="808">
        <f t="shared" si="238"/>
        <v>1498.428</v>
      </c>
      <c r="AA753" s="521"/>
      <c r="AB753" s="521" t="s">
        <v>165</v>
      </c>
      <c r="AC753" s="520" t="s">
        <v>76</v>
      </c>
      <c r="AD753" s="521"/>
      <c r="AE753" s="521"/>
      <c r="AF753" s="521" t="s">
        <v>114</v>
      </c>
      <c r="AG753" s="521">
        <v>360</v>
      </c>
      <c r="AH753" s="521">
        <f t="shared" si="241"/>
        <v>0</v>
      </c>
      <c r="AI753" s="521"/>
      <c r="AJ753" s="521" t="s">
        <v>2191</v>
      </c>
      <c r="AK753" s="543"/>
      <c r="AL753" s="543">
        <f t="shared" si="239"/>
        <v>360</v>
      </c>
      <c r="AM753" s="628"/>
      <c r="AN753" s="628"/>
      <c r="AO753" s="628"/>
      <c r="AP753" s="543"/>
      <c r="AQ753" s="543">
        <f t="shared" si="245"/>
        <v>360</v>
      </c>
      <c r="AR753" s="543">
        <f t="shared" si="243"/>
        <v>360</v>
      </c>
      <c r="AS753" s="543"/>
      <c r="AT753" s="543">
        <f t="shared" si="240"/>
        <v>360</v>
      </c>
      <c r="AU753" s="546"/>
      <c r="AV753" s="427"/>
      <c r="AW753" s="427"/>
      <c r="AX753" s="427"/>
      <c r="AY753" s="427"/>
      <c r="AZ753" s="543"/>
      <c r="BA753" s="543"/>
      <c r="BB753" s="427"/>
      <c r="BC753" s="427"/>
      <c r="BD753" s="543"/>
      <c r="BE753" s="543"/>
      <c r="BF753" s="427"/>
      <c r="BG753" s="427"/>
      <c r="BH753" s="427"/>
      <c r="BI753" s="427"/>
      <c r="BJ753" s="427"/>
      <c r="BK753" s="427"/>
      <c r="BL753" s="427"/>
      <c r="BM753" s="427"/>
      <c r="BN753" s="835"/>
      <c r="BO753" s="427"/>
      <c r="BP753" s="427"/>
      <c r="BQ753" s="427"/>
      <c r="BR753" s="427"/>
      <c r="BS753" s="427"/>
      <c r="BT753" s="427"/>
      <c r="BU753" s="427"/>
      <c r="BV753" s="427"/>
      <c r="BW753" s="427"/>
      <c r="BX753" s="427"/>
      <c r="BY753" s="427"/>
      <c r="BZ753" s="427"/>
      <c r="CA753" s="427"/>
      <c r="CB753" s="427"/>
      <c r="CC753" s="427"/>
      <c r="CD753" s="427"/>
      <c r="CE753" s="427"/>
      <c r="CF753" s="544"/>
      <c r="CG753" s="544"/>
      <c r="CH753" s="544"/>
      <c r="CI753" s="544"/>
      <c r="CJ753" s="544"/>
      <c r="CK753" s="427"/>
      <c r="CL753" s="427"/>
      <c r="CM753" s="427"/>
      <c r="CN753" s="544"/>
      <c r="CO753" s="544"/>
      <c r="CP753" s="544"/>
      <c r="CQ753" s="544"/>
      <c r="CR753" s="544"/>
      <c r="CS753" s="544"/>
    </row>
    <row r="754" s="431" customFormat="1" ht="31" hidden="1" customHeight="1" spans="1:97">
      <c r="A754" s="518">
        <v>46014</v>
      </c>
      <c r="B754" s="519" t="s">
        <v>1228</v>
      </c>
      <c r="C754" s="520" t="s">
        <v>841</v>
      </c>
      <c r="D754" s="427">
        <v>4500189691</v>
      </c>
      <c r="E754" s="520"/>
      <c r="F754" s="427" t="s">
        <v>2677</v>
      </c>
      <c r="G754" s="521" t="s">
        <v>64</v>
      </c>
      <c r="H754" s="520" t="s">
        <v>65</v>
      </c>
      <c r="I754" s="520">
        <v>240</v>
      </c>
      <c r="J754" s="520">
        <v>0</v>
      </c>
      <c r="K754" s="520">
        <v>12</v>
      </c>
      <c r="L754" s="804">
        <f t="shared" si="237"/>
        <v>20</v>
      </c>
      <c r="M754" s="537">
        <v>46052</v>
      </c>
      <c r="N754" s="537">
        <v>46048</v>
      </c>
      <c r="O754" s="526"/>
      <c r="P754" s="526" t="s">
        <v>103</v>
      </c>
      <c r="Q754" s="530"/>
      <c r="R754" s="530">
        <v>46021</v>
      </c>
      <c r="S754" s="533" t="s">
        <v>66</v>
      </c>
      <c r="T754" s="533" t="s">
        <v>2678</v>
      </c>
      <c r="U754" s="532"/>
      <c r="V754" s="532"/>
      <c r="W754" s="532" t="s">
        <v>2679</v>
      </c>
      <c r="X754" s="540" t="s">
        <v>853</v>
      </c>
      <c r="Y754" s="538">
        <v>4.1623</v>
      </c>
      <c r="Z754" s="808">
        <f t="shared" si="238"/>
        <v>998.952</v>
      </c>
      <c r="AA754" s="521"/>
      <c r="AB754" s="521" t="s">
        <v>165</v>
      </c>
      <c r="AC754" s="520" t="s">
        <v>76</v>
      </c>
      <c r="AD754" s="521"/>
      <c r="AE754" s="521"/>
      <c r="AF754" s="521" t="s">
        <v>114</v>
      </c>
      <c r="AG754" s="521">
        <v>240</v>
      </c>
      <c r="AH754" s="521">
        <f t="shared" si="241"/>
        <v>0</v>
      </c>
      <c r="AI754" s="521"/>
      <c r="AJ754" s="521"/>
      <c r="AK754" s="543"/>
      <c r="AL754" s="543">
        <f t="shared" si="239"/>
        <v>240</v>
      </c>
      <c r="AM754" s="628"/>
      <c r="AN754" s="628"/>
      <c r="AO754" s="628"/>
      <c r="AP754" s="543"/>
      <c r="AQ754" s="543">
        <f t="shared" si="245"/>
        <v>240</v>
      </c>
      <c r="AR754" s="543">
        <f t="shared" si="243"/>
        <v>240</v>
      </c>
      <c r="AS754" s="543"/>
      <c r="AT754" s="543">
        <f t="shared" si="240"/>
        <v>240</v>
      </c>
      <c r="AU754" s="546"/>
      <c r="AV754" s="427"/>
      <c r="AW754" s="427"/>
      <c r="AX754" s="427"/>
      <c r="AY754" s="427"/>
      <c r="AZ754" s="543"/>
      <c r="BA754" s="543"/>
      <c r="BB754" s="427"/>
      <c r="BC754" s="427"/>
      <c r="BD754" s="543"/>
      <c r="BE754" s="543"/>
      <c r="BF754" s="427"/>
      <c r="BG754" s="427"/>
      <c r="BH754" s="427"/>
      <c r="BI754" s="427"/>
      <c r="BJ754" s="427"/>
      <c r="BK754" s="427"/>
      <c r="BL754" s="427"/>
      <c r="BM754" s="427"/>
      <c r="BN754" s="835"/>
      <c r="BO754" s="427"/>
      <c r="BP754" s="427"/>
      <c r="BQ754" s="427"/>
      <c r="BR754" s="427"/>
      <c r="BS754" s="427"/>
      <c r="BT754" s="427"/>
      <c r="BU754" s="427"/>
      <c r="BV754" s="427"/>
      <c r="BW754" s="427"/>
      <c r="BX754" s="427"/>
      <c r="BY754" s="427"/>
      <c r="BZ754" s="427"/>
      <c r="CA754" s="427"/>
      <c r="CB754" s="427"/>
      <c r="CC754" s="427"/>
      <c r="CD754" s="427"/>
      <c r="CE754" s="427"/>
      <c r="CF754" s="544"/>
      <c r="CG754" s="544"/>
      <c r="CH754" s="544"/>
      <c r="CI754" s="544"/>
      <c r="CJ754" s="544"/>
      <c r="CK754" s="427"/>
      <c r="CL754" s="427"/>
      <c r="CM754" s="427"/>
      <c r="CN754" s="544"/>
      <c r="CO754" s="544"/>
      <c r="CP754" s="544"/>
      <c r="CQ754" s="544"/>
      <c r="CR754" s="544"/>
      <c r="CS754" s="544"/>
    </row>
    <row r="755" s="431" customFormat="1" ht="31" hidden="1" customHeight="1" spans="1:97">
      <c r="A755" s="518">
        <v>45996</v>
      </c>
      <c r="B755" s="519" t="s">
        <v>1228</v>
      </c>
      <c r="C755" s="520" t="s">
        <v>841</v>
      </c>
      <c r="D755" s="427">
        <v>4500188309</v>
      </c>
      <c r="E755" s="520"/>
      <c r="F755" s="427" t="s">
        <v>2680</v>
      </c>
      <c r="G755" s="521" t="s">
        <v>64</v>
      </c>
      <c r="H755" s="520" t="s">
        <v>65</v>
      </c>
      <c r="I755" s="520">
        <v>960</v>
      </c>
      <c r="J755" s="520">
        <v>0</v>
      </c>
      <c r="K755" s="520">
        <v>12</v>
      </c>
      <c r="L755" s="804">
        <f t="shared" si="237"/>
        <v>80</v>
      </c>
      <c r="M755" s="537">
        <v>46052</v>
      </c>
      <c r="N755" s="537">
        <v>46048</v>
      </c>
      <c r="O755" s="526"/>
      <c r="P755" s="526" t="s">
        <v>103</v>
      </c>
      <c r="Q755" s="530"/>
      <c r="R755" s="530">
        <v>46021</v>
      </c>
      <c r="S755" s="533" t="s">
        <v>66</v>
      </c>
      <c r="T755" s="533" t="s">
        <v>2397</v>
      </c>
      <c r="U755" s="532"/>
      <c r="V755" s="532"/>
      <c r="W755" s="532" t="s">
        <v>2681</v>
      </c>
      <c r="X755" s="540" t="s">
        <v>853</v>
      </c>
      <c r="Y755" s="538">
        <v>4.1623</v>
      </c>
      <c r="Z755" s="808">
        <f t="shared" si="238"/>
        <v>3995.808</v>
      </c>
      <c r="AA755" s="521"/>
      <c r="AB755" s="521" t="s">
        <v>165</v>
      </c>
      <c r="AC755" s="520" t="s">
        <v>76</v>
      </c>
      <c r="AD755" s="521"/>
      <c r="AE755" s="521"/>
      <c r="AF755" s="521" t="s">
        <v>114</v>
      </c>
      <c r="AG755" s="521">
        <v>960</v>
      </c>
      <c r="AH755" s="521">
        <f t="shared" si="241"/>
        <v>0</v>
      </c>
      <c r="AI755" s="521"/>
      <c r="AJ755" s="521"/>
      <c r="AK755" s="543"/>
      <c r="AL755" s="543">
        <f t="shared" si="239"/>
        <v>960</v>
      </c>
      <c r="AM755" s="628"/>
      <c r="AN755" s="628"/>
      <c r="AO755" s="628"/>
      <c r="AP755" s="543"/>
      <c r="AQ755" s="543">
        <f t="shared" si="245"/>
        <v>960</v>
      </c>
      <c r="AR755" s="543">
        <f t="shared" si="243"/>
        <v>960</v>
      </c>
      <c r="AS755" s="543"/>
      <c r="AT755" s="543">
        <f t="shared" si="240"/>
        <v>960</v>
      </c>
      <c r="AU755" s="546"/>
      <c r="AV755" s="427"/>
      <c r="AW755" s="427"/>
      <c r="AX755" s="427"/>
      <c r="AY755" s="427"/>
      <c r="AZ755" s="543"/>
      <c r="BA755" s="543"/>
      <c r="BB755" s="427"/>
      <c r="BC755" s="427"/>
      <c r="BD755" s="543"/>
      <c r="BE755" s="543"/>
      <c r="BF755" s="427"/>
      <c r="BG755" s="427"/>
      <c r="BH755" s="427"/>
      <c r="BI755" s="427"/>
      <c r="BJ755" s="427"/>
      <c r="BK755" s="427"/>
      <c r="BL755" s="427"/>
      <c r="BM755" s="427"/>
      <c r="BN755" s="835"/>
      <c r="BO755" s="427"/>
      <c r="BP755" s="427"/>
      <c r="BQ755" s="427"/>
      <c r="BR755" s="427"/>
      <c r="BS755" s="427"/>
      <c r="BT755" s="427"/>
      <c r="BU755" s="427"/>
      <c r="BV755" s="427"/>
      <c r="BW755" s="427"/>
      <c r="BX755" s="427"/>
      <c r="BY755" s="427"/>
      <c r="BZ755" s="427"/>
      <c r="CA755" s="427"/>
      <c r="CB755" s="427"/>
      <c r="CC755" s="427"/>
      <c r="CD755" s="427"/>
      <c r="CE755" s="427"/>
      <c r="CF755" s="544"/>
      <c r="CG755" s="544"/>
      <c r="CH755" s="544"/>
      <c r="CI755" s="544"/>
      <c r="CJ755" s="544"/>
      <c r="CK755" s="427"/>
      <c r="CL755" s="427"/>
      <c r="CM755" s="427"/>
      <c r="CN755" s="544"/>
      <c r="CO755" s="544"/>
      <c r="CP755" s="544"/>
      <c r="CQ755" s="544"/>
      <c r="CR755" s="544"/>
      <c r="CS755" s="544"/>
    </row>
    <row r="756" s="431" customFormat="1" ht="31" hidden="1" customHeight="1" spans="1:97">
      <c r="A756" s="518">
        <v>45996</v>
      </c>
      <c r="B756" s="519" t="s">
        <v>1228</v>
      </c>
      <c r="C756" s="520" t="s">
        <v>841</v>
      </c>
      <c r="D756" s="427">
        <v>4500188307</v>
      </c>
      <c r="E756" s="520"/>
      <c r="F756" s="427" t="s">
        <v>2682</v>
      </c>
      <c r="G756" s="521" t="s">
        <v>64</v>
      </c>
      <c r="H756" s="520" t="s">
        <v>65</v>
      </c>
      <c r="I756" s="520">
        <v>600</v>
      </c>
      <c r="J756" s="520">
        <v>0</v>
      </c>
      <c r="K756" s="520">
        <v>12</v>
      </c>
      <c r="L756" s="804">
        <f t="shared" si="237"/>
        <v>50</v>
      </c>
      <c r="M756" s="537">
        <v>46052</v>
      </c>
      <c r="N756" s="537">
        <v>46048</v>
      </c>
      <c r="O756" s="526"/>
      <c r="P756" s="526" t="s">
        <v>103</v>
      </c>
      <c r="Q756" s="530"/>
      <c r="R756" s="530">
        <v>46021</v>
      </c>
      <c r="S756" s="533" t="s">
        <v>66</v>
      </c>
      <c r="T756" s="533" t="s">
        <v>2397</v>
      </c>
      <c r="U756" s="532"/>
      <c r="V756" s="532"/>
      <c r="W756" s="532" t="s">
        <v>2683</v>
      </c>
      <c r="X756" s="540" t="s">
        <v>853</v>
      </c>
      <c r="Y756" s="538">
        <v>4.1623</v>
      </c>
      <c r="Z756" s="808">
        <f t="shared" si="238"/>
        <v>2497.38</v>
      </c>
      <c r="AA756" s="521"/>
      <c r="AB756" s="521" t="s">
        <v>165</v>
      </c>
      <c r="AC756" s="520" t="s">
        <v>76</v>
      </c>
      <c r="AD756" s="521"/>
      <c r="AE756" s="521"/>
      <c r="AF756" s="521" t="s">
        <v>114</v>
      </c>
      <c r="AG756" s="521">
        <v>600</v>
      </c>
      <c r="AH756" s="521">
        <f t="shared" si="241"/>
        <v>0</v>
      </c>
      <c r="AI756" s="521"/>
      <c r="AJ756" s="521" t="s">
        <v>2191</v>
      </c>
      <c r="AK756" s="543"/>
      <c r="AL756" s="543">
        <f t="shared" si="239"/>
        <v>600</v>
      </c>
      <c r="AM756" s="628"/>
      <c r="AN756" s="628"/>
      <c r="AO756" s="628"/>
      <c r="AP756" s="543"/>
      <c r="AQ756" s="543">
        <f t="shared" si="245"/>
        <v>600</v>
      </c>
      <c r="AR756" s="543">
        <f t="shared" si="243"/>
        <v>600</v>
      </c>
      <c r="AS756" s="543"/>
      <c r="AT756" s="543">
        <f t="shared" si="240"/>
        <v>600</v>
      </c>
      <c r="AU756" s="546"/>
      <c r="AV756" s="427"/>
      <c r="AW756" s="427"/>
      <c r="AX756" s="427"/>
      <c r="AY756" s="427"/>
      <c r="AZ756" s="543"/>
      <c r="BA756" s="543"/>
      <c r="BB756" s="427"/>
      <c r="BC756" s="427"/>
      <c r="BD756" s="543"/>
      <c r="BE756" s="543"/>
      <c r="BF756" s="427"/>
      <c r="BG756" s="427"/>
      <c r="BH756" s="427"/>
      <c r="BI756" s="427"/>
      <c r="BJ756" s="427"/>
      <c r="BK756" s="427"/>
      <c r="BL756" s="427"/>
      <c r="BM756" s="427"/>
      <c r="BN756" s="835"/>
      <c r="BO756" s="427"/>
      <c r="BP756" s="427"/>
      <c r="BQ756" s="427"/>
      <c r="BR756" s="427"/>
      <c r="BS756" s="427"/>
      <c r="BT756" s="427"/>
      <c r="BU756" s="427"/>
      <c r="BV756" s="427"/>
      <c r="BW756" s="427"/>
      <c r="BX756" s="427"/>
      <c r="BY756" s="427"/>
      <c r="BZ756" s="427"/>
      <c r="CA756" s="427"/>
      <c r="CB756" s="427"/>
      <c r="CC756" s="427"/>
      <c r="CD756" s="427"/>
      <c r="CE756" s="427"/>
      <c r="CF756" s="544"/>
      <c r="CG756" s="544"/>
      <c r="CH756" s="544"/>
      <c r="CI756" s="544"/>
      <c r="CJ756" s="544"/>
      <c r="CK756" s="427"/>
      <c r="CL756" s="427"/>
      <c r="CM756" s="427"/>
      <c r="CN756" s="544"/>
      <c r="CO756" s="544"/>
      <c r="CP756" s="544"/>
      <c r="CQ756" s="544"/>
      <c r="CR756" s="544"/>
      <c r="CS756" s="544"/>
    </row>
    <row r="757" s="431" customFormat="1" ht="31" hidden="1" customHeight="1" spans="1:97">
      <c r="A757" s="518">
        <v>45999</v>
      </c>
      <c r="B757" s="519" t="s">
        <v>1228</v>
      </c>
      <c r="C757" s="520" t="s">
        <v>841</v>
      </c>
      <c r="D757" s="427">
        <v>4500188248</v>
      </c>
      <c r="E757" s="520"/>
      <c r="F757" s="427" t="s">
        <v>2684</v>
      </c>
      <c r="G757" s="521" t="s">
        <v>64</v>
      </c>
      <c r="H757" s="520" t="s">
        <v>65</v>
      </c>
      <c r="I757" s="520">
        <v>1512</v>
      </c>
      <c r="J757" s="520">
        <v>0</v>
      </c>
      <c r="K757" s="520">
        <v>12</v>
      </c>
      <c r="L757" s="804">
        <f t="shared" si="237"/>
        <v>126</v>
      </c>
      <c r="M757" s="537">
        <v>46052</v>
      </c>
      <c r="N757" s="537">
        <v>46048</v>
      </c>
      <c r="O757" s="526"/>
      <c r="P757" s="526" t="s">
        <v>103</v>
      </c>
      <c r="Q757" s="530"/>
      <c r="R757" s="530">
        <v>46021</v>
      </c>
      <c r="S757" s="533" t="s">
        <v>66</v>
      </c>
      <c r="T757" s="533" t="s">
        <v>2397</v>
      </c>
      <c r="U757" s="532"/>
      <c r="V757" s="532"/>
      <c r="W757" s="532" t="s">
        <v>2681</v>
      </c>
      <c r="X757" s="540" t="s">
        <v>853</v>
      </c>
      <c r="Y757" s="538">
        <v>4.1623</v>
      </c>
      <c r="Z757" s="808">
        <f t="shared" si="238"/>
        <v>6293.3976</v>
      </c>
      <c r="AA757" s="521"/>
      <c r="AB757" s="521" t="s">
        <v>165</v>
      </c>
      <c r="AC757" s="520" t="s">
        <v>76</v>
      </c>
      <c r="AD757" s="521"/>
      <c r="AE757" s="521"/>
      <c r="AF757" s="521" t="s">
        <v>114</v>
      </c>
      <c r="AG757" s="521">
        <v>1200</v>
      </c>
      <c r="AH757" s="521">
        <f t="shared" si="241"/>
        <v>-312</v>
      </c>
      <c r="AI757" s="521"/>
      <c r="AJ757" s="521" t="s">
        <v>2191</v>
      </c>
      <c r="AK757" s="543"/>
      <c r="AL757" s="543">
        <f t="shared" si="239"/>
        <v>1512</v>
      </c>
      <c r="AM757" s="628"/>
      <c r="AN757" s="628"/>
      <c r="AO757" s="628"/>
      <c r="AP757" s="543"/>
      <c r="AQ757" s="543">
        <f t="shared" si="245"/>
        <v>1512</v>
      </c>
      <c r="AR757" s="543">
        <f t="shared" si="243"/>
        <v>1512</v>
      </c>
      <c r="AS757" s="543"/>
      <c r="AT757" s="543">
        <f t="shared" si="240"/>
        <v>1512</v>
      </c>
      <c r="AU757" s="546"/>
      <c r="AV757" s="427"/>
      <c r="AW757" s="427"/>
      <c r="AX757" s="427"/>
      <c r="AY757" s="427"/>
      <c r="AZ757" s="543"/>
      <c r="BA757" s="543"/>
      <c r="BB757" s="427"/>
      <c r="BC757" s="427"/>
      <c r="BD757" s="543"/>
      <c r="BE757" s="543"/>
      <c r="BF757" s="427"/>
      <c r="BG757" s="427"/>
      <c r="BH757" s="427"/>
      <c r="BI757" s="427"/>
      <c r="BJ757" s="427"/>
      <c r="BK757" s="427"/>
      <c r="BL757" s="427"/>
      <c r="BM757" s="427"/>
      <c r="BN757" s="835"/>
      <c r="BO757" s="427"/>
      <c r="BP757" s="427"/>
      <c r="BQ757" s="427"/>
      <c r="BR757" s="427"/>
      <c r="BS757" s="427"/>
      <c r="BT757" s="427"/>
      <c r="BU757" s="427"/>
      <c r="BV757" s="427"/>
      <c r="BW757" s="427"/>
      <c r="BX757" s="427"/>
      <c r="BY757" s="427"/>
      <c r="BZ757" s="427"/>
      <c r="CA757" s="427"/>
      <c r="CB757" s="427"/>
      <c r="CC757" s="427"/>
      <c r="CD757" s="427"/>
      <c r="CE757" s="427"/>
      <c r="CF757" s="544"/>
      <c r="CG757" s="544"/>
      <c r="CH757" s="544"/>
      <c r="CI757" s="544"/>
      <c r="CJ757" s="544"/>
      <c r="CK757" s="427"/>
      <c r="CL757" s="427"/>
      <c r="CM757" s="427"/>
      <c r="CN757" s="544"/>
      <c r="CO757" s="544"/>
      <c r="CP757" s="544"/>
      <c r="CQ757" s="544"/>
      <c r="CR757" s="544"/>
      <c r="CS757" s="544"/>
    </row>
    <row r="758" s="431" customFormat="1" ht="31" hidden="1" customHeight="1" spans="1:97">
      <c r="A758" s="518">
        <v>45995</v>
      </c>
      <c r="B758" s="519" t="s">
        <v>1121</v>
      </c>
      <c r="C758" s="520" t="s">
        <v>356</v>
      </c>
      <c r="D758" s="427">
        <v>4500187980</v>
      </c>
      <c r="E758" s="520"/>
      <c r="F758" s="427" t="s">
        <v>2685</v>
      </c>
      <c r="G758" s="521" t="s">
        <v>64</v>
      </c>
      <c r="H758" s="520" t="s">
        <v>65</v>
      </c>
      <c r="I758" s="520">
        <v>600</v>
      </c>
      <c r="J758" s="520">
        <v>0</v>
      </c>
      <c r="K758" s="520">
        <v>12</v>
      </c>
      <c r="L758" s="804">
        <f t="shared" si="237"/>
        <v>50</v>
      </c>
      <c r="M758" s="537">
        <v>46052</v>
      </c>
      <c r="N758" s="537">
        <v>46048</v>
      </c>
      <c r="O758" s="526"/>
      <c r="P758" s="526" t="s">
        <v>103</v>
      </c>
      <c r="Q758" s="530"/>
      <c r="R758" s="530">
        <v>45995</v>
      </c>
      <c r="S758" s="533" t="s">
        <v>66</v>
      </c>
      <c r="T758" s="533" t="s">
        <v>2686</v>
      </c>
      <c r="U758" s="532"/>
      <c r="V758" s="532"/>
      <c r="W758" s="532" t="s">
        <v>2687</v>
      </c>
      <c r="X758" s="540" t="s">
        <v>359</v>
      </c>
      <c r="Y758" s="538">
        <v>4.1623</v>
      </c>
      <c r="Z758" s="808">
        <f t="shared" si="238"/>
        <v>2497.38</v>
      </c>
      <c r="AA758" s="521"/>
      <c r="AB758" s="521" t="s">
        <v>165</v>
      </c>
      <c r="AC758" s="520" t="s">
        <v>76</v>
      </c>
      <c r="AD758" s="521"/>
      <c r="AE758" s="521"/>
      <c r="AF758" s="521" t="s">
        <v>114</v>
      </c>
      <c r="AG758" s="521">
        <v>600</v>
      </c>
      <c r="AH758" s="521">
        <f t="shared" si="241"/>
        <v>0</v>
      </c>
      <c r="AI758" s="521"/>
      <c r="AJ758" s="521" t="s">
        <v>403</v>
      </c>
      <c r="AK758" s="543"/>
      <c r="AL758" s="543">
        <f t="shared" si="239"/>
        <v>600</v>
      </c>
      <c r="AM758" s="628"/>
      <c r="AN758" s="628"/>
      <c r="AO758" s="628"/>
      <c r="AP758" s="543"/>
      <c r="AQ758" s="543">
        <f t="shared" si="245"/>
        <v>600</v>
      </c>
      <c r="AR758" s="543">
        <f t="shared" si="243"/>
        <v>600</v>
      </c>
      <c r="AS758" s="543"/>
      <c r="AT758" s="543">
        <f t="shared" si="240"/>
        <v>600</v>
      </c>
      <c r="AU758" s="546"/>
      <c r="AV758" s="427"/>
      <c r="AW758" s="427"/>
      <c r="AX758" s="427"/>
      <c r="AY758" s="427"/>
      <c r="AZ758" s="543"/>
      <c r="BA758" s="543"/>
      <c r="BB758" s="427"/>
      <c r="BC758" s="427"/>
      <c r="BD758" s="543"/>
      <c r="BE758" s="543"/>
      <c r="BF758" s="427"/>
      <c r="BG758" s="427"/>
      <c r="BH758" s="427"/>
      <c r="BI758" s="427"/>
      <c r="BJ758" s="427"/>
      <c r="BK758" s="427"/>
      <c r="BL758" s="427"/>
      <c r="BM758" s="427"/>
      <c r="BN758" s="835"/>
      <c r="BO758" s="427"/>
      <c r="BP758" s="427"/>
      <c r="BQ758" s="427"/>
      <c r="BR758" s="427"/>
      <c r="BS758" s="427"/>
      <c r="BT758" s="427"/>
      <c r="BU758" s="427"/>
      <c r="BV758" s="427"/>
      <c r="BW758" s="427"/>
      <c r="BX758" s="427"/>
      <c r="BY758" s="427"/>
      <c r="BZ758" s="427"/>
      <c r="CA758" s="427"/>
      <c r="CB758" s="427"/>
      <c r="CC758" s="427"/>
      <c r="CD758" s="427"/>
      <c r="CE758" s="427"/>
      <c r="CF758" s="544"/>
      <c r="CG758" s="544"/>
      <c r="CH758" s="544"/>
      <c r="CI758" s="544"/>
      <c r="CJ758" s="544"/>
      <c r="CK758" s="427"/>
      <c r="CL758" s="427"/>
      <c r="CM758" s="427"/>
      <c r="CN758" s="544"/>
      <c r="CO758" s="544"/>
      <c r="CP758" s="544"/>
      <c r="CQ758" s="544"/>
      <c r="CR758" s="544"/>
      <c r="CS758" s="544"/>
    </row>
    <row r="759" s="431" customFormat="1" ht="31" hidden="1" customHeight="1" spans="1:97">
      <c r="A759" s="518">
        <v>45995</v>
      </c>
      <c r="B759" s="519" t="s">
        <v>754</v>
      </c>
      <c r="C759" s="520" t="s">
        <v>356</v>
      </c>
      <c r="D759" s="427">
        <v>4500188053</v>
      </c>
      <c r="E759" s="520" t="s">
        <v>2688</v>
      </c>
      <c r="F759" s="427" t="s">
        <v>2689</v>
      </c>
      <c r="G759" s="521" t="s">
        <v>64</v>
      </c>
      <c r="H759" s="520" t="s">
        <v>65</v>
      </c>
      <c r="I759" s="520">
        <v>4104</v>
      </c>
      <c r="J759" s="520">
        <v>0</v>
      </c>
      <c r="K759" s="520">
        <v>12</v>
      </c>
      <c r="L759" s="804">
        <v>342</v>
      </c>
      <c r="M759" s="537">
        <v>46052</v>
      </c>
      <c r="N759" s="537">
        <v>46048</v>
      </c>
      <c r="O759" s="526"/>
      <c r="P759" s="526" t="s">
        <v>103</v>
      </c>
      <c r="Q759" s="530" t="s">
        <v>2690</v>
      </c>
      <c r="R759" s="530">
        <v>46009</v>
      </c>
      <c r="S759" s="533" t="s">
        <v>66</v>
      </c>
      <c r="T759" s="533" t="s">
        <v>66</v>
      </c>
      <c r="U759" s="532"/>
      <c r="V759" s="532"/>
      <c r="W759" s="532" t="s">
        <v>2691</v>
      </c>
      <c r="X759" s="540" t="s">
        <v>395</v>
      </c>
      <c r="Y759" s="538">
        <v>4.1131</v>
      </c>
      <c r="Z759" s="808">
        <f t="shared" si="238"/>
        <v>16880.1624</v>
      </c>
      <c r="AA759" s="521"/>
      <c r="AB759" s="521" t="s">
        <v>165</v>
      </c>
      <c r="AC759" s="520" t="s">
        <v>76</v>
      </c>
      <c r="AD759" s="521"/>
      <c r="AE759" s="521"/>
      <c r="AF759" s="521" t="s">
        <v>114</v>
      </c>
      <c r="AG759" s="521">
        <f>3240+864</f>
        <v>4104</v>
      </c>
      <c r="AH759" s="521">
        <f t="shared" si="241"/>
        <v>0</v>
      </c>
      <c r="AI759" s="521"/>
      <c r="AJ759" s="521"/>
      <c r="AK759" s="543"/>
      <c r="AL759" s="543">
        <f t="shared" si="239"/>
        <v>4104</v>
      </c>
      <c r="AM759" s="628"/>
      <c r="AN759" s="628"/>
      <c r="AO759" s="628"/>
      <c r="AP759" s="543"/>
      <c r="AQ759" s="543">
        <f t="shared" si="245"/>
        <v>4104</v>
      </c>
      <c r="AR759" s="543">
        <f t="shared" si="243"/>
        <v>4104</v>
      </c>
      <c r="AS759" s="543"/>
      <c r="AT759" s="543">
        <f t="shared" si="240"/>
        <v>4104</v>
      </c>
      <c r="AU759" s="546"/>
      <c r="AV759" s="427"/>
      <c r="AW759" s="427"/>
      <c r="AX759" s="427"/>
      <c r="AY759" s="427"/>
      <c r="AZ759" s="543"/>
      <c r="BA759" s="543"/>
      <c r="BB759" s="427"/>
      <c r="BC759" s="427"/>
      <c r="BD759" s="543"/>
      <c r="BE759" s="543"/>
      <c r="BF759" s="427"/>
      <c r="BG759" s="427"/>
      <c r="BH759" s="427"/>
      <c r="BI759" s="427"/>
      <c r="BJ759" s="427"/>
      <c r="BK759" s="427"/>
      <c r="BL759" s="427"/>
      <c r="BM759" s="427"/>
      <c r="BN759" s="835"/>
      <c r="BO759" s="427"/>
      <c r="BP759" s="427"/>
      <c r="BQ759" s="427"/>
      <c r="BR759" s="427"/>
      <c r="BS759" s="427"/>
      <c r="BT759" s="427"/>
      <c r="BU759" s="427"/>
      <c r="BV759" s="427"/>
      <c r="BW759" s="427"/>
      <c r="BX759" s="427"/>
      <c r="BY759" s="427"/>
      <c r="BZ759" s="427"/>
      <c r="CA759" s="427"/>
      <c r="CB759" s="427"/>
      <c r="CC759" s="427"/>
      <c r="CD759" s="427"/>
      <c r="CE759" s="427"/>
      <c r="CF759" s="544"/>
      <c r="CG759" s="544"/>
      <c r="CH759" s="544"/>
      <c r="CI759" s="544"/>
      <c r="CJ759" s="544"/>
      <c r="CK759" s="427"/>
      <c r="CL759" s="427"/>
      <c r="CM759" s="427"/>
      <c r="CN759" s="544"/>
      <c r="CO759" s="544"/>
      <c r="CP759" s="544"/>
      <c r="CQ759" s="544"/>
      <c r="CR759" s="544"/>
      <c r="CS759" s="544"/>
    </row>
    <row r="760" s="431" customFormat="1" ht="31" hidden="1" customHeight="1" spans="1:97">
      <c r="A760" s="518">
        <v>46003</v>
      </c>
      <c r="B760" s="519" t="s">
        <v>1224</v>
      </c>
      <c r="C760" s="520" t="s">
        <v>524</v>
      </c>
      <c r="D760" s="427">
        <v>4500188846</v>
      </c>
      <c r="E760" s="520"/>
      <c r="F760" s="427" t="s">
        <v>2692</v>
      </c>
      <c r="G760" s="521" t="s">
        <v>64</v>
      </c>
      <c r="H760" s="520" t="s">
        <v>65</v>
      </c>
      <c r="I760" s="520">
        <v>1200</v>
      </c>
      <c r="J760" s="520">
        <v>0</v>
      </c>
      <c r="K760" s="520">
        <v>12</v>
      </c>
      <c r="L760" s="804">
        <f t="shared" ref="L760:L765" si="246">I760/K760</f>
        <v>100</v>
      </c>
      <c r="M760" s="537">
        <v>46052</v>
      </c>
      <c r="N760" s="537">
        <v>46048</v>
      </c>
      <c r="O760" s="526"/>
      <c r="P760" s="526" t="s">
        <v>103</v>
      </c>
      <c r="Q760" s="530" t="s">
        <v>2693</v>
      </c>
      <c r="R760" s="530">
        <v>46013</v>
      </c>
      <c r="S760" s="533" t="s">
        <v>66</v>
      </c>
      <c r="T760" s="533" t="s">
        <v>406</v>
      </c>
      <c r="U760" s="532"/>
      <c r="V760" s="532"/>
      <c r="W760" s="532" t="s">
        <v>2694</v>
      </c>
      <c r="X760" s="540" t="s">
        <v>207</v>
      </c>
      <c r="Y760" s="538">
        <v>4.1966</v>
      </c>
      <c r="Z760" s="808">
        <f t="shared" si="238"/>
        <v>5035.92</v>
      </c>
      <c r="AA760" s="521"/>
      <c r="AB760" s="521" t="s">
        <v>64</v>
      </c>
      <c r="AC760" s="520" t="s">
        <v>76</v>
      </c>
      <c r="AD760" s="521"/>
      <c r="AE760" s="521"/>
      <c r="AF760" s="521" t="s">
        <v>114</v>
      </c>
      <c r="AG760" s="521">
        <v>1200</v>
      </c>
      <c r="AH760" s="521">
        <f t="shared" si="241"/>
        <v>0</v>
      </c>
      <c r="AI760" s="521"/>
      <c r="AJ760" s="521" t="s">
        <v>2191</v>
      </c>
      <c r="AK760" s="543"/>
      <c r="AL760" s="543">
        <f t="shared" si="239"/>
        <v>1200</v>
      </c>
      <c r="AM760" s="628"/>
      <c r="AN760" s="628"/>
      <c r="AO760" s="628"/>
      <c r="AP760" s="543">
        <f>I760</f>
        <v>1200</v>
      </c>
      <c r="AQ760" s="543"/>
      <c r="AR760" s="543">
        <f t="shared" si="243"/>
        <v>1200</v>
      </c>
      <c r="AS760" s="543"/>
      <c r="AT760" s="543">
        <f t="shared" si="240"/>
        <v>1200</v>
      </c>
      <c r="AU760" s="546"/>
      <c r="AV760" s="427"/>
      <c r="AW760" s="427"/>
      <c r="AX760" s="427"/>
      <c r="AY760" s="427"/>
      <c r="AZ760" s="543"/>
      <c r="BA760" s="543"/>
      <c r="BB760" s="427"/>
      <c r="BC760" s="427"/>
      <c r="BD760" s="543"/>
      <c r="BE760" s="543"/>
      <c r="BF760" s="427"/>
      <c r="BG760" s="427"/>
      <c r="BH760" s="427"/>
      <c r="BI760" s="427"/>
      <c r="BJ760" s="427"/>
      <c r="BK760" s="427"/>
      <c r="BL760" s="427"/>
      <c r="BM760" s="427"/>
      <c r="BN760" s="835"/>
      <c r="BO760" s="427"/>
      <c r="BP760" s="427"/>
      <c r="BQ760" s="427"/>
      <c r="BR760" s="427"/>
      <c r="BS760" s="427"/>
      <c r="BT760" s="427"/>
      <c r="BU760" s="427"/>
      <c r="BV760" s="427"/>
      <c r="BW760" s="427"/>
      <c r="BX760" s="427"/>
      <c r="BY760" s="427"/>
      <c r="BZ760" s="427"/>
      <c r="CA760" s="427"/>
      <c r="CB760" s="427"/>
      <c r="CC760" s="427"/>
      <c r="CD760" s="427"/>
      <c r="CE760" s="427"/>
      <c r="CF760" s="544"/>
      <c r="CG760" s="544"/>
      <c r="CH760" s="544"/>
      <c r="CI760" s="544"/>
      <c r="CJ760" s="544"/>
      <c r="CK760" s="427"/>
      <c r="CL760" s="427"/>
      <c r="CM760" s="427"/>
      <c r="CN760" s="544"/>
      <c r="CO760" s="544"/>
      <c r="CP760" s="544"/>
      <c r="CQ760" s="544"/>
      <c r="CR760" s="544"/>
      <c r="CS760" s="544"/>
    </row>
    <row r="761" s="431" customFormat="1" ht="31" hidden="1" customHeight="1" spans="1:97">
      <c r="A761" s="518">
        <v>45996</v>
      </c>
      <c r="B761" s="519" t="s">
        <v>1228</v>
      </c>
      <c r="C761" s="520" t="s">
        <v>841</v>
      </c>
      <c r="D761" s="427">
        <v>4500188288</v>
      </c>
      <c r="E761" s="520"/>
      <c r="F761" s="427" t="s">
        <v>2695</v>
      </c>
      <c r="G761" s="521" t="s">
        <v>64</v>
      </c>
      <c r="H761" s="520" t="s">
        <v>65</v>
      </c>
      <c r="I761" s="520">
        <v>504</v>
      </c>
      <c r="J761" s="520">
        <v>0</v>
      </c>
      <c r="K761" s="520">
        <v>12</v>
      </c>
      <c r="L761" s="804">
        <f t="shared" si="246"/>
        <v>42</v>
      </c>
      <c r="M761" s="537">
        <v>46052</v>
      </c>
      <c r="N761" s="537">
        <v>46048</v>
      </c>
      <c r="O761" s="526"/>
      <c r="P761" s="526" t="s">
        <v>103</v>
      </c>
      <c r="Q761" s="530"/>
      <c r="R761" s="530">
        <v>46021</v>
      </c>
      <c r="S761" s="533" t="s">
        <v>66</v>
      </c>
      <c r="T761" s="533" t="s">
        <v>2397</v>
      </c>
      <c r="U761" s="532"/>
      <c r="V761" s="532"/>
      <c r="W761" s="532" t="s">
        <v>2696</v>
      </c>
      <c r="X761" s="540" t="s">
        <v>853</v>
      </c>
      <c r="Y761" s="538">
        <v>4.1623</v>
      </c>
      <c r="Z761" s="808">
        <f t="shared" si="238"/>
        <v>2097.7992</v>
      </c>
      <c r="AA761" s="521"/>
      <c r="AB761" s="521" t="s">
        <v>165</v>
      </c>
      <c r="AC761" s="520" t="s">
        <v>76</v>
      </c>
      <c r="AD761" s="521"/>
      <c r="AE761" s="521"/>
      <c r="AF761" s="521" t="s">
        <v>114</v>
      </c>
      <c r="AG761" s="521">
        <v>816</v>
      </c>
      <c r="AH761" s="521">
        <f t="shared" si="241"/>
        <v>312</v>
      </c>
      <c r="AI761" s="521"/>
      <c r="AJ761" s="521" t="s">
        <v>2191</v>
      </c>
      <c r="AK761" s="543"/>
      <c r="AL761" s="543">
        <f t="shared" si="239"/>
        <v>504</v>
      </c>
      <c r="AM761" s="628"/>
      <c r="AN761" s="628"/>
      <c r="AO761" s="628"/>
      <c r="AP761" s="543"/>
      <c r="AQ761" s="543">
        <f>I761</f>
        <v>504</v>
      </c>
      <c r="AR761" s="543">
        <f t="shared" si="243"/>
        <v>504</v>
      </c>
      <c r="AS761" s="543"/>
      <c r="AT761" s="543">
        <f t="shared" si="240"/>
        <v>504</v>
      </c>
      <c r="AU761" s="546"/>
      <c r="AV761" s="427"/>
      <c r="AW761" s="427"/>
      <c r="AX761" s="427"/>
      <c r="AY761" s="427"/>
      <c r="AZ761" s="543"/>
      <c r="BA761" s="543"/>
      <c r="BB761" s="427"/>
      <c r="BC761" s="427"/>
      <c r="BD761" s="543"/>
      <c r="BE761" s="543"/>
      <c r="BF761" s="427"/>
      <c r="BG761" s="427"/>
      <c r="BH761" s="427"/>
      <c r="BI761" s="427"/>
      <c r="BJ761" s="427"/>
      <c r="BK761" s="427"/>
      <c r="BL761" s="427"/>
      <c r="BM761" s="427"/>
      <c r="BN761" s="835"/>
      <c r="BO761" s="427"/>
      <c r="BP761" s="427"/>
      <c r="BQ761" s="427"/>
      <c r="BR761" s="427"/>
      <c r="BS761" s="427"/>
      <c r="BT761" s="427"/>
      <c r="BU761" s="427"/>
      <c r="BV761" s="427"/>
      <c r="BW761" s="427"/>
      <c r="BX761" s="427"/>
      <c r="BY761" s="427"/>
      <c r="BZ761" s="427"/>
      <c r="CA761" s="427"/>
      <c r="CB761" s="427"/>
      <c r="CC761" s="427"/>
      <c r="CD761" s="427"/>
      <c r="CE761" s="427"/>
      <c r="CF761" s="544"/>
      <c r="CG761" s="544"/>
      <c r="CH761" s="544"/>
      <c r="CI761" s="544"/>
      <c r="CJ761" s="544"/>
      <c r="CK761" s="427"/>
      <c r="CL761" s="427"/>
      <c r="CM761" s="427"/>
      <c r="CN761" s="544"/>
      <c r="CO761" s="544"/>
      <c r="CP761" s="544"/>
      <c r="CQ761" s="544"/>
      <c r="CR761" s="544"/>
      <c r="CS761" s="544"/>
    </row>
    <row r="762" s="431" customFormat="1" ht="31" hidden="1" customHeight="1" spans="1:97">
      <c r="A762" s="518">
        <v>45996</v>
      </c>
      <c r="B762" s="519" t="s">
        <v>1228</v>
      </c>
      <c r="C762" s="520" t="s">
        <v>841</v>
      </c>
      <c r="D762" s="427">
        <v>4500188302</v>
      </c>
      <c r="E762" s="520"/>
      <c r="F762" s="427" t="s">
        <v>2697</v>
      </c>
      <c r="G762" s="521" t="s">
        <v>64</v>
      </c>
      <c r="H762" s="520" t="s">
        <v>65</v>
      </c>
      <c r="I762" s="520">
        <v>240</v>
      </c>
      <c r="J762" s="520">
        <v>0</v>
      </c>
      <c r="K762" s="520">
        <v>12</v>
      </c>
      <c r="L762" s="804">
        <f t="shared" si="246"/>
        <v>20</v>
      </c>
      <c r="M762" s="537">
        <v>46052</v>
      </c>
      <c r="N762" s="537">
        <v>46048</v>
      </c>
      <c r="O762" s="526"/>
      <c r="P762" s="526" t="s">
        <v>103</v>
      </c>
      <c r="Q762" s="530"/>
      <c r="R762" s="530">
        <v>46021</v>
      </c>
      <c r="S762" s="533" t="s">
        <v>66</v>
      </c>
      <c r="T762" s="533" t="s">
        <v>2397</v>
      </c>
      <c r="U762" s="532"/>
      <c r="V762" s="532"/>
      <c r="W762" s="532" t="s">
        <v>2698</v>
      </c>
      <c r="X762" s="540" t="s">
        <v>853</v>
      </c>
      <c r="Y762" s="538">
        <v>4.1185</v>
      </c>
      <c r="Z762" s="808">
        <f t="shared" si="238"/>
        <v>988.44</v>
      </c>
      <c r="AA762" s="521"/>
      <c r="AB762" s="521" t="s">
        <v>165</v>
      </c>
      <c r="AC762" s="520" t="s">
        <v>76</v>
      </c>
      <c r="AD762" s="521"/>
      <c r="AE762" s="521"/>
      <c r="AF762" s="521" t="s">
        <v>114</v>
      </c>
      <c r="AG762" s="521">
        <v>240</v>
      </c>
      <c r="AH762" s="521">
        <f t="shared" si="241"/>
        <v>0</v>
      </c>
      <c r="AI762" s="521"/>
      <c r="AJ762" s="521" t="s">
        <v>2191</v>
      </c>
      <c r="AK762" s="543"/>
      <c r="AL762" s="543">
        <f t="shared" si="239"/>
        <v>240</v>
      </c>
      <c r="AM762" s="628"/>
      <c r="AN762" s="628"/>
      <c r="AO762" s="628"/>
      <c r="AP762" s="543"/>
      <c r="AQ762" s="543">
        <f>I762</f>
        <v>240</v>
      </c>
      <c r="AR762" s="543">
        <f t="shared" si="243"/>
        <v>240</v>
      </c>
      <c r="AS762" s="543"/>
      <c r="AT762" s="543">
        <f t="shared" si="240"/>
        <v>240</v>
      </c>
      <c r="AU762" s="546"/>
      <c r="AV762" s="427"/>
      <c r="AW762" s="427"/>
      <c r="AX762" s="427"/>
      <c r="AY762" s="427"/>
      <c r="AZ762" s="543"/>
      <c r="BA762" s="543"/>
      <c r="BB762" s="427"/>
      <c r="BC762" s="427"/>
      <c r="BD762" s="543"/>
      <c r="BE762" s="543"/>
      <c r="BF762" s="427"/>
      <c r="BG762" s="427"/>
      <c r="BH762" s="427"/>
      <c r="BI762" s="427"/>
      <c r="BJ762" s="427"/>
      <c r="BK762" s="427"/>
      <c r="BL762" s="427"/>
      <c r="BM762" s="427"/>
      <c r="BN762" s="835"/>
      <c r="BO762" s="427"/>
      <c r="BP762" s="427"/>
      <c r="BQ762" s="427"/>
      <c r="BR762" s="427"/>
      <c r="BS762" s="427"/>
      <c r="BT762" s="427"/>
      <c r="BU762" s="427"/>
      <c r="BV762" s="427"/>
      <c r="BW762" s="427"/>
      <c r="BX762" s="427"/>
      <c r="BY762" s="427"/>
      <c r="BZ762" s="427"/>
      <c r="CA762" s="427"/>
      <c r="CB762" s="427"/>
      <c r="CC762" s="427"/>
      <c r="CD762" s="427"/>
      <c r="CE762" s="427"/>
      <c r="CF762" s="544"/>
      <c r="CG762" s="544"/>
      <c r="CH762" s="544"/>
      <c r="CI762" s="544"/>
      <c r="CJ762" s="544"/>
      <c r="CK762" s="427"/>
      <c r="CL762" s="427"/>
      <c r="CM762" s="427"/>
      <c r="CN762" s="544"/>
      <c r="CO762" s="544"/>
      <c r="CP762" s="544"/>
      <c r="CQ762" s="544"/>
      <c r="CR762" s="544"/>
      <c r="CS762" s="544"/>
    </row>
    <row r="763" s="431" customFormat="1" ht="31" hidden="1" customHeight="1" spans="1:97">
      <c r="A763" s="518">
        <v>46006</v>
      </c>
      <c r="B763" s="519" t="s">
        <v>1595</v>
      </c>
      <c r="C763" s="520" t="s">
        <v>139</v>
      </c>
      <c r="D763" s="427">
        <v>4500188991</v>
      </c>
      <c r="E763" s="520">
        <v>4400530454</v>
      </c>
      <c r="F763" s="427" t="s">
        <v>2699</v>
      </c>
      <c r="G763" s="521" t="s">
        <v>148</v>
      </c>
      <c r="H763" s="520" t="s">
        <v>65</v>
      </c>
      <c r="I763" s="520">
        <v>2000</v>
      </c>
      <c r="J763" s="520">
        <v>0</v>
      </c>
      <c r="K763" s="520">
        <v>8</v>
      </c>
      <c r="L763" s="804">
        <f t="shared" si="246"/>
        <v>250</v>
      </c>
      <c r="M763" s="537">
        <v>46052</v>
      </c>
      <c r="N763" s="537">
        <v>46048</v>
      </c>
      <c r="O763" s="526"/>
      <c r="P763" s="526" t="s">
        <v>103</v>
      </c>
      <c r="Q763" s="530"/>
      <c r="R763" s="530">
        <v>46007</v>
      </c>
      <c r="S763" s="533" t="s">
        <v>66</v>
      </c>
      <c r="T763" s="533" t="s">
        <v>2700</v>
      </c>
      <c r="U763" s="532" t="s">
        <v>1481</v>
      </c>
      <c r="V763" s="532"/>
      <c r="W763" s="532" t="s">
        <v>2701</v>
      </c>
      <c r="X763" s="540" t="s">
        <v>1424</v>
      </c>
      <c r="Y763" s="538">
        <v>4.2714</v>
      </c>
      <c r="Z763" s="808">
        <f t="shared" si="238"/>
        <v>8542.8</v>
      </c>
      <c r="AA763" s="521"/>
      <c r="AB763" s="521" t="s">
        <v>148</v>
      </c>
      <c r="AC763" s="520" t="s">
        <v>76</v>
      </c>
      <c r="AD763" s="521"/>
      <c r="AE763" s="521"/>
      <c r="AF763" s="521" t="s">
        <v>114</v>
      </c>
      <c r="AG763" s="521">
        <v>2000</v>
      </c>
      <c r="AH763" s="521">
        <f t="shared" si="241"/>
        <v>0</v>
      </c>
      <c r="AI763" s="521"/>
      <c r="AJ763" s="521" t="s">
        <v>2191</v>
      </c>
      <c r="AK763" s="543"/>
      <c r="AL763" s="543">
        <f t="shared" si="239"/>
        <v>2000</v>
      </c>
      <c r="AM763" s="628"/>
      <c r="AN763" s="628"/>
      <c r="AO763" s="628"/>
      <c r="AP763" s="543"/>
      <c r="AQ763" s="543"/>
      <c r="AR763" s="543"/>
      <c r="AS763" s="543"/>
      <c r="AT763" s="543">
        <f t="shared" si="240"/>
        <v>2000</v>
      </c>
      <c r="AU763" s="546"/>
      <c r="AV763" s="427"/>
      <c r="AW763" s="427"/>
      <c r="AX763" s="427"/>
      <c r="AY763" s="427"/>
      <c r="AZ763" s="543">
        <f>I763</f>
        <v>2000</v>
      </c>
      <c r="BA763" s="543">
        <f>I763</f>
        <v>2000</v>
      </c>
      <c r="BB763" s="427"/>
      <c r="BC763" s="427"/>
      <c r="BD763" s="543"/>
      <c r="BE763" s="543">
        <f>I763/4</f>
        <v>500</v>
      </c>
      <c r="BF763" s="427"/>
      <c r="BG763" s="427"/>
      <c r="BH763" s="427"/>
      <c r="BI763" s="427"/>
      <c r="BJ763" s="427"/>
      <c r="BK763" s="427"/>
      <c r="BL763" s="427"/>
      <c r="BM763" s="427"/>
      <c r="BN763" s="835"/>
      <c r="BO763" s="427"/>
      <c r="BP763" s="427"/>
      <c r="BQ763" s="427"/>
      <c r="BR763" s="427"/>
      <c r="BS763" s="427"/>
      <c r="BT763" s="427"/>
      <c r="BU763" s="427"/>
      <c r="BV763" s="427"/>
      <c r="BW763" s="427"/>
      <c r="BX763" s="427"/>
      <c r="BY763" s="427"/>
      <c r="BZ763" s="427"/>
      <c r="CA763" s="427"/>
      <c r="CB763" s="427"/>
      <c r="CC763" s="427"/>
      <c r="CD763" s="427"/>
      <c r="CE763" s="427"/>
      <c r="CF763" s="544"/>
      <c r="CG763" s="544"/>
      <c r="CH763" s="544"/>
      <c r="CI763" s="544"/>
      <c r="CJ763" s="544"/>
      <c r="CK763" s="427"/>
      <c r="CL763" s="427"/>
      <c r="CM763" s="427"/>
      <c r="CN763" s="544"/>
      <c r="CO763" s="544"/>
      <c r="CP763" s="544"/>
      <c r="CQ763" s="544"/>
      <c r="CR763" s="544"/>
      <c r="CS763" s="544"/>
    </row>
    <row r="764" s="431" customFormat="1" ht="31" hidden="1" customHeight="1" spans="1:97">
      <c r="A764" s="518">
        <v>46007</v>
      </c>
      <c r="B764" s="519" t="s">
        <v>190</v>
      </c>
      <c r="C764" s="520" t="s">
        <v>191</v>
      </c>
      <c r="D764" s="427">
        <v>4500189099</v>
      </c>
      <c r="E764" s="520" t="s">
        <v>2702</v>
      </c>
      <c r="F764" s="427" t="s">
        <v>2703</v>
      </c>
      <c r="G764" s="521" t="s">
        <v>102</v>
      </c>
      <c r="H764" s="520" t="s">
        <v>65</v>
      </c>
      <c r="I764" s="520">
        <v>1440</v>
      </c>
      <c r="J764" s="520">
        <v>0</v>
      </c>
      <c r="K764" s="520">
        <v>16</v>
      </c>
      <c r="L764" s="804">
        <f t="shared" si="246"/>
        <v>90</v>
      </c>
      <c r="M764" s="537">
        <v>46052</v>
      </c>
      <c r="N764" s="537">
        <v>46048</v>
      </c>
      <c r="O764" s="526"/>
      <c r="P764" s="526" t="s">
        <v>103</v>
      </c>
      <c r="Q764" s="530"/>
      <c r="R764" s="530">
        <v>46007</v>
      </c>
      <c r="S764" s="533" t="s">
        <v>66</v>
      </c>
      <c r="T764" s="533" t="s">
        <v>1959</v>
      </c>
      <c r="U764" s="532"/>
      <c r="V764" s="532"/>
      <c r="W764" s="532" t="s">
        <v>2704</v>
      </c>
      <c r="X764" s="540" t="s">
        <v>1663</v>
      </c>
      <c r="Y764" s="538">
        <v>4.2114</v>
      </c>
      <c r="Z764" s="808">
        <f t="shared" si="238"/>
        <v>6064.416</v>
      </c>
      <c r="AA764" s="521"/>
      <c r="AB764" s="521" t="s">
        <v>102</v>
      </c>
      <c r="AC764" s="520" t="s">
        <v>76</v>
      </c>
      <c r="AD764" s="521"/>
      <c r="AE764" s="521"/>
      <c r="AF764" s="521" t="s">
        <v>114</v>
      </c>
      <c r="AG764" s="521">
        <v>1440</v>
      </c>
      <c r="AH764" s="521">
        <f t="shared" si="241"/>
        <v>0</v>
      </c>
      <c r="AI764" s="521"/>
      <c r="AJ764" s="521" t="s">
        <v>403</v>
      </c>
      <c r="AK764" s="543"/>
      <c r="AL764" s="543">
        <f t="shared" si="239"/>
        <v>1440</v>
      </c>
      <c r="AM764" s="628"/>
      <c r="AN764" s="628"/>
      <c r="AO764" s="628"/>
      <c r="AP764" s="543">
        <f>I764</f>
        <v>1440</v>
      </c>
      <c r="AQ764" s="543"/>
      <c r="AR764" s="543">
        <f>I764</f>
        <v>1440</v>
      </c>
      <c r="AS764" s="543"/>
      <c r="AT764" s="543">
        <f t="shared" si="240"/>
        <v>1440</v>
      </c>
      <c r="AU764" s="546"/>
      <c r="AV764" s="427"/>
      <c r="AW764" s="427"/>
      <c r="AX764" s="427"/>
      <c r="AY764" s="427"/>
      <c r="AZ764" s="543"/>
      <c r="BA764" s="543"/>
      <c r="BB764" s="427"/>
      <c r="BC764" s="427"/>
      <c r="BD764" s="543">
        <f>I764/4</f>
        <v>360</v>
      </c>
      <c r="BE764" s="543"/>
      <c r="BF764" s="427"/>
      <c r="BG764" s="427"/>
      <c r="BH764" s="427"/>
      <c r="BI764" s="427"/>
      <c r="BJ764" s="427"/>
      <c r="BK764" s="427"/>
      <c r="BL764" s="427"/>
      <c r="BM764" s="427"/>
      <c r="BN764" s="835"/>
      <c r="BO764" s="427"/>
      <c r="BP764" s="427"/>
      <c r="BQ764" s="427"/>
      <c r="BR764" s="427"/>
      <c r="BS764" s="427"/>
      <c r="BT764" s="427"/>
      <c r="BU764" s="427"/>
      <c r="BV764" s="427"/>
      <c r="BW764" s="427"/>
      <c r="BX764" s="427"/>
      <c r="BY764" s="427"/>
      <c r="BZ764" s="427"/>
      <c r="CA764" s="427"/>
      <c r="CB764" s="427"/>
      <c r="CC764" s="427"/>
      <c r="CD764" s="427"/>
      <c r="CE764" s="427"/>
      <c r="CF764" s="544"/>
      <c r="CG764" s="544"/>
      <c r="CH764" s="544"/>
      <c r="CI764" s="544"/>
      <c r="CJ764" s="544"/>
      <c r="CK764" s="427"/>
      <c r="CL764" s="427"/>
      <c r="CM764" s="427"/>
      <c r="CN764" s="544"/>
      <c r="CO764" s="544"/>
      <c r="CP764" s="544"/>
      <c r="CQ764" s="544"/>
      <c r="CR764" s="544"/>
      <c r="CS764" s="544"/>
    </row>
    <row r="765" s="431" customFormat="1" ht="31" hidden="1" customHeight="1" spans="1:97">
      <c r="A765" s="518">
        <v>45971</v>
      </c>
      <c r="B765" s="519" t="s">
        <v>1514</v>
      </c>
      <c r="C765" s="520" t="s">
        <v>645</v>
      </c>
      <c r="D765" s="427">
        <v>4500189943</v>
      </c>
      <c r="E765" s="520" t="s">
        <v>2705</v>
      </c>
      <c r="F765" s="427" t="s">
        <v>2706</v>
      </c>
      <c r="G765" s="521" t="s">
        <v>102</v>
      </c>
      <c r="H765" s="520" t="s">
        <v>65</v>
      </c>
      <c r="I765" s="520">
        <v>960</v>
      </c>
      <c r="J765" s="520">
        <v>0</v>
      </c>
      <c r="K765" s="520">
        <v>16</v>
      </c>
      <c r="L765" s="804">
        <f t="shared" si="246"/>
        <v>60</v>
      </c>
      <c r="M765" s="537">
        <v>46052</v>
      </c>
      <c r="N765" s="537">
        <v>46048</v>
      </c>
      <c r="O765" s="526"/>
      <c r="P765" s="526" t="s">
        <v>103</v>
      </c>
      <c r="Q765" s="530"/>
      <c r="R765" s="530">
        <v>45971</v>
      </c>
      <c r="S765" s="533" t="s">
        <v>2707</v>
      </c>
      <c r="T765" s="533" t="s">
        <v>2708</v>
      </c>
      <c r="U765" s="532"/>
      <c r="V765" s="532"/>
      <c r="W765" s="532" t="s">
        <v>2709</v>
      </c>
      <c r="X765" s="540" t="s">
        <v>1663</v>
      </c>
      <c r="Y765" s="538">
        <v>4.3352</v>
      </c>
      <c r="Z765" s="808">
        <f t="shared" si="238"/>
        <v>4161.792</v>
      </c>
      <c r="AA765" s="521"/>
      <c r="AB765" s="521" t="s">
        <v>102</v>
      </c>
      <c r="AC765" s="520" t="s">
        <v>76</v>
      </c>
      <c r="AD765" s="521"/>
      <c r="AE765" s="521"/>
      <c r="AF765" s="521" t="s">
        <v>2400</v>
      </c>
      <c r="AG765" s="521">
        <v>960</v>
      </c>
      <c r="AH765" s="521">
        <f t="shared" si="241"/>
        <v>0</v>
      </c>
      <c r="AI765" s="521"/>
      <c r="AJ765" s="521" t="s">
        <v>2191</v>
      </c>
      <c r="AK765" s="543"/>
      <c r="AL765" s="543">
        <f t="shared" si="239"/>
        <v>960</v>
      </c>
      <c r="AM765" s="628"/>
      <c r="AN765" s="628"/>
      <c r="AO765" s="628"/>
      <c r="AP765" s="543">
        <f>I765</f>
        <v>960</v>
      </c>
      <c r="AQ765" s="543"/>
      <c r="AR765" s="543">
        <f>I765</f>
        <v>960</v>
      </c>
      <c r="AS765" s="543"/>
      <c r="AT765" s="543">
        <f t="shared" si="240"/>
        <v>960</v>
      </c>
      <c r="AU765" s="546"/>
      <c r="AV765" s="427"/>
      <c r="AW765" s="427"/>
      <c r="AX765" s="427"/>
      <c r="AY765" s="427"/>
      <c r="AZ765" s="543"/>
      <c r="BA765" s="543"/>
      <c r="BB765" s="427"/>
      <c r="BC765" s="427"/>
      <c r="BD765" s="543">
        <f>I765/4</f>
        <v>240</v>
      </c>
      <c r="BE765" s="543"/>
      <c r="BF765" s="427"/>
      <c r="BG765" s="427"/>
      <c r="BH765" s="427"/>
      <c r="BI765" s="427"/>
      <c r="BJ765" s="427"/>
      <c r="BK765" s="427"/>
      <c r="BL765" s="427"/>
      <c r="BM765" s="427"/>
      <c r="BN765" s="835"/>
      <c r="BO765" s="427"/>
      <c r="BP765" s="427"/>
      <c r="BQ765" s="427"/>
      <c r="BR765" s="427"/>
      <c r="BS765" s="427"/>
      <c r="BT765" s="427"/>
      <c r="BU765" s="427"/>
      <c r="BV765" s="427"/>
      <c r="BW765" s="427"/>
      <c r="BX765" s="427"/>
      <c r="BY765" s="427"/>
      <c r="BZ765" s="427"/>
      <c r="CA765" s="427"/>
      <c r="CB765" s="427"/>
      <c r="CC765" s="427"/>
      <c r="CD765" s="427"/>
      <c r="CE765" s="427"/>
      <c r="CF765" s="544"/>
      <c r="CG765" s="544"/>
      <c r="CH765" s="544"/>
      <c r="CI765" s="544"/>
      <c r="CJ765" s="544"/>
      <c r="CK765" s="427"/>
      <c r="CL765" s="427"/>
      <c r="CM765" s="427"/>
      <c r="CN765" s="544"/>
      <c r="CO765" s="544"/>
      <c r="CP765" s="544"/>
      <c r="CQ765" s="544"/>
      <c r="CR765" s="544"/>
      <c r="CS765" s="544"/>
    </row>
    <row r="766" s="431" customFormat="1" ht="31" hidden="1" customHeight="1" spans="1:97">
      <c r="A766" s="518">
        <v>45978</v>
      </c>
      <c r="B766" s="519" t="s">
        <v>1372</v>
      </c>
      <c r="C766" s="520" t="s">
        <v>90</v>
      </c>
      <c r="D766" s="427">
        <v>4500185934</v>
      </c>
      <c r="E766" s="890" t="s">
        <v>2710</v>
      </c>
      <c r="F766" s="427" t="s">
        <v>2711</v>
      </c>
      <c r="G766" s="521" t="s">
        <v>2431</v>
      </c>
      <c r="H766" s="520" t="s">
        <v>744</v>
      </c>
      <c r="I766" s="520">
        <v>5400</v>
      </c>
      <c r="J766" s="520">
        <v>0</v>
      </c>
      <c r="K766" s="520">
        <v>75</v>
      </c>
      <c r="L766" s="804">
        <v>72</v>
      </c>
      <c r="M766" s="537">
        <v>46052</v>
      </c>
      <c r="N766" s="537">
        <v>46048</v>
      </c>
      <c r="O766" s="526"/>
      <c r="P766" s="526" t="s">
        <v>103</v>
      </c>
      <c r="Q766" s="530"/>
      <c r="R766" s="530" t="s">
        <v>2432</v>
      </c>
      <c r="S766" s="533" t="s">
        <v>66</v>
      </c>
      <c r="T766" s="533" t="s">
        <v>66</v>
      </c>
      <c r="U766" s="532"/>
      <c r="V766" s="532"/>
      <c r="W766" s="532" t="s">
        <v>2565</v>
      </c>
      <c r="X766" s="540" t="s">
        <v>821</v>
      </c>
      <c r="Y766" s="538">
        <v>359.3436</v>
      </c>
      <c r="Z766" s="808">
        <v>25872.7392</v>
      </c>
      <c r="AA766" s="521"/>
      <c r="AB766" s="521" t="s">
        <v>1378</v>
      </c>
      <c r="AC766" s="520" t="s">
        <v>76</v>
      </c>
      <c r="AD766" s="521"/>
      <c r="AE766" s="521"/>
      <c r="AF766" s="521" t="s">
        <v>114</v>
      </c>
      <c r="AG766" s="521">
        <v>5400</v>
      </c>
      <c r="AH766" s="521">
        <f t="shared" si="241"/>
        <v>0</v>
      </c>
      <c r="AI766" s="521"/>
      <c r="AJ766" s="521"/>
      <c r="AK766" s="543"/>
      <c r="AL766" s="543"/>
      <c r="AM766" s="628">
        <f>I766</f>
        <v>5400</v>
      </c>
      <c r="AN766" s="628"/>
      <c r="AO766" s="628"/>
      <c r="AP766" s="543"/>
      <c r="AQ766" s="543"/>
      <c r="AR766" s="543"/>
      <c r="AS766" s="543"/>
      <c r="AT766" s="543"/>
      <c r="AU766" s="546"/>
      <c r="AV766" s="427"/>
      <c r="AW766" s="427">
        <f>I766</f>
        <v>5400</v>
      </c>
      <c r="AX766" s="427">
        <f>I766</f>
        <v>5400</v>
      </c>
      <c r="AY766" s="427">
        <f>I766</f>
        <v>5400</v>
      </c>
      <c r="AZ766" s="543"/>
      <c r="BA766" s="543"/>
      <c r="BB766" s="427"/>
      <c r="BC766" s="427"/>
      <c r="BD766" s="543"/>
      <c r="BE766" s="543"/>
      <c r="BF766" s="427"/>
      <c r="BG766" s="427">
        <f>I766</f>
        <v>5400</v>
      </c>
      <c r="BH766" s="427">
        <f>I766/5</f>
        <v>1080</v>
      </c>
      <c r="BI766" s="427"/>
      <c r="BJ766" s="427"/>
      <c r="BK766" s="427"/>
      <c r="BL766" s="427"/>
      <c r="BM766" s="427"/>
      <c r="BN766" s="835"/>
      <c r="BO766" s="427"/>
      <c r="BP766" s="427"/>
      <c r="BQ766" s="427"/>
      <c r="BR766" s="427"/>
      <c r="BS766" s="427"/>
      <c r="BT766" s="427"/>
      <c r="BU766" s="427"/>
      <c r="BV766" s="427"/>
      <c r="BW766" s="427"/>
      <c r="BX766" s="427"/>
      <c r="BY766" s="427"/>
      <c r="BZ766" s="427"/>
      <c r="CA766" s="427"/>
      <c r="CB766" s="427"/>
      <c r="CC766" s="427"/>
      <c r="CD766" s="427"/>
      <c r="CE766" s="427"/>
      <c r="CF766" s="544"/>
      <c r="CG766" s="544"/>
      <c r="CH766" s="544"/>
      <c r="CI766" s="544"/>
      <c r="CJ766" s="544"/>
      <c r="CK766" s="427"/>
      <c r="CL766" s="427"/>
      <c r="CM766" s="427"/>
      <c r="CN766" s="544"/>
      <c r="CO766" s="544"/>
      <c r="CP766" s="544"/>
      <c r="CQ766" s="544"/>
      <c r="CR766" s="544"/>
      <c r="CS766" s="544"/>
    </row>
    <row r="767" s="431" customFormat="1" ht="31" hidden="1" customHeight="1" spans="1:97">
      <c r="A767" s="518">
        <v>45957</v>
      </c>
      <c r="B767" s="519" t="s">
        <v>2712</v>
      </c>
      <c r="C767" s="520" t="s">
        <v>90</v>
      </c>
      <c r="D767" s="427">
        <v>4500183158</v>
      </c>
      <c r="E767" s="520">
        <v>84006705</v>
      </c>
      <c r="F767" s="427" t="s">
        <v>2713</v>
      </c>
      <c r="G767" s="521" t="s">
        <v>64</v>
      </c>
      <c r="H767" s="520" t="s">
        <v>65</v>
      </c>
      <c r="I767" s="520">
        <v>1608</v>
      </c>
      <c r="J767" s="520">
        <v>0</v>
      </c>
      <c r="K767" s="520">
        <v>12</v>
      </c>
      <c r="L767" s="804">
        <f t="shared" ref="L767:L775" si="247">I767/K767</f>
        <v>134</v>
      </c>
      <c r="M767" s="537">
        <v>46055</v>
      </c>
      <c r="N767" s="537">
        <f>M767-4</f>
        <v>46051</v>
      </c>
      <c r="O767" s="526"/>
      <c r="P767" s="526" t="s">
        <v>103</v>
      </c>
      <c r="Q767" s="530"/>
      <c r="R767" s="530">
        <v>46012</v>
      </c>
      <c r="S767" s="533" t="s">
        <v>66</v>
      </c>
      <c r="T767" s="533" t="s">
        <v>66</v>
      </c>
      <c r="U767" s="532"/>
      <c r="V767" s="532"/>
      <c r="W767" s="532" t="s">
        <v>2714</v>
      </c>
      <c r="X767" s="540" t="s">
        <v>1178</v>
      </c>
      <c r="Y767" s="538">
        <v>2.4974</v>
      </c>
      <c r="Z767" s="808">
        <f>Y767*I767</f>
        <v>4015.8192</v>
      </c>
      <c r="AA767" s="521"/>
      <c r="AB767" s="521" t="s">
        <v>64</v>
      </c>
      <c r="AC767" s="520" t="s">
        <v>76</v>
      </c>
      <c r="AD767" s="521"/>
      <c r="AE767" s="521"/>
      <c r="AF767" s="521" t="s">
        <v>114</v>
      </c>
      <c r="AG767" s="521">
        <f>864+744</f>
        <v>1608</v>
      </c>
      <c r="AH767" s="521">
        <f t="shared" si="241"/>
        <v>0</v>
      </c>
      <c r="AI767" s="521"/>
      <c r="AJ767" s="521"/>
      <c r="AK767" s="543"/>
      <c r="AL767" s="543">
        <f t="shared" ref="AL767:AL775" si="248">I767</f>
        <v>1608</v>
      </c>
      <c r="AM767" s="628"/>
      <c r="AN767" s="628"/>
      <c r="AO767" s="628"/>
      <c r="AP767" s="543">
        <f>I767</f>
        <v>1608</v>
      </c>
      <c r="AQ767" s="543"/>
      <c r="AR767" s="543">
        <f t="shared" ref="AR767:AR775" si="249">I767</f>
        <v>1608</v>
      </c>
      <c r="AS767" s="543"/>
      <c r="AT767" s="543">
        <f t="shared" ref="AT767:AT777" si="250">I767</f>
        <v>1608</v>
      </c>
      <c r="AU767" s="546"/>
      <c r="AV767" s="427"/>
      <c r="AW767" s="427"/>
      <c r="AX767" s="427"/>
      <c r="AY767" s="427"/>
      <c r="AZ767" s="543"/>
      <c r="BA767" s="543"/>
      <c r="BB767" s="427"/>
      <c r="BC767" s="427"/>
      <c r="BD767" s="543"/>
      <c r="BE767" s="543"/>
      <c r="BF767" s="427"/>
      <c r="BG767" s="427"/>
      <c r="BH767" s="427"/>
      <c r="BI767" s="427"/>
      <c r="BJ767" s="427"/>
      <c r="BK767" s="427"/>
      <c r="BL767" s="427"/>
      <c r="BM767" s="427"/>
      <c r="BN767" s="835"/>
      <c r="BO767" s="427"/>
      <c r="BP767" s="427"/>
      <c r="BQ767" s="427"/>
      <c r="BR767" s="427"/>
      <c r="BS767" s="427"/>
      <c r="BT767" s="427"/>
      <c r="BU767" s="427"/>
      <c r="BV767" s="427"/>
      <c r="BW767" s="427"/>
      <c r="BX767" s="427"/>
      <c r="BY767" s="427"/>
      <c r="BZ767" s="427"/>
      <c r="CA767" s="427"/>
      <c r="CB767" s="427"/>
      <c r="CC767" s="427"/>
      <c r="CD767" s="427"/>
      <c r="CE767" s="427"/>
      <c r="CF767" s="544"/>
      <c r="CG767" s="544"/>
      <c r="CH767" s="544"/>
      <c r="CI767" s="544"/>
      <c r="CJ767" s="544"/>
      <c r="CK767" s="427"/>
      <c r="CL767" s="427"/>
      <c r="CM767" s="427"/>
      <c r="CN767" s="544"/>
      <c r="CO767" s="544"/>
      <c r="CP767" s="544"/>
      <c r="CQ767" s="544"/>
      <c r="CR767" s="544"/>
      <c r="CS767" s="544"/>
    </row>
    <row r="768" s="431" customFormat="1" ht="31" hidden="1" customHeight="1" spans="1:97">
      <c r="A768" s="518">
        <v>45957</v>
      </c>
      <c r="B768" s="519" t="s">
        <v>2712</v>
      </c>
      <c r="C768" s="520" t="s">
        <v>90</v>
      </c>
      <c r="D768" s="427">
        <v>4500183158</v>
      </c>
      <c r="E768" s="520">
        <v>84006706</v>
      </c>
      <c r="F768" s="427" t="s">
        <v>2715</v>
      </c>
      <c r="G768" s="521" t="s">
        <v>64</v>
      </c>
      <c r="H768" s="520" t="s">
        <v>65</v>
      </c>
      <c r="I768" s="520">
        <v>132</v>
      </c>
      <c r="J768" s="520">
        <v>0</v>
      </c>
      <c r="K768" s="520">
        <v>12</v>
      </c>
      <c r="L768" s="804">
        <f t="shared" si="247"/>
        <v>11</v>
      </c>
      <c r="M768" s="537">
        <v>46055</v>
      </c>
      <c r="N768" s="537">
        <f>M768-4</f>
        <v>46051</v>
      </c>
      <c r="O768" s="526"/>
      <c r="P768" s="526" t="s">
        <v>103</v>
      </c>
      <c r="Q768" s="530"/>
      <c r="R768" s="530">
        <v>46012</v>
      </c>
      <c r="S768" s="533" t="s">
        <v>66</v>
      </c>
      <c r="T768" s="533" t="s">
        <v>66</v>
      </c>
      <c r="U768" s="532"/>
      <c r="V768" s="532"/>
      <c r="W768" s="532" t="s">
        <v>2714</v>
      </c>
      <c r="X768" s="540" t="s">
        <v>1178</v>
      </c>
      <c r="Y768" s="538">
        <v>2.4973</v>
      </c>
      <c r="Z768" s="808">
        <f>Y768*I768</f>
        <v>329.6436</v>
      </c>
      <c r="AA768" s="521"/>
      <c r="AB768" s="521" t="s">
        <v>64</v>
      </c>
      <c r="AC768" s="520" t="s">
        <v>76</v>
      </c>
      <c r="AD768" s="521"/>
      <c r="AE768" s="521"/>
      <c r="AF768" s="521" t="s">
        <v>114</v>
      </c>
      <c r="AG768" s="521">
        <v>132</v>
      </c>
      <c r="AH768" s="521">
        <f t="shared" si="241"/>
        <v>0</v>
      </c>
      <c r="AI768" s="521"/>
      <c r="AJ768" s="521"/>
      <c r="AK768" s="543"/>
      <c r="AL768" s="543">
        <f t="shared" si="248"/>
        <v>132</v>
      </c>
      <c r="AM768" s="628"/>
      <c r="AN768" s="628"/>
      <c r="AO768" s="628"/>
      <c r="AP768" s="543">
        <f>I768</f>
        <v>132</v>
      </c>
      <c r="AQ768" s="543"/>
      <c r="AR768" s="543">
        <f t="shared" si="249"/>
        <v>132</v>
      </c>
      <c r="AS768" s="543"/>
      <c r="AT768" s="543">
        <f t="shared" si="250"/>
        <v>132</v>
      </c>
      <c r="AU768" s="546"/>
      <c r="AV768" s="427"/>
      <c r="AW768" s="427"/>
      <c r="AX768" s="427"/>
      <c r="AY768" s="427"/>
      <c r="AZ768" s="543"/>
      <c r="BA768" s="543"/>
      <c r="BB768" s="427"/>
      <c r="BC768" s="427"/>
      <c r="BD768" s="543"/>
      <c r="BE768" s="543"/>
      <c r="BF768" s="427"/>
      <c r="BG768" s="427"/>
      <c r="BH768" s="427"/>
      <c r="BI768" s="427"/>
      <c r="BJ768" s="427"/>
      <c r="BK768" s="427"/>
      <c r="BL768" s="427"/>
      <c r="BM768" s="427"/>
      <c r="BN768" s="835"/>
      <c r="BO768" s="427"/>
      <c r="BP768" s="427"/>
      <c r="BQ768" s="427"/>
      <c r="BR768" s="427"/>
      <c r="BS768" s="427"/>
      <c r="BT768" s="427"/>
      <c r="BU768" s="427"/>
      <c r="BV768" s="427"/>
      <c r="BW768" s="427"/>
      <c r="BX768" s="427"/>
      <c r="BY768" s="427"/>
      <c r="BZ768" s="427"/>
      <c r="CA768" s="427"/>
      <c r="CB768" s="427"/>
      <c r="CC768" s="427"/>
      <c r="CD768" s="427"/>
      <c r="CE768" s="427"/>
      <c r="CF768" s="544"/>
      <c r="CG768" s="544"/>
      <c r="CH768" s="544"/>
      <c r="CI768" s="544"/>
      <c r="CJ768" s="544"/>
      <c r="CK768" s="427"/>
      <c r="CL768" s="427"/>
      <c r="CM768" s="427"/>
      <c r="CN768" s="544"/>
      <c r="CO768" s="544"/>
      <c r="CP768" s="544"/>
      <c r="CQ768" s="544"/>
      <c r="CR768" s="544"/>
      <c r="CS768" s="544"/>
    </row>
    <row r="769" s="431" customFormat="1" ht="31" hidden="1" customHeight="1" spans="1:97">
      <c r="A769" s="518">
        <v>46008</v>
      </c>
      <c r="B769" s="519" t="s">
        <v>932</v>
      </c>
      <c r="C769" s="520" t="s">
        <v>356</v>
      </c>
      <c r="D769" s="427">
        <v>4500189267</v>
      </c>
      <c r="E769" s="520"/>
      <c r="F769" s="427" t="s">
        <v>2716</v>
      </c>
      <c r="G769" s="521" t="s">
        <v>64</v>
      </c>
      <c r="H769" s="520" t="s">
        <v>65</v>
      </c>
      <c r="I769" s="520">
        <v>480</v>
      </c>
      <c r="J769" s="520">
        <v>0</v>
      </c>
      <c r="K769" s="520">
        <v>12</v>
      </c>
      <c r="L769" s="804">
        <f t="shared" si="247"/>
        <v>40</v>
      </c>
      <c r="M769" s="537">
        <v>46055</v>
      </c>
      <c r="N769" s="537">
        <f>M769-4</f>
        <v>46051</v>
      </c>
      <c r="O769" s="526"/>
      <c r="P769" s="526" t="s">
        <v>103</v>
      </c>
      <c r="Q769" s="530"/>
      <c r="R769" s="530">
        <v>46008</v>
      </c>
      <c r="S769" s="533" t="s">
        <v>66</v>
      </c>
      <c r="T769" s="533" t="s">
        <v>2717</v>
      </c>
      <c r="U769" s="532"/>
      <c r="V769" s="532"/>
      <c r="W769" s="532" t="s">
        <v>2718</v>
      </c>
      <c r="X769" s="540" t="s">
        <v>395</v>
      </c>
      <c r="Y769" s="538">
        <v>4.1623</v>
      </c>
      <c r="Z769" s="808">
        <f>Y769*I769</f>
        <v>1997.904</v>
      </c>
      <c r="AA769" s="521"/>
      <c r="AB769" s="521" t="s">
        <v>165</v>
      </c>
      <c r="AC769" s="520" t="s">
        <v>76</v>
      </c>
      <c r="AD769" s="521"/>
      <c r="AE769" s="521"/>
      <c r="AF769" s="521" t="s">
        <v>114</v>
      </c>
      <c r="AG769" s="521">
        <v>480</v>
      </c>
      <c r="AH769" s="521">
        <f t="shared" si="241"/>
        <v>0</v>
      </c>
      <c r="AI769" s="521"/>
      <c r="AJ769" s="521" t="s">
        <v>2191</v>
      </c>
      <c r="AK769" s="543"/>
      <c r="AL769" s="543">
        <f t="shared" si="248"/>
        <v>480</v>
      </c>
      <c r="AM769" s="628"/>
      <c r="AN769" s="628"/>
      <c r="AO769" s="628"/>
      <c r="AP769" s="543"/>
      <c r="AQ769" s="543">
        <f>I769</f>
        <v>480</v>
      </c>
      <c r="AR769" s="543">
        <f t="shared" si="249"/>
        <v>480</v>
      </c>
      <c r="AS769" s="543"/>
      <c r="AT769" s="543">
        <f t="shared" si="250"/>
        <v>480</v>
      </c>
      <c r="AU769" s="546"/>
      <c r="AV769" s="427"/>
      <c r="AW769" s="427"/>
      <c r="AX769" s="427"/>
      <c r="AY769" s="427"/>
      <c r="AZ769" s="543"/>
      <c r="BA769" s="543"/>
      <c r="BB769" s="427"/>
      <c r="BC769" s="427"/>
      <c r="BD769" s="543"/>
      <c r="BE769" s="543"/>
      <c r="BF769" s="427"/>
      <c r="BG769" s="427"/>
      <c r="BH769" s="427"/>
      <c r="BI769" s="427"/>
      <c r="BJ769" s="427"/>
      <c r="BK769" s="427"/>
      <c r="BL769" s="427"/>
      <c r="BM769" s="427"/>
      <c r="BN769" s="835"/>
      <c r="BO769" s="427"/>
      <c r="BP769" s="427"/>
      <c r="BQ769" s="427"/>
      <c r="BR769" s="427"/>
      <c r="BS769" s="427"/>
      <c r="BT769" s="427"/>
      <c r="BU769" s="427"/>
      <c r="BV769" s="427"/>
      <c r="BW769" s="427"/>
      <c r="BX769" s="427"/>
      <c r="BY769" s="427"/>
      <c r="BZ769" s="427"/>
      <c r="CA769" s="427"/>
      <c r="CB769" s="427"/>
      <c r="CC769" s="427"/>
      <c r="CD769" s="427"/>
      <c r="CE769" s="427"/>
      <c r="CF769" s="544"/>
      <c r="CG769" s="544"/>
      <c r="CH769" s="544"/>
      <c r="CI769" s="544"/>
      <c r="CJ769" s="544"/>
      <c r="CK769" s="427"/>
      <c r="CL769" s="427"/>
      <c r="CM769" s="427"/>
      <c r="CN769" s="544"/>
      <c r="CO769" s="544"/>
      <c r="CP769" s="544"/>
      <c r="CQ769" s="544"/>
      <c r="CR769" s="544"/>
      <c r="CS769" s="544"/>
    </row>
    <row r="770" s="431" customFormat="1" ht="31" hidden="1" customHeight="1" spans="1:97">
      <c r="A770" s="518">
        <v>46015</v>
      </c>
      <c r="B770" s="519" t="s">
        <v>1051</v>
      </c>
      <c r="C770" s="520" t="s">
        <v>153</v>
      </c>
      <c r="D770" s="427">
        <v>4500189941</v>
      </c>
      <c r="E770" s="520" t="s">
        <v>2719</v>
      </c>
      <c r="F770" s="427" t="s">
        <v>2720</v>
      </c>
      <c r="G770" s="521" t="s">
        <v>64</v>
      </c>
      <c r="H770" s="520" t="s">
        <v>65</v>
      </c>
      <c r="I770" s="520">
        <v>120</v>
      </c>
      <c r="J770" s="520">
        <v>0</v>
      </c>
      <c r="K770" s="520">
        <v>12</v>
      </c>
      <c r="L770" s="804">
        <f t="shared" si="247"/>
        <v>10</v>
      </c>
      <c r="M770" s="537">
        <v>46055</v>
      </c>
      <c r="N770" s="537">
        <f>M770-4</f>
        <v>46051</v>
      </c>
      <c r="O770" s="526"/>
      <c r="P770" s="526" t="s">
        <v>103</v>
      </c>
      <c r="Q770" s="530"/>
      <c r="R770" s="530">
        <v>46027</v>
      </c>
      <c r="S770" s="533" t="s">
        <v>66</v>
      </c>
      <c r="T770" s="533">
        <v>46017</v>
      </c>
      <c r="U770" s="532"/>
      <c r="V770" s="532"/>
      <c r="W770" s="532" t="s">
        <v>2721</v>
      </c>
      <c r="X770" s="540" t="s">
        <v>1055</v>
      </c>
      <c r="Y770" s="538">
        <v>4.1623</v>
      </c>
      <c r="Z770" s="808">
        <f>Y770*I770</f>
        <v>499.476</v>
      </c>
      <c r="AA770" s="521"/>
      <c r="AB770" s="521" t="s">
        <v>165</v>
      </c>
      <c r="AC770" s="520" t="s">
        <v>76</v>
      </c>
      <c r="AD770" s="521"/>
      <c r="AE770" s="521"/>
      <c r="AF770" s="521" t="s">
        <v>114</v>
      </c>
      <c r="AG770" s="521">
        <v>120</v>
      </c>
      <c r="AH770" s="521">
        <f t="shared" si="241"/>
        <v>0</v>
      </c>
      <c r="AI770" s="521"/>
      <c r="AJ770" s="521" t="s">
        <v>2191</v>
      </c>
      <c r="AK770" s="543"/>
      <c r="AL770" s="543">
        <f t="shared" si="248"/>
        <v>120</v>
      </c>
      <c r="AM770" s="628"/>
      <c r="AN770" s="628"/>
      <c r="AO770" s="628"/>
      <c r="AP770" s="543"/>
      <c r="AQ770" s="543">
        <f>I770</f>
        <v>120</v>
      </c>
      <c r="AR770" s="543">
        <f t="shared" si="249"/>
        <v>120</v>
      </c>
      <c r="AS770" s="543"/>
      <c r="AT770" s="543">
        <f t="shared" si="250"/>
        <v>120</v>
      </c>
      <c r="AU770" s="546"/>
      <c r="AV770" s="427"/>
      <c r="AW770" s="427"/>
      <c r="AX770" s="427"/>
      <c r="AY770" s="427"/>
      <c r="AZ770" s="543"/>
      <c r="BA770" s="543"/>
      <c r="BB770" s="427"/>
      <c r="BC770" s="427"/>
      <c r="BD770" s="543"/>
      <c r="BE770" s="543"/>
      <c r="BF770" s="427"/>
      <c r="BG770" s="427"/>
      <c r="BH770" s="427"/>
      <c r="BI770" s="427"/>
      <c r="BJ770" s="427"/>
      <c r="BK770" s="427"/>
      <c r="BL770" s="427"/>
      <c r="BM770" s="427"/>
      <c r="BN770" s="835"/>
      <c r="BO770" s="427"/>
      <c r="BP770" s="427"/>
      <c r="BQ770" s="427"/>
      <c r="BR770" s="427"/>
      <c r="BS770" s="427"/>
      <c r="BT770" s="427"/>
      <c r="BU770" s="427"/>
      <c r="BV770" s="427"/>
      <c r="BW770" s="427"/>
      <c r="BX770" s="427"/>
      <c r="BY770" s="427"/>
      <c r="BZ770" s="427"/>
      <c r="CA770" s="427"/>
      <c r="CB770" s="427"/>
      <c r="CC770" s="427"/>
      <c r="CD770" s="427"/>
      <c r="CE770" s="427"/>
      <c r="CF770" s="544"/>
      <c r="CG770" s="544"/>
      <c r="CH770" s="544"/>
      <c r="CI770" s="544"/>
      <c r="CJ770" s="544"/>
      <c r="CK770" s="427"/>
      <c r="CL770" s="427"/>
      <c r="CM770" s="427"/>
      <c r="CN770" s="544"/>
      <c r="CO770" s="544"/>
      <c r="CP770" s="544"/>
      <c r="CQ770" s="544"/>
      <c r="CR770" s="544"/>
      <c r="CS770" s="544"/>
    </row>
    <row r="771" s="424" customFormat="1" ht="31" hidden="1" customHeight="1" spans="1:97">
      <c r="A771" s="633">
        <v>46006</v>
      </c>
      <c r="B771" s="497" t="s">
        <v>535</v>
      </c>
      <c r="C771" s="634" t="s">
        <v>90</v>
      </c>
      <c r="D771" s="432">
        <v>4500188692</v>
      </c>
      <c r="E771" s="635">
        <v>4836737</v>
      </c>
      <c r="F771" s="432" t="s">
        <v>2722</v>
      </c>
      <c r="G771" s="482" t="s">
        <v>2723</v>
      </c>
      <c r="H771" s="635" t="s">
        <v>455</v>
      </c>
      <c r="I771" s="635">
        <v>900</v>
      </c>
      <c r="J771" s="635">
        <v>0</v>
      </c>
      <c r="K771" s="635">
        <v>18</v>
      </c>
      <c r="L771" s="842">
        <f t="shared" si="247"/>
        <v>50</v>
      </c>
      <c r="M771" s="679">
        <v>46051</v>
      </c>
      <c r="N771" s="679">
        <v>46048</v>
      </c>
      <c r="O771" s="678"/>
      <c r="P771" s="482"/>
      <c r="Q771" s="647"/>
      <c r="R771" s="647">
        <v>46006</v>
      </c>
      <c r="S771" s="683" t="s">
        <v>66</v>
      </c>
      <c r="T771" s="683" t="s">
        <v>66</v>
      </c>
      <c r="U771" s="508"/>
      <c r="V771" s="508"/>
      <c r="W771" s="508" t="s">
        <v>2724</v>
      </c>
      <c r="X771" s="651" t="s">
        <v>279</v>
      </c>
      <c r="Y771" s="687">
        <v>108.436</v>
      </c>
      <c r="Z771" s="688">
        <f>Y771*L771</f>
        <v>5421.8</v>
      </c>
      <c r="AA771" s="482"/>
      <c r="AB771" s="635" t="s">
        <v>2725</v>
      </c>
      <c r="AC771" s="635" t="s">
        <v>76</v>
      </c>
      <c r="AD771" s="482"/>
      <c r="AE771" s="482"/>
      <c r="AF771" s="482" t="s">
        <v>114</v>
      </c>
      <c r="AG771" s="482">
        <v>900</v>
      </c>
      <c r="AH771" s="793">
        <f t="shared" si="241"/>
        <v>0</v>
      </c>
      <c r="AI771" s="482"/>
      <c r="AJ771" s="482"/>
      <c r="AK771" s="656"/>
      <c r="AL771" s="656">
        <f t="shared" si="248"/>
        <v>900</v>
      </c>
      <c r="AM771" s="658"/>
      <c r="AN771" s="658"/>
      <c r="AO771" s="658"/>
      <c r="AP771" s="656">
        <f>I771</f>
        <v>900</v>
      </c>
      <c r="AQ771" s="656"/>
      <c r="AR771" s="656">
        <f t="shared" si="249"/>
        <v>900</v>
      </c>
      <c r="AS771" s="656"/>
      <c r="AT771" s="777">
        <f t="shared" si="250"/>
        <v>900</v>
      </c>
      <c r="AU771" s="662"/>
      <c r="AV771" s="432"/>
      <c r="AW771" s="432"/>
      <c r="AX771" s="432"/>
      <c r="AY771" s="432"/>
      <c r="AZ771" s="656"/>
      <c r="BA771" s="656"/>
      <c r="BB771" s="432"/>
      <c r="BC771" s="432"/>
      <c r="BD771" s="656"/>
      <c r="BE771" s="656"/>
      <c r="BF771" s="432"/>
      <c r="BG771" s="432"/>
      <c r="BH771" s="432"/>
      <c r="BI771" s="432"/>
      <c r="BJ771" s="432"/>
      <c r="BK771" s="432"/>
      <c r="BL771" s="432"/>
      <c r="BM771" s="432"/>
      <c r="BN771" s="871"/>
      <c r="BO771" s="432"/>
      <c r="BP771" s="432"/>
      <c r="BQ771" s="432"/>
      <c r="BR771" s="432"/>
      <c r="BS771" s="432"/>
      <c r="BT771" s="432"/>
      <c r="BU771" s="432"/>
      <c r="BV771" s="432"/>
      <c r="BW771" s="432"/>
      <c r="BX771" s="432"/>
      <c r="BY771" s="432"/>
      <c r="BZ771" s="432"/>
      <c r="CA771" s="432"/>
      <c r="CB771" s="432"/>
      <c r="CC771" s="432"/>
      <c r="CD771" s="432"/>
      <c r="CE771" s="432"/>
      <c r="CF771" s="660"/>
      <c r="CG771" s="660"/>
      <c r="CH771" s="660"/>
      <c r="CI771" s="660"/>
      <c r="CJ771" s="660"/>
      <c r="CK771" s="432"/>
      <c r="CL771" s="432"/>
      <c r="CM771" s="432"/>
      <c r="CN771" s="660"/>
      <c r="CO771" s="660"/>
      <c r="CP771" s="660"/>
      <c r="CQ771" s="660"/>
      <c r="CR771" s="660"/>
      <c r="CS771" s="660"/>
    </row>
    <row r="772" s="424" customFormat="1" ht="31" hidden="1" customHeight="1" spans="1:97">
      <c r="A772" s="633">
        <v>45985</v>
      </c>
      <c r="B772" s="497" t="s">
        <v>2726</v>
      </c>
      <c r="C772" s="635" t="s">
        <v>90</v>
      </c>
      <c r="D772" s="432">
        <v>4500186641</v>
      </c>
      <c r="E772" s="635" t="s">
        <v>2727</v>
      </c>
      <c r="F772" s="432" t="s">
        <v>2728</v>
      </c>
      <c r="G772" s="482" t="s">
        <v>64</v>
      </c>
      <c r="H772" s="635" t="s">
        <v>65</v>
      </c>
      <c r="I772" s="635">
        <v>15000</v>
      </c>
      <c r="J772" s="635">
        <v>0</v>
      </c>
      <c r="K772" s="635">
        <v>12</v>
      </c>
      <c r="L772" s="842">
        <f t="shared" si="247"/>
        <v>1250</v>
      </c>
      <c r="M772" s="679">
        <v>46052</v>
      </c>
      <c r="N772" s="679">
        <v>46048</v>
      </c>
      <c r="O772" s="641"/>
      <c r="P772" s="482"/>
      <c r="Q772" s="647"/>
      <c r="R772" s="647">
        <v>45992</v>
      </c>
      <c r="S772" s="683" t="s">
        <v>66</v>
      </c>
      <c r="T772" s="683" t="s">
        <v>2729</v>
      </c>
      <c r="U772" s="508"/>
      <c r="V772" s="508"/>
      <c r="W772" s="508" t="s">
        <v>2730</v>
      </c>
      <c r="X772" s="651" t="s">
        <v>1261</v>
      </c>
      <c r="Y772" s="687">
        <v>2.491</v>
      </c>
      <c r="Z772" s="688">
        <f t="shared" ref="Z772:Z778" si="251">Y772*I772</f>
        <v>37365</v>
      </c>
      <c r="AA772" s="482"/>
      <c r="AB772" s="656" t="s">
        <v>64</v>
      </c>
      <c r="AC772" s="635" t="s">
        <v>76</v>
      </c>
      <c r="AD772" s="482"/>
      <c r="AE772" s="482"/>
      <c r="AF772" s="482" t="s">
        <v>114</v>
      </c>
      <c r="AG772" s="482">
        <f>4320+10680</f>
        <v>15000</v>
      </c>
      <c r="AH772" s="793">
        <f t="shared" si="241"/>
        <v>0</v>
      </c>
      <c r="AI772" s="482"/>
      <c r="AJ772" s="482" t="s">
        <v>2191</v>
      </c>
      <c r="AK772" s="656"/>
      <c r="AL772" s="656">
        <f t="shared" si="248"/>
        <v>15000</v>
      </c>
      <c r="AM772" s="658"/>
      <c r="AN772" s="658"/>
      <c r="AO772" s="658"/>
      <c r="AP772" s="568">
        <f>I772</f>
        <v>15000</v>
      </c>
      <c r="AQ772" s="656"/>
      <c r="AR772" s="794">
        <f t="shared" si="249"/>
        <v>15000</v>
      </c>
      <c r="AS772" s="656"/>
      <c r="AT772" s="777">
        <f t="shared" si="250"/>
        <v>15000</v>
      </c>
      <c r="AU772" s="662"/>
      <c r="AV772" s="432"/>
      <c r="AW772" s="432"/>
      <c r="AX772" s="432"/>
      <c r="AY772" s="432"/>
      <c r="AZ772" s="656"/>
      <c r="BA772" s="656"/>
      <c r="BB772" s="432"/>
      <c r="BC772" s="432"/>
      <c r="BD772" s="656"/>
      <c r="BE772" s="656"/>
      <c r="BF772" s="432"/>
      <c r="BG772" s="432"/>
      <c r="BH772" s="432"/>
      <c r="BI772" s="432"/>
      <c r="BJ772" s="432"/>
      <c r="BK772" s="432"/>
      <c r="BL772" s="432"/>
      <c r="BM772" s="432"/>
      <c r="BN772" s="871"/>
      <c r="BO772" s="432"/>
      <c r="BP772" s="432"/>
      <c r="BQ772" s="432"/>
      <c r="BR772" s="432"/>
      <c r="BS772" s="432"/>
      <c r="BT772" s="432"/>
      <c r="BU772" s="432"/>
      <c r="BV772" s="432"/>
      <c r="BW772" s="432"/>
      <c r="BX772" s="432"/>
      <c r="BY772" s="432"/>
      <c r="BZ772" s="432"/>
      <c r="CA772" s="432"/>
      <c r="CB772" s="432"/>
      <c r="CC772" s="432"/>
      <c r="CD772" s="432"/>
      <c r="CE772" s="432"/>
      <c r="CF772" s="660"/>
      <c r="CG772" s="660"/>
      <c r="CH772" s="660"/>
      <c r="CI772" s="660"/>
      <c r="CJ772" s="660"/>
      <c r="CK772" s="432"/>
      <c r="CL772" s="432"/>
      <c r="CM772" s="432"/>
      <c r="CN772" s="660"/>
      <c r="CO772" s="660"/>
      <c r="CP772" s="660"/>
      <c r="CQ772" s="660"/>
      <c r="CR772" s="660"/>
      <c r="CS772" s="660"/>
    </row>
    <row r="773" s="424" customFormat="1" ht="31" hidden="1" customHeight="1" spans="1:97">
      <c r="A773" s="633">
        <v>45995</v>
      </c>
      <c r="B773" s="497" t="s">
        <v>754</v>
      </c>
      <c r="C773" s="635" t="s">
        <v>356</v>
      </c>
      <c r="D773" s="432">
        <v>4500188053</v>
      </c>
      <c r="E773" s="635" t="s">
        <v>2688</v>
      </c>
      <c r="F773" s="432" t="s">
        <v>2731</v>
      </c>
      <c r="G773" s="482" t="s">
        <v>463</v>
      </c>
      <c r="H773" s="635" t="s">
        <v>424</v>
      </c>
      <c r="I773" s="638">
        <v>2532</v>
      </c>
      <c r="J773" s="635">
        <v>0</v>
      </c>
      <c r="K773" s="635">
        <v>6</v>
      </c>
      <c r="L773" s="842">
        <f t="shared" si="247"/>
        <v>422</v>
      </c>
      <c r="M773" s="679">
        <v>46052</v>
      </c>
      <c r="N773" s="679">
        <v>46048</v>
      </c>
      <c r="O773" s="641"/>
      <c r="P773" s="482"/>
      <c r="Q773" s="647" t="s">
        <v>2690</v>
      </c>
      <c r="R773" s="647">
        <v>46009</v>
      </c>
      <c r="S773" s="857" t="s">
        <v>66</v>
      </c>
      <c r="T773" s="857" t="s">
        <v>66</v>
      </c>
      <c r="U773" s="683"/>
      <c r="V773" s="508"/>
      <c r="W773" s="649" t="s">
        <v>2732</v>
      </c>
      <c r="X773" s="651" t="s">
        <v>395</v>
      </c>
      <c r="Y773" s="687">
        <v>6.7112</v>
      </c>
      <c r="Z773" s="688">
        <f t="shared" si="251"/>
        <v>16992.7584</v>
      </c>
      <c r="AA773" s="482"/>
      <c r="AB773" s="482" t="s">
        <v>427</v>
      </c>
      <c r="AC773" s="635" t="s">
        <v>76</v>
      </c>
      <c r="AD773" s="482"/>
      <c r="AE773" s="482"/>
      <c r="AF773" s="482" t="s">
        <v>114</v>
      </c>
      <c r="AG773" s="482">
        <f>2268+264</f>
        <v>2532</v>
      </c>
      <c r="AH773" s="793">
        <f t="shared" si="241"/>
        <v>0</v>
      </c>
      <c r="AI773" s="482"/>
      <c r="AJ773" s="482"/>
      <c r="AK773" s="656"/>
      <c r="AL773" s="656">
        <f t="shared" si="248"/>
        <v>2532</v>
      </c>
      <c r="AM773" s="656"/>
      <c r="AN773" s="656"/>
      <c r="AO773" s="432"/>
      <c r="AP773" s="656"/>
      <c r="AQ773" s="656">
        <f>I773</f>
        <v>2532</v>
      </c>
      <c r="AR773" s="794">
        <f t="shared" si="249"/>
        <v>2532</v>
      </c>
      <c r="AS773" s="656"/>
      <c r="AT773" s="777">
        <f t="shared" si="250"/>
        <v>2532</v>
      </c>
      <c r="AU773" s="662"/>
      <c r="AV773" s="432"/>
      <c r="AW773" s="432"/>
      <c r="AX773" s="432"/>
      <c r="AY773" s="432"/>
      <c r="AZ773" s="656"/>
      <c r="BA773" s="656"/>
      <c r="BB773" s="432"/>
      <c r="BC773" s="432"/>
      <c r="BD773" s="656"/>
      <c r="BE773" s="656"/>
      <c r="BF773" s="432"/>
      <c r="BG773" s="656"/>
      <c r="BH773" s="656"/>
      <c r="BI773" s="432"/>
      <c r="BJ773" s="432">
        <f>I773</f>
        <v>2532</v>
      </c>
      <c r="BK773" s="432"/>
      <c r="BL773" s="432"/>
      <c r="BM773" s="432"/>
      <c r="BN773" s="871"/>
      <c r="BO773" s="432"/>
      <c r="BP773" s="432"/>
      <c r="BQ773" s="432"/>
      <c r="BR773" s="432"/>
      <c r="BS773" s="432"/>
      <c r="BT773" s="432"/>
      <c r="BU773" s="432"/>
      <c r="BV773" s="432"/>
      <c r="BW773" s="432"/>
      <c r="BX773" s="432"/>
      <c r="BY773" s="432"/>
      <c r="BZ773" s="432"/>
      <c r="CA773" s="432"/>
      <c r="CB773" s="432"/>
      <c r="CC773" s="432"/>
      <c r="CD773" s="432"/>
      <c r="CE773" s="432"/>
      <c r="CF773" s="660"/>
      <c r="CG773" s="660"/>
      <c r="CH773" s="660"/>
      <c r="CI773" s="660"/>
      <c r="CJ773" s="660"/>
      <c r="CK773" s="432"/>
      <c r="CL773" s="432"/>
      <c r="CM773" s="432"/>
      <c r="CN773" s="660"/>
      <c r="CO773" s="660"/>
      <c r="CP773" s="660"/>
      <c r="CQ773" s="660"/>
      <c r="CR773" s="660"/>
      <c r="CS773" s="660"/>
    </row>
    <row r="774" s="424" customFormat="1" ht="31" hidden="1" customHeight="1" spans="1:97">
      <c r="A774" s="633">
        <v>46007</v>
      </c>
      <c r="B774" s="497" t="s">
        <v>190</v>
      </c>
      <c r="C774" s="634" t="s">
        <v>191</v>
      </c>
      <c r="D774" s="432">
        <v>4500189099</v>
      </c>
      <c r="E774" s="635" t="s">
        <v>2702</v>
      </c>
      <c r="F774" s="432" t="s">
        <v>2733</v>
      </c>
      <c r="G774" s="482" t="s">
        <v>463</v>
      </c>
      <c r="H774" s="635" t="s">
        <v>424</v>
      </c>
      <c r="I774" s="635">
        <v>720</v>
      </c>
      <c r="J774" s="635">
        <v>0</v>
      </c>
      <c r="K774" s="635">
        <v>6</v>
      </c>
      <c r="L774" s="842">
        <f t="shared" si="247"/>
        <v>120</v>
      </c>
      <c r="M774" s="679">
        <v>46052</v>
      </c>
      <c r="N774" s="679">
        <v>46048</v>
      </c>
      <c r="O774" s="678"/>
      <c r="P774" s="482"/>
      <c r="Q774" s="647"/>
      <c r="R774" s="647">
        <v>46007</v>
      </c>
      <c r="S774" s="857" t="s">
        <v>66</v>
      </c>
      <c r="T774" s="683" t="s">
        <v>2734</v>
      </c>
      <c r="U774" s="683"/>
      <c r="V774" s="508"/>
      <c r="W774" s="508" t="s">
        <v>2735</v>
      </c>
      <c r="X774" s="651" t="s">
        <v>1663</v>
      </c>
      <c r="Y774" s="687">
        <v>7.0456</v>
      </c>
      <c r="Z774" s="688">
        <f t="shared" si="251"/>
        <v>5072.832</v>
      </c>
      <c r="AA774" s="482"/>
      <c r="AB774" s="509" t="s">
        <v>1203</v>
      </c>
      <c r="AC774" s="635" t="s">
        <v>76</v>
      </c>
      <c r="AD774" s="482"/>
      <c r="AE774" s="482"/>
      <c r="AF774" s="482" t="s">
        <v>114</v>
      </c>
      <c r="AG774" s="482">
        <v>720</v>
      </c>
      <c r="AH774" s="793">
        <f t="shared" si="241"/>
        <v>0</v>
      </c>
      <c r="AI774" s="482"/>
      <c r="AJ774" s="482" t="s">
        <v>403</v>
      </c>
      <c r="AK774" s="656"/>
      <c r="AL774" s="656">
        <f t="shared" si="248"/>
        <v>720</v>
      </c>
      <c r="AM774" s="432"/>
      <c r="AN774" s="656"/>
      <c r="AO774" s="432"/>
      <c r="AP774" s="656">
        <f>I774</f>
        <v>720</v>
      </c>
      <c r="AQ774" s="868"/>
      <c r="AR774" s="794">
        <f t="shared" si="249"/>
        <v>720</v>
      </c>
      <c r="AS774" s="656"/>
      <c r="AT774" s="777">
        <f t="shared" si="250"/>
        <v>720</v>
      </c>
      <c r="AU774" s="662"/>
      <c r="AV774" s="432"/>
      <c r="AW774" s="432"/>
      <c r="AX774" s="432"/>
      <c r="AY774" s="432"/>
      <c r="AZ774" s="656"/>
      <c r="BA774" s="656"/>
      <c r="BB774" s="432"/>
      <c r="BC774" s="432"/>
      <c r="BD774" s="656"/>
      <c r="BE774" s="656"/>
      <c r="BF774" s="432"/>
      <c r="BG774" s="432"/>
      <c r="BH774" s="432"/>
      <c r="BI774" s="432"/>
      <c r="BJ774" s="432">
        <f>I774</f>
        <v>720</v>
      </c>
      <c r="BK774" s="432"/>
      <c r="BL774" s="432"/>
      <c r="BM774" s="432"/>
      <c r="BN774" s="871"/>
      <c r="BO774" s="432"/>
      <c r="BP774" s="432"/>
      <c r="BQ774" s="432"/>
      <c r="BR774" s="432"/>
      <c r="BS774" s="432"/>
      <c r="BT774" s="432"/>
      <c r="BU774" s="432"/>
      <c r="BV774" s="432"/>
      <c r="BW774" s="432"/>
      <c r="BX774" s="432"/>
      <c r="BY774" s="432"/>
      <c r="BZ774" s="432"/>
      <c r="CA774" s="432"/>
      <c r="CB774" s="432"/>
      <c r="CC774" s="432"/>
      <c r="CD774" s="432"/>
      <c r="CE774" s="432"/>
      <c r="CF774" s="660"/>
      <c r="CG774" s="660"/>
      <c r="CH774" s="660"/>
      <c r="CI774" s="660"/>
      <c r="CJ774" s="660"/>
      <c r="CK774" s="432"/>
      <c r="CL774" s="432"/>
      <c r="CM774" s="432"/>
      <c r="CN774" s="660"/>
      <c r="CO774" s="660"/>
      <c r="CP774" s="660"/>
      <c r="CQ774" s="660"/>
      <c r="CR774" s="660"/>
      <c r="CS774" s="660"/>
    </row>
    <row r="775" s="424" customFormat="1" ht="31" hidden="1" customHeight="1" spans="1:97">
      <c r="A775" s="633">
        <v>46042</v>
      </c>
      <c r="B775" s="497" t="s">
        <v>754</v>
      </c>
      <c r="C775" s="635" t="s">
        <v>356</v>
      </c>
      <c r="D775" s="432">
        <v>4500188053</v>
      </c>
      <c r="E775" s="635" t="s">
        <v>2688</v>
      </c>
      <c r="F775" s="432" t="s">
        <v>2736</v>
      </c>
      <c r="G775" s="482" t="s">
        <v>463</v>
      </c>
      <c r="H775" s="635" t="s">
        <v>424</v>
      </c>
      <c r="I775" s="635">
        <v>24</v>
      </c>
      <c r="J775" s="635">
        <v>0</v>
      </c>
      <c r="K775" s="635">
        <v>6</v>
      </c>
      <c r="L775" s="842">
        <f t="shared" si="247"/>
        <v>4</v>
      </c>
      <c r="M775" s="679">
        <v>46052</v>
      </c>
      <c r="N775" s="679">
        <v>46048</v>
      </c>
      <c r="O775" s="641"/>
      <c r="P775" s="482"/>
      <c r="Q775" s="647" t="s">
        <v>2690</v>
      </c>
      <c r="R775" s="647">
        <v>46009</v>
      </c>
      <c r="S775" s="857" t="s">
        <v>66</v>
      </c>
      <c r="T775" s="857" t="s">
        <v>66</v>
      </c>
      <c r="U775" s="683"/>
      <c r="V775" s="508"/>
      <c r="W775" s="649" t="s">
        <v>2732</v>
      </c>
      <c r="X775" s="651" t="s">
        <v>395</v>
      </c>
      <c r="Y775" s="687">
        <v>6.7112</v>
      </c>
      <c r="Z775" s="688">
        <f t="shared" si="251"/>
        <v>161.0688</v>
      </c>
      <c r="AA775" s="482"/>
      <c r="AB775" s="482" t="s">
        <v>427</v>
      </c>
      <c r="AC775" s="635" t="s">
        <v>76</v>
      </c>
      <c r="AD775" s="482"/>
      <c r="AE775" s="482"/>
      <c r="AF775" s="482"/>
      <c r="AG775" s="482">
        <v>24</v>
      </c>
      <c r="AH775" s="793">
        <f t="shared" si="241"/>
        <v>0</v>
      </c>
      <c r="AI775" s="482"/>
      <c r="AJ775" s="482"/>
      <c r="AK775" s="656"/>
      <c r="AL775" s="656">
        <f t="shared" si="248"/>
        <v>24</v>
      </c>
      <c r="AM775" s="656"/>
      <c r="AN775" s="656"/>
      <c r="AO775" s="432"/>
      <c r="AP775" s="656"/>
      <c r="AQ775" s="656">
        <f>I775</f>
        <v>24</v>
      </c>
      <c r="AR775" s="794">
        <f t="shared" si="249"/>
        <v>24</v>
      </c>
      <c r="AS775" s="656"/>
      <c r="AT775" s="777">
        <f t="shared" si="250"/>
        <v>24</v>
      </c>
      <c r="AU775" s="662"/>
      <c r="AV775" s="432"/>
      <c r="AW775" s="432"/>
      <c r="AX775" s="432"/>
      <c r="AY775" s="432"/>
      <c r="AZ775" s="656"/>
      <c r="BA775" s="656"/>
      <c r="BB775" s="432"/>
      <c r="BC775" s="432"/>
      <c r="BD775" s="656"/>
      <c r="BE775" s="656"/>
      <c r="BF775" s="432"/>
      <c r="BG775" s="568"/>
      <c r="BH775" s="568"/>
      <c r="BI775" s="432"/>
      <c r="BJ775" s="432">
        <f>I775</f>
        <v>24</v>
      </c>
      <c r="BK775" s="432"/>
      <c r="BL775" s="432"/>
      <c r="BM775" s="432"/>
      <c r="BN775" s="871"/>
      <c r="BO775" s="432"/>
      <c r="BP775" s="432"/>
      <c r="BQ775" s="432"/>
      <c r="BR775" s="432"/>
      <c r="BS775" s="432"/>
      <c r="BT775" s="432"/>
      <c r="BU775" s="432"/>
      <c r="BV775" s="432"/>
      <c r="BW775" s="432"/>
      <c r="BX775" s="432"/>
      <c r="BY775" s="432"/>
      <c r="BZ775" s="432"/>
      <c r="CA775" s="432"/>
      <c r="CB775" s="432"/>
      <c r="CC775" s="432"/>
      <c r="CD775" s="432"/>
      <c r="CE775" s="432"/>
      <c r="CF775" s="660"/>
      <c r="CG775" s="660"/>
      <c r="CH775" s="660"/>
      <c r="CI775" s="660"/>
      <c r="CJ775" s="660"/>
      <c r="CK775" s="432"/>
      <c r="CL775" s="432"/>
      <c r="CM775" s="432"/>
      <c r="CN775" s="660"/>
      <c r="CO775" s="660"/>
      <c r="CP775" s="660"/>
      <c r="CQ775" s="660"/>
      <c r="CR775" s="660"/>
      <c r="CS775" s="660"/>
    </row>
    <row r="776" s="424" customFormat="1" ht="31" hidden="1" customHeight="1" spans="1:97">
      <c r="A776" s="633">
        <v>46010</v>
      </c>
      <c r="B776" s="497" t="s">
        <v>220</v>
      </c>
      <c r="C776" s="635" t="s">
        <v>90</v>
      </c>
      <c r="D776" s="432">
        <v>4500189432</v>
      </c>
      <c r="E776" s="635" t="s">
        <v>2737</v>
      </c>
      <c r="F776" s="432" t="s">
        <v>2738</v>
      </c>
      <c r="G776" s="482" t="s">
        <v>223</v>
      </c>
      <c r="H776" s="635" t="s">
        <v>224</v>
      </c>
      <c r="I776" s="635">
        <v>10000</v>
      </c>
      <c r="J776" s="635">
        <v>0</v>
      </c>
      <c r="K776" s="635">
        <v>4</v>
      </c>
      <c r="L776" s="842">
        <f t="shared" ref="L772:L792" si="252">I776/K776</f>
        <v>2500</v>
      </c>
      <c r="M776" s="680">
        <v>46056</v>
      </c>
      <c r="N776" s="680">
        <f>M776-4</f>
        <v>46052</v>
      </c>
      <c r="O776" s="678"/>
      <c r="P776" s="482"/>
      <c r="Q776" s="647"/>
      <c r="R776" s="647">
        <v>46387</v>
      </c>
      <c r="S776" s="683" t="s">
        <v>96</v>
      </c>
      <c r="T776" s="683" t="s">
        <v>2739</v>
      </c>
      <c r="U776" s="683"/>
      <c r="V776" s="508"/>
      <c r="W776" s="508" t="s">
        <v>2518</v>
      </c>
      <c r="X776" s="650" t="s">
        <v>226</v>
      </c>
      <c r="Y776" s="687">
        <v>2.7832</v>
      </c>
      <c r="Z776" s="688">
        <f t="shared" si="251"/>
        <v>27832</v>
      </c>
      <c r="AA776" s="482"/>
      <c r="AB776" s="656" t="s">
        <v>223</v>
      </c>
      <c r="AC776" s="635" t="s">
        <v>76</v>
      </c>
      <c r="AD776" s="482"/>
      <c r="AE776" s="482"/>
      <c r="AF776" s="482" t="s">
        <v>114</v>
      </c>
      <c r="AG776" s="482">
        <f>8164+1320+516</f>
        <v>10000</v>
      </c>
      <c r="AH776" s="482">
        <f t="shared" ref="AH772:AH791" si="253">AG776-I776</f>
        <v>0</v>
      </c>
      <c r="AI776" s="482"/>
      <c r="AJ776" s="482" t="s">
        <v>2191</v>
      </c>
      <c r="AK776" s="656"/>
      <c r="AL776" s="656"/>
      <c r="AM776" s="656"/>
      <c r="AN776" s="656">
        <f>I776</f>
        <v>10000</v>
      </c>
      <c r="AO776" s="432"/>
      <c r="AP776" s="656"/>
      <c r="AQ776" s="656"/>
      <c r="AR776" s="656"/>
      <c r="AS776" s="656"/>
      <c r="AT776" s="656">
        <f t="shared" si="250"/>
        <v>10000</v>
      </c>
      <c r="AU776" s="662"/>
      <c r="AV776" s="432"/>
      <c r="AW776" s="432"/>
      <c r="AX776" s="432"/>
      <c r="AY776" s="432"/>
      <c r="AZ776" s="656"/>
      <c r="BA776" s="656"/>
      <c r="BB776" s="432">
        <f>I776</f>
        <v>10000</v>
      </c>
      <c r="BC776" s="432">
        <f>I776</f>
        <v>10000</v>
      </c>
      <c r="BD776" s="656">
        <f>I776/4</f>
        <v>2500</v>
      </c>
      <c r="BE776" s="656"/>
      <c r="BF776" s="432"/>
      <c r="BG776" s="656"/>
      <c r="BH776" s="656"/>
      <c r="BI776" s="432"/>
      <c r="BJ776" s="432"/>
      <c r="BK776" s="432"/>
      <c r="BL776" s="432"/>
      <c r="BM776" s="432"/>
      <c r="BN776" s="871"/>
      <c r="BO776" s="432"/>
      <c r="BP776" s="432"/>
      <c r="BQ776" s="432"/>
      <c r="BR776" s="432"/>
      <c r="BS776" s="432"/>
      <c r="BT776" s="432"/>
      <c r="BU776" s="432"/>
      <c r="BV776" s="432"/>
      <c r="BW776" s="432"/>
      <c r="BX776" s="432"/>
      <c r="BY776" s="432"/>
      <c r="BZ776" s="432"/>
      <c r="CA776" s="432"/>
      <c r="CB776" s="432"/>
      <c r="CC776" s="432"/>
      <c r="CD776" s="432"/>
      <c r="CE776" s="432"/>
      <c r="CF776" s="660"/>
      <c r="CG776" s="660"/>
      <c r="CH776" s="660"/>
      <c r="CI776" s="660"/>
      <c r="CJ776" s="660"/>
      <c r="CK776" s="432"/>
      <c r="CL776" s="432"/>
      <c r="CM776" s="432"/>
      <c r="CN776" s="660"/>
      <c r="CO776" s="660"/>
      <c r="CP776" s="660"/>
      <c r="CQ776" s="660"/>
      <c r="CR776" s="660"/>
      <c r="CS776" s="660"/>
    </row>
    <row r="777" s="424" customFormat="1" ht="31" hidden="1" customHeight="1" spans="1:97">
      <c r="A777" s="633">
        <v>45989</v>
      </c>
      <c r="B777" s="497" t="s">
        <v>220</v>
      </c>
      <c r="C777" s="635" t="s">
        <v>90</v>
      </c>
      <c r="D777" s="432">
        <v>4500187341</v>
      </c>
      <c r="E777" s="635" t="s">
        <v>2740</v>
      </c>
      <c r="F777" s="432" t="s">
        <v>2741</v>
      </c>
      <c r="G777" s="482" t="s">
        <v>223</v>
      </c>
      <c r="H777" s="635" t="s">
        <v>224</v>
      </c>
      <c r="I777" s="638">
        <v>4000</v>
      </c>
      <c r="J777" s="635">
        <v>0</v>
      </c>
      <c r="K777" s="635">
        <v>4</v>
      </c>
      <c r="L777" s="842">
        <f t="shared" si="252"/>
        <v>1000</v>
      </c>
      <c r="M777" s="680">
        <v>46056</v>
      </c>
      <c r="N777" s="680">
        <f>M777-4</f>
        <v>46052</v>
      </c>
      <c r="O777" s="641"/>
      <c r="P777" s="482"/>
      <c r="Q777" s="647"/>
      <c r="R777" s="647">
        <v>46387</v>
      </c>
      <c r="S777" s="683" t="s">
        <v>96</v>
      </c>
      <c r="T777" s="683">
        <v>46037</v>
      </c>
      <c r="U777" s="683"/>
      <c r="V777" s="508"/>
      <c r="W777" s="508" t="s">
        <v>2518</v>
      </c>
      <c r="X777" s="651" t="s">
        <v>226</v>
      </c>
      <c r="Y777" s="687">
        <v>2.7734</v>
      </c>
      <c r="Z777" s="688">
        <f t="shared" si="251"/>
        <v>11093.6</v>
      </c>
      <c r="AA777" s="482"/>
      <c r="AB777" s="656" t="s">
        <v>223</v>
      </c>
      <c r="AC777" s="635" t="s">
        <v>76</v>
      </c>
      <c r="AD777" s="482"/>
      <c r="AE777" s="482"/>
      <c r="AF777" s="482" t="s">
        <v>114</v>
      </c>
      <c r="AG777" s="482">
        <f>2880+1116+4</f>
        <v>4000</v>
      </c>
      <c r="AH777" s="482">
        <f t="shared" si="253"/>
        <v>0</v>
      </c>
      <c r="AI777" s="482"/>
      <c r="AJ777" s="482" t="s">
        <v>2191</v>
      </c>
      <c r="AK777" s="656"/>
      <c r="AL777" s="656"/>
      <c r="AM777" s="656"/>
      <c r="AN777" s="656">
        <f>I777</f>
        <v>4000</v>
      </c>
      <c r="AO777" s="432"/>
      <c r="AP777" s="656"/>
      <c r="AQ777" s="656"/>
      <c r="AR777" s="656"/>
      <c r="AS777" s="656"/>
      <c r="AT777" s="656">
        <f t="shared" si="250"/>
        <v>4000</v>
      </c>
      <c r="AU777" s="662"/>
      <c r="AV777" s="432"/>
      <c r="AW777" s="432"/>
      <c r="AX777" s="432"/>
      <c r="AY777" s="432"/>
      <c r="AZ777" s="656"/>
      <c r="BA777" s="656"/>
      <c r="BB777" s="432">
        <f>I777</f>
        <v>4000</v>
      </c>
      <c r="BC777" s="432">
        <f>I777</f>
        <v>4000</v>
      </c>
      <c r="BD777" s="656">
        <f>I777/4</f>
        <v>1000</v>
      </c>
      <c r="BE777" s="656"/>
      <c r="BF777" s="432"/>
      <c r="BG777" s="656"/>
      <c r="BH777" s="656"/>
      <c r="BI777" s="432"/>
      <c r="BJ777" s="432"/>
      <c r="BK777" s="432"/>
      <c r="BL777" s="432"/>
      <c r="BM777" s="432"/>
      <c r="BN777" s="871"/>
      <c r="BO777" s="432"/>
      <c r="BP777" s="432"/>
      <c r="BQ777" s="432"/>
      <c r="BR777" s="432"/>
      <c r="BS777" s="432"/>
      <c r="BT777" s="432"/>
      <c r="BU777" s="432"/>
      <c r="BV777" s="432"/>
      <c r="BW777" s="432"/>
      <c r="BX777" s="432"/>
      <c r="BY777" s="432"/>
      <c r="BZ777" s="432"/>
      <c r="CA777" s="432"/>
      <c r="CB777" s="432"/>
      <c r="CC777" s="432"/>
      <c r="CD777" s="432"/>
      <c r="CE777" s="432"/>
      <c r="CF777" s="660"/>
      <c r="CG777" s="660"/>
      <c r="CH777" s="660"/>
      <c r="CI777" s="660"/>
      <c r="CJ777" s="660"/>
      <c r="CK777" s="432"/>
      <c r="CL777" s="432"/>
      <c r="CM777" s="432"/>
      <c r="CN777" s="660"/>
      <c r="CO777" s="660"/>
      <c r="CP777" s="660"/>
      <c r="CQ777" s="660"/>
      <c r="CR777" s="660"/>
      <c r="CS777" s="660"/>
    </row>
    <row r="778" s="424" customFormat="1" ht="31" hidden="1" customHeight="1" spans="1:97">
      <c r="A778" s="633">
        <v>46010</v>
      </c>
      <c r="B778" s="497" t="s">
        <v>1669</v>
      </c>
      <c r="C778" s="635" t="s">
        <v>663</v>
      </c>
      <c r="D778" s="432">
        <v>4500188895</v>
      </c>
      <c r="E778" s="635">
        <v>5000002083</v>
      </c>
      <c r="F778" s="432" t="s">
        <v>2742</v>
      </c>
      <c r="G778" s="482" t="s">
        <v>118</v>
      </c>
      <c r="H778" s="635" t="s">
        <v>119</v>
      </c>
      <c r="I778" s="635">
        <v>660</v>
      </c>
      <c r="J778" s="635">
        <v>0</v>
      </c>
      <c r="K778" s="635">
        <v>6</v>
      </c>
      <c r="L778" s="842">
        <f t="shared" si="252"/>
        <v>110</v>
      </c>
      <c r="M778" s="680">
        <v>46056</v>
      </c>
      <c r="N778" s="644">
        <v>46051</v>
      </c>
      <c r="O778" s="678"/>
      <c r="P778" s="482"/>
      <c r="Q778" s="647"/>
      <c r="R778" s="647" t="s">
        <v>443</v>
      </c>
      <c r="S778" s="683" t="s">
        <v>96</v>
      </c>
      <c r="T778" s="683" t="s">
        <v>2743</v>
      </c>
      <c r="U778" s="683"/>
      <c r="V778" s="508"/>
      <c r="W778" s="508" t="s">
        <v>2744</v>
      </c>
      <c r="X778" s="651" t="s">
        <v>1674</v>
      </c>
      <c r="Y778" s="687">
        <v>4.1743</v>
      </c>
      <c r="Z778" s="688">
        <f t="shared" si="251"/>
        <v>2755.038</v>
      </c>
      <c r="AA778" s="482"/>
      <c r="AB778" s="656" t="s">
        <v>2047</v>
      </c>
      <c r="AC778" s="635" t="s">
        <v>76</v>
      </c>
      <c r="AD778" s="482"/>
      <c r="AE778" s="482"/>
      <c r="AF778" s="482" t="s">
        <v>114</v>
      </c>
      <c r="AG778" s="482">
        <v>660</v>
      </c>
      <c r="AH778" s="482">
        <f t="shared" si="253"/>
        <v>0</v>
      </c>
      <c r="AI778" s="482"/>
      <c r="AJ778" s="482" t="s">
        <v>2191</v>
      </c>
      <c r="AK778" s="656"/>
      <c r="AL778" s="656">
        <f t="shared" ref="AL778:AL783" si="254">I778</f>
        <v>660</v>
      </c>
      <c r="AM778" s="656"/>
      <c r="AN778" s="656"/>
      <c r="AO778" s="432"/>
      <c r="AP778" s="794">
        <f>I778</f>
        <v>660</v>
      </c>
      <c r="AQ778" s="656"/>
      <c r="AR778" s="794"/>
      <c r="AS778" s="656">
        <f>I778</f>
        <v>660</v>
      </c>
      <c r="AT778" s="777"/>
      <c r="AU778" s="869">
        <f>I778</f>
        <v>660</v>
      </c>
      <c r="AV778" s="432"/>
      <c r="AW778" s="432"/>
      <c r="AX778" s="432"/>
      <c r="AY778" s="432"/>
      <c r="AZ778" s="656"/>
      <c r="BA778" s="656"/>
      <c r="BB778" s="432"/>
      <c r="BC778" s="432"/>
      <c r="BD778" s="656"/>
      <c r="BE778" s="656"/>
      <c r="BF778" s="432"/>
      <c r="BG778" s="656"/>
      <c r="BH778" s="656"/>
      <c r="BI778" s="432"/>
      <c r="BJ778" s="432"/>
      <c r="BK778" s="432"/>
      <c r="BL778" s="432"/>
      <c r="BM778" s="432"/>
      <c r="BN778" s="871"/>
      <c r="BO778" s="432"/>
      <c r="BP778" s="432"/>
      <c r="BQ778" s="432"/>
      <c r="BR778" s="432"/>
      <c r="BS778" s="432"/>
      <c r="BT778" s="432"/>
      <c r="BU778" s="432"/>
      <c r="BV778" s="432"/>
      <c r="BW778" s="432"/>
      <c r="BX778" s="432"/>
      <c r="BY778" s="432"/>
      <c r="BZ778" s="432"/>
      <c r="CA778" s="432"/>
      <c r="CB778" s="432"/>
      <c r="CC778" s="432"/>
      <c r="CD778" s="432"/>
      <c r="CE778" s="432"/>
      <c r="CF778" s="660"/>
      <c r="CG778" s="660"/>
      <c r="CH778" s="660"/>
      <c r="CI778" s="660"/>
      <c r="CJ778" s="660"/>
      <c r="CK778" s="432"/>
      <c r="CL778" s="432"/>
      <c r="CM778" s="432"/>
      <c r="CN778" s="660"/>
      <c r="CO778" s="660"/>
      <c r="CP778" s="660"/>
      <c r="CQ778" s="660"/>
      <c r="CR778" s="660"/>
      <c r="CS778" s="660"/>
    </row>
    <row r="779" s="424" customFormat="1" ht="31" hidden="1" customHeight="1" spans="1:97">
      <c r="A779" s="633">
        <v>46010</v>
      </c>
      <c r="B779" s="497" t="s">
        <v>1669</v>
      </c>
      <c r="C779" s="635" t="s">
        <v>663</v>
      </c>
      <c r="D779" s="432">
        <v>4500188895</v>
      </c>
      <c r="E779" s="635">
        <v>5000002083</v>
      </c>
      <c r="F779" s="432" t="s">
        <v>2745</v>
      </c>
      <c r="G779" s="482" t="s">
        <v>463</v>
      </c>
      <c r="H779" s="635" t="s">
        <v>424</v>
      </c>
      <c r="I779" s="482">
        <v>1200</v>
      </c>
      <c r="J779" s="482">
        <v>0</v>
      </c>
      <c r="K779" s="482">
        <v>6</v>
      </c>
      <c r="L779" s="639">
        <f t="shared" si="252"/>
        <v>200</v>
      </c>
      <c r="M779" s="680">
        <v>46056</v>
      </c>
      <c r="N779" s="680">
        <v>46051</v>
      </c>
      <c r="O779" s="678"/>
      <c r="P779" s="482"/>
      <c r="Q779" s="647"/>
      <c r="R779" s="647" t="s">
        <v>443</v>
      </c>
      <c r="S779" s="683" t="s">
        <v>96</v>
      </c>
      <c r="T779" s="683" t="s">
        <v>2746</v>
      </c>
      <c r="U779" s="683"/>
      <c r="V779" s="508"/>
      <c r="W779" s="508" t="s">
        <v>2747</v>
      </c>
      <c r="X779" s="651" t="s">
        <v>1674</v>
      </c>
      <c r="Y779" s="648">
        <v>6.7154</v>
      </c>
      <c r="Z779" s="651">
        <f>Y779*K779</f>
        <v>40.2924</v>
      </c>
      <c r="AA779" s="482"/>
      <c r="AB779" s="653" t="s">
        <v>2069</v>
      </c>
      <c r="AC779" s="654" t="s">
        <v>76</v>
      </c>
      <c r="AD779" s="482"/>
      <c r="AE779" s="482"/>
      <c r="AF779" s="482" t="s">
        <v>114</v>
      </c>
      <c r="AG779" s="482">
        <v>1200</v>
      </c>
      <c r="AH779" s="793">
        <f t="shared" si="253"/>
        <v>0</v>
      </c>
      <c r="AI779" s="482"/>
      <c r="AJ779" s="482" t="s">
        <v>2191</v>
      </c>
      <c r="AK779" s="656"/>
      <c r="AL779" s="656">
        <f t="shared" si="254"/>
        <v>1200</v>
      </c>
      <c r="AM779" s="656"/>
      <c r="AN779" s="656"/>
      <c r="AO779" s="432"/>
      <c r="AP779" s="794">
        <f>I779</f>
        <v>1200</v>
      </c>
      <c r="AQ779" s="656"/>
      <c r="AR779" s="656"/>
      <c r="AS779" s="656">
        <f>I779</f>
        <v>1200</v>
      </c>
      <c r="AT779" s="656"/>
      <c r="AU779" s="869">
        <f>I779</f>
        <v>1200</v>
      </c>
      <c r="AV779" s="432"/>
      <c r="AW779" s="432"/>
      <c r="AX779" s="432"/>
      <c r="AY779" s="432"/>
      <c r="AZ779" s="656"/>
      <c r="BA779" s="656"/>
      <c r="BB779" s="432"/>
      <c r="BC779" s="432"/>
      <c r="BD779" s="656"/>
      <c r="BE779" s="656"/>
      <c r="BF779" s="432"/>
      <c r="BG779" s="656"/>
      <c r="BH779" s="656"/>
      <c r="BI779" s="432"/>
      <c r="BJ779" s="432">
        <f>I779</f>
        <v>1200</v>
      </c>
      <c r="BK779" s="432"/>
      <c r="BL779" s="432"/>
      <c r="BM779" s="432"/>
      <c r="BN779" s="871"/>
      <c r="BO779" s="432"/>
      <c r="BP779" s="432"/>
      <c r="BQ779" s="432"/>
      <c r="BR779" s="432"/>
      <c r="BS779" s="432"/>
      <c r="BT779" s="432"/>
      <c r="BU779" s="432"/>
      <c r="BV779" s="432"/>
      <c r="BW779" s="432"/>
      <c r="BX779" s="432"/>
      <c r="BY779" s="432"/>
      <c r="BZ779" s="432"/>
      <c r="CA779" s="432"/>
      <c r="CB779" s="432"/>
      <c r="CC779" s="432"/>
      <c r="CD779" s="432"/>
      <c r="CE779" s="432"/>
      <c r="CF779" s="660"/>
      <c r="CG779" s="660"/>
      <c r="CH779" s="660"/>
      <c r="CI779" s="660"/>
      <c r="CJ779" s="660"/>
      <c r="CK779" s="432"/>
      <c r="CL779" s="432"/>
      <c r="CM779" s="432"/>
      <c r="CN779" s="660"/>
      <c r="CO779" s="660"/>
      <c r="CP779" s="660"/>
      <c r="CQ779" s="660"/>
      <c r="CR779" s="660"/>
      <c r="CS779" s="660"/>
    </row>
    <row r="780" s="424" customFormat="1" ht="31" hidden="1" customHeight="1" spans="1:97">
      <c r="A780" s="633">
        <v>46015</v>
      </c>
      <c r="B780" s="497" t="s">
        <v>1669</v>
      </c>
      <c r="C780" s="635" t="s">
        <v>663</v>
      </c>
      <c r="D780" s="432">
        <v>4500188895</v>
      </c>
      <c r="E780" s="635">
        <v>5000002083</v>
      </c>
      <c r="F780" s="432" t="s">
        <v>2748</v>
      </c>
      <c r="G780" s="482" t="s">
        <v>463</v>
      </c>
      <c r="H780" s="635" t="s">
        <v>424</v>
      </c>
      <c r="I780" s="482">
        <v>3000</v>
      </c>
      <c r="J780" s="482">
        <v>0</v>
      </c>
      <c r="K780" s="482">
        <v>6</v>
      </c>
      <c r="L780" s="639">
        <f t="shared" si="252"/>
        <v>500</v>
      </c>
      <c r="M780" s="680">
        <v>46056</v>
      </c>
      <c r="N780" s="680">
        <v>46051</v>
      </c>
      <c r="O780" s="641"/>
      <c r="P780" s="482"/>
      <c r="Q780" s="647"/>
      <c r="R780" s="647" t="s">
        <v>443</v>
      </c>
      <c r="S780" s="683" t="s">
        <v>96</v>
      </c>
      <c r="T780" s="683" t="s">
        <v>2067</v>
      </c>
      <c r="U780" s="683"/>
      <c r="V780" s="508"/>
      <c r="W780" s="508" t="s">
        <v>2749</v>
      </c>
      <c r="X780" s="651" t="s">
        <v>1674</v>
      </c>
      <c r="Y780" s="648">
        <v>6.4053</v>
      </c>
      <c r="Z780" s="651">
        <f>Y780*I780</f>
        <v>19215.9</v>
      </c>
      <c r="AA780" s="482"/>
      <c r="AB780" s="653" t="s">
        <v>2069</v>
      </c>
      <c r="AC780" s="482" t="s">
        <v>76</v>
      </c>
      <c r="AD780" s="482"/>
      <c r="AE780" s="482"/>
      <c r="AF780" s="482" t="s">
        <v>114</v>
      </c>
      <c r="AG780" s="482">
        <v>3000</v>
      </c>
      <c r="AH780" s="793">
        <f t="shared" si="253"/>
        <v>0</v>
      </c>
      <c r="AI780" s="482"/>
      <c r="AJ780" s="482" t="s">
        <v>2191</v>
      </c>
      <c r="AK780" s="656"/>
      <c r="AL780" s="656">
        <f t="shared" si="254"/>
        <v>3000</v>
      </c>
      <c r="AM780" s="656"/>
      <c r="AN780" s="656"/>
      <c r="AO780" s="432"/>
      <c r="AP780" s="794">
        <f>I780</f>
        <v>3000</v>
      </c>
      <c r="AQ780" s="656"/>
      <c r="AR780" s="656"/>
      <c r="AS780" s="656">
        <f t="shared" ref="AS780:AS782" si="255">I780</f>
        <v>3000</v>
      </c>
      <c r="AT780" s="656"/>
      <c r="AU780" s="869">
        <f t="shared" ref="AU780:AU782" si="256">I780</f>
        <v>3000</v>
      </c>
      <c r="AV780" s="432"/>
      <c r="AW780" s="432"/>
      <c r="AX780" s="432"/>
      <c r="AY780" s="432"/>
      <c r="AZ780" s="656"/>
      <c r="BA780" s="656"/>
      <c r="BB780" s="432"/>
      <c r="BC780" s="432"/>
      <c r="BD780" s="656"/>
      <c r="BE780" s="656"/>
      <c r="BF780" s="432"/>
      <c r="BG780" s="656"/>
      <c r="BH780" s="656"/>
      <c r="BI780" s="432"/>
      <c r="BJ780" s="432">
        <f>I780</f>
        <v>3000</v>
      </c>
      <c r="BK780" s="432"/>
      <c r="BL780" s="432"/>
      <c r="BM780" s="432"/>
      <c r="BN780" s="871"/>
      <c r="BO780" s="432"/>
      <c r="BP780" s="432"/>
      <c r="BQ780" s="432"/>
      <c r="BR780" s="432"/>
      <c r="BS780" s="432"/>
      <c r="BT780" s="432"/>
      <c r="BU780" s="432"/>
      <c r="BV780" s="432"/>
      <c r="BW780" s="432"/>
      <c r="BX780" s="432"/>
      <c r="BY780" s="432"/>
      <c r="BZ780" s="432"/>
      <c r="CA780" s="432"/>
      <c r="CB780" s="432"/>
      <c r="CC780" s="432"/>
      <c r="CD780" s="432"/>
      <c r="CE780" s="432"/>
      <c r="CF780" s="660"/>
      <c r="CG780" s="660"/>
      <c r="CH780" s="660"/>
      <c r="CI780" s="660"/>
      <c r="CJ780" s="660"/>
      <c r="CK780" s="432"/>
      <c r="CL780" s="432"/>
      <c r="CM780" s="432"/>
      <c r="CN780" s="660"/>
      <c r="CO780" s="660"/>
      <c r="CP780" s="660"/>
      <c r="CQ780" s="660"/>
      <c r="CR780" s="660"/>
      <c r="CS780" s="660"/>
    </row>
    <row r="781" s="424" customFormat="1" ht="31" hidden="1" customHeight="1" spans="1:97">
      <c r="A781" s="633">
        <v>46015</v>
      </c>
      <c r="B781" s="497" t="s">
        <v>1669</v>
      </c>
      <c r="C781" s="635" t="s">
        <v>663</v>
      </c>
      <c r="D781" s="432">
        <v>4500188895</v>
      </c>
      <c r="E781" s="635">
        <v>5000002083</v>
      </c>
      <c r="F781" s="432" t="s">
        <v>2750</v>
      </c>
      <c r="G781" s="482" t="s">
        <v>463</v>
      </c>
      <c r="H781" s="635" t="s">
        <v>424</v>
      </c>
      <c r="I781" s="482">
        <v>7800</v>
      </c>
      <c r="J781" s="482">
        <v>0</v>
      </c>
      <c r="K781" s="482">
        <v>6</v>
      </c>
      <c r="L781" s="639">
        <f t="shared" si="252"/>
        <v>1300</v>
      </c>
      <c r="M781" s="680">
        <v>46056</v>
      </c>
      <c r="N781" s="680">
        <v>46051</v>
      </c>
      <c r="O781" s="641"/>
      <c r="P781" s="482"/>
      <c r="Q781" s="647"/>
      <c r="R781" s="647" t="s">
        <v>443</v>
      </c>
      <c r="S781" s="683" t="s">
        <v>96</v>
      </c>
      <c r="T781" s="683" t="s">
        <v>2067</v>
      </c>
      <c r="U781" s="683"/>
      <c r="V781" s="508"/>
      <c r="W781" s="508" t="s">
        <v>2749</v>
      </c>
      <c r="X781" s="651" t="s">
        <v>1674</v>
      </c>
      <c r="Y781" s="648">
        <v>6.4053</v>
      </c>
      <c r="Z781" s="651">
        <f>Y781*I781</f>
        <v>49961.34</v>
      </c>
      <c r="AA781" s="482"/>
      <c r="AB781" s="653" t="s">
        <v>2069</v>
      </c>
      <c r="AC781" s="482" t="s">
        <v>76</v>
      </c>
      <c r="AD781" s="482"/>
      <c r="AE781" s="482"/>
      <c r="AF781" s="482" t="s">
        <v>114</v>
      </c>
      <c r="AG781" s="482">
        <v>7800</v>
      </c>
      <c r="AH781" s="793">
        <f t="shared" si="253"/>
        <v>0</v>
      </c>
      <c r="AI781" s="482"/>
      <c r="AJ781" s="482" t="s">
        <v>2191</v>
      </c>
      <c r="AK781" s="656"/>
      <c r="AL781" s="656">
        <f t="shared" si="254"/>
        <v>7800</v>
      </c>
      <c r="AM781" s="656"/>
      <c r="AN781" s="656"/>
      <c r="AO781" s="432"/>
      <c r="AP781" s="794">
        <f>I781</f>
        <v>7800</v>
      </c>
      <c r="AQ781" s="656"/>
      <c r="AR781" s="656"/>
      <c r="AS781" s="656">
        <f t="shared" si="255"/>
        <v>7800</v>
      </c>
      <c r="AT781" s="656"/>
      <c r="AU781" s="869">
        <f t="shared" si="256"/>
        <v>7800</v>
      </c>
      <c r="AV781" s="432"/>
      <c r="AW781" s="432"/>
      <c r="AX781" s="432"/>
      <c r="AY781" s="432"/>
      <c r="AZ781" s="656"/>
      <c r="BA781" s="656"/>
      <c r="BB781" s="432"/>
      <c r="BC781" s="432"/>
      <c r="BD781" s="656"/>
      <c r="BE781" s="656"/>
      <c r="BF781" s="432"/>
      <c r="BG781" s="656"/>
      <c r="BH781" s="656"/>
      <c r="BI781" s="432"/>
      <c r="BJ781" s="432">
        <f>I781</f>
        <v>7800</v>
      </c>
      <c r="BK781" s="432"/>
      <c r="BL781" s="432"/>
      <c r="BM781" s="432"/>
      <c r="BN781" s="871"/>
      <c r="BO781" s="432"/>
      <c r="BP781" s="432"/>
      <c r="BQ781" s="432"/>
      <c r="BR781" s="432"/>
      <c r="BS781" s="432"/>
      <c r="BT781" s="432"/>
      <c r="BU781" s="432"/>
      <c r="BV781" s="432"/>
      <c r="BW781" s="432"/>
      <c r="BX781" s="432"/>
      <c r="BY781" s="432"/>
      <c r="BZ781" s="432"/>
      <c r="CA781" s="432"/>
      <c r="CB781" s="432"/>
      <c r="CC781" s="432"/>
      <c r="CD781" s="432"/>
      <c r="CE781" s="432"/>
      <c r="CF781" s="660"/>
      <c r="CG781" s="660"/>
      <c r="CH781" s="660"/>
      <c r="CI781" s="660"/>
      <c r="CJ781" s="660"/>
      <c r="CK781" s="432"/>
      <c r="CL781" s="432"/>
      <c r="CM781" s="432"/>
      <c r="CN781" s="660"/>
      <c r="CO781" s="660"/>
      <c r="CP781" s="660"/>
      <c r="CQ781" s="660"/>
      <c r="CR781" s="660"/>
      <c r="CS781" s="660"/>
    </row>
    <row r="782" s="424" customFormat="1" ht="31" hidden="1" customHeight="1" spans="1:97">
      <c r="A782" s="633">
        <v>46015</v>
      </c>
      <c r="B782" s="497" t="s">
        <v>1669</v>
      </c>
      <c r="C782" s="635" t="s">
        <v>663</v>
      </c>
      <c r="D782" s="432">
        <v>4500188895</v>
      </c>
      <c r="E782" s="635">
        <v>5000002083</v>
      </c>
      <c r="F782" s="432" t="s">
        <v>2751</v>
      </c>
      <c r="G782" s="482" t="s">
        <v>463</v>
      </c>
      <c r="H782" s="635" t="s">
        <v>424</v>
      </c>
      <c r="I782" s="482">
        <v>7200</v>
      </c>
      <c r="J782" s="482">
        <v>0</v>
      </c>
      <c r="K782" s="482">
        <v>6</v>
      </c>
      <c r="L782" s="639">
        <f t="shared" si="252"/>
        <v>1200</v>
      </c>
      <c r="M782" s="680">
        <v>46056</v>
      </c>
      <c r="N782" s="680">
        <v>46051</v>
      </c>
      <c r="O782" s="641"/>
      <c r="P782" s="482"/>
      <c r="Q782" s="647"/>
      <c r="R782" s="647" t="s">
        <v>443</v>
      </c>
      <c r="S782" s="683" t="s">
        <v>96</v>
      </c>
      <c r="T782" s="683" t="s">
        <v>2067</v>
      </c>
      <c r="U782" s="683"/>
      <c r="V782" s="508"/>
      <c r="W782" s="508" t="s">
        <v>2749</v>
      </c>
      <c r="X782" s="651" t="s">
        <v>1674</v>
      </c>
      <c r="Y782" s="648">
        <v>6.4053</v>
      </c>
      <c r="Z782" s="651">
        <f>Y782*I782</f>
        <v>46118.16</v>
      </c>
      <c r="AA782" s="482"/>
      <c r="AB782" s="653" t="s">
        <v>2069</v>
      </c>
      <c r="AC782" s="482" t="s">
        <v>76</v>
      </c>
      <c r="AD782" s="482"/>
      <c r="AE782" s="482"/>
      <c r="AF782" s="482" t="s">
        <v>114</v>
      </c>
      <c r="AG782" s="482">
        <f>6972+228</f>
        <v>7200</v>
      </c>
      <c r="AH782" s="793">
        <f t="shared" si="253"/>
        <v>0</v>
      </c>
      <c r="AI782" s="482"/>
      <c r="AJ782" s="482" t="s">
        <v>2191</v>
      </c>
      <c r="AK782" s="656"/>
      <c r="AL782" s="656">
        <f t="shared" si="254"/>
        <v>7200</v>
      </c>
      <c r="AM782" s="656"/>
      <c r="AN782" s="656"/>
      <c r="AO782" s="432"/>
      <c r="AP782" s="794">
        <f>I782</f>
        <v>7200</v>
      </c>
      <c r="AQ782" s="656"/>
      <c r="AR782" s="656"/>
      <c r="AS782" s="656">
        <f t="shared" si="255"/>
        <v>7200</v>
      </c>
      <c r="AT782" s="656"/>
      <c r="AU782" s="869">
        <f t="shared" si="256"/>
        <v>7200</v>
      </c>
      <c r="AV782" s="432"/>
      <c r="AW782" s="432"/>
      <c r="AX782" s="432"/>
      <c r="AY782" s="432"/>
      <c r="AZ782" s="656"/>
      <c r="BA782" s="656"/>
      <c r="BB782" s="432"/>
      <c r="BC782" s="432"/>
      <c r="BD782" s="656"/>
      <c r="BE782" s="656"/>
      <c r="BF782" s="432"/>
      <c r="BG782" s="656"/>
      <c r="BH782" s="656"/>
      <c r="BI782" s="432"/>
      <c r="BJ782" s="432">
        <f>I782</f>
        <v>7200</v>
      </c>
      <c r="BK782" s="432"/>
      <c r="BL782" s="432"/>
      <c r="BM782" s="432"/>
      <c r="BN782" s="871"/>
      <c r="BO782" s="432"/>
      <c r="BP782" s="432"/>
      <c r="BQ782" s="432"/>
      <c r="BR782" s="432"/>
      <c r="BS782" s="432"/>
      <c r="BT782" s="432"/>
      <c r="BU782" s="432"/>
      <c r="BV782" s="432"/>
      <c r="BW782" s="432"/>
      <c r="BX782" s="432"/>
      <c r="BY782" s="432"/>
      <c r="BZ782" s="432"/>
      <c r="CA782" s="432"/>
      <c r="CB782" s="432"/>
      <c r="CC782" s="432"/>
      <c r="CD782" s="432"/>
      <c r="CE782" s="432"/>
      <c r="CF782" s="660"/>
      <c r="CG782" s="660"/>
      <c r="CH782" s="660"/>
      <c r="CI782" s="660"/>
      <c r="CJ782" s="660"/>
      <c r="CK782" s="432"/>
      <c r="CL782" s="432"/>
      <c r="CM782" s="432"/>
      <c r="CN782" s="660"/>
      <c r="CO782" s="660"/>
      <c r="CP782" s="660"/>
      <c r="CQ782" s="660"/>
      <c r="CR782" s="660"/>
      <c r="CS782" s="660"/>
    </row>
    <row r="783" s="424" customFormat="1" ht="31" hidden="1" customHeight="1" spans="1:97">
      <c r="A783" s="633">
        <v>46021</v>
      </c>
      <c r="B783" s="497" t="s">
        <v>1294</v>
      </c>
      <c r="C783" s="635" t="s">
        <v>468</v>
      </c>
      <c r="D783" s="432">
        <v>4500190045</v>
      </c>
      <c r="E783" s="635"/>
      <c r="F783" s="432" t="s">
        <v>2752</v>
      </c>
      <c r="G783" s="482" t="s">
        <v>64</v>
      </c>
      <c r="H783" s="635" t="s">
        <v>65</v>
      </c>
      <c r="I783" s="851">
        <v>2304</v>
      </c>
      <c r="J783" s="635">
        <v>0</v>
      </c>
      <c r="K783" s="635">
        <v>12</v>
      </c>
      <c r="L783" s="842">
        <f t="shared" si="252"/>
        <v>192</v>
      </c>
      <c r="M783" s="679">
        <v>46057</v>
      </c>
      <c r="N783" s="640">
        <f>M783-4</f>
        <v>46053</v>
      </c>
      <c r="O783" s="641"/>
      <c r="P783" s="482"/>
      <c r="Q783" s="647"/>
      <c r="R783" s="647">
        <v>46021</v>
      </c>
      <c r="S783" s="683" t="s">
        <v>66</v>
      </c>
      <c r="T783" s="683" t="s">
        <v>2540</v>
      </c>
      <c r="U783" s="683"/>
      <c r="V783" s="508"/>
      <c r="W783" s="508" t="s">
        <v>2753</v>
      </c>
      <c r="X783" s="651" t="s">
        <v>304</v>
      </c>
      <c r="Y783" s="687">
        <v>4.1623</v>
      </c>
      <c r="Z783" s="688">
        <f>Y783*I783</f>
        <v>9589.9392</v>
      </c>
      <c r="AA783" s="482"/>
      <c r="AB783" s="635" t="s">
        <v>165</v>
      </c>
      <c r="AC783" s="635" t="s">
        <v>76</v>
      </c>
      <c r="AD783" s="482"/>
      <c r="AE783" s="482"/>
      <c r="AF783" s="482" t="s">
        <v>114</v>
      </c>
      <c r="AG783" s="482">
        <v>2304</v>
      </c>
      <c r="AH783" s="793">
        <f t="shared" si="253"/>
        <v>0</v>
      </c>
      <c r="AI783" s="482"/>
      <c r="AJ783" s="482" t="s">
        <v>2191</v>
      </c>
      <c r="AK783" s="656"/>
      <c r="AL783" s="656">
        <f t="shared" si="254"/>
        <v>2304</v>
      </c>
      <c r="AM783" s="656"/>
      <c r="AN783" s="656"/>
      <c r="AO783" s="432"/>
      <c r="AP783" s="656"/>
      <c r="AQ783" s="656">
        <f>I783</f>
        <v>2304</v>
      </c>
      <c r="AR783" s="794">
        <f>I783</f>
        <v>2304</v>
      </c>
      <c r="AS783" s="656"/>
      <c r="AT783" s="777">
        <f>I783</f>
        <v>2304</v>
      </c>
      <c r="AU783" s="662"/>
      <c r="AV783" s="432"/>
      <c r="AW783" s="432"/>
      <c r="AX783" s="432"/>
      <c r="AY783" s="432"/>
      <c r="AZ783" s="656"/>
      <c r="BA783" s="656"/>
      <c r="BB783" s="432"/>
      <c r="BC783" s="432"/>
      <c r="BD783" s="656"/>
      <c r="BE783" s="656"/>
      <c r="BF783" s="432"/>
      <c r="BG783" s="656"/>
      <c r="BH783" s="656"/>
      <c r="BI783" s="432"/>
      <c r="BJ783" s="432"/>
      <c r="BK783" s="432"/>
      <c r="BL783" s="432"/>
      <c r="BM783" s="432"/>
      <c r="BN783" s="871"/>
      <c r="BO783" s="432"/>
      <c r="BP783" s="432"/>
      <c r="BQ783" s="432"/>
      <c r="BR783" s="432"/>
      <c r="BS783" s="432"/>
      <c r="BT783" s="432"/>
      <c r="BU783" s="432"/>
      <c r="BV783" s="432"/>
      <c r="BW783" s="432"/>
      <c r="BX783" s="432"/>
      <c r="BY783" s="432"/>
      <c r="BZ783" s="432"/>
      <c r="CA783" s="432"/>
      <c r="CB783" s="432"/>
      <c r="CC783" s="432"/>
      <c r="CD783" s="432"/>
      <c r="CE783" s="432"/>
      <c r="CF783" s="660"/>
      <c r="CG783" s="660"/>
      <c r="CH783" s="660"/>
      <c r="CI783" s="660"/>
      <c r="CJ783" s="660"/>
      <c r="CK783" s="432"/>
      <c r="CL783" s="432"/>
      <c r="CM783" s="432"/>
      <c r="CN783" s="660"/>
      <c r="CO783" s="660"/>
      <c r="CP783" s="660"/>
      <c r="CQ783" s="660"/>
      <c r="CR783" s="660"/>
      <c r="CS783" s="660"/>
    </row>
    <row r="784" s="424" customFormat="1" ht="31" hidden="1" customHeight="1" spans="1:97">
      <c r="A784" s="846">
        <v>45999</v>
      </c>
      <c r="B784" s="847" t="s">
        <v>2754</v>
      </c>
      <c r="C784" s="848" t="s">
        <v>356</v>
      </c>
      <c r="D784" s="669">
        <v>4500188370</v>
      </c>
      <c r="E784" s="849">
        <v>5510062987</v>
      </c>
      <c r="F784" s="850" t="s">
        <v>2755</v>
      </c>
      <c r="G784" s="643" t="s">
        <v>743</v>
      </c>
      <c r="H784" s="849" t="s">
        <v>744</v>
      </c>
      <c r="I784" s="643">
        <v>1800</v>
      </c>
      <c r="J784" s="642">
        <v>0</v>
      </c>
      <c r="K784" s="642">
        <v>75</v>
      </c>
      <c r="L784" s="852">
        <f t="shared" si="252"/>
        <v>24</v>
      </c>
      <c r="M784" s="680">
        <v>46058</v>
      </c>
      <c r="N784" s="853">
        <v>46055</v>
      </c>
      <c r="O784" s="854"/>
      <c r="P784" s="855"/>
      <c r="Q784" s="858"/>
      <c r="R784" s="858">
        <v>46000</v>
      </c>
      <c r="S784" s="859" t="s">
        <v>66</v>
      </c>
      <c r="T784" s="859" t="s">
        <v>66</v>
      </c>
      <c r="U784" s="859"/>
      <c r="V784" s="860"/>
      <c r="W784" s="860" t="s">
        <v>2756</v>
      </c>
      <c r="X784" s="861" t="s">
        <v>1424</v>
      </c>
      <c r="Y784" s="860">
        <v>623.8856</v>
      </c>
      <c r="Z784" s="863">
        <f>Y784*L784</f>
        <v>14973.2544</v>
      </c>
      <c r="AA784" s="855"/>
      <c r="AB784" s="855" t="s">
        <v>743</v>
      </c>
      <c r="AC784" s="864" t="s">
        <v>76</v>
      </c>
      <c r="AD784" s="855"/>
      <c r="AE784" s="855"/>
      <c r="AF784" s="643" t="s">
        <v>2757</v>
      </c>
      <c r="AG784" s="855">
        <v>1800</v>
      </c>
      <c r="AH784" s="829">
        <f t="shared" si="253"/>
        <v>0</v>
      </c>
      <c r="AI784" s="855"/>
      <c r="AJ784" s="855"/>
      <c r="AK784" s="865"/>
      <c r="AL784" s="865"/>
      <c r="AM784" s="866"/>
      <c r="AN784" s="865"/>
      <c r="AO784" s="866">
        <f>I784</f>
        <v>1800</v>
      </c>
      <c r="AP784" s="865"/>
      <c r="AQ784" s="865"/>
      <c r="AR784" s="865"/>
      <c r="AS784" s="865"/>
      <c r="AT784" s="865"/>
      <c r="AU784" s="870"/>
      <c r="AV784" s="866"/>
      <c r="AW784" s="850">
        <f>I784</f>
        <v>1800</v>
      </c>
      <c r="AX784" s="850">
        <f>I784</f>
        <v>1800</v>
      </c>
      <c r="AY784" s="850">
        <f>I784</f>
        <v>1800</v>
      </c>
      <c r="AZ784" s="865"/>
      <c r="BA784" s="865"/>
      <c r="BB784" s="866"/>
      <c r="BC784" s="866"/>
      <c r="BD784" s="865"/>
      <c r="BE784" s="865"/>
      <c r="BF784" s="866"/>
      <c r="BG784" s="866"/>
      <c r="BH784" s="866"/>
      <c r="BI784" s="866"/>
      <c r="BJ784" s="866"/>
      <c r="BK784" s="866"/>
      <c r="BL784" s="669"/>
      <c r="BM784" s="669"/>
      <c r="BN784" s="872"/>
      <c r="BO784" s="669"/>
      <c r="BP784" s="669"/>
      <c r="BQ784" s="669"/>
      <c r="BR784" s="669"/>
      <c r="BS784" s="669"/>
      <c r="BT784" s="669"/>
      <c r="BU784" s="669"/>
      <c r="BV784" s="669"/>
      <c r="BW784" s="669"/>
      <c r="BX784" s="669"/>
      <c r="BY784" s="669"/>
      <c r="BZ784" s="669"/>
      <c r="CA784" s="669"/>
      <c r="CB784" s="669"/>
      <c r="CC784" s="669"/>
      <c r="CD784" s="669"/>
      <c r="CE784" s="669"/>
      <c r="CF784" s="692"/>
      <c r="CG784" s="692"/>
      <c r="CH784" s="692"/>
      <c r="CI784" s="692"/>
      <c r="CJ784" s="692"/>
      <c r="CK784" s="669"/>
      <c r="CL784" s="669"/>
      <c r="CM784" s="669"/>
      <c r="CN784" s="692"/>
      <c r="CO784" s="692"/>
      <c r="CP784" s="692"/>
      <c r="CQ784" s="692"/>
      <c r="CR784" s="692"/>
      <c r="CS784" s="692"/>
    </row>
    <row r="785" s="424" customFormat="1" ht="31" hidden="1" customHeight="1" spans="1:97">
      <c r="A785" s="633">
        <v>46006</v>
      </c>
      <c r="B785" s="637" t="s">
        <v>893</v>
      </c>
      <c r="C785" s="634" t="s">
        <v>356</v>
      </c>
      <c r="D785" s="432">
        <v>4500189088</v>
      </c>
      <c r="E785" s="635"/>
      <c r="F785" s="432" t="s">
        <v>2758</v>
      </c>
      <c r="G785" s="482" t="s">
        <v>64</v>
      </c>
      <c r="H785" s="635" t="s">
        <v>65</v>
      </c>
      <c r="I785" s="635">
        <v>480</v>
      </c>
      <c r="J785" s="635">
        <v>0</v>
      </c>
      <c r="K785" s="635">
        <v>12</v>
      </c>
      <c r="L785" s="842">
        <f t="shared" si="252"/>
        <v>40</v>
      </c>
      <c r="M785" s="679">
        <v>46058</v>
      </c>
      <c r="N785" s="679">
        <v>46055</v>
      </c>
      <c r="O785" s="678"/>
      <c r="P785" s="482"/>
      <c r="Q785" s="647"/>
      <c r="R785" s="647">
        <v>46009</v>
      </c>
      <c r="S785" s="683" t="s">
        <v>66</v>
      </c>
      <c r="T785" s="683" t="s">
        <v>2759</v>
      </c>
      <c r="U785" s="683"/>
      <c r="V785" s="508"/>
      <c r="W785" s="508" t="s">
        <v>2760</v>
      </c>
      <c r="X785" s="650" t="s">
        <v>359</v>
      </c>
      <c r="Y785" s="508">
        <v>4.1623</v>
      </c>
      <c r="Z785" s="651">
        <f>Y785*L785</f>
        <v>166.492</v>
      </c>
      <c r="AA785" s="482"/>
      <c r="AB785" s="635" t="s">
        <v>165</v>
      </c>
      <c r="AC785" s="635" t="s">
        <v>76</v>
      </c>
      <c r="AD785" s="482"/>
      <c r="AE785" s="482"/>
      <c r="AF785" s="482" t="s">
        <v>114</v>
      </c>
      <c r="AG785" s="482">
        <v>480</v>
      </c>
      <c r="AH785" s="793">
        <f t="shared" si="253"/>
        <v>0</v>
      </c>
      <c r="AI785" s="482"/>
      <c r="AJ785" s="482"/>
      <c r="AK785" s="656"/>
      <c r="AL785" s="656">
        <f>I785</f>
        <v>480</v>
      </c>
      <c r="AM785" s="432"/>
      <c r="AN785" s="656"/>
      <c r="AO785" s="432"/>
      <c r="AP785" s="656"/>
      <c r="AQ785" s="656">
        <f>I785</f>
        <v>480</v>
      </c>
      <c r="AR785" s="656">
        <f>I785</f>
        <v>480</v>
      </c>
      <c r="AS785" s="656"/>
      <c r="AT785" s="777">
        <f t="shared" ref="AT785:AT791" si="257">I785</f>
        <v>480</v>
      </c>
      <c r="AU785" s="662"/>
      <c r="AV785" s="432"/>
      <c r="AW785" s="432"/>
      <c r="AX785" s="432"/>
      <c r="AY785" s="432"/>
      <c r="AZ785" s="656"/>
      <c r="BA785" s="656"/>
      <c r="BB785" s="432"/>
      <c r="BC785" s="432"/>
      <c r="BD785" s="656"/>
      <c r="BE785" s="656"/>
      <c r="BF785" s="432"/>
      <c r="BG785" s="432"/>
      <c r="BH785" s="432"/>
      <c r="BI785" s="432"/>
      <c r="BJ785" s="432"/>
      <c r="BK785" s="432"/>
      <c r="BL785" s="432"/>
      <c r="BM785" s="432"/>
      <c r="BN785" s="871"/>
      <c r="BO785" s="432"/>
      <c r="BP785" s="432"/>
      <c r="BQ785" s="432"/>
      <c r="BR785" s="432"/>
      <c r="BS785" s="432"/>
      <c r="BT785" s="432"/>
      <c r="BU785" s="432"/>
      <c r="BV785" s="432"/>
      <c r="BW785" s="432"/>
      <c r="BX785" s="432"/>
      <c r="BY785" s="432"/>
      <c r="BZ785" s="432"/>
      <c r="CA785" s="432"/>
      <c r="CB785" s="432"/>
      <c r="CC785" s="432"/>
      <c r="CD785" s="432"/>
      <c r="CE785" s="432"/>
      <c r="CF785" s="660"/>
      <c r="CG785" s="660"/>
      <c r="CH785" s="660"/>
      <c r="CI785" s="660"/>
      <c r="CJ785" s="660"/>
      <c r="CK785" s="432"/>
      <c r="CL785" s="432"/>
      <c r="CM785" s="432"/>
      <c r="CN785" s="660"/>
      <c r="CO785" s="660"/>
      <c r="CP785" s="660"/>
      <c r="CQ785" s="660"/>
      <c r="CR785" s="660"/>
      <c r="CS785" s="660"/>
    </row>
    <row r="786" s="424" customFormat="1" ht="31" hidden="1" customHeight="1" spans="1:97">
      <c r="A786" s="633">
        <v>45996</v>
      </c>
      <c r="B786" s="497" t="s">
        <v>220</v>
      </c>
      <c r="C786" s="635" t="s">
        <v>90</v>
      </c>
      <c r="D786" s="432">
        <v>4500188278</v>
      </c>
      <c r="E786" s="635" t="s">
        <v>2761</v>
      </c>
      <c r="F786" s="432" t="s">
        <v>2762</v>
      </c>
      <c r="G786" s="482" t="s">
        <v>223</v>
      </c>
      <c r="H786" s="635" t="s">
        <v>224</v>
      </c>
      <c r="I786" s="635">
        <v>9000</v>
      </c>
      <c r="J786" s="635">
        <v>0</v>
      </c>
      <c r="K786" s="635">
        <v>4</v>
      </c>
      <c r="L786" s="842">
        <f t="shared" si="252"/>
        <v>2250</v>
      </c>
      <c r="M786" s="679">
        <v>46059</v>
      </c>
      <c r="N786" s="679">
        <v>46055</v>
      </c>
      <c r="O786" s="641"/>
      <c r="P786" s="482"/>
      <c r="Q786" s="647"/>
      <c r="R786" s="647">
        <v>46387</v>
      </c>
      <c r="S786" s="683" t="s">
        <v>96</v>
      </c>
      <c r="T786" s="683">
        <v>46037</v>
      </c>
      <c r="U786" s="683"/>
      <c r="V786" s="508"/>
      <c r="W786" s="508" t="s">
        <v>2518</v>
      </c>
      <c r="X786" s="651" t="s">
        <v>226</v>
      </c>
      <c r="Y786" s="687">
        <v>2.7951</v>
      </c>
      <c r="Z786" s="688">
        <f>Y786*I786</f>
        <v>25155.9</v>
      </c>
      <c r="AA786" s="482"/>
      <c r="AB786" s="656" t="s">
        <v>223</v>
      </c>
      <c r="AC786" s="635" t="s">
        <v>76</v>
      </c>
      <c r="AD786" s="482"/>
      <c r="AE786" s="482"/>
      <c r="AF786" s="482" t="s">
        <v>114</v>
      </c>
      <c r="AG786" s="482">
        <f>8760+4+236</f>
        <v>9000</v>
      </c>
      <c r="AH786" s="482">
        <f t="shared" si="253"/>
        <v>0</v>
      </c>
      <c r="AI786" s="482"/>
      <c r="AJ786" s="482" t="s">
        <v>2191</v>
      </c>
      <c r="AK786" s="656"/>
      <c r="AL786" s="656"/>
      <c r="AM786" s="432"/>
      <c r="AN786" s="656">
        <f>I786</f>
        <v>9000</v>
      </c>
      <c r="AO786" s="432"/>
      <c r="AP786" s="656"/>
      <c r="AQ786" s="656"/>
      <c r="AR786" s="656"/>
      <c r="AS786" s="656"/>
      <c r="AT786" s="656">
        <f t="shared" si="257"/>
        <v>9000</v>
      </c>
      <c r="AU786" s="662"/>
      <c r="AV786" s="432"/>
      <c r="AW786" s="432"/>
      <c r="AX786" s="432"/>
      <c r="AY786" s="432"/>
      <c r="AZ786" s="656"/>
      <c r="BA786" s="656"/>
      <c r="BB786" s="432">
        <f>I786</f>
        <v>9000</v>
      </c>
      <c r="BC786" s="432">
        <f>I786</f>
        <v>9000</v>
      </c>
      <c r="BD786" s="656">
        <f>I786/4</f>
        <v>2250</v>
      </c>
      <c r="BE786" s="656"/>
      <c r="BF786" s="432"/>
      <c r="BG786" s="432"/>
      <c r="BH786" s="432"/>
      <c r="BI786" s="432"/>
      <c r="BJ786" s="432"/>
      <c r="BK786" s="432"/>
      <c r="BL786" s="432"/>
      <c r="BM786" s="432"/>
      <c r="BN786" s="871"/>
      <c r="BO786" s="432"/>
      <c r="BP786" s="432"/>
      <c r="BQ786" s="432"/>
      <c r="BR786" s="432"/>
      <c r="BS786" s="432"/>
      <c r="BT786" s="432"/>
      <c r="BU786" s="432"/>
      <c r="BV786" s="432"/>
      <c r="BW786" s="432"/>
      <c r="BX786" s="432"/>
      <c r="BY786" s="432"/>
      <c r="BZ786" s="432"/>
      <c r="CA786" s="432"/>
      <c r="CB786" s="432"/>
      <c r="CC786" s="432"/>
      <c r="CD786" s="432"/>
      <c r="CE786" s="432"/>
      <c r="CF786" s="660"/>
      <c r="CG786" s="660"/>
      <c r="CH786" s="660"/>
      <c r="CI786" s="660"/>
      <c r="CJ786" s="660"/>
      <c r="CK786" s="432"/>
      <c r="CL786" s="432"/>
      <c r="CM786" s="432"/>
      <c r="CN786" s="660"/>
      <c r="CO786" s="660"/>
      <c r="CP786" s="660"/>
      <c r="CQ786" s="660"/>
      <c r="CR786" s="660"/>
      <c r="CS786" s="660"/>
    </row>
    <row r="787" s="424" customFormat="1" ht="31" hidden="1" customHeight="1" spans="1:97">
      <c r="A787" s="633">
        <v>46003</v>
      </c>
      <c r="B787" s="497" t="s">
        <v>382</v>
      </c>
      <c r="C787" s="635" t="s">
        <v>71</v>
      </c>
      <c r="D787" s="432">
        <v>4500188835</v>
      </c>
      <c r="E787" s="635">
        <v>3026</v>
      </c>
      <c r="F787" s="432" t="s">
        <v>2763</v>
      </c>
      <c r="G787" s="482" t="s">
        <v>118</v>
      </c>
      <c r="H787" s="635" t="s">
        <v>119</v>
      </c>
      <c r="I787" s="635">
        <v>504</v>
      </c>
      <c r="J787" s="635">
        <v>0</v>
      </c>
      <c r="K787" s="635">
        <v>6</v>
      </c>
      <c r="L787" s="842">
        <f t="shared" si="252"/>
        <v>84</v>
      </c>
      <c r="M787" s="679">
        <v>46059</v>
      </c>
      <c r="N787" s="679">
        <v>46055</v>
      </c>
      <c r="O787" s="641"/>
      <c r="P787" s="482" t="s">
        <v>103</v>
      </c>
      <c r="Q787" s="647"/>
      <c r="R787" s="647">
        <v>46003</v>
      </c>
      <c r="S787" s="683" t="s">
        <v>66</v>
      </c>
      <c r="T787" s="683" t="s">
        <v>2764</v>
      </c>
      <c r="U787" s="683"/>
      <c r="V787" s="508"/>
      <c r="W787" s="508" t="s">
        <v>2765</v>
      </c>
      <c r="X787" s="651" t="s">
        <v>1602</v>
      </c>
      <c r="Y787" s="687">
        <v>4.2676</v>
      </c>
      <c r="Z787" s="688">
        <f>Y787*I787</f>
        <v>2150.8704</v>
      </c>
      <c r="AA787" s="482"/>
      <c r="AB787" s="539" t="s">
        <v>118</v>
      </c>
      <c r="AC787" s="635" t="s">
        <v>76</v>
      </c>
      <c r="AD787" s="482"/>
      <c r="AE787" s="482"/>
      <c r="AF787" s="482" t="s">
        <v>114</v>
      </c>
      <c r="AG787" s="482">
        <v>504</v>
      </c>
      <c r="AH787" s="482">
        <f t="shared" si="253"/>
        <v>0</v>
      </c>
      <c r="AI787" s="482"/>
      <c r="AJ787" s="482" t="s">
        <v>2191</v>
      </c>
      <c r="AK787" s="656"/>
      <c r="AL787" s="656">
        <f>I787</f>
        <v>504</v>
      </c>
      <c r="AM787" s="432"/>
      <c r="AN787" s="656"/>
      <c r="AO787" s="432"/>
      <c r="AP787" s="794">
        <f>I787</f>
        <v>504</v>
      </c>
      <c r="AQ787" s="656"/>
      <c r="AR787" s="794">
        <f>I787</f>
        <v>504</v>
      </c>
      <c r="AS787" s="656"/>
      <c r="AT787" s="568">
        <f t="shared" si="257"/>
        <v>504</v>
      </c>
      <c r="AU787" s="662"/>
      <c r="AV787" s="432"/>
      <c r="AW787" s="432"/>
      <c r="AX787" s="432"/>
      <c r="AY787" s="432"/>
      <c r="AZ787" s="656"/>
      <c r="BA787" s="656"/>
      <c r="BB787" s="432"/>
      <c r="BC787" s="432"/>
      <c r="BD787" s="656"/>
      <c r="BE787" s="656"/>
      <c r="BF787" s="432"/>
      <c r="BG787" s="432"/>
      <c r="BH787" s="432"/>
      <c r="BI787" s="432"/>
      <c r="BJ787" s="432"/>
      <c r="BK787" s="432"/>
      <c r="BL787" s="432"/>
      <c r="BM787" s="432"/>
      <c r="BN787" s="871"/>
      <c r="BO787" s="432"/>
      <c r="BP787" s="432"/>
      <c r="BQ787" s="432"/>
      <c r="BR787" s="432"/>
      <c r="BS787" s="432"/>
      <c r="BT787" s="432"/>
      <c r="BU787" s="432"/>
      <c r="BV787" s="432"/>
      <c r="BW787" s="432"/>
      <c r="BX787" s="432"/>
      <c r="BY787" s="432"/>
      <c r="BZ787" s="432"/>
      <c r="CA787" s="432"/>
      <c r="CB787" s="432"/>
      <c r="CC787" s="432"/>
      <c r="CD787" s="432"/>
      <c r="CE787" s="432"/>
      <c r="CF787" s="660"/>
      <c r="CG787" s="660"/>
      <c r="CH787" s="660"/>
      <c r="CI787" s="660"/>
      <c r="CJ787" s="660"/>
      <c r="CK787" s="432"/>
      <c r="CL787" s="432"/>
      <c r="CM787" s="432"/>
      <c r="CN787" s="660"/>
      <c r="CO787" s="660"/>
      <c r="CP787" s="660"/>
      <c r="CQ787" s="660"/>
      <c r="CR787" s="660"/>
      <c r="CS787" s="660"/>
    </row>
    <row r="788" s="424" customFormat="1" ht="31" hidden="1" customHeight="1" spans="1:97">
      <c r="A788" s="633">
        <v>46013</v>
      </c>
      <c r="B788" s="497" t="s">
        <v>1769</v>
      </c>
      <c r="C788" s="635" t="s">
        <v>139</v>
      </c>
      <c r="D788" s="432">
        <v>4500189535</v>
      </c>
      <c r="E788" s="635">
        <v>5200008496</v>
      </c>
      <c r="F788" s="432" t="s">
        <v>2766</v>
      </c>
      <c r="G788" s="482" t="s">
        <v>141</v>
      </c>
      <c r="H788" s="635" t="s">
        <v>94</v>
      </c>
      <c r="I788" s="851">
        <v>4800</v>
      </c>
      <c r="J788" s="635">
        <v>0</v>
      </c>
      <c r="K788" s="635">
        <v>4</v>
      </c>
      <c r="L788" s="842">
        <f t="shared" si="252"/>
        <v>1200</v>
      </c>
      <c r="M788" s="679">
        <v>46059</v>
      </c>
      <c r="N788" s="679">
        <v>46055</v>
      </c>
      <c r="O788" s="641"/>
      <c r="P788" s="482"/>
      <c r="Q788" s="647"/>
      <c r="R788" s="647">
        <v>46017</v>
      </c>
      <c r="S788" s="683" t="s">
        <v>66</v>
      </c>
      <c r="T788" s="683" t="s">
        <v>2767</v>
      </c>
      <c r="U788" s="683"/>
      <c r="V788" s="508"/>
      <c r="W788" s="508" t="s">
        <v>2768</v>
      </c>
      <c r="X788" s="651" t="s">
        <v>1140</v>
      </c>
      <c r="Y788" s="687">
        <v>4.2946</v>
      </c>
      <c r="Z788" s="688">
        <f>Y788*I788</f>
        <v>20614.08</v>
      </c>
      <c r="AA788" s="482"/>
      <c r="AB788" s="635" t="s">
        <v>93</v>
      </c>
      <c r="AC788" s="635" t="s">
        <v>76</v>
      </c>
      <c r="AD788" s="482"/>
      <c r="AE788" s="482"/>
      <c r="AF788" s="482" t="s">
        <v>114</v>
      </c>
      <c r="AG788" s="482">
        <v>4800</v>
      </c>
      <c r="AH788" s="482">
        <f t="shared" si="253"/>
        <v>0</v>
      </c>
      <c r="AI788" s="482"/>
      <c r="AJ788" s="482" t="s">
        <v>2191</v>
      </c>
      <c r="AK788" s="656"/>
      <c r="AL788" s="656">
        <f>I788</f>
        <v>4800</v>
      </c>
      <c r="AM788" s="432"/>
      <c r="AN788" s="656"/>
      <c r="AO788" s="432"/>
      <c r="AP788" s="656"/>
      <c r="AQ788" s="656">
        <f>I788</f>
        <v>4800</v>
      </c>
      <c r="AR788" s="794">
        <f>I788</f>
        <v>4800</v>
      </c>
      <c r="AS788" s="656"/>
      <c r="AT788" s="656">
        <f t="shared" si="257"/>
        <v>4800</v>
      </c>
      <c r="AU788" s="662"/>
      <c r="AV788" s="432"/>
      <c r="AW788" s="432"/>
      <c r="AX788" s="432"/>
      <c r="AY788" s="432"/>
      <c r="AZ788" s="656"/>
      <c r="BA788" s="656"/>
      <c r="BB788" s="432"/>
      <c r="BC788" s="432"/>
      <c r="BD788" s="656"/>
      <c r="BE788" s="656">
        <f>I788/4</f>
        <v>1200</v>
      </c>
      <c r="BF788" s="432"/>
      <c r="BG788" s="432"/>
      <c r="BH788" s="432"/>
      <c r="BI788" s="432"/>
      <c r="BJ788" s="432"/>
      <c r="BK788" s="432"/>
      <c r="BL788" s="432"/>
      <c r="BM788" s="432"/>
      <c r="BN788" s="871"/>
      <c r="BO788" s="432"/>
      <c r="BP788" s="432"/>
      <c r="BQ788" s="432"/>
      <c r="BR788" s="432"/>
      <c r="BS788" s="432"/>
      <c r="BT788" s="432"/>
      <c r="BU788" s="432"/>
      <c r="BV788" s="432"/>
      <c r="BW788" s="432"/>
      <c r="BX788" s="432"/>
      <c r="BY788" s="432"/>
      <c r="BZ788" s="432"/>
      <c r="CA788" s="432"/>
      <c r="CB788" s="432"/>
      <c r="CC788" s="432"/>
      <c r="CD788" s="432"/>
      <c r="CE788" s="432"/>
      <c r="CF788" s="660"/>
      <c r="CG788" s="660"/>
      <c r="CH788" s="660"/>
      <c r="CI788" s="660"/>
      <c r="CJ788" s="660"/>
      <c r="CK788" s="432"/>
      <c r="CL788" s="432"/>
      <c r="CM788" s="432"/>
      <c r="CN788" s="660"/>
      <c r="CO788" s="660"/>
      <c r="CP788" s="660"/>
      <c r="CQ788" s="660"/>
      <c r="CR788" s="660"/>
      <c r="CS788" s="660"/>
    </row>
    <row r="789" s="424" customFormat="1" ht="31" hidden="1" customHeight="1" spans="1:97">
      <c r="A789" s="633">
        <v>45996</v>
      </c>
      <c r="B789" s="497" t="s">
        <v>280</v>
      </c>
      <c r="C789" s="635" t="s">
        <v>249</v>
      </c>
      <c r="D789" s="432">
        <v>4500188247</v>
      </c>
      <c r="E789" s="635" t="s">
        <v>2769</v>
      </c>
      <c r="F789" s="432" t="s">
        <v>2770</v>
      </c>
      <c r="G789" s="482" t="s">
        <v>102</v>
      </c>
      <c r="H789" s="635" t="s">
        <v>65</v>
      </c>
      <c r="I789" s="635">
        <v>3520</v>
      </c>
      <c r="J789" s="635">
        <v>0</v>
      </c>
      <c r="K789" s="635">
        <v>16</v>
      </c>
      <c r="L789" s="842">
        <f t="shared" si="252"/>
        <v>220</v>
      </c>
      <c r="M789" s="680">
        <v>46057</v>
      </c>
      <c r="N789" s="680">
        <v>46053</v>
      </c>
      <c r="O789" s="641"/>
      <c r="P789" s="482"/>
      <c r="Q789" s="647"/>
      <c r="R789" s="647">
        <v>45999</v>
      </c>
      <c r="S789" s="683" t="s">
        <v>66</v>
      </c>
      <c r="T789" s="647" t="s">
        <v>2771</v>
      </c>
      <c r="U789" s="508"/>
      <c r="V789" s="508"/>
      <c r="W789" s="649" t="s">
        <v>2772</v>
      </c>
      <c r="X789" s="651" t="s">
        <v>2036</v>
      </c>
      <c r="Y789" s="687">
        <v>4.2489</v>
      </c>
      <c r="Z789" s="688">
        <f>Y789*I789</f>
        <v>14956.128</v>
      </c>
      <c r="AA789" s="482"/>
      <c r="AB789" s="482" t="s">
        <v>102</v>
      </c>
      <c r="AC789" s="635" t="s">
        <v>76</v>
      </c>
      <c r="AD789" s="482"/>
      <c r="AE789" s="482"/>
      <c r="AF789" s="482" t="s">
        <v>114</v>
      </c>
      <c r="AG789" s="482">
        <v>3520</v>
      </c>
      <c r="AH789" s="793">
        <f t="shared" si="253"/>
        <v>0</v>
      </c>
      <c r="AI789" s="482"/>
      <c r="AJ789" s="482" t="s">
        <v>2191</v>
      </c>
      <c r="AK789" s="656"/>
      <c r="AL789" s="656">
        <f>I789</f>
        <v>3520</v>
      </c>
      <c r="AM789" s="658"/>
      <c r="AN789" s="658"/>
      <c r="AO789" s="658"/>
      <c r="AP789" s="656">
        <f>I789</f>
        <v>3520</v>
      </c>
      <c r="AQ789" s="656"/>
      <c r="AR789" s="794">
        <f>I789</f>
        <v>3520</v>
      </c>
      <c r="AS789" s="656"/>
      <c r="AT789" s="656">
        <f t="shared" si="257"/>
        <v>3520</v>
      </c>
      <c r="AU789" s="662"/>
      <c r="AV789" s="432"/>
      <c r="AW789" s="432"/>
      <c r="AX789" s="432"/>
      <c r="AY789" s="432"/>
      <c r="AZ789" s="656"/>
      <c r="BA789" s="656"/>
      <c r="BB789" s="432"/>
      <c r="BC789" s="432"/>
      <c r="BD789" s="656">
        <f>I789/4</f>
        <v>880</v>
      </c>
      <c r="BE789" s="656"/>
      <c r="BF789" s="432"/>
      <c r="BG789" s="432"/>
      <c r="BH789" s="432"/>
      <c r="BI789" s="432"/>
      <c r="BJ789" s="432"/>
      <c r="BK789" s="432"/>
      <c r="BL789" s="432"/>
      <c r="BM789" s="432"/>
      <c r="BN789" s="871"/>
      <c r="BO789" s="432"/>
      <c r="BP789" s="432"/>
      <c r="BQ789" s="432"/>
      <c r="BR789" s="432"/>
      <c r="BS789" s="432"/>
      <c r="BT789" s="432"/>
      <c r="BU789" s="432"/>
      <c r="BV789" s="432"/>
      <c r="BW789" s="432"/>
      <c r="BX789" s="432"/>
      <c r="BY789" s="432"/>
      <c r="BZ789" s="432"/>
      <c r="CA789" s="432"/>
      <c r="CB789" s="432"/>
      <c r="CC789" s="432"/>
      <c r="CD789" s="432"/>
      <c r="CE789" s="432"/>
      <c r="CF789" s="660"/>
      <c r="CG789" s="660"/>
      <c r="CH789" s="660"/>
      <c r="CI789" s="660"/>
      <c r="CJ789" s="660"/>
      <c r="CK789" s="432"/>
      <c r="CL789" s="432"/>
      <c r="CM789" s="432"/>
      <c r="CN789" s="660"/>
      <c r="CO789" s="660"/>
      <c r="CP789" s="660"/>
      <c r="CQ789" s="660"/>
      <c r="CR789" s="660"/>
      <c r="CS789" s="660"/>
    </row>
    <row r="790" s="424" customFormat="1" ht="31" hidden="1" customHeight="1" spans="1:97">
      <c r="A790" s="633">
        <v>45995</v>
      </c>
      <c r="B790" s="497" t="s">
        <v>2553</v>
      </c>
      <c r="C790" s="635" t="s">
        <v>90</v>
      </c>
      <c r="D790" s="432">
        <v>4500187941</v>
      </c>
      <c r="E790" s="635">
        <v>70079708</v>
      </c>
      <c r="F790" s="432" t="s">
        <v>2773</v>
      </c>
      <c r="G790" s="482" t="s">
        <v>2491</v>
      </c>
      <c r="H790" s="635" t="s">
        <v>2492</v>
      </c>
      <c r="I790" s="635">
        <v>1200</v>
      </c>
      <c r="J790" s="635">
        <v>0</v>
      </c>
      <c r="K790" s="635">
        <v>8</v>
      </c>
      <c r="L790" s="842">
        <f t="shared" si="252"/>
        <v>150</v>
      </c>
      <c r="M790" s="679">
        <v>46063</v>
      </c>
      <c r="N790" s="679">
        <v>46059</v>
      </c>
      <c r="O790" s="641"/>
      <c r="P790" s="482"/>
      <c r="Q790" s="647"/>
      <c r="R790" s="647">
        <v>45995</v>
      </c>
      <c r="S790" s="683" t="s">
        <v>66</v>
      </c>
      <c r="T790" s="647" t="s">
        <v>2493</v>
      </c>
      <c r="U790" s="683"/>
      <c r="V790" s="508"/>
      <c r="W790" s="571" t="s">
        <v>2774</v>
      </c>
      <c r="X790" s="651" t="s">
        <v>2775</v>
      </c>
      <c r="Y790" s="687">
        <v>4.0996</v>
      </c>
      <c r="Z790" s="688">
        <f>Y790*I790</f>
        <v>4919.52</v>
      </c>
      <c r="AA790" s="482"/>
      <c r="AB790" s="482" t="s">
        <v>2495</v>
      </c>
      <c r="AC790" s="635" t="s">
        <v>76</v>
      </c>
      <c r="AD790" s="482"/>
      <c r="AE790" s="482"/>
      <c r="AF790" s="482" t="s">
        <v>114</v>
      </c>
      <c r="AG790" s="482"/>
      <c r="AH790" s="793">
        <f t="shared" si="253"/>
        <v>-1200</v>
      </c>
      <c r="AI790" s="482"/>
      <c r="AJ790" s="482" t="s">
        <v>2191</v>
      </c>
      <c r="AK790" s="656"/>
      <c r="AL790" s="656">
        <f t="shared" ref="AL790:AL804" si="258">I790</f>
        <v>1200</v>
      </c>
      <c r="AM790" s="656"/>
      <c r="AN790" s="656"/>
      <c r="AO790" s="432"/>
      <c r="AP790" s="656">
        <f>I790</f>
        <v>1200</v>
      </c>
      <c r="AQ790" s="656"/>
      <c r="AR790" s="794">
        <f>I790</f>
        <v>1200</v>
      </c>
      <c r="AS790" s="656"/>
      <c r="AT790" s="656">
        <f t="shared" si="257"/>
        <v>1200</v>
      </c>
      <c r="AU790" s="662"/>
      <c r="AV790" s="432"/>
      <c r="AW790" s="432"/>
      <c r="AX790" s="432"/>
      <c r="AY790" s="432"/>
      <c r="AZ790" s="656"/>
      <c r="BA790" s="656"/>
      <c r="BB790" s="432"/>
      <c r="BC790" s="432"/>
      <c r="BD790" s="656"/>
      <c r="BE790" s="656"/>
      <c r="BF790" s="432"/>
      <c r="BG790" s="656"/>
      <c r="BH790" s="656"/>
      <c r="BI790" s="432"/>
      <c r="BJ790" s="432">
        <f>I790</f>
        <v>1200</v>
      </c>
      <c r="BK790" s="432"/>
      <c r="BL790" s="432"/>
      <c r="BM790" s="432"/>
      <c r="BN790" s="871"/>
      <c r="BO790" s="432"/>
      <c r="BP790" s="432"/>
      <c r="BQ790" s="432"/>
      <c r="BR790" s="432"/>
      <c r="BS790" s="432"/>
      <c r="BT790" s="432"/>
      <c r="BU790" s="432"/>
      <c r="BV790" s="432"/>
      <c r="BW790" s="432"/>
      <c r="BX790" s="432"/>
      <c r="BY790" s="432"/>
      <c r="BZ790" s="432"/>
      <c r="CA790" s="432"/>
      <c r="CB790" s="432"/>
      <c r="CC790" s="432"/>
      <c r="CD790" s="432"/>
      <c r="CE790" s="432"/>
      <c r="CF790" s="660"/>
      <c r="CG790" s="660"/>
      <c r="CH790" s="660"/>
      <c r="CI790" s="660"/>
      <c r="CJ790" s="660"/>
      <c r="CK790" s="432"/>
      <c r="CL790" s="432"/>
      <c r="CM790" s="432"/>
      <c r="CN790" s="660"/>
      <c r="CO790" s="660"/>
      <c r="CP790" s="660"/>
      <c r="CQ790" s="660"/>
      <c r="CR790" s="660"/>
      <c r="CS790" s="660"/>
    </row>
    <row r="791" s="424" customFormat="1" ht="31" hidden="1" customHeight="1" spans="1:97">
      <c r="A791" s="633">
        <v>46016</v>
      </c>
      <c r="B791" s="497" t="s">
        <v>128</v>
      </c>
      <c r="C791" s="635" t="s">
        <v>90</v>
      </c>
      <c r="D791" s="432">
        <v>4500189961</v>
      </c>
      <c r="E791" s="893" t="s">
        <v>2776</v>
      </c>
      <c r="F791" s="432" t="s">
        <v>2777</v>
      </c>
      <c r="G791" s="482" t="s">
        <v>93</v>
      </c>
      <c r="H791" s="635" t="s">
        <v>94</v>
      </c>
      <c r="I791" s="635">
        <v>3840</v>
      </c>
      <c r="J791" s="635">
        <v>0</v>
      </c>
      <c r="K791" s="635">
        <v>4</v>
      </c>
      <c r="L791" s="842">
        <f t="shared" ref="L791:L806" si="259">I791/K791</f>
        <v>960</v>
      </c>
      <c r="M791" s="679">
        <v>46076</v>
      </c>
      <c r="N791" s="679">
        <v>46072</v>
      </c>
      <c r="O791" s="641" t="s">
        <v>2778</v>
      </c>
      <c r="P791" s="482"/>
      <c r="Q791" s="647"/>
      <c r="R791" s="647" t="s">
        <v>2779</v>
      </c>
      <c r="S791" s="683" t="s">
        <v>66</v>
      </c>
      <c r="T791" s="647" t="s">
        <v>2780</v>
      </c>
      <c r="U791" s="508"/>
      <c r="V791" s="508"/>
      <c r="W791" s="508" t="s">
        <v>1281</v>
      </c>
      <c r="X791" s="651" t="s">
        <v>98</v>
      </c>
      <c r="Y791" s="687">
        <v>2.5768</v>
      </c>
      <c r="Z791" s="688">
        <f t="shared" ref="Z791:Z799" si="260">Y791*I791</f>
        <v>9894.912</v>
      </c>
      <c r="AA791" s="482"/>
      <c r="AB791" s="635" t="s">
        <v>93</v>
      </c>
      <c r="AC791" s="635" t="s">
        <v>76</v>
      </c>
      <c r="AD791" s="482"/>
      <c r="AE791" s="482"/>
      <c r="AF791" s="482" t="s">
        <v>114</v>
      </c>
      <c r="AG791" s="482">
        <v>3840</v>
      </c>
      <c r="AH791" s="482">
        <f t="shared" ref="AH791:AH813" si="261">AG791-I791</f>
        <v>0</v>
      </c>
      <c r="AI791" s="482"/>
      <c r="AJ791" s="482" t="s">
        <v>2191</v>
      </c>
      <c r="AK791" s="656"/>
      <c r="AL791" s="656">
        <f t="shared" si="258"/>
        <v>3840</v>
      </c>
      <c r="AM791" s="658"/>
      <c r="AN791" s="658"/>
      <c r="AO791" s="658"/>
      <c r="AP791" s="794">
        <f>I791</f>
        <v>3840</v>
      </c>
      <c r="AQ791" s="656"/>
      <c r="AR791" s="794">
        <f>I791</f>
        <v>3840</v>
      </c>
      <c r="AS791" s="656"/>
      <c r="AT791" s="656">
        <f t="shared" si="257"/>
        <v>3840</v>
      </c>
      <c r="AU791" s="662"/>
      <c r="AV791" s="432"/>
      <c r="AW791" s="432"/>
      <c r="AX791" s="432"/>
      <c r="AY791" s="432"/>
      <c r="AZ791" s="656"/>
      <c r="BA791" s="656"/>
      <c r="BB791" s="432"/>
      <c r="BC791" s="432"/>
      <c r="BD791" s="656">
        <f>I791/4</f>
        <v>960</v>
      </c>
      <c r="BE791" s="656"/>
      <c r="BF791" s="432"/>
      <c r="BG791" s="432"/>
      <c r="BH791" s="432"/>
      <c r="BI791" s="432"/>
      <c r="BJ791" s="432"/>
      <c r="BK791" s="432"/>
      <c r="BL791" s="432"/>
      <c r="BM791" s="432"/>
      <c r="BN791" s="871"/>
      <c r="BO791" s="432"/>
      <c r="BP791" s="432"/>
      <c r="BQ791" s="432"/>
      <c r="BR791" s="432"/>
      <c r="BS791" s="432"/>
      <c r="BT791" s="432"/>
      <c r="BU791" s="432"/>
      <c r="BV791" s="432"/>
      <c r="BW791" s="432"/>
      <c r="BX791" s="432"/>
      <c r="BY791" s="432"/>
      <c r="BZ791" s="432"/>
      <c r="CA791" s="432"/>
      <c r="CB791" s="432"/>
      <c r="CC791" s="432"/>
      <c r="CD791" s="432"/>
      <c r="CE791" s="432"/>
      <c r="CF791" s="660"/>
      <c r="CG791" s="660"/>
      <c r="CH791" s="660"/>
      <c r="CI791" s="660"/>
      <c r="CJ791" s="660"/>
      <c r="CK791" s="432"/>
      <c r="CL791" s="432"/>
      <c r="CM791" s="432"/>
      <c r="CN791" s="660"/>
      <c r="CO791" s="660"/>
      <c r="CP791" s="660"/>
      <c r="CQ791" s="660"/>
      <c r="CR791" s="660"/>
      <c r="CS791" s="660"/>
    </row>
    <row r="792" s="424" customFormat="1" ht="31" hidden="1" customHeight="1" spans="1:97">
      <c r="A792" s="633">
        <v>46016</v>
      </c>
      <c r="B792" s="497" t="s">
        <v>128</v>
      </c>
      <c r="C792" s="635" t="s">
        <v>90</v>
      </c>
      <c r="D792" s="432">
        <v>4500189961</v>
      </c>
      <c r="E792" s="893" t="s">
        <v>2781</v>
      </c>
      <c r="F792" s="432" t="s">
        <v>2782</v>
      </c>
      <c r="G792" s="482" t="s">
        <v>93</v>
      </c>
      <c r="H792" s="635" t="s">
        <v>94</v>
      </c>
      <c r="I792" s="635">
        <v>4160</v>
      </c>
      <c r="J792" s="635">
        <v>0</v>
      </c>
      <c r="K792" s="635">
        <v>4</v>
      </c>
      <c r="L792" s="842">
        <f t="shared" si="259"/>
        <v>1040</v>
      </c>
      <c r="M792" s="679">
        <v>46076</v>
      </c>
      <c r="N792" s="679">
        <v>46072</v>
      </c>
      <c r="O792" s="641" t="s">
        <v>2778</v>
      </c>
      <c r="P792" s="482"/>
      <c r="Q792" s="647"/>
      <c r="R792" s="647" t="s">
        <v>2779</v>
      </c>
      <c r="S792" s="683" t="s">
        <v>66</v>
      </c>
      <c r="T792" s="647" t="s">
        <v>2780</v>
      </c>
      <c r="U792" s="508"/>
      <c r="V792" s="508"/>
      <c r="W792" s="508" t="s">
        <v>1281</v>
      </c>
      <c r="X792" s="651" t="s">
        <v>98</v>
      </c>
      <c r="Y792" s="687">
        <v>2.5768</v>
      </c>
      <c r="Z792" s="688">
        <f t="shared" si="260"/>
        <v>10719.488</v>
      </c>
      <c r="AA792" s="482"/>
      <c r="AB792" s="635" t="s">
        <v>93</v>
      </c>
      <c r="AC792" s="635" t="s">
        <v>76</v>
      </c>
      <c r="AD792" s="482"/>
      <c r="AE792" s="482"/>
      <c r="AF792" s="482" t="s">
        <v>114</v>
      </c>
      <c r="AG792" s="482">
        <v>4160</v>
      </c>
      <c r="AH792" s="482">
        <f t="shared" si="261"/>
        <v>0</v>
      </c>
      <c r="AI792" s="482"/>
      <c r="AJ792" s="482" t="s">
        <v>2191</v>
      </c>
      <c r="AK792" s="656"/>
      <c r="AL792" s="656">
        <f t="shared" si="258"/>
        <v>4160</v>
      </c>
      <c r="AM792" s="658"/>
      <c r="AN792" s="658"/>
      <c r="AO792" s="658"/>
      <c r="AP792" s="794">
        <f t="shared" ref="AP792:AP799" si="262">I792</f>
        <v>4160</v>
      </c>
      <c r="AQ792" s="656"/>
      <c r="AR792" s="794">
        <f t="shared" ref="AR792:AR801" si="263">I792</f>
        <v>4160</v>
      </c>
      <c r="AS792" s="656"/>
      <c r="AT792" s="656">
        <f t="shared" ref="AT791:AT801" si="264">I792</f>
        <v>4160</v>
      </c>
      <c r="AU792" s="662"/>
      <c r="AV792" s="432"/>
      <c r="AW792" s="432"/>
      <c r="AX792" s="432"/>
      <c r="AY792" s="432"/>
      <c r="AZ792" s="656"/>
      <c r="BA792" s="656"/>
      <c r="BB792" s="432"/>
      <c r="BC792" s="432"/>
      <c r="BD792" s="656">
        <f t="shared" ref="BD792:BD797" si="265">I792/4</f>
        <v>1040</v>
      </c>
      <c r="BE792" s="656"/>
      <c r="BF792" s="432"/>
      <c r="BG792" s="432"/>
      <c r="BH792" s="432"/>
      <c r="BI792" s="432"/>
      <c r="BJ792" s="432"/>
      <c r="BK792" s="432"/>
      <c r="BL792" s="432"/>
      <c r="BM792" s="432"/>
      <c r="BN792" s="871"/>
      <c r="BO792" s="432"/>
      <c r="BP792" s="432"/>
      <c r="BQ792" s="432"/>
      <c r="BR792" s="432"/>
      <c r="BS792" s="432"/>
      <c r="BT792" s="432"/>
      <c r="BU792" s="432"/>
      <c r="BV792" s="432"/>
      <c r="BW792" s="432"/>
      <c r="BX792" s="432"/>
      <c r="BY792" s="432"/>
      <c r="BZ792" s="432"/>
      <c r="CA792" s="432"/>
      <c r="CB792" s="432"/>
      <c r="CC792" s="432"/>
      <c r="CD792" s="432"/>
      <c r="CE792" s="432"/>
      <c r="CF792" s="660"/>
      <c r="CG792" s="660"/>
      <c r="CH792" s="660"/>
      <c r="CI792" s="660"/>
      <c r="CJ792" s="660"/>
      <c r="CK792" s="432"/>
      <c r="CL792" s="432"/>
      <c r="CM792" s="432"/>
      <c r="CN792" s="660"/>
      <c r="CO792" s="660"/>
      <c r="CP792" s="660"/>
      <c r="CQ792" s="660"/>
      <c r="CR792" s="660"/>
      <c r="CS792" s="660"/>
    </row>
    <row r="793" s="424" customFormat="1" ht="31" hidden="1" customHeight="1" spans="1:97">
      <c r="A793" s="633">
        <v>46016</v>
      </c>
      <c r="B793" s="497" t="s">
        <v>128</v>
      </c>
      <c r="C793" s="635" t="s">
        <v>90</v>
      </c>
      <c r="D793" s="432">
        <v>4500189961</v>
      </c>
      <c r="E793" s="893" t="s">
        <v>2783</v>
      </c>
      <c r="F793" s="432" t="s">
        <v>2784</v>
      </c>
      <c r="G793" s="482" t="s">
        <v>93</v>
      </c>
      <c r="H793" s="635" t="s">
        <v>94</v>
      </c>
      <c r="I793" s="635">
        <v>6400</v>
      </c>
      <c r="J793" s="635">
        <v>0</v>
      </c>
      <c r="K793" s="635">
        <v>4</v>
      </c>
      <c r="L793" s="842">
        <f t="shared" si="259"/>
        <v>1600</v>
      </c>
      <c r="M793" s="679">
        <v>46076</v>
      </c>
      <c r="N793" s="679">
        <v>46072</v>
      </c>
      <c r="O793" s="641" t="s">
        <v>2778</v>
      </c>
      <c r="P793" s="482"/>
      <c r="Q793" s="647"/>
      <c r="R793" s="647" t="s">
        <v>2779</v>
      </c>
      <c r="S793" s="683" t="s">
        <v>66</v>
      </c>
      <c r="T793" s="647" t="s">
        <v>2780</v>
      </c>
      <c r="U793" s="508"/>
      <c r="V793" s="508"/>
      <c r="W793" s="508" t="s">
        <v>1281</v>
      </c>
      <c r="X793" s="651" t="s">
        <v>98</v>
      </c>
      <c r="Y793" s="687">
        <v>2.5656</v>
      </c>
      <c r="Z793" s="688">
        <f t="shared" si="260"/>
        <v>16419.84</v>
      </c>
      <c r="AA793" s="482"/>
      <c r="AB793" s="635" t="s">
        <v>93</v>
      </c>
      <c r="AC793" s="635" t="s">
        <v>76</v>
      </c>
      <c r="AD793" s="482"/>
      <c r="AE793" s="482"/>
      <c r="AF793" s="482" t="s">
        <v>114</v>
      </c>
      <c r="AG793" s="482">
        <v>6400</v>
      </c>
      <c r="AH793" s="482">
        <f t="shared" si="261"/>
        <v>0</v>
      </c>
      <c r="AI793" s="482"/>
      <c r="AJ793" s="482" t="s">
        <v>2191</v>
      </c>
      <c r="AK793" s="656"/>
      <c r="AL793" s="656">
        <f t="shared" si="258"/>
        <v>6400</v>
      </c>
      <c r="AM793" s="658"/>
      <c r="AN793" s="658"/>
      <c r="AO793" s="658"/>
      <c r="AP793" s="794">
        <f t="shared" si="262"/>
        <v>6400</v>
      </c>
      <c r="AQ793" s="656"/>
      <c r="AR793" s="794">
        <f t="shared" si="263"/>
        <v>6400</v>
      </c>
      <c r="AS793" s="656"/>
      <c r="AT793" s="656">
        <f t="shared" si="264"/>
        <v>6400</v>
      </c>
      <c r="AU793" s="662"/>
      <c r="AV793" s="432"/>
      <c r="AW793" s="432"/>
      <c r="AX793" s="432"/>
      <c r="AY793" s="432"/>
      <c r="AZ793" s="656"/>
      <c r="BA793" s="656"/>
      <c r="BB793" s="432"/>
      <c r="BC793" s="432"/>
      <c r="BD793" s="656">
        <f t="shared" si="265"/>
        <v>1600</v>
      </c>
      <c r="BE793" s="656"/>
      <c r="BF793" s="432"/>
      <c r="BG793" s="432"/>
      <c r="BH793" s="432"/>
      <c r="BI793" s="432"/>
      <c r="BJ793" s="432"/>
      <c r="BK793" s="432"/>
      <c r="BL793" s="432"/>
      <c r="BM793" s="432"/>
      <c r="BN793" s="871"/>
      <c r="BO793" s="432"/>
      <c r="BP793" s="432"/>
      <c r="BQ793" s="432"/>
      <c r="BR793" s="432"/>
      <c r="BS793" s="432"/>
      <c r="BT793" s="432"/>
      <c r="BU793" s="432"/>
      <c r="BV793" s="432"/>
      <c r="BW793" s="432"/>
      <c r="BX793" s="432"/>
      <c r="BY793" s="432"/>
      <c r="BZ793" s="432"/>
      <c r="CA793" s="432"/>
      <c r="CB793" s="432"/>
      <c r="CC793" s="432"/>
      <c r="CD793" s="432"/>
      <c r="CE793" s="432"/>
      <c r="CF793" s="660"/>
      <c r="CG793" s="660"/>
      <c r="CH793" s="660"/>
      <c r="CI793" s="660"/>
      <c r="CJ793" s="660"/>
      <c r="CK793" s="432"/>
      <c r="CL793" s="432"/>
      <c r="CM793" s="432"/>
      <c r="CN793" s="660"/>
      <c r="CO793" s="660"/>
      <c r="CP793" s="660"/>
      <c r="CQ793" s="660"/>
      <c r="CR793" s="660"/>
      <c r="CS793" s="660"/>
    </row>
    <row r="794" s="424" customFormat="1" ht="31" hidden="1" customHeight="1" spans="1:97">
      <c r="A794" s="633">
        <v>46016</v>
      </c>
      <c r="B794" s="497" t="s">
        <v>128</v>
      </c>
      <c r="C794" s="635" t="s">
        <v>90</v>
      </c>
      <c r="D794" s="432">
        <v>4500189961</v>
      </c>
      <c r="E794" s="893" t="s">
        <v>2785</v>
      </c>
      <c r="F794" s="432" t="s">
        <v>2786</v>
      </c>
      <c r="G794" s="482" t="s">
        <v>93</v>
      </c>
      <c r="H794" s="635" t="s">
        <v>94</v>
      </c>
      <c r="I794" s="635">
        <v>5120</v>
      </c>
      <c r="J794" s="635">
        <v>0</v>
      </c>
      <c r="K794" s="635">
        <v>4</v>
      </c>
      <c r="L794" s="842">
        <f t="shared" si="259"/>
        <v>1280</v>
      </c>
      <c r="M794" s="679">
        <v>46076</v>
      </c>
      <c r="N794" s="679">
        <v>46072</v>
      </c>
      <c r="O794" s="641" t="s">
        <v>2778</v>
      </c>
      <c r="P794" s="482"/>
      <c r="Q794" s="647"/>
      <c r="R794" s="647" t="s">
        <v>2779</v>
      </c>
      <c r="S794" s="683" t="s">
        <v>66</v>
      </c>
      <c r="T794" s="647" t="s">
        <v>2780</v>
      </c>
      <c r="U794" s="508"/>
      <c r="V794" s="508"/>
      <c r="W794" s="508" t="s">
        <v>1281</v>
      </c>
      <c r="X794" s="651" t="s">
        <v>98</v>
      </c>
      <c r="Y794" s="687">
        <v>2.5656</v>
      </c>
      <c r="Z794" s="688">
        <f t="shared" si="260"/>
        <v>13135.872</v>
      </c>
      <c r="AA794" s="482"/>
      <c r="AB794" s="635" t="s">
        <v>93</v>
      </c>
      <c r="AC794" s="635" t="s">
        <v>76</v>
      </c>
      <c r="AD794" s="482"/>
      <c r="AE794" s="482"/>
      <c r="AF794" s="482" t="s">
        <v>114</v>
      </c>
      <c r="AG794" s="482">
        <v>5120</v>
      </c>
      <c r="AH794" s="482">
        <f t="shared" si="261"/>
        <v>0</v>
      </c>
      <c r="AI794" s="482"/>
      <c r="AJ794" s="482" t="s">
        <v>2191</v>
      </c>
      <c r="AK794" s="656"/>
      <c r="AL794" s="656">
        <f t="shared" si="258"/>
        <v>5120</v>
      </c>
      <c r="AM794" s="658"/>
      <c r="AN794" s="658"/>
      <c r="AO794" s="658"/>
      <c r="AP794" s="794">
        <f t="shared" si="262"/>
        <v>5120</v>
      </c>
      <c r="AQ794" s="656"/>
      <c r="AR794" s="794">
        <f t="shared" si="263"/>
        <v>5120</v>
      </c>
      <c r="AS794" s="656"/>
      <c r="AT794" s="656">
        <f t="shared" si="264"/>
        <v>5120</v>
      </c>
      <c r="AU794" s="662"/>
      <c r="AV794" s="432"/>
      <c r="AW794" s="432"/>
      <c r="AX794" s="432"/>
      <c r="AY794" s="432"/>
      <c r="AZ794" s="656"/>
      <c r="BA794" s="656"/>
      <c r="BB794" s="432"/>
      <c r="BC794" s="432"/>
      <c r="BD794" s="656">
        <f t="shared" si="265"/>
        <v>1280</v>
      </c>
      <c r="BE794" s="656"/>
      <c r="BF794" s="432"/>
      <c r="BG794" s="432"/>
      <c r="BH794" s="432"/>
      <c r="BI794" s="432"/>
      <c r="BJ794" s="432"/>
      <c r="BK794" s="432"/>
      <c r="BL794" s="432"/>
      <c r="BM794" s="432"/>
      <c r="BN794" s="871"/>
      <c r="BO794" s="432"/>
      <c r="BP794" s="432"/>
      <c r="BQ794" s="432"/>
      <c r="BR794" s="432"/>
      <c r="BS794" s="432"/>
      <c r="BT794" s="432"/>
      <c r="BU794" s="432"/>
      <c r="BV794" s="432"/>
      <c r="BW794" s="432"/>
      <c r="BX794" s="432"/>
      <c r="BY794" s="432"/>
      <c r="BZ794" s="432"/>
      <c r="CA794" s="432"/>
      <c r="CB794" s="432"/>
      <c r="CC794" s="432"/>
      <c r="CD794" s="432"/>
      <c r="CE794" s="432"/>
      <c r="CF794" s="660"/>
      <c r="CG794" s="660"/>
      <c r="CH794" s="660"/>
      <c r="CI794" s="660"/>
      <c r="CJ794" s="660"/>
      <c r="CK794" s="432"/>
      <c r="CL794" s="432"/>
      <c r="CM794" s="432"/>
      <c r="CN794" s="660"/>
      <c r="CO794" s="660"/>
      <c r="CP794" s="660"/>
      <c r="CQ794" s="660"/>
      <c r="CR794" s="660"/>
      <c r="CS794" s="660"/>
    </row>
    <row r="795" s="424" customFormat="1" ht="31" hidden="1" customHeight="1" spans="1:97">
      <c r="A795" s="633">
        <v>46016</v>
      </c>
      <c r="B795" s="497" t="s">
        <v>128</v>
      </c>
      <c r="C795" s="635" t="s">
        <v>90</v>
      </c>
      <c r="D795" s="432">
        <v>4500189961</v>
      </c>
      <c r="E795" s="893" t="s">
        <v>2787</v>
      </c>
      <c r="F795" s="432" t="s">
        <v>2788</v>
      </c>
      <c r="G795" s="482" t="s">
        <v>93</v>
      </c>
      <c r="H795" s="635" t="s">
        <v>94</v>
      </c>
      <c r="I795" s="635">
        <v>6080</v>
      </c>
      <c r="J795" s="635">
        <v>0</v>
      </c>
      <c r="K795" s="635">
        <v>4</v>
      </c>
      <c r="L795" s="842">
        <f t="shared" si="259"/>
        <v>1520</v>
      </c>
      <c r="M795" s="679">
        <v>46076</v>
      </c>
      <c r="N795" s="679">
        <v>46072</v>
      </c>
      <c r="O795" s="641" t="s">
        <v>2778</v>
      </c>
      <c r="P795" s="482"/>
      <c r="Q795" s="647"/>
      <c r="R795" s="647" t="s">
        <v>2779</v>
      </c>
      <c r="S795" s="683" t="s">
        <v>66</v>
      </c>
      <c r="T795" s="647" t="s">
        <v>2780</v>
      </c>
      <c r="U795" s="508"/>
      <c r="V795" s="508"/>
      <c r="W795" s="508" t="s">
        <v>1281</v>
      </c>
      <c r="X795" s="651" t="s">
        <v>98</v>
      </c>
      <c r="Y795" s="687">
        <v>2.5656</v>
      </c>
      <c r="Z795" s="688">
        <f t="shared" si="260"/>
        <v>15598.848</v>
      </c>
      <c r="AA795" s="482"/>
      <c r="AB795" s="635" t="s">
        <v>93</v>
      </c>
      <c r="AC795" s="635" t="s">
        <v>76</v>
      </c>
      <c r="AD795" s="482"/>
      <c r="AE795" s="482"/>
      <c r="AF795" s="482" t="s">
        <v>114</v>
      </c>
      <c r="AG795" s="482">
        <v>6080</v>
      </c>
      <c r="AH795" s="482">
        <f t="shared" si="261"/>
        <v>0</v>
      </c>
      <c r="AI795" s="482"/>
      <c r="AJ795" s="482" t="s">
        <v>2191</v>
      </c>
      <c r="AK795" s="656"/>
      <c r="AL795" s="656">
        <f t="shared" si="258"/>
        <v>6080</v>
      </c>
      <c r="AM795" s="658"/>
      <c r="AN795" s="658"/>
      <c r="AO795" s="658"/>
      <c r="AP795" s="794">
        <f t="shared" si="262"/>
        <v>6080</v>
      </c>
      <c r="AQ795" s="656"/>
      <c r="AR795" s="794">
        <f t="shared" si="263"/>
        <v>6080</v>
      </c>
      <c r="AS795" s="656"/>
      <c r="AT795" s="656">
        <f t="shared" si="264"/>
        <v>6080</v>
      </c>
      <c r="AU795" s="662"/>
      <c r="AV795" s="432"/>
      <c r="AW795" s="432"/>
      <c r="AX795" s="432"/>
      <c r="AY795" s="432"/>
      <c r="AZ795" s="656"/>
      <c r="BA795" s="656"/>
      <c r="BB795" s="432"/>
      <c r="BC795" s="432"/>
      <c r="BD795" s="656">
        <f t="shared" si="265"/>
        <v>1520</v>
      </c>
      <c r="BE795" s="656"/>
      <c r="BF795" s="432"/>
      <c r="BG795" s="432"/>
      <c r="BH795" s="432"/>
      <c r="BI795" s="432"/>
      <c r="BJ795" s="432"/>
      <c r="BK795" s="432"/>
      <c r="BL795" s="432"/>
      <c r="BM795" s="432"/>
      <c r="BN795" s="871"/>
      <c r="BO795" s="432"/>
      <c r="BP795" s="432"/>
      <c r="BQ795" s="432"/>
      <c r="BR795" s="432"/>
      <c r="BS795" s="432"/>
      <c r="BT795" s="432"/>
      <c r="BU795" s="432"/>
      <c r="BV795" s="432"/>
      <c r="BW795" s="432"/>
      <c r="BX795" s="432"/>
      <c r="BY795" s="432"/>
      <c r="BZ795" s="432"/>
      <c r="CA795" s="432"/>
      <c r="CB795" s="432"/>
      <c r="CC795" s="432"/>
      <c r="CD795" s="432"/>
      <c r="CE795" s="432"/>
      <c r="CF795" s="660"/>
      <c r="CG795" s="660"/>
      <c r="CH795" s="660"/>
      <c r="CI795" s="660"/>
      <c r="CJ795" s="660"/>
      <c r="CK795" s="432"/>
      <c r="CL795" s="432"/>
      <c r="CM795" s="432"/>
      <c r="CN795" s="660"/>
      <c r="CO795" s="660"/>
      <c r="CP795" s="660"/>
      <c r="CQ795" s="660"/>
      <c r="CR795" s="660"/>
      <c r="CS795" s="660"/>
    </row>
    <row r="796" s="424" customFormat="1" ht="31" hidden="1" customHeight="1" spans="1:97">
      <c r="A796" s="633">
        <v>46016</v>
      </c>
      <c r="B796" s="497" t="s">
        <v>128</v>
      </c>
      <c r="C796" s="635" t="s">
        <v>90</v>
      </c>
      <c r="D796" s="432">
        <v>4500189961</v>
      </c>
      <c r="E796" s="893" t="s">
        <v>2789</v>
      </c>
      <c r="F796" s="432" t="s">
        <v>2790</v>
      </c>
      <c r="G796" s="482" t="s">
        <v>93</v>
      </c>
      <c r="H796" s="635" t="s">
        <v>94</v>
      </c>
      <c r="I796" s="635">
        <v>5440</v>
      </c>
      <c r="J796" s="635">
        <v>0</v>
      </c>
      <c r="K796" s="635">
        <v>4</v>
      </c>
      <c r="L796" s="842">
        <f t="shared" si="259"/>
        <v>1360</v>
      </c>
      <c r="M796" s="679">
        <v>46076</v>
      </c>
      <c r="N796" s="679">
        <v>46072</v>
      </c>
      <c r="O796" s="641" t="s">
        <v>2791</v>
      </c>
      <c r="P796" s="482"/>
      <c r="Q796" s="647"/>
      <c r="R796" s="647" t="s">
        <v>2779</v>
      </c>
      <c r="S796" s="683" t="s">
        <v>66</v>
      </c>
      <c r="T796" s="647" t="s">
        <v>2780</v>
      </c>
      <c r="U796" s="508"/>
      <c r="V796" s="508"/>
      <c r="W796" s="508" t="s">
        <v>1281</v>
      </c>
      <c r="X796" s="651" t="s">
        <v>98</v>
      </c>
      <c r="Y796" s="687">
        <v>2.5656</v>
      </c>
      <c r="Z796" s="688">
        <f t="shared" si="260"/>
        <v>13956.864</v>
      </c>
      <c r="AA796" s="482"/>
      <c r="AB796" s="635" t="s">
        <v>93</v>
      </c>
      <c r="AC796" s="635" t="s">
        <v>76</v>
      </c>
      <c r="AD796" s="482"/>
      <c r="AE796" s="482"/>
      <c r="AF796" s="482" t="s">
        <v>114</v>
      </c>
      <c r="AG796" s="482">
        <f>2880+2560</f>
        <v>5440</v>
      </c>
      <c r="AH796" s="482">
        <f t="shared" si="261"/>
        <v>0</v>
      </c>
      <c r="AI796" s="482"/>
      <c r="AJ796" s="482" t="s">
        <v>2191</v>
      </c>
      <c r="AK796" s="656"/>
      <c r="AL796" s="656">
        <f t="shared" si="258"/>
        <v>5440</v>
      </c>
      <c r="AM796" s="658"/>
      <c r="AN796" s="658"/>
      <c r="AO796" s="658"/>
      <c r="AP796" s="794">
        <f t="shared" si="262"/>
        <v>5440</v>
      </c>
      <c r="AQ796" s="656"/>
      <c r="AR796" s="794">
        <f t="shared" si="263"/>
        <v>5440</v>
      </c>
      <c r="AS796" s="656"/>
      <c r="AT796" s="656">
        <f t="shared" si="264"/>
        <v>5440</v>
      </c>
      <c r="AU796" s="662"/>
      <c r="AV796" s="432"/>
      <c r="AW796" s="432"/>
      <c r="AX796" s="432"/>
      <c r="AY796" s="432"/>
      <c r="AZ796" s="656"/>
      <c r="BA796" s="656"/>
      <c r="BB796" s="432"/>
      <c r="BC796" s="432"/>
      <c r="BD796" s="656">
        <f t="shared" si="265"/>
        <v>1360</v>
      </c>
      <c r="BE796" s="656"/>
      <c r="BF796" s="432"/>
      <c r="BG796" s="432"/>
      <c r="BH796" s="432"/>
      <c r="BI796" s="432"/>
      <c r="BJ796" s="432"/>
      <c r="BK796" s="432"/>
      <c r="BL796" s="432"/>
      <c r="BM796" s="432"/>
      <c r="BN796" s="871"/>
      <c r="BO796" s="432"/>
      <c r="BP796" s="432"/>
      <c r="BQ796" s="432"/>
      <c r="BR796" s="432"/>
      <c r="BS796" s="432"/>
      <c r="BT796" s="432"/>
      <c r="BU796" s="432"/>
      <c r="BV796" s="432"/>
      <c r="BW796" s="432"/>
      <c r="BX796" s="432"/>
      <c r="BY796" s="432"/>
      <c r="BZ796" s="432"/>
      <c r="CA796" s="432"/>
      <c r="CB796" s="432"/>
      <c r="CC796" s="432"/>
      <c r="CD796" s="432"/>
      <c r="CE796" s="432"/>
      <c r="CF796" s="660"/>
      <c r="CG796" s="660"/>
      <c r="CH796" s="660"/>
      <c r="CI796" s="660"/>
      <c r="CJ796" s="660"/>
      <c r="CK796" s="432"/>
      <c r="CL796" s="432"/>
      <c r="CM796" s="432"/>
      <c r="CN796" s="660"/>
      <c r="CO796" s="660"/>
      <c r="CP796" s="660"/>
      <c r="CQ796" s="660"/>
      <c r="CR796" s="660"/>
      <c r="CS796" s="660"/>
    </row>
    <row r="797" s="424" customFormat="1" ht="31" hidden="1" customHeight="1" spans="1:97">
      <c r="A797" s="633">
        <v>46016</v>
      </c>
      <c r="B797" s="497" t="s">
        <v>128</v>
      </c>
      <c r="C797" s="635" t="s">
        <v>90</v>
      </c>
      <c r="D797" s="432">
        <v>4500189961</v>
      </c>
      <c r="E797" s="893" t="s">
        <v>2792</v>
      </c>
      <c r="F797" s="432" t="s">
        <v>2793</v>
      </c>
      <c r="G797" s="482" t="s">
        <v>93</v>
      </c>
      <c r="H797" s="635" t="s">
        <v>94</v>
      </c>
      <c r="I797" s="635">
        <v>3840</v>
      </c>
      <c r="J797" s="635">
        <v>0</v>
      </c>
      <c r="K797" s="635">
        <v>4</v>
      </c>
      <c r="L797" s="842">
        <f t="shared" si="259"/>
        <v>960</v>
      </c>
      <c r="M797" s="679">
        <v>46076</v>
      </c>
      <c r="N797" s="679">
        <v>46072</v>
      </c>
      <c r="O797" s="641" t="s">
        <v>2778</v>
      </c>
      <c r="P797" s="482"/>
      <c r="Q797" s="647"/>
      <c r="R797" s="647" t="s">
        <v>2779</v>
      </c>
      <c r="S797" s="683" t="s">
        <v>66</v>
      </c>
      <c r="T797" s="647" t="s">
        <v>2780</v>
      </c>
      <c r="U797" s="508"/>
      <c r="V797" s="508"/>
      <c r="W797" s="508" t="s">
        <v>1281</v>
      </c>
      <c r="X797" s="651" t="s">
        <v>98</v>
      </c>
      <c r="Y797" s="687">
        <v>2.5768</v>
      </c>
      <c r="Z797" s="688">
        <f t="shared" si="260"/>
        <v>9894.912</v>
      </c>
      <c r="AA797" s="482"/>
      <c r="AB797" s="635" t="s">
        <v>93</v>
      </c>
      <c r="AC797" s="635" t="s">
        <v>76</v>
      </c>
      <c r="AD797" s="482"/>
      <c r="AE797" s="482"/>
      <c r="AF797" s="482" t="s">
        <v>114</v>
      </c>
      <c r="AG797" s="482">
        <v>3840</v>
      </c>
      <c r="AH797" s="482">
        <f t="shared" si="261"/>
        <v>0</v>
      </c>
      <c r="AI797" s="482"/>
      <c r="AJ797" s="482" t="s">
        <v>2191</v>
      </c>
      <c r="AK797" s="656"/>
      <c r="AL797" s="656">
        <f t="shared" si="258"/>
        <v>3840</v>
      </c>
      <c r="AM797" s="658"/>
      <c r="AN797" s="658"/>
      <c r="AO797" s="658"/>
      <c r="AP797" s="794">
        <f t="shared" si="262"/>
        <v>3840</v>
      </c>
      <c r="AQ797" s="656"/>
      <c r="AR797" s="794">
        <f t="shared" si="263"/>
        <v>3840</v>
      </c>
      <c r="AS797" s="656"/>
      <c r="AT797" s="656">
        <f t="shared" si="264"/>
        <v>3840</v>
      </c>
      <c r="AU797" s="662"/>
      <c r="AV797" s="432"/>
      <c r="AW797" s="432"/>
      <c r="AX797" s="432"/>
      <c r="AY797" s="432"/>
      <c r="AZ797" s="656"/>
      <c r="BA797" s="656"/>
      <c r="BB797" s="432"/>
      <c r="BC797" s="432"/>
      <c r="BD797" s="656">
        <f t="shared" si="265"/>
        <v>960</v>
      </c>
      <c r="BE797" s="656"/>
      <c r="BF797" s="432"/>
      <c r="BG797" s="432"/>
      <c r="BH797" s="432"/>
      <c r="BI797" s="432"/>
      <c r="BJ797" s="432"/>
      <c r="BK797" s="432"/>
      <c r="BL797" s="432"/>
      <c r="BM797" s="432"/>
      <c r="BN797" s="871"/>
      <c r="BO797" s="432"/>
      <c r="BP797" s="432"/>
      <c r="BQ797" s="432"/>
      <c r="BR797" s="432"/>
      <c r="BS797" s="432"/>
      <c r="BT797" s="432"/>
      <c r="BU797" s="432"/>
      <c r="BV797" s="432"/>
      <c r="BW797" s="432"/>
      <c r="BX797" s="432"/>
      <c r="BY797" s="432"/>
      <c r="BZ797" s="432"/>
      <c r="CA797" s="432"/>
      <c r="CB797" s="432"/>
      <c r="CC797" s="432"/>
      <c r="CD797" s="432"/>
      <c r="CE797" s="432"/>
      <c r="CF797" s="660"/>
      <c r="CG797" s="660"/>
      <c r="CH797" s="660"/>
      <c r="CI797" s="660"/>
      <c r="CJ797" s="660"/>
      <c r="CK797" s="432"/>
      <c r="CL797" s="432"/>
      <c r="CM797" s="432"/>
      <c r="CN797" s="660"/>
      <c r="CO797" s="660"/>
      <c r="CP797" s="660"/>
      <c r="CQ797" s="660"/>
      <c r="CR797" s="660"/>
      <c r="CS797" s="660"/>
    </row>
    <row r="798" s="424" customFormat="1" ht="31" hidden="1" customHeight="1" spans="1:97">
      <c r="A798" s="633">
        <v>45994</v>
      </c>
      <c r="B798" s="497" t="s">
        <v>360</v>
      </c>
      <c r="C798" s="635" t="s">
        <v>249</v>
      </c>
      <c r="D798" s="432">
        <v>4500187827</v>
      </c>
      <c r="E798" s="635">
        <v>196109</v>
      </c>
      <c r="F798" s="432" t="s">
        <v>2794</v>
      </c>
      <c r="G798" s="482" t="s">
        <v>64</v>
      </c>
      <c r="H798" s="635" t="s">
        <v>65</v>
      </c>
      <c r="I798" s="635">
        <v>708</v>
      </c>
      <c r="J798" s="635">
        <v>0</v>
      </c>
      <c r="K798" s="635">
        <v>12</v>
      </c>
      <c r="L798" s="842">
        <f t="shared" si="259"/>
        <v>59</v>
      </c>
      <c r="M798" s="679">
        <v>46078</v>
      </c>
      <c r="N798" s="679">
        <v>46074</v>
      </c>
      <c r="O798" s="641"/>
      <c r="P798" s="482"/>
      <c r="Q798" s="647"/>
      <c r="R798" s="647">
        <v>45994</v>
      </c>
      <c r="S798" s="683" t="s">
        <v>66</v>
      </c>
      <c r="T798" s="683" t="s">
        <v>2795</v>
      </c>
      <c r="U798" s="683"/>
      <c r="V798" s="508"/>
      <c r="W798" s="508" t="s">
        <v>2796</v>
      </c>
      <c r="X798" s="651" t="s">
        <v>451</v>
      </c>
      <c r="Y798" s="687">
        <v>4.1623</v>
      </c>
      <c r="Z798" s="688">
        <f t="shared" si="260"/>
        <v>2946.9084</v>
      </c>
      <c r="AA798" s="482"/>
      <c r="AB798" s="656" t="s">
        <v>64</v>
      </c>
      <c r="AC798" s="635" t="s">
        <v>76</v>
      </c>
      <c r="AD798" s="482"/>
      <c r="AE798" s="482"/>
      <c r="AF798" s="482" t="s">
        <v>114</v>
      </c>
      <c r="AG798" s="482">
        <v>708</v>
      </c>
      <c r="AH798" s="793">
        <f t="shared" si="261"/>
        <v>0</v>
      </c>
      <c r="AI798" s="482"/>
      <c r="AJ798" s="482" t="s">
        <v>403</v>
      </c>
      <c r="AK798" s="656"/>
      <c r="AL798" s="656">
        <f t="shared" si="258"/>
        <v>708</v>
      </c>
      <c r="AM798" s="656"/>
      <c r="AN798" s="656"/>
      <c r="AO798" s="432"/>
      <c r="AP798" s="568">
        <f t="shared" si="262"/>
        <v>708</v>
      </c>
      <c r="AQ798" s="656"/>
      <c r="AR798" s="777">
        <f t="shared" si="263"/>
        <v>708</v>
      </c>
      <c r="AS798" s="656"/>
      <c r="AT798" s="777">
        <f t="shared" si="264"/>
        <v>708</v>
      </c>
      <c r="AU798" s="662"/>
      <c r="AV798" s="432"/>
      <c r="AW798" s="432"/>
      <c r="AX798" s="432"/>
      <c r="AY798" s="432"/>
      <c r="AZ798" s="656"/>
      <c r="BA798" s="656"/>
      <c r="BB798" s="432"/>
      <c r="BC798" s="432"/>
      <c r="BD798" s="656"/>
      <c r="BE798" s="656"/>
      <c r="BF798" s="432"/>
      <c r="BG798" s="656"/>
      <c r="BH798" s="656"/>
      <c r="BI798" s="432"/>
      <c r="BJ798" s="432"/>
      <c r="BK798" s="432"/>
      <c r="BL798" s="432"/>
      <c r="BM798" s="432"/>
      <c r="BN798" s="871"/>
      <c r="BO798" s="432"/>
      <c r="BP798" s="432"/>
      <c r="BQ798" s="432"/>
      <c r="BR798" s="432"/>
      <c r="BS798" s="432"/>
      <c r="BT798" s="432"/>
      <c r="BU798" s="432"/>
      <c r="BV798" s="432"/>
      <c r="BW798" s="432"/>
      <c r="BX798" s="432"/>
      <c r="BY798" s="432"/>
      <c r="BZ798" s="432"/>
      <c r="CA798" s="432"/>
      <c r="CB798" s="432"/>
      <c r="CC798" s="432"/>
      <c r="CD798" s="432"/>
      <c r="CE798" s="432"/>
      <c r="CF798" s="660"/>
      <c r="CG798" s="660"/>
      <c r="CH798" s="660"/>
      <c r="CI798" s="660"/>
      <c r="CJ798" s="660"/>
      <c r="CK798" s="432"/>
      <c r="CL798" s="432"/>
      <c r="CM798" s="432"/>
      <c r="CN798" s="660"/>
      <c r="CO798" s="660"/>
      <c r="CP798" s="660"/>
      <c r="CQ798" s="660"/>
      <c r="CR798" s="660"/>
      <c r="CS798" s="660"/>
    </row>
    <row r="799" s="424" customFormat="1" ht="31" hidden="1" customHeight="1" spans="1:97">
      <c r="A799" s="633">
        <v>45985</v>
      </c>
      <c r="B799" s="497" t="s">
        <v>2489</v>
      </c>
      <c r="C799" s="635" t="s">
        <v>90</v>
      </c>
      <c r="D799" s="432">
        <v>4500186623</v>
      </c>
      <c r="E799" s="635">
        <v>60261230</v>
      </c>
      <c r="F799" s="432" t="s">
        <v>2797</v>
      </c>
      <c r="G799" s="482" t="s">
        <v>2491</v>
      </c>
      <c r="H799" s="635" t="s">
        <v>2492</v>
      </c>
      <c r="I799" s="635">
        <v>3000</v>
      </c>
      <c r="J799" s="635">
        <v>0</v>
      </c>
      <c r="K799" s="635">
        <v>8</v>
      </c>
      <c r="L799" s="842">
        <f t="shared" si="259"/>
        <v>375</v>
      </c>
      <c r="M799" s="644">
        <v>46078</v>
      </c>
      <c r="N799" s="644">
        <v>46074</v>
      </c>
      <c r="O799" s="641"/>
      <c r="P799" s="482"/>
      <c r="Q799" s="647"/>
      <c r="R799" s="647">
        <v>45985</v>
      </c>
      <c r="S799" s="683" t="s">
        <v>66</v>
      </c>
      <c r="T799" s="647" t="s">
        <v>2493</v>
      </c>
      <c r="U799" s="508"/>
      <c r="V799" s="508"/>
      <c r="W799" s="571" t="s">
        <v>2798</v>
      </c>
      <c r="X799" s="651" t="s">
        <v>2441</v>
      </c>
      <c r="Y799" s="687">
        <v>3.9826</v>
      </c>
      <c r="Z799" s="688">
        <f t="shared" si="260"/>
        <v>11947.8</v>
      </c>
      <c r="AA799" s="482"/>
      <c r="AB799" s="482" t="s">
        <v>2495</v>
      </c>
      <c r="AC799" s="635" t="s">
        <v>76</v>
      </c>
      <c r="AD799" s="482"/>
      <c r="AE799" s="482"/>
      <c r="AF799" s="482" t="s">
        <v>114</v>
      </c>
      <c r="AG799" s="482">
        <v>3000</v>
      </c>
      <c r="AH799" s="793">
        <f t="shared" si="261"/>
        <v>0</v>
      </c>
      <c r="AI799" s="482"/>
      <c r="AJ799" s="482"/>
      <c r="AK799" s="656"/>
      <c r="AL799" s="656">
        <f t="shared" si="258"/>
        <v>3000</v>
      </c>
      <c r="AM799" s="658"/>
      <c r="AN799" s="658"/>
      <c r="AO799" s="658"/>
      <c r="AP799" s="656">
        <f t="shared" si="262"/>
        <v>3000</v>
      </c>
      <c r="AQ799" s="656"/>
      <c r="AR799" s="794">
        <f t="shared" si="263"/>
        <v>3000</v>
      </c>
      <c r="AS799" s="656"/>
      <c r="AT799" s="656">
        <f t="shared" si="264"/>
        <v>3000</v>
      </c>
      <c r="AU799" s="662"/>
      <c r="AV799" s="432"/>
      <c r="AW799" s="432"/>
      <c r="AX799" s="432"/>
      <c r="AY799" s="432"/>
      <c r="AZ799" s="656"/>
      <c r="BA799" s="656"/>
      <c r="BB799" s="432"/>
      <c r="BC799" s="432"/>
      <c r="BD799" s="656"/>
      <c r="BE799" s="656"/>
      <c r="BF799" s="432"/>
      <c r="BG799" s="432"/>
      <c r="BH799" s="432"/>
      <c r="BI799" s="432"/>
      <c r="BJ799" s="432">
        <f>I799</f>
        <v>3000</v>
      </c>
      <c r="BK799" s="432"/>
      <c r="BL799" s="432"/>
      <c r="BM799" s="432"/>
      <c r="BN799" s="871"/>
      <c r="BO799" s="432"/>
      <c r="BP799" s="432"/>
      <c r="BQ799" s="432"/>
      <c r="BR799" s="432"/>
      <c r="BS799" s="432"/>
      <c r="BT799" s="432"/>
      <c r="BU799" s="432"/>
      <c r="BV799" s="432"/>
      <c r="BW799" s="432"/>
      <c r="BX799" s="432"/>
      <c r="BY799" s="432"/>
      <c r="BZ799" s="432"/>
      <c r="CA799" s="432"/>
      <c r="CB799" s="432"/>
      <c r="CC799" s="432"/>
      <c r="CD799" s="432"/>
      <c r="CE799" s="432"/>
      <c r="CF799" s="660"/>
      <c r="CG799" s="660"/>
      <c r="CH799" s="660"/>
      <c r="CI799" s="660"/>
      <c r="CJ799" s="660"/>
      <c r="CK799" s="432"/>
      <c r="CL799" s="432"/>
      <c r="CM799" s="432"/>
      <c r="CN799" s="660"/>
      <c r="CO799" s="660"/>
      <c r="CP799" s="660"/>
      <c r="CQ799" s="660"/>
      <c r="CR799" s="660"/>
      <c r="CS799" s="660"/>
    </row>
    <row r="800" s="424" customFormat="1" ht="31" hidden="1" customHeight="1" spans="1:97">
      <c r="A800" s="633">
        <v>45988</v>
      </c>
      <c r="B800" s="497" t="s">
        <v>489</v>
      </c>
      <c r="C800" s="634" t="s">
        <v>249</v>
      </c>
      <c r="D800" s="432">
        <v>4500187223</v>
      </c>
      <c r="E800" s="635" t="s">
        <v>2799</v>
      </c>
      <c r="F800" s="432" t="s">
        <v>2800</v>
      </c>
      <c r="G800" s="482" t="s">
        <v>463</v>
      </c>
      <c r="H800" s="635" t="s">
        <v>424</v>
      </c>
      <c r="I800" s="482">
        <v>504</v>
      </c>
      <c r="J800" s="482">
        <v>0</v>
      </c>
      <c r="K800" s="482">
        <v>6</v>
      </c>
      <c r="L800" s="639">
        <f t="shared" si="259"/>
        <v>84</v>
      </c>
      <c r="M800" s="679">
        <v>46079</v>
      </c>
      <c r="N800" s="679">
        <v>46076</v>
      </c>
      <c r="O800" s="641"/>
      <c r="P800" s="482"/>
      <c r="Q800" s="647"/>
      <c r="R800" s="647" t="s">
        <v>492</v>
      </c>
      <c r="S800" s="683" t="s">
        <v>96</v>
      </c>
      <c r="T800" s="683" t="s">
        <v>2639</v>
      </c>
      <c r="U800" s="683"/>
      <c r="V800" s="508"/>
      <c r="W800" s="508" t="s">
        <v>2801</v>
      </c>
      <c r="X800" s="650" t="s">
        <v>414</v>
      </c>
      <c r="Y800" s="648">
        <v>7.1628</v>
      </c>
      <c r="Z800" s="651">
        <f>Y800*K800</f>
        <v>42.9768</v>
      </c>
      <c r="AA800" s="482"/>
      <c r="AB800" s="656" t="s">
        <v>427</v>
      </c>
      <c r="AC800" s="635" t="s">
        <v>76</v>
      </c>
      <c r="AD800" s="482"/>
      <c r="AE800" s="482"/>
      <c r="AF800" s="482"/>
      <c r="AG800" s="482">
        <v>504</v>
      </c>
      <c r="AH800" s="793">
        <f t="shared" si="261"/>
        <v>0</v>
      </c>
      <c r="AI800" s="482"/>
      <c r="AJ800" s="482"/>
      <c r="AK800" s="656"/>
      <c r="AL800" s="656">
        <f t="shared" si="258"/>
        <v>504</v>
      </c>
      <c r="AM800" s="656"/>
      <c r="AN800" s="656"/>
      <c r="AO800" s="432"/>
      <c r="AP800" s="656"/>
      <c r="AQ800" s="656">
        <f>I800</f>
        <v>504</v>
      </c>
      <c r="AR800" s="794">
        <f t="shared" si="263"/>
        <v>504</v>
      </c>
      <c r="AS800" s="656"/>
      <c r="AT800" s="777">
        <f t="shared" si="264"/>
        <v>504</v>
      </c>
      <c r="AU800" s="662"/>
      <c r="AV800" s="432"/>
      <c r="AW800" s="432"/>
      <c r="AX800" s="432"/>
      <c r="AY800" s="432"/>
      <c r="AZ800" s="656"/>
      <c r="BA800" s="656"/>
      <c r="BB800" s="432"/>
      <c r="BC800" s="432"/>
      <c r="BD800" s="656"/>
      <c r="BE800" s="656"/>
      <c r="BF800" s="432"/>
      <c r="BG800" s="656"/>
      <c r="BH800" s="656"/>
      <c r="BI800" s="432"/>
      <c r="BJ800" s="432">
        <f>I800</f>
        <v>504</v>
      </c>
      <c r="BK800" s="432"/>
      <c r="BL800" s="432"/>
      <c r="BM800" s="432"/>
      <c r="BN800" s="871"/>
      <c r="BO800" s="432"/>
      <c r="BP800" s="432"/>
      <c r="BQ800" s="432"/>
      <c r="BR800" s="432"/>
      <c r="BS800" s="432"/>
      <c r="BT800" s="432"/>
      <c r="BU800" s="432"/>
      <c r="BV800" s="432"/>
      <c r="BW800" s="432"/>
      <c r="BX800" s="432"/>
      <c r="BY800" s="432"/>
      <c r="BZ800" s="432"/>
      <c r="CA800" s="432"/>
      <c r="CB800" s="432"/>
      <c r="CC800" s="432"/>
      <c r="CD800" s="432"/>
      <c r="CE800" s="432"/>
      <c r="CF800" s="660"/>
      <c r="CG800" s="660"/>
      <c r="CH800" s="660"/>
      <c r="CI800" s="660"/>
      <c r="CJ800" s="660"/>
      <c r="CK800" s="432"/>
      <c r="CL800" s="432"/>
      <c r="CM800" s="432"/>
      <c r="CN800" s="660"/>
      <c r="CO800" s="660"/>
      <c r="CP800" s="660"/>
      <c r="CQ800" s="660"/>
      <c r="CR800" s="660"/>
      <c r="CS800" s="660"/>
    </row>
    <row r="801" s="424" customFormat="1" ht="31" hidden="1" customHeight="1" spans="1:97">
      <c r="A801" s="633">
        <v>45988</v>
      </c>
      <c r="B801" s="497" t="s">
        <v>489</v>
      </c>
      <c r="C801" s="634" t="s">
        <v>139</v>
      </c>
      <c r="D801" s="432">
        <v>4500187223</v>
      </c>
      <c r="E801" s="635" t="s">
        <v>2802</v>
      </c>
      <c r="F801" s="432" t="s">
        <v>2803</v>
      </c>
      <c r="G801" s="482" t="s">
        <v>463</v>
      </c>
      <c r="H801" s="635" t="s">
        <v>424</v>
      </c>
      <c r="I801" s="482">
        <v>2430</v>
      </c>
      <c r="J801" s="482">
        <v>0</v>
      </c>
      <c r="K801" s="482">
        <v>6</v>
      </c>
      <c r="L801" s="639">
        <f t="shared" si="259"/>
        <v>405</v>
      </c>
      <c r="M801" s="679">
        <v>46079</v>
      </c>
      <c r="N801" s="679">
        <v>46076</v>
      </c>
      <c r="O801" s="641"/>
      <c r="P801" s="482"/>
      <c r="Q801" s="647"/>
      <c r="R801" s="647" t="s">
        <v>492</v>
      </c>
      <c r="S801" s="683" t="s">
        <v>96</v>
      </c>
      <c r="T801" s="683" t="s">
        <v>2639</v>
      </c>
      <c r="U801" s="683"/>
      <c r="V801" s="508"/>
      <c r="W801" s="508" t="s">
        <v>2801</v>
      </c>
      <c r="X801" s="650" t="s">
        <v>414</v>
      </c>
      <c r="Y801" s="648">
        <v>6.8284</v>
      </c>
      <c r="Z801" s="651">
        <f>Y801*K801</f>
        <v>40.9704</v>
      </c>
      <c r="AA801" s="482"/>
      <c r="AB801" s="656" t="s">
        <v>427</v>
      </c>
      <c r="AC801" s="635" t="s">
        <v>76</v>
      </c>
      <c r="AD801" s="482"/>
      <c r="AE801" s="482"/>
      <c r="AF801" s="482"/>
      <c r="AG801" s="482">
        <f>1296+1134</f>
        <v>2430</v>
      </c>
      <c r="AH801" s="793">
        <f t="shared" si="261"/>
        <v>0</v>
      </c>
      <c r="AI801" s="482"/>
      <c r="AJ801" s="482"/>
      <c r="AK801" s="656"/>
      <c r="AL801" s="656">
        <f t="shared" si="258"/>
        <v>2430</v>
      </c>
      <c r="AM801" s="656"/>
      <c r="AN801" s="656"/>
      <c r="AO801" s="432"/>
      <c r="AP801" s="656"/>
      <c r="AQ801" s="656">
        <f>I801</f>
        <v>2430</v>
      </c>
      <c r="AR801" s="656">
        <f t="shared" si="263"/>
        <v>2430</v>
      </c>
      <c r="AS801" s="656"/>
      <c r="AT801" s="656">
        <f t="shared" si="264"/>
        <v>2430</v>
      </c>
      <c r="AU801" s="662"/>
      <c r="AV801" s="432"/>
      <c r="AW801" s="432"/>
      <c r="AX801" s="432"/>
      <c r="AY801" s="432"/>
      <c r="AZ801" s="656"/>
      <c r="BA801" s="656"/>
      <c r="BB801" s="432"/>
      <c r="BC801" s="432"/>
      <c r="BD801" s="656"/>
      <c r="BE801" s="656"/>
      <c r="BF801" s="432"/>
      <c r="BG801" s="656"/>
      <c r="BH801" s="656"/>
      <c r="BI801" s="432"/>
      <c r="BJ801" s="432">
        <f>I801</f>
        <v>2430</v>
      </c>
      <c r="BK801" s="432"/>
      <c r="BL801" s="432"/>
      <c r="BM801" s="432"/>
      <c r="BN801" s="871"/>
      <c r="BO801" s="432"/>
      <c r="BP801" s="432"/>
      <c r="BQ801" s="432"/>
      <c r="BR801" s="432"/>
      <c r="BS801" s="432"/>
      <c r="BT801" s="432"/>
      <c r="BU801" s="432"/>
      <c r="BV801" s="432"/>
      <c r="BW801" s="432"/>
      <c r="BX801" s="432"/>
      <c r="BY801" s="432"/>
      <c r="BZ801" s="432"/>
      <c r="CA801" s="432"/>
      <c r="CB801" s="432"/>
      <c r="CC801" s="432"/>
      <c r="CD801" s="432"/>
      <c r="CE801" s="432"/>
      <c r="CF801" s="660"/>
      <c r="CG801" s="660"/>
      <c r="CH801" s="660"/>
      <c r="CI801" s="660"/>
      <c r="CJ801" s="660"/>
      <c r="CK801" s="432"/>
      <c r="CL801" s="432"/>
      <c r="CM801" s="432"/>
      <c r="CN801" s="660"/>
      <c r="CO801" s="660"/>
      <c r="CP801" s="660"/>
      <c r="CQ801" s="660"/>
      <c r="CR801" s="660"/>
      <c r="CS801" s="660"/>
    </row>
    <row r="802" s="424" customFormat="1" ht="31" hidden="1" customHeight="1" spans="1:97">
      <c r="A802" s="633">
        <v>46021</v>
      </c>
      <c r="B802" s="497" t="s">
        <v>1669</v>
      </c>
      <c r="C802" s="634" t="s">
        <v>663</v>
      </c>
      <c r="D802" s="432">
        <v>4500190102</v>
      </c>
      <c r="E802" s="635">
        <v>5000002099</v>
      </c>
      <c r="F802" s="432" t="s">
        <v>2804</v>
      </c>
      <c r="G802" s="482" t="s">
        <v>118</v>
      </c>
      <c r="H802" s="635" t="s">
        <v>119</v>
      </c>
      <c r="I802" s="635">
        <v>390</v>
      </c>
      <c r="J802" s="635">
        <v>0</v>
      </c>
      <c r="K802" s="635">
        <v>6</v>
      </c>
      <c r="L802" s="842">
        <f t="shared" si="259"/>
        <v>65</v>
      </c>
      <c r="M802" s="679">
        <v>46080</v>
      </c>
      <c r="N802" s="679">
        <v>46076</v>
      </c>
      <c r="O802" s="641"/>
      <c r="P802" s="482"/>
      <c r="Q802" s="647"/>
      <c r="R802" s="647">
        <v>46021</v>
      </c>
      <c r="S802" s="683" t="s">
        <v>96</v>
      </c>
      <c r="T802" s="683" t="s">
        <v>2743</v>
      </c>
      <c r="U802" s="683"/>
      <c r="V802" s="508"/>
      <c r="W802" s="508" t="s">
        <v>2805</v>
      </c>
      <c r="X802" s="650" t="s">
        <v>1674</v>
      </c>
      <c r="Y802" s="687">
        <v>4.1689</v>
      </c>
      <c r="Z802" s="688">
        <f>Y802*I802</f>
        <v>1625.871</v>
      </c>
      <c r="AA802" s="482"/>
      <c r="AB802" s="656" t="s">
        <v>2047</v>
      </c>
      <c r="AC802" s="635" t="s">
        <v>76</v>
      </c>
      <c r="AD802" s="482"/>
      <c r="AE802" s="482"/>
      <c r="AF802" s="482"/>
      <c r="AG802" s="482">
        <v>390</v>
      </c>
      <c r="AH802" s="482">
        <f t="shared" si="261"/>
        <v>0</v>
      </c>
      <c r="AI802" s="482"/>
      <c r="AJ802" s="482" t="s">
        <v>2191</v>
      </c>
      <c r="AK802" s="656"/>
      <c r="AL802" s="656">
        <f t="shared" si="258"/>
        <v>390</v>
      </c>
      <c r="AM802" s="656"/>
      <c r="AN802" s="656"/>
      <c r="AO802" s="432"/>
      <c r="AP802" s="794">
        <f>I802</f>
        <v>390</v>
      </c>
      <c r="AQ802" s="656"/>
      <c r="AR802" s="794"/>
      <c r="AS802" s="656">
        <f>I802</f>
        <v>390</v>
      </c>
      <c r="AT802" s="777"/>
      <c r="AU802" s="869">
        <f>I802</f>
        <v>390</v>
      </c>
      <c r="AV802" s="432"/>
      <c r="AW802" s="432"/>
      <c r="AX802" s="432"/>
      <c r="AY802" s="432"/>
      <c r="AZ802" s="656"/>
      <c r="BA802" s="656"/>
      <c r="BB802" s="432"/>
      <c r="BC802" s="432"/>
      <c r="BD802" s="656"/>
      <c r="BE802" s="656"/>
      <c r="BF802" s="432"/>
      <c r="BG802" s="656"/>
      <c r="BH802" s="656"/>
      <c r="BI802" s="432"/>
      <c r="BJ802" s="432"/>
      <c r="BK802" s="432"/>
      <c r="BL802" s="432"/>
      <c r="BM802" s="432"/>
      <c r="BN802" s="871"/>
      <c r="BO802" s="432"/>
      <c r="BP802" s="432"/>
      <c r="BQ802" s="432"/>
      <c r="BR802" s="432"/>
      <c r="BS802" s="432"/>
      <c r="BT802" s="432"/>
      <c r="BU802" s="432"/>
      <c r="BV802" s="432"/>
      <c r="BW802" s="432"/>
      <c r="BX802" s="432"/>
      <c r="BY802" s="432"/>
      <c r="BZ802" s="432"/>
      <c r="CA802" s="432"/>
      <c r="CB802" s="432"/>
      <c r="CC802" s="432"/>
      <c r="CD802" s="432"/>
      <c r="CE802" s="432"/>
      <c r="CF802" s="660"/>
      <c r="CG802" s="660"/>
      <c r="CH802" s="660"/>
      <c r="CI802" s="660"/>
      <c r="CJ802" s="660"/>
      <c r="CK802" s="432"/>
      <c r="CL802" s="432"/>
      <c r="CM802" s="432"/>
      <c r="CN802" s="660"/>
      <c r="CO802" s="660"/>
      <c r="CP802" s="660"/>
      <c r="CQ802" s="660"/>
      <c r="CR802" s="660"/>
      <c r="CS802" s="660"/>
    </row>
    <row r="803" s="424" customFormat="1" ht="31" hidden="1" customHeight="1" spans="1:97">
      <c r="A803" s="633">
        <v>46021</v>
      </c>
      <c r="B803" s="497" t="s">
        <v>1669</v>
      </c>
      <c r="C803" s="634" t="s">
        <v>663</v>
      </c>
      <c r="D803" s="432">
        <v>4500190102</v>
      </c>
      <c r="E803" s="635">
        <v>5000002099</v>
      </c>
      <c r="F803" s="432" t="s">
        <v>2806</v>
      </c>
      <c r="G803" s="482" t="s">
        <v>118</v>
      </c>
      <c r="H803" s="635" t="s">
        <v>119</v>
      </c>
      <c r="I803" s="851">
        <v>3600</v>
      </c>
      <c r="J803" s="635">
        <v>0</v>
      </c>
      <c r="K803" s="635">
        <v>6</v>
      </c>
      <c r="L803" s="842">
        <f t="shared" si="259"/>
        <v>600</v>
      </c>
      <c r="M803" s="679">
        <v>46080</v>
      </c>
      <c r="N803" s="679">
        <v>46076</v>
      </c>
      <c r="O803" s="641"/>
      <c r="P803" s="482"/>
      <c r="Q803" s="647"/>
      <c r="R803" s="647">
        <v>46021</v>
      </c>
      <c r="S803" s="683" t="s">
        <v>96</v>
      </c>
      <c r="T803" s="683" t="s">
        <v>2743</v>
      </c>
      <c r="U803" s="683"/>
      <c r="V803" s="508"/>
      <c r="W803" s="508" t="s">
        <v>2805</v>
      </c>
      <c r="X803" s="650" t="s">
        <v>1674</v>
      </c>
      <c r="Y803" s="687">
        <v>4.1689</v>
      </c>
      <c r="Z803" s="688">
        <f>Y803*I803</f>
        <v>15008.04</v>
      </c>
      <c r="AA803" s="482"/>
      <c r="AB803" s="656" t="s">
        <v>2047</v>
      </c>
      <c r="AC803" s="635" t="s">
        <v>76</v>
      </c>
      <c r="AD803" s="482"/>
      <c r="AE803" s="482"/>
      <c r="AF803" s="482"/>
      <c r="AG803" s="482">
        <v>3600</v>
      </c>
      <c r="AH803" s="482">
        <f t="shared" si="261"/>
        <v>0</v>
      </c>
      <c r="AI803" s="482"/>
      <c r="AJ803" s="482" t="s">
        <v>2191</v>
      </c>
      <c r="AK803" s="656"/>
      <c r="AL803" s="656">
        <f t="shared" si="258"/>
        <v>3600</v>
      </c>
      <c r="AM803" s="656"/>
      <c r="AN803" s="656"/>
      <c r="AO803" s="432"/>
      <c r="AP803" s="794">
        <f>I803</f>
        <v>3600</v>
      </c>
      <c r="AQ803" s="656"/>
      <c r="AR803" s="794"/>
      <c r="AS803" s="656">
        <f>I803</f>
        <v>3600</v>
      </c>
      <c r="AT803" s="777"/>
      <c r="AU803" s="869">
        <f>I803</f>
        <v>3600</v>
      </c>
      <c r="AV803" s="432"/>
      <c r="AW803" s="432"/>
      <c r="AX803" s="432"/>
      <c r="AY803" s="432"/>
      <c r="AZ803" s="656"/>
      <c r="BA803" s="656"/>
      <c r="BB803" s="432"/>
      <c r="BC803" s="432"/>
      <c r="BD803" s="656"/>
      <c r="BE803" s="656"/>
      <c r="BF803" s="432"/>
      <c r="BG803" s="656"/>
      <c r="BH803" s="656"/>
      <c r="BI803" s="432"/>
      <c r="BJ803" s="432"/>
      <c r="BK803" s="432"/>
      <c r="BL803" s="432"/>
      <c r="BM803" s="432"/>
      <c r="BN803" s="871"/>
      <c r="BO803" s="432"/>
      <c r="BP803" s="432"/>
      <c r="BQ803" s="432"/>
      <c r="BR803" s="432"/>
      <c r="BS803" s="432"/>
      <c r="BT803" s="432"/>
      <c r="BU803" s="432"/>
      <c r="BV803" s="432"/>
      <c r="BW803" s="432"/>
      <c r="BX803" s="432"/>
      <c r="BY803" s="432"/>
      <c r="BZ803" s="432"/>
      <c r="CA803" s="432"/>
      <c r="CB803" s="432"/>
      <c r="CC803" s="432"/>
      <c r="CD803" s="432"/>
      <c r="CE803" s="432"/>
      <c r="CF803" s="660"/>
      <c r="CG803" s="660"/>
      <c r="CH803" s="660"/>
      <c r="CI803" s="660"/>
      <c r="CJ803" s="660"/>
      <c r="CK803" s="432"/>
      <c r="CL803" s="432"/>
      <c r="CM803" s="432"/>
      <c r="CN803" s="660"/>
      <c r="CO803" s="660"/>
      <c r="CP803" s="660"/>
      <c r="CQ803" s="660"/>
      <c r="CR803" s="660"/>
      <c r="CS803" s="660"/>
    </row>
    <row r="804" s="424" customFormat="1" ht="31" hidden="1" customHeight="1" spans="1:97">
      <c r="A804" s="633">
        <v>46028</v>
      </c>
      <c r="B804" s="497" t="s">
        <v>398</v>
      </c>
      <c r="C804" s="635" t="s">
        <v>356</v>
      </c>
      <c r="D804" s="432">
        <v>4500190678</v>
      </c>
      <c r="E804" s="635"/>
      <c r="F804" s="432" t="s">
        <v>2807</v>
      </c>
      <c r="G804" s="482" t="s">
        <v>118</v>
      </c>
      <c r="H804" s="635" t="s">
        <v>119</v>
      </c>
      <c r="I804" s="851">
        <v>1320</v>
      </c>
      <c r="J804" s="635">
        <v>0</v>
      </c>
      <c r="K804" s="635">
        <v>6</v>
      </c>
      <c r="L804" s="842">
        <f t="shared" si="259"/>
        <v>220</v>
      </c>
      <c r="M804" s="679">
        <v>46080</v>
      </c>
      <c r="N804" s="679">
        <v>46076</v>
      </c>
      <c r="O804" s="641"/>
      <c r="P804" s="482"/>
      <c r="Q804" s="647"/>
      <c r="R804" s="647">
        <v>46030</v>
      </c>
      <c r="S804" s="683" t="s">
        <v>66</v>
      </c>
      <c r="T804" s="683" t="s">
        <v>2376</v>
      </c>
      <c r="U804" s="683"/>
      <c r="V804" s="508"/>
      <c r="W804" s="508" t="s">
        <v>2808</v>
      </c>
      <c r="X804" s="651" t="s">
        <v>395</v>
      </c>
      <c r="Y804" s="687">
        <v>4.1743</v>
      </c>
      <c r="Z804" s="688">
        <f>Y804*I804</f>
        <v>5510.076</v>
      </c>
      <c r="AA804" s="482"/>
      <c r="AB804" s="482" t="s">
        <v>402</v>
      </c>
      <c r="AC804" s="635" t="s">
        <v>76</v>
      </c>
      <c r="AD804" s="482"/>
      <c r="AE804" s="482"/>
      <c r="AF804" s="482"/>
      <c r="AG804" s="482">
        <v>1320</v>
      </c>
      <c r="AH804" s="482">
        <f t="shared" si="261"/>
        <v>0</v>
      </c>
      <c r="AI804" s="482"/>
      <c r="AJ804" s="482" t="s">
        <v>2191</v>
      </c>
      <c r="AK804" s="656"/>
      <c r="AL804" s="656">
        <f t="shared" si="258"/>
        <v>1320</v>
      </c>
      <c r="AM804" s="656"/>
      <c r="AN804" s="656"/>
      <c r="AO804" s="432"/>
      <c r="AP804" s="656"/>
      <c r="AQ804" s="656">
        <f>I804</f>
        <v>1320</v>
      </c>
      <c r="AR804" s="656">
        <f>I804</f>
        <v>1320</v>
      </c>
      <c r="AS804" s="656"/>
      <c r="AT804" s="656">
        <f>I804</f>
        <v>1320</v>
      </c>
      <c r="AU804" s="662"/>
      <c r="AV804" s="432"/>
      <c r="AW804" s="432"/>
      <c r="AX804" s="432"/>
      <c r="AY804" s="432"/>
      <c r="AZ804" s="656"/>
      <c r="BA804" s="656"/>
      <c r="BB804" s="432"/>
      <c r="BC804" s="432"/>
      <c r="BD804" s="656"/>
      <c r="BE804" s="656"/>
      <c r="BF804" s="432"/>
      <c r="BG804" s="656"/>
      <c r="BH804" s="656"/>
      <c r="BI804" s="432"/>
      <c r="BJ804" s="432"/>
      <c r="BK804" s="432"/>
      <c r="BL804" s="432"/>
      <c r="BM804" s="432"/>
      <c r="BN804" s="871"/>
      <c r="BO804" s="432"/>
      <c r="BP804" s="432"/>
      <c r="BQ804" s="432"/>
      <c r="BR804" s="432"/>
      <c r="BS804" s="432"/>
      <c r="BT804" s="432"/>
      <c r="BU804" s="432"/>
      <c r="BV804" s="432"/>
      <c r="BW804" s="432"/>
      <c r="BX804" s="432"/>
      <c r="BY804" s="432"/>
      <c r="BZ804" s="432"/>
      <c r="CA804" s="432"/>
      <c r="CB804" s="432"/>
      <c r="CC804" s="432"/>
      <c r="CD804" s="432"/>
      <c r="CE804" s="432"/>
      <c r="CF804" s="660"/>
      <c r="CG804" s="660"/>
      <c r="CH804" s="660"/>
      <c r="CI804" s="660"/>
      <c r="CJ804" s="660"/>
      <c r="CK804" s="432"/>
      <c r="CL804" s="432"/>
      <c r="CM804" s="432"/>
      <c r="CN804" s="660"/>
      <c r="CO804" s="660"/>
      <c r="CP804" s="660"/>
      <c r="CQ804" s="660"/>
      <c r="CR804" s="660"/>
      <c r="CS804" s="660"/>
    </row>
    <row r="805" s="424" customFormat="1" ht="31" hidden="1" customHeight="1" spans="1:97">
      <c r="A805" s="633">
        <v>45978</v>
      </c>
      <c r="B805" s="497" t="s">
        <v>1372</v>
      </c>
      <c r="C805" s="635" t="s">
        <v>90</v>
      </c>
      <c r="D805" s="432">
        <v>4500185935</v>
      </c>
      <c r="E805" s="894" t="s">
        <v>2809</v>
      </c>
      <c r="F805" s="432" t="s">
        <v>2810</v>
      </c>
      <c r="G805" s="482" t="s">
        <v>2431</v>
      </c>
      <c r="H805" s="635" t="s">
        <v>744</v>
      </c>
      <c r="I805" s="635">
        <v>5400</v>
      </c>
      <c r="J805" s="635">
        <v>0</v>
      </c>
      <c r="K805" s="635">
        <v>75</v>
      </c>
      <c r="L805" s="842">
        <v>72</v>
      </c>
      <c r="M805" s="680">
        <v>46081</v>
      </c>
      <c r="N805" s="680">
        <v>46077</v>
      </c>
      <c r="O805" s="641"/>
      <c r="P805" s="482"/>
      <c r="Q805" s="647"/>
      <c r="R805" s="647" t="s">
        <v>2432</v>
      </c>
      <c r="S805" s="683" t="s">
        <v>66</v>
      </c>
      <c r="T805" s="683" t="s">
        <v>66</v>
      </c>
      <c r="U805" s="683"/>
      <c r="V805" s="508"/>
      <c r="W805" s="508" t="s">
        <v>2565</v>
      </c>
      <c r="X805" s="651" t="s">
        <v>821</v>
      </c>
      <c r="Y805" s="687">
        <v>359.3436</v>
      </c>
      <c r="Z805" s="688">
        <f>Y805*L805</f>
        <v>25872.7392</v>
      </c>
      <c r="AA805" s="482"/>
      <c r="AB805" s="568" t="s">
        <v>1378</v>
      </c>
      <c r="AC805" s="635" t="s">
        <v>76</v>
      </c>
      <c r="AD805" s="482"/>
      <c r="AE805" s="482"/>
      <c r="AF805" s="482"/>
      <c r="AG805" s="482"/>
      <c r="AH805" s="793">
        <f t="shared" si="261"/>
        <v>-5400</v>
      </c>
      <c r="AI805" s="482"/>
      <c r="AJ805" s="482"/>
      <c r="AK805" s="656"/>
      <c r="AL805" s="657"/>
      <c r="AM805" s="656">
        <f>I805</f>
        <v>5400</v>
      </c>
      <c r="AN805" s="656"/>
      <c r="AO805" s="432"/>
      <c r="AP805" s="656"/>
      <c r="AQ805" s="656"/>
      <c r="AR805" s="656"/>
      <c r="AS805" s="656"/>
      <c r="AT805" s="656"/>
      <c r="AU805" s="662"/>
      <c r="AV805" s="432"/>
      <c r="AW805" s="432">
        <f>I805</f>
        <v>5400</v>
      </c>
      <c r="AX805" s="432">
        <f>I805</f>
        <v>5400</v>
      </c>
      <c r="AY805" s="432">
        <f>I805</f>
        <v>5400</v>
      </c>
      <c r="AZ805" s="656"/>
      <c r="BA805" s="656"/>
      <c r="BB805" s="432"/>
      <c r="BC805" s="432"/>
      <c r="BD805" s="656"/>
      <c r="BE805" s="656"/>
      <c r="BF805" s="432"/>
      <c r="BG805" s="568">
        <f>I805</f>
        <v>5400</v>
      </c>
      <c r="BH805" s="568">
        <f>I805/5</f>
        <v>1080</v>
      </c>
      <c r="BI805" s="432"/>
      <c r="BJ805" s="432"/>
      <c r="BK805" s="432"/>
      <c r="BL805" s="432"/>
      <c r="BM805" s="432"/>
      <c r="BN805" s="871"/>
      <c r="BO805" s="432"/>
      <c r="BP805" s="432"/>
      <c r="BQ805" s="432"/>
      <c r="BR805" s="432"/>
      <c r="BS805" s="432"/>
      <c r="BT805" s="432"/>
      <c r="BU805" s="432"/>
      <c r="BV805" s="432"/>
      <c r="BW805" s="432"/>
      <c r="BX805" s="432"/>
      <c r="BY805" s="432"/>
      <c r="BZ805" s="432"/>
      <c r="CA805" s="432"/>
      <c r="CB805" s="432"/>
      <c r="CC805" s="432"/>
      <c r="CD805" s="432"/>
      <c r="CE805" s="432"/>
      <c r="CF805" s="660"/>
      <c r="CG805" s="660"/>
      <c r="CH805" s="660"/>
      <c r="CI805" s="660"/>
      <c r="CJ805" s="660"/>
      <c r="CK805" s="432"/>
      <c r="CL805" s="432"/>
      <c r="CM805" s="432"/>
      <c r="CN805" s="660"/>
      <c r="CO805" s="660"/>
      <c r="CP805" s="660"/>
      <c r="CQ805" s="660"/>
      <c r="CR805" s="660"/>
      <c r="CS805" s="660"/>
    </row>
    <row r="806" s="424" customFormat="1" ht="31" hidden="1" customHeight="1" spans="1:97">
      <c r="A806" s="633">
        <v>45978</v>
      </c>
      <c r="B806" s="497" t="s">
        <v>1372</v>
      </c>
      <c r="C806" s="635" t="s">
        <v>90</v>
      </c>
      <c r="D806" s="432">
        <v>4500185936</v>
      </c>
      <c r="E806" s="894" t="s">
        <v>2811</v>
      </c>
      <c r="F806" s="432" t="s">
        <v>2812</v>
      </c>
      <c r="G806" s="482" t="s">
        <v>2431</v>
      </c>
      <c r="H806" s="635" t="s">
        <v>744</v>
      </c>
      <c r="I806" s="635">
        <v>5400</v>
      </c>
      <c r="J806" s="635">
        <v>0</v>
      </c>
      <c r="K806" s="635">
        <v>75</v>
      </c>
      <c r="L806" s="842">
        <v>72</v>
      </c>
      <c r="M806" s="680">
        <v>46081</v>
      </c>
      <c r="N806" s="680">
        <v>46077</v>
      </c>
      <c r="O806" s="641"/>
      <c r="P806" s="482"/>
      <c r="Q806" s="647"/>
      <c r="R806" s="647" t="s">
        <v>2432</v>
      </c>
      <c r="S806" s="683" t="s">
        <v>66</v>
      </c>
      <c r="T806" s="683" t="s">
        <v>66</v>
      </c>
      <c r="U806" s="683"/>
      <c r="V806" s="508"/>
      <c r="W806" s="508" t="s">
        <v>2565</v>
      </c>
      <c r="X806" s="651" t="s">
        <v>821</v>
      </c>
      <c r="Y806" s="687">
        <v>359.3436</v>
      </c>
      <c r="Z806" s="688">
        <f>Y806*L806</f>
        <v>25872.7392</v>
      </c>
      <c r="AA806" s="482"/>
      <c r="AB806" s="568" t="s">
        <v>1378</v>
      </c>
      <c r="AC806" s="635" t="s">
        <v>76</v>
      </c>
      <c r="AD806" s="482"/>
      <c r="AE806" s="482"/>
      <c r="AF806" s="482"/>
      <c r="AG806" s="482"/>
      <c r="AH806" s="793">
        <f t="shared" si="261"/>
        <v>-5400</v>
      </c>
      <c r="AI806" s="482"/>
      <c r="AJ806" s="482"/>
      <c r="AK806" s="656"/>
      <c r="AL806" s="657"/>
      <c r="AM806" s="656">
        <f>I806</f>
        <v>5400</v>
      </c>
      <c r="AN806" s="656"/>
      <c r="AO806" s="432"/>
      <c r="AP806" s="656"/>
      <c r="AQ806" s="656"/>
      <c r="AR806" s="656"/>
      <c r="AS806" s="656"/>
      <c r="AT806" s="656"/>
      <c r="AU806" s="662"/>
      <c r="AV806" s="432"/>
      <c r="AW806" s="432">
        <f>I806</f>
        <v>5400</v>
      </c>
      <c r="AX806" s="432">
        <f>I806</f>
        <v>5400</v>
      </c>
      <c r="AY806" s="432">
        <f>I806</f>
        <v>5400</v>
      </c>
      <c r="AZ806" s="656"/>
      <c r="BA806" s="656"/>
      <c r="BB806" s="432"/>
      <c r="BC806" s="432"/>
      <c r="BD806" s="656"/>
      <c r="BE806" s="656"/>
      <c r="BF806" s="432"/>
      <c r="BG806" s="568">
        <f>I806</f>
        <v>5400</v>
      </c>
      <c r="BH806" s="568">
        <f>I806/5</f>
        <v>1080</v>
      </c>
      <c r="BI806" s="432"/>
      <c r="BJ806" s="432"/>
      <c r="BK806" s="432"/>
      <c r="BL806" s="432"/>
      <c r="BM806" s="432"/>
      <c r="BN806" s="871"/>
      <c r="BO806" s="432"/>
      <c r="BP806" s="432"/>
      <c r="BQ806" s="432"/>
      <c r="BR806" s="432"/>
      <c r="BS806" s="432"/>
      <c r="BT806" s="432"/>
      <c r="BU806" s="432"/>
      <c r="BV806" s="432"/>
      <c r="BW806" s="432"/>
      <c r="BX806" s="432"/>
      <c r="BY806" s="432"/>
      <c r="BZ806" s="432"/>
      <c r="CA806" s="432"/>
      <c r="CB806" s="432"/>
      <c r="CC806" s="432"/>
      <c r="CD806" s="432"/>
      <c r="CE806" s="432"/>
      <c r="CF806" s="660"/>
      <c r="CG806" s="660"/>
      <c r="CH806" s="660"/>
      <c r="CI806" s="660"/>
      <c r="CJ806" s="660"/>
      <c r="CK806" s="432"/>
      <c r="CL806" s="432"/>
      <c r="CM806" s="432"/>
      <c r="CN806" s="660"/>
      <c r="CO806" s="660"/>
      <c r="CP806" s="660"/>
      <c r="CQ806" s="660"/>
      <c r="CR806" s="660"/>
      <c r="CS806" s="660"/>
    </row>
    <row r="807" s="424" customFormat="1" ht="31" hidden="1" customHeight="1" spans="1:97">
      <c r="A807" s="633">
        <v>45980</v>
      </c>
      <c r="B807" s="497" t="s">
        <v>2813</v>
      </c>
      <c r="C807" s="635" t="s">
        <v>468</v>
      </c>
      <c r="D807" s="432">
        <v>4500186204</v>
      </c>
      <c r="E807" s="635"/>
      <c r="F807" s="432" t="s">
        <v>2814</v>
      </c>
      <c r="G807" s="482" t="s">
        <v>64</v>
      </c>
      <c r="H807" s="635" t="s">
        <v>65</v>
      </c>
      <c r="I807" s="635">
        <v>600</v>
      </c>
      <c r="J807" s="635">
        <v>0</v>
      </c>
      <c r="K807" s="635">
        <v>12</v>
      </c>
      <c r="L807" s="842">
        <f t="shared" ref="L807:L815" si="266">I807/K807</f>
        <v>50</v>
      </c>
      <c r="M807" s="680">
        <v>46082</v>
      </c>
      <c r="N807" s="680">
        <f t="shared" ref="N807:N812" si="267">M807-4</f>
        <v>46078</v>
      </c>
      <c r="O807" s="641"/>
      <c r="P807" s="482"/>
      <c r="Q807" s="647"/>
      <c r="R807" s="647" t="s">
        <v>2815</v>
      </c>
      <c r="S807" s="683" t="s">
        <v>66</v>
      </c>
      <c r="T807" s="683" t="s">
        <v>2816</v>
      </c>
      <c r="U807" s="508"/>
      <c r="V807" s="508"/>
      <c r="W807" s="508" t="s">
        <v>2817</v>
      </c>
      <c r="X807" s="651" t="s">
        <v>853</v>
      </c>
      <c r="Y807" s="687">
        <v>4.1623</v>
      </c>
      <c r="Z807" s="688">
        <f t="shared" ref="Z807:Z815" si="268">Y807*I807</f>
        <v>2497.38</v>
      </c>
      <c r="AA807" s="482"/>
      <c r="AB807" s="635" t="s">
        <v>165</v>
      </c>
      <c r="AC807" s="635" t="s">
        <v>76</v>
      </c>
      <c r="AD807" s="482"/>
      <c r="AE807" s="482"/>
      <c r="AF807" s="482">
        <v>1</v>
      </c>
      <c r="AG807" s="482">
        <v>600</v>
      </c>
      <c r="AH807" s="793">
        <f t="shared" si="261"/>
        <v>0</v>
      </c>
      <c r="AI807" s="482"/>
      <c r="AJ807" s="482" t="s">
        <v>2191</v>
      </c>
      <c r="AK807" s="656"/>
      <c r="AL807" s="867">
        <f>I807</f>
        <v>600</v>
      </c>
      <c r="AM807" s="432"/>
      <c r="AN807" s="656"/>
      <c r="AO807" s="432"/>
      <c r="AP807" s="656"/>
      <c r="AQ807" s="656">
        <f>I807</f>
        <v>600</v>
      </c>
      <c r="AR807" s="777">
        <f t="shared" ref="AR807:AR813" si="269">I807</f>
        <v>600</v>
      </c>
      <c r="AS807" s="656"/>
      <c r="AT807" s="777">
        <f>I807</f>
        <v>600</v>
      </c>
      <c r="AU807" s="662"/>
      <c r="AV807" s="432"/>
      <c r="AW807" s="432"/>
      <c r="AX807" s="432"/>
      <c r="AY807" s="432"/>
      <c r="AZ807" s="656"/>
      <c r="BA807" s="656"/>
      <c r="BB807" s="432"/>
      <c r="BC807" s="432"/>
      <c r="BD807" s="656"/>
      <c r="BE807" s="656"/>
      <c r="BF807" s="432"/>
      <c r="BG807" s="432"/>
      <c r="BH807" s="432"/>
      <c r="BI807" s="432"/>
      <c r="BJ807" s="432"/>
      <c r="BK807" s="432"/>
      <c r="BL807" s="432"/>
      <c r="BM807" s="432"/>
      <c r="BN807" s="871"/>
      <c r="BO807" s="432"/>
      <c r="BP807" s="432"/>
      <c r="BQ807" s="432"/>
      <c r="BR807" s="432"/>
      <c r="BS807" s="432"/>
      <c r="BT807" s="432"/>
      <c r="BU807" s="432"/>
      <c r="BV807" s="432"/>
      <c r="BW807" s="432"/>
      <c r="BX807" s="432"/>
      <c r="BY807" s="432"/>
      <c r="BZ807" s="432"/>
      <c r="CA807" s="432"/>
      <c r="CB807" s="432"/>
      <c r="CC807" s="432"/>
      <c r="CD807" s="432"/>
      <c r="CE807" s="432"/>
      <c r="CF807" s="660"/>
      <c r="CG807" s="660"/>
      <c r="CH807" s="660"/>
      <c r="CI807" s="660"/>
      <c r="CJ807" s="660"/>
      <c r="CK807" s="432"/>
      <c r="CL807" s="432"/>
      <c r="CM807" s="432"/>
      <c r="CN807" s="660"/>
      <c r="CO807" s="660"/>
      <c r="CP807" s="660"/>
      <c r="CQ807" s="660"/>
      <c r="CR807" s="660"/>
      <c r="CS807" s="660"/>
    </row>
    <row r="808" s="424" customFormat="1" ht="31" hidden="1" customHeight="1" spans="1:97">
      <c r="A808" s="633">
        <v>46031</v>
      </c>
      <c r="B808" s="497" t="s">
        <v>2818</v>
      </c>
      <c r="C808" s="635" t="s">
        <v>759</v>
      </c>
      <c r="D808" s="432">
        <v>4500191102</v>
      </c>
      <c r="E808" s="635">
        <v>5200008661</v>
      </c>
      <c r="F808" s="432" t="s">
        <v>2819</v>
      </c>
      <c r="G808" s="482" t="s">
        <v>141</v>
      </c>
      <c r="H808" s="635" t="s">
        <v>94</v>
      </c>
      <c r="I808" s="851">
        <v>2364</v>
      </c>
      <c r="J808" s="635">
        <v>0</v>
      </c>
      <c r="K808" s="635">
        <v>4</v>
      </c>
      <c r="L808" s="842">
        <f t="shared" si="266"/>
        <v>591</v>
      </c>
      <c r="M808" s="679">
        <v>46082</v>
      </c>
      <c r="N808" s="679">
        <f t="shared" si="267"/>
        <v>46078</v>
      </c>
      <c r="O808" s="641"/>
      <c r="P808" s="482"/>
      <c r="Q808" s="647"/>
      <c r="R808" s="647">
        <v>46034</v>
      </c>
      <c r="S808" s="683" t="s">
        <v>66</v>
      </c>
      <c r="T808" s="683" t="s">
        <v>2820</v>
      </c>
      <c r="U808" s="683" t="s">
        <v>2821</v>
      </c>
      <c r="V808" s="508"/>
      <c r="W808" s="508" t="s">
        <v>2822</v>
      </c>
      <c r="X808" s="651" t="s">
        <v>1140</v>
      </c>
      <c r="Y808" s="687">
        <v>4.3</v>
      </c>
      <c r="Z808" s="688">
        <f t="shared" si="268"/>
        <v>10165.2</v>
      </c>
      <c r="AA808" s="482"/>
      <c r="AB808" s="656" t="s">
        <v>141</v>
      </c>
      <c r="AC808" s="635" t="s">
        <v>76</v>
      </c>
      <c r="AD808" s="482"/>
      <c r="AE808" s="482"/>
      <c r="AF808" s="482"/>
      <c r="AG808" s="482">
        <f>2040+324</f>
        <v>2364</v>
      </c>
      <c r="AH808" s="482">
        <f t="shared" si="261"/>
        <v>0</v>
      </c>
      <c r="AI808" s="482"/>
      <c r="AJ808" s="482" t="s">
        <v>2191</v>
      </c>
      <c r="AK808" s="656"/>
      <c r="AL808" s="656">
        <f>I808</f>
        <v>2364</v>
      </c>
      <c r="AM808" s="656"/>
      <c r="AN808" s="656"/>
      <c r="AO808" s="432"/>
      <c r="AP808" s="656"/>
      <c r="AQ808" s="656">
        <f>I808</f>
        <v>2364</v>
      </c>
      <c r="AR808" s="794">
        <f t="shared" si="269"/>
        <v>2364</v>
      </c>
      <c r="AS808" s="656"/>
      <c r="AT808" s="656">
        <f>I808</f>
        <v>2364</v>
      </c>
      <c r="AU808" s="662"/>
      <c r="AV808" s="432"/>
      <c r="AW808" s="432"/>
      <c r="AX808" s="432"/>
      <c r="AY808" s="432"/>
      <c r="AZ808" s="656"/>
      <c r="BA808" s="656"/>
      <c r="BB808" s="432"/>
      <c r="BC808" s="432"/>
      <c r="BD808" s="656"/>
      <c r="BE808" s="656">
        <f>I808/4</f>
        <v>591</v>
      </c>
      <c r="BF808" s="432"/>
      <c r="BG808" s="656"/>
      <c r="BH808" s="656"/>
      <c r="BI808" s="432"/>
      <c r="BJ808" s="432"/>
      <c r="BK808" s="432"/>
      <c r="BL808" s="432"/>
      <c r="BM808" s="432"/>
      <c r="BN808" s="871"/>
      <c r="BO808" s="432"/>
      <c r="BP808" s="432"/>
      <c r="BQ808" s="432"/>
      <c r="BR808" s="432"/>
      <c r="BS808" s="432"/>
      <c r="BT808" s="432"/>
      <c r="BU808" s="432"/>
      <c r="BV808" s="432"/>
      <c r="BW808" s="432"/>
      <c r="BX808" s="432"/>
      <c r="BY808" s="432"/>
      <c r="BZ808" s="432"/>
      <c r="CA808" s="432"/>
      <c r="CB808" s="432"/>
      <c r="CC808" s="432"/>
      <c r="CD808" s="432"/>
      <c r="CE808" s="432"/>
      <c r="CF808" s="660"/>
      <c r="CG808" s="660"/>
      <c r="CH808" s="660"/>
      <c r="CI808" s="660"/>
      <c r="CJ808" s="660"/>
      <c r="CK808" s="432"/>
      <c r="CL808" s="432"/>
      <c r="CM808" s="432"/>
      <c r="CN808" s="660"/>
      <c r="CO808" s="660"/>
      <c r="CP808" s="660"/>
      <c r="CQ808" s="660"/>
      <c r="CR808" s="660"/>
      <c r="CS808" s="660"/>
    </row>
    <row r="809" s="424" customFormat="1" ht="31" hidden="1" customHeight="1" spans="1:97">
      <c r="A809" s="633">
        <v>45996</v>
      </c>
      <c r="B809" s="497" t="s">
        <v>280</v>
      </c>
      <c r="C809" s="635" t="s">
        <v>249</v>
      </c>
      <c r="D809" s="432">
        <v>4500188247</v>
      </c>
      <c r="E809" s="635" t="s">
        <v>2823</v>
      </c>
      <c r="F809" s="432" t="s">
        <v>2824</v>
      </c>
      <c r="G809" s="482" t="s">
        <v>102</v>
      </c>
      <c r="H809" s="635" t="s">
        <v>65</v>
      </c>
      <c r="I809" s="635">
        <v>3008</v>
      </c>
      <c r="J809" s="635">
        <v>0</v>
      </c>
      <c r="K809" s="635">
        <v>16</v>
      </c>
      <c r="L809" s="842">
        <f t="shared" si="266"/>
        <v>188</v>
      </c>
      <c r="M809" s="680">
        <v>46083</v>
      </c>
      <c r="N809" s="680">
        <f t="shared" si="267"/>
        <v>46079</v>
      </c>
      <c r="O809" s="641"/>
      <c r="P809" s="482"/>
      <c r="Q809" s="647"/>
      <c r="R809" s="647">
        <v>45999</v>
      </c>
      <c r="S809" s="683" t="s">
        <v>66</v>
      </c>
      <c r="T809" s="647" t="s">
        <v>2771</v>
      </c>
      <c r="U809" s="508"/>
      <c r="V809" s="508"/>
      <c r="W809" s="571" t="s">
        <v>2772</v>
      </c>
      <c r="X809" s="651" t="s">
        <v>2036</v>
      </c>
      <c r="Y809" s="687">
        <v>4.2489</v>
      </c>
      <c r="Z809" s="688">
        <f t="shared" si="268"/>
        <v>12780.6912</v>
      </c>
      <c r="AA809" s="482"/>
      <c r="AB809" s="482" t="s">
        <v>102</v>
      </c>
      <c r="AC809" s="635" t="s">
        <v>76</v>
      </c>
      <c r="AD809" s="482"/>
      <c r="AE809" s="482"/>
      <c r="AF809" s="482" t="s">
        <v>114</v>
      </c>
      <c r="AG809" s="482">
        <f>2976+32</f>
        <v>3008</v>
      </c>
      <c r="AH809" s="793">
        <f t="shared" si="261"/>
        <v>0</v>
      </c>
      <c r="AI809" s="482"/>
      <c r="AJ809" s="482" t="s">
        <v>2191</v>
      </c>
      <c r="AK809" s="656"/>
      <c r="AL809" s="867">
        <f>I809</f>
        <v>3008</v>
      </c>
      <c r="AM809" s="658"/>
      <c r="AN809" s="658"/>
      <c r="AO809" s="658"/>
      <c r="AP809" s="656">
        <f>I809</f>
        <v>3008</v>
      </c>
      <c r="AQ809" s="656"/>
      <c r="AR809" s="794">
        <f t="shared" si="269"/>
        <v>3008</v>
      </c>
      <c r="AS809" s="656"/>
      <c r="AT809" s="656">
        <f>I809</f>
        <v>3008</v>
      </c>
      <c r="AU809" s="662"/>
      <c r="AV809" s="432"/>
      <c r="AW809" s="432"/>
      <c r="AX809" s="432"/>
      <c r="AY809" s="432"/>
      <c r="AZ809" s="656"/>
      <c r="BA809" s="656"/>
      <c r="BB809" s="432"/>
      <c r="BC809" s="432"/>
      <c r="BD809" s="656">
        <f>I809/4</f>
        <v>752</v>
      </c>
      <c r="BE809" s="656"/>
      <c r="BF809" s="432"/>
      <c r="BG809" s="432"/>
      <c r="BH809" s="432"/>
      <c r="BI809" s="432"/>
      <c r="BJ809" s="432"/>
      <c r="BK809" s="432"/>
      <c r="BL809" s="432"/>
      <c r="BM809" s="432"/>
      <c r="BN809" s="871"/>
      <c r="BO809" s="432"/>
      <c r="BP809" s="432"/>
      <c r="BQ809" s="432"/>
      <c r="BR809" s="432"/>
      <c r="BS809" s="432"/>
      <c r="BT809" s="432"/>
      <c r="BU809" s="432"/>
      <c r="BV809" s="432"/>
      <c r="BW809" s="432"/>
      <c r="BX809" s="432"/>
      <c r="BY809" s="432"/>
      <c r="BZ809" s="432"/>
      <c r="CA809" s="432"/>
      <c r="CB809" s="432"/>
      <c r="CC809" s="432"/>
      <c r="CD809" s="432"/>
      <c r="CE809" s="432"/>
      <c r="CF809" s="660"/>
      <c r="CG809" s="660"/>
      <c r="CH809" s="660"/>
      <c r="CI809" s="660"/>
      <c r="CJ809" s="660"/>
      <c r="CK809" s="432"/>
      <c r="CL809" s="432"/>
      <c r="CM809" s="432"/>
      <c r="CN809" s="660"/>
      <c r="CO809" s="660"/>
      <c r="CP809" s="660"/>
      <c r="CQ809" s="660"/>
      <c r="CR809" s="660"/>
      <c r="CS809" s="660"/>
    </row>
    <row r="810" s="424" customFormat="1" ht="31" hidden="1" customHeight="1" spans="1:97">
      <c r="A810" s="633">
        <v>45996</v>
      </c>
      <c r="B810" s="497" t="s">
        <v>280</v>
      </c>
      <c r="C810" s="635" t="s">
        <v>249</v>
      </c>
      <c r="D810" s="432">
        <v>4500188247</v>
      </c>
      <c r="E810" s="635" t="s">
        <v>2825</v>
      </c>
      <c r="F810" s="432" t="s">
        <v>2826</v>
      </c>
      <c r="G810" s="482" t="s">
        <v>102</v>
      </c>
      <c r="H810" s="635" t="s">
        <v>65</v>
      </c>
      <c r="I810" s="635">
        <v>2000</v>
      </c>
      <c r="J810" s="635">
        <v>0</v>
      </c>
      <c r="K810" s="635">
        <v>16</v>
      </c>
      <c r="L810" s="842">
        <f t="shared" si="266"/>
        <v>125</v>
      </c>
      <c r="M810" s="680">
        <v>46083</v>
      </c>
      <c r="N810" s="680">
        <f t="shared" si="267"/>
        <v>46079</v>
      </c>
      <c r="O810" s="641"/>
      <c r="P810" s="482"/>
      <c r="Q810" s="647"/>
      <c r="R810" s="647">
        <v>45999</v>
      </c>
      <c r="S810" s="683" t="s">
        <v>66</v>
      </c>
      <c r="T810" s="647" t="s">
        <v>2771</v>
      </c>
      <c r="U810" s="508"/>
      <c r="V810" s="508"/>
      <c r="W810" s="571" t="s">
        <v>2772</v>
      </c>
      <c r="X810" s="651" t="s">
        <v>2036</v>
      </c>
      <c r="Y810" s="687">
        <v>4.2542</v>
      </c>
      <c r="Z810" s="688">
        <f t="shared" si="268"/>
        <v>8508.4</v>
      </c>
      <c r="AA810" s="482"/>
      <c r="AB810" s="482" t="s">
        <v>102</v>
      </c>
      <c r="AC810" s="635" t="s">
        <v>76</v>
      </c>
      <c r="AD810" s="482"/>
      <c r="AE810" s="482"/>
      <c r="AF810" s="482" t="s">
        <v>114</v>
      </c>
      <c r="AG810" s="482">
        <v>2000</v>
      </c>
      <c r="AH810" s="793">
        <f t="shared" si="261"/>
        <v>0</v>
      </c>
      <c r="AI810" s="482"/>
      <c r="AJ810" s="482" t="s">
        <v>2191</v>
      </c>
      <c r="AK810" s="656"/>
      <c r="AL810" s="867">
        <f>I810</f>
        <v>2000</v>
      </c>
      <c r="AM810" s="658"/>
      <c r="AN810" s="658"/>
      <c r="AO810" s="658"/>
      <c r="AP810" s="656">
        <f>I810</f>
        <v>2000</v>
      </c>
      <c r="AQ810" s="656"/>
      <c r="AR810" s="794">
        <f t="shared" si="269"/>
        <v>2000</v>
      </c>
      <c r="AS810" s="656"/>
      <c r="AT810" s="656">
        <f>I810</f>
        <v>2000</v>
      </c>
      <c r="AU810" s="662"/>
      <c r="AV810" s="432"/>
      <c r="AW810" s="432"/>
      <c r="AX810" s="432"/>
      <c r="AY810" s="432"/>
      <c r="AZ810" s="656"/>
      <c r="BA810" s="656"/>
      <c r="BB810" s="432"/>
      <c r="BC810" s="432"/>
      <c r="BD810" s="656">
        <f>I810/4</f>
        <v>500</v>
      </c>
      <c r="BE810" s="656"/>
      <c r="BF810" s="432"/>
      <c r="BG810" s="432"/>
      <c r="BH810" s="432"/>
      <c r="BI810" s="432"/>
      <c r="BJ810" s="432"/>
      <c r="BK810" s="432"/>
      <c r="BL810" s="432"/>
      <c r="BM810" s="432"/>
      <c r="BN810" s="871"/>
      <c r="BO810" s="432"/>
      <c r="BP810" s="432"/>
      <c r="BQ810" s="432"/>
      <c r="BR810" s="432"/>
      <c r="BS810" s="432"/>
      <c r="BT810" s="432"/>
      <c r="BU810" s="432"/>
      <c r="BV810" s="432"/>
      <c r="BW810" s="432"/>
      <c r="BX810" s="432"/>
      <c r="BY810" s="432"/>
      <c r="BZ810" s="432"/>
      <c r="CA810" s="432"/>
      <c r="CB810" s="432"/>
      <c r="CC810" s="432"/>
      <c r="CD810" s="432"/>
      <c r="CE810" s="432"/>
      <c r="CF810" s="660"/>
      <c r="CG810" s="660"/>
      <c r="CH810" s="660"/>
      <c r="CI810" s="660"/>
      <c r="CJ810" s="660"/>
      <c r="CK810" s="432"/>
      <c r="CL810" s="432"/>
      <c r="CM810" s="432"/>
      <c r="CN810" s="660"/>
      <c r="CO810" s="660"/>
      <c r="CP810" s="660"/>
      <c r="CQ810" s="660"/>
      <c r="CR810" s="660"/>
      <c r="CS810" s="660"/>
    </row>
    <row r="811" s="424" customFormat="1" ht="31" hidden="1" customHeight="1" spans="1:97">
      <c r="A811" s="633">
        <v>45996</v>
      </c>
      <c r="B811" s="497" t="s">
        <v>280</v>
      </c>
      <c r="C811" s="635" t="s">
        <v>249</v>
      </c>
      <c r="D811" s="432">
        <v>4500188247</v>
      </c>
      <c r="E811" s="635" t="s">
        <v>2827</v>
      </c>
      <c r="F811" s="432" t="s">
        <v>2828</v>
      </c>
      <c r="G811" s="482" t="s">
        <v>102</v>
      </c>
      <c r="H811" s="635" t="s">
        <v>65</v>
      </c>
      <c r="I811" s="635">
        <v>3360</v>
      </c>
      <c r="J811" s="635">
        <v>0</v>
      </c>
      <c r="K811" s="635">
        <v>16</v>
      </c>
      <c r="L811" s="842">
        <f t="shared" si="266"/>
        <v>210</v>
      </c>
      <c r="M811" s="680">
        <v>46083</v>
      </c>
      <c r="N811" s="680">
        <f t="shared" si="267"/>
        <v>46079</v>
      </c>
      <c r="O811" s="641"/>
      <c r="P811" s="482"/>
      <c r="Q811" s="647"/>
      <c r="R811" s="647">
        <v>45999</v>
      </c>
      <c r="S811" s="683" t="s">
        <v>66</v>
      </c>
      <c r="T811" s="647" t="s">
        <v>2771</v>
      </c>
      <c r="U811" s="508"/>
      <c r="V811" s="508"/>
      <c r="W811" s="571" t="s">
        <v>2772</v>
      </c>
      <c r="X811" s="651" t="s">
        <v>2036</v>
      </c>
      <c r="Y811" s="687">
        <v>4.2489</v>
      </c>
      <c r="Z811" s="688">
        <f t="shared" si="268"/>
        <v>14276.304</v>
      </c>
      <c r="AA811" s="482"/>
      <c r="AB811" s="482" t="s">
        <v>102</v>
      </c>
      <c r="AC811" s="635" t="s">
        <v>76</v>
      </c>
      <c r="AD811" s="482"/>
      <c r="AE811" s="482"/>
      <c r="AF811" s="482" t="s">
        <v>114</v>
      </c>
      <c r="AG811" s="482">
        <v>3360</v>
      </c>
      <c r="AH811" s="793">
        <f t="shared" si="261"/>
        <v>0</v>
      </c>
      <c r="AI811" s="482"/>
      <c r="AJ811" s="482" t="s">
        <v>2191</v>
      </c>
      <c r="AK811" s="656"/>
      <c r="AL811" s="867">
        <f>I811</f>
        <v>3360</v>
      </c>
      <c r="AM811" s="658"/>
      <c r="AN811" s="658"/>
      <c r="AO811" s="658"/>
      <c r="AP811" s="656">
        <f>I811</f>
        <v>3360</v>
      </c>
      <c r="AQ811" s="656"/>
      <c r="AR811" s="794">
        <f t="shared" si="269"/>
        <v>3360</v>
      </c>
      <c r="AS811" s="656"/>
      <c r="AT811" s="656">
        <f>I811</f>
        <v>3360</v>
      </c>
      <c r="AU811" s="662"/>
      <c r="AV811" s="432"/>
      <c r="AW811" s="432"/>
      <c r="AX811" s="432"/>
      <c r="AY811" s="432"/>
      <c r="AZ811" s="656"/>
      <c r="BA811" s="656"/>
      <c r="BB811" s="432"/>
      <c r="BC811" s="432"/>
      <c r="BD811" s="656">
        <f>I811/4</f>
        <v>840</v>
      </c>
      <c r="BE811" s="656"/>
      <c r="BF811" s="432"/>
      <c r="BG811" s="432"/>
      <c r="BH811" s="432"/>
      <c r="BI811" s="432"/>
      <c r="BJ811" s="432"/>
      <c r="BK811" s="432"/>
      <c r="BL811" s="432"/>
      <c r="BM811" s="432"/>
      <c r="BN811" s="871"/>
      <c r="BO811" s="432"/>
      <c r="BP811" s="432"/>
      <c r="BQ811" s="432"/>
      <c r="BR811" s="432"/>
      <c r="BS811" s="432"/>
      <c r="BT811" s="432"/>
      <c r="BU811" s="432"/>
      <c r="BV811" s="432"/>
      <c r="BW811" s="432"/>
      <c r="BX811" s="432"/>
      <c r="BY811" s="432"/>
      <c r="BZ811" s="432"/>
      <c r="CA811" s="432"/>
      <c r="CB811" s="432"/>
      <c r="CC811" s="432"/>
      <c r="CD811" s="432"/>
      <c r="CE811" s="432"/>
      <c r="CF811" s="660"/>
      <c r="CG811" s="660"/>
      <c r="CH811" s="660"/>
      <c r="CI811" s="660"/>
      <c r="CJ811" s="660"/>
      <c r="CK811" s="432"/>
      <c r="CL811" s="432"/>
      <c r="CM811" s="432"/>
      <c r="CN811" s="660"/>
      <c r="CO811" s="660"/>
      <c r="CP811" s="660"/>
      <c r="CQ811" s="660"/>
      <c r="CR811" s="660"/>
      <c r="CS811" s="660"/>
    </row>
    <row r="812" s="424" customFormat="1" ht="31" hidden="1" customHeight="1" spans="1:97">
      <c r="A812" s="633">
        <v>46035</v>
      </c>
      <c r="B812" s="497" t="s">
        <v>2829</v>
      </c>
      <c r="C812" s="635" t="s">
        <v>90</v>
      </c>
      <c r="D812" s="432">
        <v>4500191213</v>
      </c>
      <c r="E812" s="638">
        <v>33826</v>
      </c>
      <c r="F812" s="432" t="s">
        <v>2830</v>
      </c>
      <c r="G812" s="482" t="s">
        <v>2831</v>
      </c>
      <c r="H812" s="635" t="s">
        <v>2832</v>
      </c>
      <c r="I812" s="851">
        <v>900</v>
      </c>
      <c r="J812" s="635">
        <v>0</v>
      </c>
      <c r="K812" s="635">
        <v>12</v>
      </c>
      <c r="L812" s="842">
        <f t="shared" si="266"/>
        <v>75</v>
      </c>
      <c r="M812" s="679">
        <v>46083</v>
      </c>
      <c r="N812" s="679">
        <f t="shared" si="267"/>
        <v>46079</v>
      </c>
      <c r="O812" s="641"/>
      <c r="P812" s="482"/>
      <c r="Q812" s="647"/>
      <c r="R812" s="647" t="s">
        <v>403</v>
      </c>
      <c r="S812" s="683" t="s">
        <v>66</v>
      </c>
      <c r="T812" s="683" t="s">
        <v>66</v>
      </c>
      <c r="U812" s="683"/>
      <c r="V812" s="508"/>
      <c r="W812" s="508" t="s">
        <v>2833</v>
      </c>
      <c r="X812" s="651" t="s">
        <v>1652</v>
      </c>
      <c r="Y812" s="687">
        <v>2.5501</v>
      </c>
      <c r="Z812" s="688">
        <f t="shared" si="268"/>
        <v>2295.09</v>
      </c>
      <c r="AA812" s="482"/>
      <c r="AB812" s="656"/>
      <c r="AC812" s="635"/>
      <c r="AD812" s="482"/>
      <c r="AE812" s="482"/>
      <c r="AF812" s="482" t="s">
        <v>2834</v>
      </c>
      <c r="AG812" s="482">
        <v>900</v>
      </c>
      <c r="AH812" s="482"/>
      <c r="AI812" s="482"/>
      <c r="AJ812" s="482"/>
      <c r="AK812" s="656"/>
      <c r="AL812" s="656"/>
      <c r="AM812" s="656"/>
      <c r="AN812" s="656"/>
      <c r="AO812" s="432"/>
      <c r="AP812" s="656">
        <f>I812</f>
        <v>900</v>
      </c>
      <c r="AQ812" s="656"/>
      <c r="AR812" s="656">
        <f t="shared" si="269"/>
        <v>900</v>
      </c>
      <c r="AS812" s="656"/>
      <c r="AT812" s="656"/>
      <c r="AU812" s="662"/>
      <c r="AV812" s="432"/>
      <c r="AW812" s="432"/>
      <c r="AX812" s="432"/>
      <c r="AY812" s="432"/>
      <c r="AZ812" s="656"/>
      <c r="BA812" s="656"/>
      <c r="BB812" s="432"/>
      <c r="BC812" s="432"/>
      <c r="BD812" s="656">
        <f>I812</f>
        <v>900</v>
      </c>
      <c r="BE812" s="656"/>
      <c r="BF812" s="432"/>
      <c r="BG812" s="656"/>
      <c r="BH812" s="656"/>
      <c r="BI812" s="432"/>
      <c r="BJ812" s="432"/>
      <c r="BK812" s="432"/>
      <c r="BL812" s="432"/>
      <c r="BM812" s="432"/>
      <c r="BN812" s="871"/>
      <c r="BO812" s="432"/>
      <c r="BP812" s="432"/>
      <c r="BQ812" s="432"/>
      <c r="BR812" s="432"/>
      <c r="BS812" s="432"/>
      <c r="BT812" s="432"/>
      <c r="BU812" s="432"/>
      <c r="BV812" s="432"/>
      <c r="BW812" s="432"/>
      <c r="BX812" s="432"/>
      <c r="BY812" s="432"/>
      <c r="BZ812" s="432"/>
      <c r="CA812" s="432"/>
      <c r="CB812" s="432"/>
      <c r="CC812" s="432"/>
      <c r="CD812" s="432"/>
      <c r="CE812" s="432"/>
      <c r="CF812" s="660"/>
      <c r="CG812" s="660"/>
      <c r="CH812" s="660"/>
      <c r="CI812" s="660"/>
      <c r="CJ812" s="660"/>
      <c r="CK812" s="432"/>
      <c r="CL812" s="432"/>
      <c r="CM812" s="432"/>
      <c r="CN812" s="660"/>
      <c r="CO812" s="660"/>
      <c r="CP812" s="660"/>
      <c r="CQ812" s="660"/>
      <c r="CR812" s="660"/>
      <c r="CS812" s="660"/>
    </row>
    <row r="813" s="424" customFormat="1" ht="31" hidden="1" customHeight="1" spans="1:97">
      <c r="A813" s="633">
        <v>46387</v>
      </c>
      <c r="B813" s="497" t="s">
        <v>1760</v>
      </c>
      <c r="C813" s="635" t="s">
        <v>356</v>
      </c>
      <c r="D813" s="432">
        <v>4500190510</v>
      </c>
      <c r="E813" s="635"/>
      <c r="F813" s="432" t="s">
        <v>2835</v>
      </c>
      <c r="G813" s="482" t="s">
        <v>118</v>
      </c>
      <c r="H813" s="635" t="s">
        <v>119</v>
      </c>
      <c r="I813" s="851">
        <v>1200</v>
      </c>
      <c r="J813" s="635">
        <v>0</v>
      </c>
      <c r="K813" s="635">
        <v>6</v>
      </c>
      <c r="L813" s="842">
        <f t="shared" si="266"/>
        <v>200</v>
      </c>
      <c r="M813" s="680">
        <v>46084</v>
      </c>
      <c r="N813" s="680">
        <v>46081</v>
      </c>
      <c r="O813" s="641"/>
      <c r="P813" s="482"/>
      <c r="Q813" s="647"/>
      <c r="R813" s="647" t="s">
        <v>403</v>
      </c>
      <c r="S813" s="683" t="s">
        <v>66</v>
      </c>
      <c r="T813" s="647" t="s">
        <v>2836</v>
      </c>
      <c r="U813" s="508"/>
      <c r="V813" s="508"/>
      <c r="W813" s="508" t="s">
        <v>2837</v>
      </c>
      <c r="X813" s="651" t="s">
        <v>395</v>
      </c>
      <c r="Y813" s="687">
        <v>4.2266</v>
      </c>
      <c r="Z813" s="688">
        <f t="shared" si="268"/>
        <v>5071.92</v>
      </c>
      <c r="AA813" s="482"/>
      <c r="AB813" s="482" t="s">
        <v>402</v>
      </c>
      <c r="AC813" s="635" t="s">
        <v>76</v>
      </c>
      <c r="AD813" s="482"/>
      <c r="AE813" s="482"/>
      <c r="AF813" s="462">
        <v>1</v>
      </c>
      <c r="AG813" s="482">
        <v>1200</v>
      </c>
      <c r="AH813" s="482">
        <f>AG813-I813</f>
        <v>0</v>
      </c>
      <c r="AI813" s="482"/>
      <c r="AJ813" s="482" t="s">
        <v>2191</v>
      </c>
      <c r="AK813" s="656"/>
      <c r="AL813" s="656">
        <f>I813</f>
        <v>1200</v>
      </c>
      <c r="AM813" s="658"/>
      <c r="AN813" s="658"/>
      <c r="AO813" s="658"/>
      <c r="AP813" s="656"/>
      <c r="AQ813" s="656">
        <f>I813</f>
        <v>1200</v>
      </c>
      <c r="AR813" s="656">
        <f t="shared" si="269"/>
        <v>1200</v>
      </c>
      <c r="AS813" s="656"/>
      <c r="AT813" s="656">
        <f>I813</f>
        <v>1200</v>
      </c>
      <c r="AU813" s="662"/>
      <c r="AV813" s="432"/>
      <c r="AW813" s="432"/>
      <c r="AX813" s="432"/>
      <c r="AY813" s="432"/>
      <c r="AZ813" s="656"/>
      <c r="BA813" s="656"/>
      <c r="BB813" s="432"/>
      <c r="BC813" s="432"/>
      <c r="BD813" s="656"/>
      <c r="BE813" s="656"/>
      <c r="BF813" s="432"/>
      <c r="BG813" s="432"/>
      <c r="BH813" s="432"/>
      <c r="BI813" s="432"/>
      <c r="BJ813" s="432"/>
      <c r="BK813" s="432"/>
      <c r="BL813" s="432"/>
      <c r="BM813" s="432"/>
      <c r="BN813" s="871"/>
      <c r="BO813" s="432"/>
      <c r="BP813" s="432"/>
      <c r="BQ813" s="432"/>
      <c r="BR813" s="432"/>
      <c r="BS813" s="432"/>
      <c r="BT813" s="432"/>
      <c r="BU813" s="432"/>
      <c r="BV813" s="432"/>
      <c r="BW813" s="432"/>
      <c r="BX813" s="432"/>
      <c r="BY813" s="432"/>
      <c r="BZ813" s="432"/>
      <c r="CA813" s="432"/>
      <c r="CB813" s="432"/>
      <c r="CC813" s="432"/>
      <c r="CD813" s="432"/>
      <c r="CE813" s="432"/>
      <c r="CF813" s="660"/>
      <c r="CG813" s="660"/>
      <c r="CH813" s="660"/>
      <c r="CI813" s="660"/>
      <c r="CJ813" s="660"/>
      <c r="CK813" s="432"/>
      <c r="CL813" s="432"/>
      <c r="CM813" s="432"/>
      <c r="CN813" s="660"/>
      <c r="CO813" s="660"/>
      <c r="CP813" s="660"/>
      <c r="CQ813" s="660"/>
      <c r="CR813" s="660"/>
      <c r="CS813" s="660"/>
    </row>
    <row r="814" s="424" customFormat="1" ht="31" hidden="1" customHeight="1" spans="1:97">
      <c r="A814" s="633">
        <v>45978</v>
      </c>
      <c r="B814" s="497" t="s">
        <v>1372</v>
      </c>
      <c r="C814" s="635" t="s">
        <v>90</v>
      </c>
      <c r="D814" s="432">
        <v>4500185938</v>
      </c>
      <c r="E814" s="894" t="s">
        <v>2838</v>
      </c>
      <c r="F814" s="432" t="s">
        <v>2839</v>
      </c>
      <c r="G814" s="482" t="s">
        <v>2431</v>
      </c>
      <c r="H814" s="635" t="s">
        <v>744</v>
      </c>
      <c r="I814" s="635">
        <v>5400</v>
      </c>
      <c r="J814" s="635">
        <v>0</v>
      </c>
      <c r="K814" s="635">
        <v>75</v>
      </c>
      <c r="L814" s="842">
        <v>72</v>
      </c>
      <c r="M814" s="680">
        <v>46087</v>
      </c>
      <c r="N814" s="680">
        <v>46083</v>
      </c>
      <c r="O814" s="641"/>
      <c r="P814" s="482"/>
      <c r="Q814" s="647"/>
      <c r="R814" s="647" t="s">
        <v>2432</v>
      </c>
      <c r="S814" s="683" t="s">
        <v>66</v>
      </c>
      <c r="T814" s="683" t="s">
        <v>66</v>
      </c>
      <c r="U814" s="683"/>
      <c r="V814" s="508"/>
      <c r="W814" s="508" t="s">
        <v>2565</v>
      </c>
      <c r="X814" s="651" t="s">
        <v>821</v>
      </c>
      <c r="Y814" s="687">
        <v>359.3436</v>
      </c>
      <c r="Z814" s="688">
        <v>25872.7392</v>
      </c>
      <c r="AA814" s="482"/>
      <c r="AB814" s="568" t="s">
        <v>1378</v>
      </c>
      <c r="AC814" s="635" t="s">
        <v>76</v>
      </c>
      <c r="AD814" s="482"/>
      <c r="AE814" s="482"/>
      <c r="AF814" s="458">
        <v>1</v>
      </c>
      <c r="AG814" s="482"/>
      <c r="AH814" s="793">
        <f>AG814-I814</f>
        <v>-5400</v>
      </c>
      <c r="AI814" s="482"/>
      <c r="AJ814" s="482"/>
      <c r="AK814" s="656"/>
      <c r="AL814" s="657"/>
      <c r="AM814" s="656">
        <f>I814</f>
        <v>5400</v>
      </c>
      <c r="AN814" s="656"/>
      <c r="AO814" s="432"/>
      <c r="AP814" s="656"/>
      <c r="AQ814" s="656"/>
      <c r="AR814" s="656"/>
      <c r="AS814" s="656"/>
      <c r="AT814" s="656"/>
      <c r="AU814" s="662"/>
      <c r="AV814" s="432"/>
      <c r="AW814" s="432">
        <f>I814</f>
        <v>5400</v>
      </c>
      <c r="AX814" s="432">
        <f>I814</f>
        <v>5400</v>
      </c>
      <c r="AY814" s="432">
        <f>I814</f>
        <v>5400</v>
      </c>
      <c r="AZ814" s="656"/>
      <c r="BA814" s="656"/>
      <c r="BB814" s="432"/>
      <c r="BC814" s="432"/>
      <c r="BD814" s="656"/>
      <c r="BE814" s="656"/>
      <c r="BF814" s="432"/>
      <c r="BG814" s="568">
        <f>I814</f>
        <v>5400</v>
      </c>
      <c r="BH814" s="568">
        <f>I814/5</f>
        <v>1080</v>
      </c>
      <c r="BI814" s="432"/>
      <c r="BJ814" s="432"/>
      <c r="BK814" s="432"/>
      <c r="BL814" s="432"/>
      <c r="BM814" s="432"/>
      <c r="BN814" s="871"/>
      <c r="BO814" s="432"/>
      <c r="BP814" s="432"/>
      <c r="BQ814" s="432"/>
      <c r="BR814" s="432"/>
      <c r="BS814" s="432"/>
      <c r="BT814" s="432"/>
      <c r="BU814" s="432"/>
      <c r="BV814" s="432"/>
      <c r="BW814" s="432"/>
      <c r="BX814" s="432"/>
      <c r="BY814" s="432"/>
      <c r="BZ814" s="432"/>
      <c r="CA814" s="432"/>
      <c r="CB814" s="432"/>
      <c r="CC814" s="432"/>
      <c r="CD814" s="432"/>
      <c r="CE814" s="432"/>
      <c r="CF814" s="660"/>
      <c r="CG814" s="660"/>
      <c r="CH814" s="660"/>
      <c r="CI814" s="660"/>
      <c r="CJ814" s="660"/>
      <c r="CK814" s="432"/>
      <c r="CL814" s="432"/>
      <c r="CM814" s="432"/>
      <c r="CN814" s="660"/>
      <c r="CO814" s="660"/>
      <c r="CP814" s="660"/>
      <c r="CQ814" s="660"/>
      <c r="CR814" s="660"/>
      <c r="CS814" s="660"/>
    </row>
    <row r="815" s="424" customFormat="1" ht="31" hidden="1" customHeight="1" spans="1:97">
      <c r="A815" s="633">
        <v>46013</v>
      </c>
      <c r="B815" s="497" t="s">
        <v>2247</v>
      </c>
      <c r="C815" s="635" t="s">
        <v>216</v>
      </c>
      <c r="D815" s="432">
        <v>4500189585</v>
      </c>
      <c r="E815" s="635">
        <v>20148</v>
      </c>
      <c r="F815" s="432" t="s">
        <v>2840</v>
      </c>
      <c r="G815" s="482" t="s">
        <v>64</v>
      </c>
      <c r="H815" s="635" t="s">
        <v>65</v>
      </c>
      <c r="I815" s="635">
        <v>576</v>
      </c>
      <c r="J815" s="635">
        <v>0</v>
      </c>
      <c r="K815" s="635">
        <v>12</v>
      </c>
      <c r="L815" s="842">
        <f>I815/K815</f>
        <v>48</v>
      </c>
      <c r="M815" s="679">
        <v>46087</v>
      </c>
      <c r="N815" s="679">
        <v>46083</v>
      </c>
      <c r="O815" s="641"/>
      <c r="P815" s="482"/>
      <c r="Q815" s="647"/>
      <c r="R815" s="647">
        <v>46013</v>
      </c>
      <c r="S815" s="683" t="s">
        <v>66</v>
      </c>
      <c r="T815" s="683" t="s">
        <v>2249</v>
      </c>
      <c r="U815" s="683"/>
      <c r="V815" s="508"/>
      <c r="W815" s="508" t="s">
        <v>2841</v>
      </c>
      <c r="X815" s="651" t="s">
        <v>269</v>
      </c>
      <c r="Y815" s="508">
        <v>4.1185</v>
      </c>
      <c r="Z815" s="651">
        <f>Y815*I815</f>
        <v>2372.256</v>
      </c>
      <c r="AA815" s="482"/>
      <c r="AB815" s="635" t="s">
        <v>165</v>
      </c>
      <c r="AC815" s="635" t="s">
        <v>76</v>
      </c>
      <c r="AD815" s="482"/>
      <c r="AE815" s="482"/>
      <c r="AF815" s="458">
        <v>1</v>
      </c>
      <c r="AG815" s="482"/>
      <c r="AH815" s="793">
        <f>AG815-I815</f>
        <v>-576</v>
      </c>
      <c r="AI815" s="482"/>
      <c r="AJ815" s="482" t="s">
        <v>2191</v>
      </c>
      <c r="AK815" s="656"/>
      <c r="AL815" s="867">
        <f>I815</f>
        <v>576</v>
      </c>
      <c r="AM815" s="656"/>
      <c r="AN815" s="656"/>
      <c r="AO815" s="432"/>
      <c r="AP815" s="656"/>
      <c r="AQ815" s="656">
        <f>I815</f>
        <v>576</v>
      </c>
      <c r="AR815" s="656">
        <f>I815</f>
        <v>576</v>
      </c>
      <c r="AS815" s="656"/>
      <c r="AT815" s="777">
        <f>I815</f>
        <v>576</v>
      </c>
      <c r="AU815" s="662"/>
      <c r="AV815" s="432"/>
      <c r="AW815" s="432"/>
      <c r="AX815" s="432"/>
      <c r="AY815" s="432"/>
      <c r="AZ815" s="656"/>
      <c r="BA815" s="656"/>
      <c r="BB815" s="432"/>
      <c r="BC815" s="432"/>
      <c r="BD815" s="656"/>
      <c r="BE815" s="656"/>
      <c r="BF815" s="432"/>
      <c r="BG815" s="656"/>
      <c r="BH815" s="656"/>
      <c r="BI815" s="432"/>
      <c r="BJ815" s="432"/>
      <c r="BK815" s="432"/>
      <c r="BL815" s="432"/>
      <c r="BM815" s="432"/>
      <c r="BN815" s="871"/>
      <c r="BO815" s="432"/>
      <c r="BP815" s="432"/>
      <c r="BQ815" s="432"/>
      <c r="BR815" s="432"/>
      <c r="BS815" s="432"/>
      <c r="BT815" s="432"/>
      <c r="BU815" s="432"/>
      <c r="BV815" s="432"/>
      <c r="BW815" s="432"/>
      <c r="BX815" s="432"/>
      <c r="BY815" s="432"/>
      <c r="BZ815" s="432"/>
      <c r="CA815" s="432"/>
      <c r="CB815" s="432"/>
      <c r="CC815" s="432"/>
      <c r="CD815" s="432"/>
      <c r="CE815" s="432"/>
      <c r="CF815" s="660"/>
      <c r="CG815" s="660"/>
      <c r="CH815" s="660"/>
      <c r="CI815" s="660"/>
      <c r="CJ815" s="660"/>
      <c r="CK815" s="432"/>
      <c r="CL815" s="432"/>
      <c r="CM815" s="432"/>
      <c r="CN815" s="660"/>
      <c r="CO815" s="660"/>
      <c r="CP815" s="660"/>
      <c r="CQ815" s="660"/>
      <c r="CR815" s="660"/>
      <c r="CS815" s="660"/>
    </row>
    <row r="816" s="424" customFormat="1" ht="31" hidden="1" customHeight="1" spans="1:97">
      <c r="A816" s="633">
        <v>46020</v>
      </c>
      <c r="B816" s="497" t="s">
        <v>202</v>
      </c>
      <c r="C816" s="635" t="s">
        <v>203</v>
      </c>
      <c r="D816" s="432">
        <v>4500190283</v>
      </c>
      <c r="E816" s="635" t="s">
        <v>2842</v>
      </c>
      <c r="F816" s="432" t="s">
        <v>2843</v>
      </c>
      <c r="G816" s="482" t="s">
        <v>64</v>
      </c>
      <c r="H816" s="635" t="s">
        <v>65</v>
      </c>
      <c r="I816" s="635">
        <v>12600</v>
      </c>
      <c r="J816" s="635">
        <v>0</v>
      </c>
      <c r="K816" s="635">
        <v>12</v>
      </c>
      <c r="L816" s="842">
        <f>I816/K816</f>
        <v>1050</v>
      </c>
      <c r="M816" s="679">
        <v>46087</v>
      </c>
      <c r="N816" s="679">
        <v>46083</v>
      </c>
      <c r="O816" s="641"/>
      <c r="P816" s="482"/>
      <c r="Q816" s="647"/>
      <c r="R816" s="647">
        <v>46020</v>
      </c>
      <c r="S816" s="683" t="s">
        <v>66</v>
      </c>
      <c r="T816" s="683" t="s">
        <v>2844</v>
      </c>
      <c r="U816" s="683"/>
      <c r="V816" s="508"/>
      <c r="W816" s="571" t="s">
        <v>2845</v>
      </c>
      <c r="X816" s="651" t="s">
        <v>207</v>
      </c>
      <c r="Y816" s="508">
        <v>4.1516</v>
      </c>
      <c r="Z816" s="651">
        <f>Y816*I816</f>
        <v>52310.16</v>
      </c>
      <c r="AA816" s="482"/>
      <c r="AB816" s="656" t="s">
        <v>64</v>
      </c>
      <c r="AC816" s="635" t="s">
        <v>76</v>
      </c>
      <c r="AD816" s="482"/>
      <c r="AE816" s="482"/>
      <c r="AF816" s="458">
        <v>1</v>
      </c>
      <c r="AG816" s="482"/>
      <c r="AH816" s="793">
        <f>AG816-I816</f>
        <v>-12600</v>
      </c>
      <c r="AI816" s="482"/>
      <c r="AJ816" s="482" t="s">
        <v>2191</v>
      </c>
      <c r="AK816" s="656"/>
      <c r="AL816" s="867">
        <f>I816</f>
        <v>12600</v>
      </c>
      <c r="AM816" s="656"/>
      <c r="AN816" s="656"/>
      <c r="AO816" s="432"/>
      <c r="AP816" s="656">
        <f>I816</f>
        <v>12600</v>
      </c>
      <c r="AQ816" s="656"/>
      <c r="AR816" s="656">
        <f>I816</f>
        <v>12600</v>
      </c>
      <c r="AS816" s="656"/>
      <c r="AT816" s="656">
        <f>I816</f>
        <v>12600</v>
      </c>
      <c r="AU816" s="662"/>
      <c r="AV816" s="432"/>
      <c r="AW816" s="432"/>
      <c r="AX816" s="432"/>
      <c r="AY816" s="432"/>
      <c r="AZ816" s="656"/>
      <c r="BA816" s="656"/>
      <c r="BB816" s="432"/>
      <c r="BC816" s="432"/>
      <c r="BD816" s="656"/>
      <c r="BE816" s="656"/>
      <c r="BF816" s="432"/>
      <c r="BG816" s="656"/>
      <c r="BH816" s="656"/>
      <c r="BI816" s="432"/>
      <c r="BJ816" s="432"/>
      <c r="BK816" s="432"/>
      <c r="BL816" s="432"/>
      <c r="BM816" s="432"/>
      <c r="BN816" s="871"/>
      <c r="BO816" s="432"/>
      <c r="BP816" s="432"/>
      <c r="BQ816" s="432"/>
      <c r="BR816" s="432"/>
      <c r="BS816" s="432"/>
      <c r="BT816" s="432"/>
      <c r="BU816" s="432"/>
      <c r="BV816" s="432"/>
      <c r="BW816" s="432"/>
      <c r="BX816" s="432"/>
      <c r="BY816" s="432"/>
      <c r="BZ816" s="432"/>
      <c r="CA816" s="432"/>
      <c r="CB816" s="432"/>
      <c r="CC816" s="432"/>
      <c r="CD816" s="432"/>
      <c r="CE816" s="432"/>
      <c r="CF816" s="660"/>
      <c r="CG816" s="660"/>
      <c r="CH816" s="660"/>
      <c r="CI816" s="660"/>
      <c r="CJ816" s="660"/>
      <c r="CK816" s="432"/>
      <c r="CL816" s="432"/>
      <c r="CM816" s="432"/>
      <c r="CN816" s="660"/>
      <c r="CO816" s="660"/>
      <c r="CP816" s="660"/>
      <c r="CQ816" s="660"/>
      <c r="CR816" s="660"/>
      <c r="CS816" s="660"/>
    </row>
    <row r="817" s="424" customFormat="1" ht="31" hidden="1" customHeight="1" spans="1:97">
      <c r="A817" s="633">
        <v>46022</v>
      </c>
      <c r="B817" s="497" t="s">
        <v>220</v>
      </c>
      <c r="C817" s="635" t="s">
        <v>90</v>
      </c>
      <c r="D817" s="432">
        <v>4500189636</v>
      </c>
      <c r="E817" s="635" t="s">
        <v>2846</v>
      </c>
      <c r="F817" s="432" t="s">
        <v>2847</v>
      </c>
      <c r="G817" s="482" t="s">
        <v>223</v>
      </c>
      <c r="H817" s="635" t="s">
        <v>224</v>
      </c>
      <c r="I817" s="851">
        <v>26252</v>
      </c>
      <c r="J817" s="635">
        <v>0</v>
      </c>
      <c r="K817" s="635">
        <v>4</v>
      </c>
      <c r="L817" s="842">
        <f>I817/K817</f>
        <v>6563</v>
      </c>
      <c r="M817" s="680">
        <v>46087</v>
      </c>
      <c r="N817" s="680">
        <v>46083</v>
      </c>
      <c r="O817" s="641"/>
      <c r="P817" s="482"/>
      <c r="Q817" s="647"/>
      <c r="R817" s="647">
        <v>46026</v>
      </c>
      <c r="S817" s="683" t="s">
        <v>96</v>
      </c>
      <c r="T817" s="683" t="s">
        <v>2848</v>
      </c>
      <c r="U817" s="683"/>
      <c r="V817" s="508"/>
      <c r="W817" s="508" t="s">
        <v>2849</v>
      </c>
      <c r="X817" s="651" t="s">
        <v>226</v>
      </c>
      <c r="Y817" s="687">
        <v>2.7734</v>
      </c>
      <c r="Z817" s="688">
        <f>Y817*I817</f>
        <v>72807.2968</v>
      </c>
      <c r="AA817" s="482"/>
      <c r="AB817" s="656" t="s">
        <v>223</v>
      </c>
      <c r="AC817" s="635" t="s">
        <v>76</v>
      </c>
      <c r="AD817" s="482"/>
      <c r="AE817" s="482"/>
      <c r="AF817" s="458">
        <v>1</v>
      </c>
      <c r="AG817" s="482"/>
      <c r="AH817" s="482">
        <f>AG817-I817</f>
        <v>-26252</v>
      </c>
      <c r="AI817" s="482"/>
      <c r="AJ817" s="482" t="s">
        <v>2191</v>
      </c>
      <c r="AK817" s="656"/>
      <c r="AL817" s="657"/>
      <c r="AM817" s="656"/>
      <c r="AN817" s="656">
        <f>I817</f>
        <v>26252</v>
      </c>
      <c r="AO817" s="432"/>
      <c r="AP817" s="656"/>
      <c r="AQ817" s="656"/>
      <c r="AR817" s="656"/>
      <c r="AS817" s="656"/>
      <c r="AT817" s="656">
        <f>I817</f>
        <v>26252</v>
      </c>
      <c r="AU817" s="662"/>
      <c r="AV817" s="432"/>
      <c r="AW817" s="432"/>
      <c r="AX817" s="432"/>
      <c r="AY817" s="432"/>
      <c r="AZ817" s="656"/>
      <c r="BA817" s="656"/>
      <c r="BB817" s="432">
        <f>I817</f>
        <v>26252</v>
      </c>
      <c r="BC817" s="432">
        <f>I817</f>
        <v>26252</v>
      </c>
      <c r="BD817" s="656">
        <f>I817/4</f>
        <v>6563</v>
      </c>
      <c r="BE817" s="656"/>
      <c r="BF817" s="432"/>
      <c r="BG817" s="656"/>
      <c r="BH817" s="656"/>
      <c r="BI817" s="432"/>
      <c r="BJ817" s="432"/>
      <c r="BK817" s="432"/>
      <c r="BL817" s="432"/>
      <c r="BM817" s="432"/>
      <c r="BN817" s="871"/>
      <c r="BO817" s="432"/>
      <c r="BP817" s="432"/>
      <c r="BQ817" s="432"/>
      <c r="BR817" s="432"/>
      <c r="BS817" s="432"/>
      <c r="BT817" s="432"/>
      <c r="BU817" s="432"/>
      <c r="BV817" s="432"/>
      <c r="BW817" s="432"/>
      <c r="BX817" s="432"/>
      <c r="BY817" s="432"/>
      <c r="BZ817" s="432"/>
      <c r="CA817" s="432"/>
      <c r="CB817" s="432"/>
      <c r="CC817" s="432"/>
      <c r="CD817" s="432"/>
      <c r="CE817" s="432"/>
      <c r="CF817" s="660"/>
      <c r="CG817" s="660"/>
      <c r="CH817" s="660"/>
      <c r="CI817" s="660"/>
      <c r="CJ817" s="660"/>
      <c r="CK817" s="432"/>
      <c r="CL817" s="432"/>
      <c r="CM817" s="432"/>
      <c r="CN817" s="660"/>
      <c r="CO817" s="660"/>
      <c r="CP817" s="660"/>
      <c r="CQ817" s="660"/>
      <c r="CR817" s="660"/>
      <c r="CS817" s="660"/>
    </row>
    <row r="818" s="424" customFormat="1" ht="31" hidden="1" customHeight="1" spans="1:97">
      <c r="A818" s="633">
        <v>45978</v>
      </c>
      <c r="B818" s="497" t="s">
        <v>1372</v>
      </c>
      <c r="C818" s="635" t="s">
        <v>90</v>
      </c>
      <c r="D818" s="432">
        <v>4500185940</v>
      </c>
      <c r="E818" s="894" t="s">
        <v>2850</v>
      </c>
      <c r="F818" s="432" t="s">
        <v>2851</v>
      </c>
      <c r="G818" s="482" t="s">
        <v>2431</v>
      </c>
      <c r="H818" s="635" t="s">
        <v>744</v>
      </c>
      <c r="I818" s="635">
        <v>5400</v>
      </c>
      <c r="J818" s="635">
        <v>0</v>
      </c>
      <c r="K818" s="635">
        <v>75</v>
      </c>
      <c r="L818" s="842">
        <v>72</v>
      </c>
      <c r="M818" s="680">
        <v>46088</v>
      </c>
      <c r="N818" s="680">
        <v>46084</v>
      </c>
      <c r="O818" s="641"/>
      <c r="P818" s="482"/>
      <c r="Q818" s="647"/>
      <c r="R818" s="647" t="s">
        <v>2432</v>
      </c>
      <c r="S818" s="683" t="s">
        <v>66</v>
      </c>
      <c r="T818" s="683" t="s">
        <v>66</v>
      </c>
      <c r="U818" s="683"/>
      <c r="V818" s="508"/>
      <c r="W818" s="508" t="s">
        <v>2565</v>
      </c>
      <c r="X818" s="651" t="s">
        <v>821</v>
      </c>
      <c r="Y818" s="687">
        <v>359.3436</v>
      </c>
      <c r="Z818" s="688">
        <v>25872.7392</v>
      </c>
      <c r="AA818" s="482"/>
      <c r="AB818" s="568" t="s">
        <v>1378</v>
      </c>
      <c r="AC818" s="635" t="s">
        <v>76</v>
      </c>
      <c r="AD818" s="482"/>
      <c r="AE818" s="482"/>
      <c r="AF818" s="458">
        <v>1</v>
      </c>
      <c r="AG818" s="482"/>
      <c r="AH818" s="793">
        <f t="shared" ref="AH818:AH825" si="270">AG818-I818</f>
        <v>-5400</v>
      </c>
      <c r="AI818" s="482"/>
      <c r="AJ818" s="482"/>
      <c r="AK818" s="656"/>
      <c r="AL818" s="657"/>
      <c r="AM818" s="656">
        <f>I818</f>
        <v>5400</v>
      </c>
      <c r="AN818" s="656"/>
      <c r="AO818" s="432"/>
      <c r="AP818" s="656"/>
      <c r="AQ818" s="656"/>
      <c r="AR818" s="656"/>
      <c r="AS818" s="656"/>
      <c r="AT818" s="656"/>
      <c r="AU818" s="662"/>
      <c r="AV818" s="432"/>
      <c r="AW818" s="432">
        <f>I818</f>
        <v>5400</v>
      </c>
      <c r="AX818" s="432">
        <f>I818</f>
        <v>5400</v>
      </c>
      <c r="AY818" s="432">
        <f>I818</f>
        <v>5400</v>
      </c>
      <c r="AZ818" s="656"/>
      <c r="BA818" s="656"/>
      <c r="BB818" s="432"/>
      <c r="BC818" s="432"/>
      <c r="BD818" s="656"/>
      <c r="BE818" s="656"/>
      <c r="BF818" s="432"/>
      <c r="BG818" s="568">
        <f>I818</f>
        <v>5400</v>
      </c>
      <c r="BH818" s="568">
        <f>I818/5</f>
        <v>1080</v>
      </c>
      <c r="BI818" s="432"/>
      <c r="BJ818" s="432"/>
      <c r="BK818" s="432"/>
      <c r="BL818" s="432"/>
      <c r="BM818" s="432"/>
      <c r="BN818" s="871"/>
      <c r="BO818" s="432"/>
      <c r="BP818" s="432"/>
      <c r="BQ818" s="432"/>
      <c r="BR818" s="432"/>
      <c r="BS818" s="432"/>
      <c r="BT818" s="432"/>
      <c r="BU818" s="432"/>
      <c r="BV818" s="432"/>
      <c r="BW818" s="432"/>
      <c r="BX818" s="432"/>
      <c r="BY818" s="432"/>
      <c r="BZ818" s="432"/>
      <c r="CA818" s="432"/>
      <c r="CB818" s="432"/>
      <c r="CC818" s="432"/>
      <c r="CD818" s="432"/>
      <c r="CE818" s="432"/>
      <c r="CF818" s="660"/>
      <c r="CG818" s="660"/>
      <c r="CH818" s="660"/>
      <c r="CI818" s="660"/>
      <c r="CJ818" s="660"/>
      <c r="CK818" s="432"/>
      <c r="CL818" s="432"/>
      <c r="CM818" s="432"/>
      <c r="CN818" s="660"/>
      <c r="CO818" s="660"/>
      <c r="CP818" s="660"/>
      <c r="CQ818" s="660"/>
      <c r="CR818" s="660"/>
      <c r="CS818" s="660"/>
    </row>
    <row r="819" s="424" customFormat="1" ht="27" hidden="1" customHeight="1" spans="1:97">
      <c r="A819" s="633">
        <v>46033</v>
      </c>
      <c r="B819" s="497" t="s">
        <v>2852</v>
      </c>
      <c r="C819" s="635" t="s">
        <v>153</v>
      </c>
      <c r="D819" s="432">
        <v>4500191116</v>
      </c>
      <c r="E819" s="635" t="s">
        <v>2853</v>
      </c>
      <c r="F819" s="432" t="s">
        <v>2854</v>
      </c>
      <c r="G819" s="482" t="s">
        <v>64</v>
      </c>
      <c r="H819" s="635" t="s">
        <v>65</v>
      </c>
      <c r="I819" s="635">
        <v>720</v>
      </c>
      <c r="J819" s="635">
        <v>0</v>
      </c>
      <c r="K819" s="635">
        <v>12</v>
      </c>
      <c r="L819" s="842">
        <f>I819/K819</f>
        <v>60</v>
      </c>
      <c r="M819" s="679">
        <v>46084</v>
      </c>
      <c r="N819" s="679">
        <v>46081</v>
      </c>
      <c r="O819" s="641"/>
      <c r="P819" s="482"/>
      <c r="Q819" s="647"/>
      <c r="R819" s="647">
        <v>46038</v>
      </c>
      <c r="S819" s="683" t="s">
        <v>66</v>
      </c>
      <c r="T819" s="683" t="s">
        <v>403</v>
      </c>
      <c r="U819" s="683"/>
      <c r="V819" s="508"/>
      <c r="W819" s="508" t="s">
        <v>2855</v>
      </c>
      <c r="X819" s="651" t="s">
        <v>1055</v>
      </c>
      <c r="Y819" s="508">
        <v>4.1623</v>
      </c>
      <c r="Z819" s="651">
        <f>Y819*I819</f>
        <v>2996.856</v>
      </c>
      <c r="AA819" s="482"/>
      <c r="AB819" s="635" t="s">
        <v>165</v>
      </c>
      <c r="AC819" s="635" t="s">
        <v>76</v>
      </c>
      <c r="AD819" s="482"/>
      <c r="AE819" s="482"/>
      <c r="AF819" s="482"/>
      <c r="AG819" s="482"/>
      <c r="AH819" s="793">
        <f t="shared" si="270"/>
        <v>-720</v>
      </c>
      <c r="AI819" s="482"/>
      <c r="AJ819" s="482"/>
      <c r="AK819" s="656"/>
      <c r="AL819" s="656">
        <f>I819</f>
        <v>720</v>
      </c>
      <c r="AM819" s="656"/>
      <c r="AN819" s="656"/>
      <c r="AO819" s="432"/>
      <c r="AP819" s="656"/>
      <c r="AQ819" s="656">
        <f>I819</f>
        <v>720</v>
      </c>
      <c r="AR819" s="656">
        <f t="shared" ref="AR818:AR823" si="271">I819</f>
        <v>720</v>
      </c>
      <c r="AS819" s="656"/>
      <c r="AT819" s="656">
        <f>I819</f>
        <v>720</v>
      </c>
      <c r="AU819" s="662"/>
      <c r="AV819" s="432"/>
      <c r="AW819" s="432"/>
      <c r="AX819" s="432"/>
      <c r="AY819" s="432"/>
      <c r="AZ819" s="656"/>
      <c r="BA819" s="656"/>
      <c r="BB819" s="432"/>
      <c r="BC819" s="432"/>
      <c r="BD819" s="656"/>
      <c r="BE819" s="656"/>
      <c r="BF819" s="432"/>
      <c r="BG819" s="656"/>
      <c r="BH819" s="656"/>
      <c r="BI819" s="432"/>
      <c r="BJ819" s="432"/>
      <c r="BK819" s="432"/>
      <c r="BL819" s="432"/>
      <c r="BM819" s="432"/>
      <c r="BN819" s="871"/>
      <c r="BO819" s="432"/>
      <c r="BP819" s="432"/>
      <c r="BQ819" s="432"/>
      <c r="BR819" s="432"/>
      <c r="BS819" s="432"/>
      <c r="BT819" s="432"/>
      <c r="BU819" s="432"/>
      <c r="BV819" s="432"/>
      <c r="BW819" s="432"/>
      <c r="BX819" s="432"/>
      <c r="BY819" s="432"/>
      <c r="BZ819" s="432"/>
      <c r="CA819" s="432"/>
      <c r="CB819" s="432"/>
      <c r="CC819" s="432"/>
      <c r="CD819" s="432"/>
      <c r="CE819" s="432"/>
      <c r="CF819" s="660"/>
      <c r="CG819" s="660"/>
      <c r="CH819" s="660"/>
      <c r="CI819" s="660"/>
      <c r="CJ819" s="660"/>
      <c r="CK819" s="432"/>
      <c r="CL819" s="432"/>
      <c r="CM819" s="432"/>
      <c r="CN819" s="660"/>
      <c r="CO819" s="660"/>
      <c r="CP819" s="660"/>
      <c r="CQ819" s="660"/>
      <c r="CR819" s="660"/>
      <c r="CS819" s="660"/>
    </row>
    <row r="820" s="424" customFormat="1" ht="31" hidden="1" customHeight="1" spans="1:97">
      <c r="A820" s="633">
        <v>46000</v>
      </c>
      <c r="B820" s="497" t="s">
        <v>1643</v>
      </c>
      <c r="C820" s="635" t="s">
        <v>249</v>
      </c>
      <c r="D820" s="432">
        <v>4500187028</v>
      </c>
      <c r="E820" s="635" t="s">
        <v>2856</v>
      </c>
      <c r="F820" s="432" t="s">
        <v>2857</v>
      </c>
      <c r="G820" s="482" t="s">
        <v>251</v>
      </c>
      <c r="H820" s="635" t="s">
        <v>252</v>
      </c>
      <c r="I820" s="635">
        <v>1200</v>
      </c>
      <c r="J820" s="635">
        <v>4</v>
      </c>
      <c r="K820" s="635">
        <v>16</v>
      </c>
      <c r="L820" s="842">
        <f t="shared" ref="L820:L827" si="272">I820/K820</f>
        <v>75</v>
      </c>
      <c r="M820" s="679">
        <v>46090</v>
      </c>
      <c r="N820" s="679">
        <v>46086</v>
      </c>
      <c r="O820" s="641"/>
      <c r="P820" s="482"/>
      <c r="Q820" s="647"/>
      <c r="R820" s="647">
        <v>46000</v>
      </c>
      <c r="S820" s="647" t="s">
        <v>66</v>
      </c>
      <c r="T820" s="683" t="s">
        <v>66</v>
      </c>
      <c r="U820" s="683"/>
      <c r="V820" s="508"/>
      <c r="W820" s="508" t="s">
        <v>2858</v>
      </c>
      <c r="X820" s="651" t="s">
        <v>269</v>
      </c>
      <c r="Y820" s="687">
        <v>4.3217</v>
      </c>
      <c r="Z820" s="688">
        <f t="shared" ref="Z820:Z825" si="273">Y820*I820</f>
        <v>5186.04</v>
      </c>
      <c r="AA820" s="482"/>
      <c r="AB820" s="482" t="s">
        <v>251</v>
      </c>
      <c r="AC820" s="635" t="s">
        <v>76</v>
      </c>
      <c r="AD820" s="482"/>
      <c r="AE820" s="482"/>
      <c r="AF820" s="458">
        <v>1</v>
      </c>
      <c r="AG820" s="482"/>
      <c r="AH820" s="793">
        <f t="shared" ref="AH820:AH837" si="274">AG820-I820</f>
        <v>-1200</v>
      </c>
      <c r="AI820" s="482"/>
      <c r="AJ820" s="482"/>
      <c r="AK820" s="656"/>
      <c r="AL820" s="656">
        <f>I820</f>
        <v>1200</v>
      </c>
      <c r="AM820" s="656"/>
      <c r="AN820" s="656"/>
      <c r="AO820" s="432"/>
      <c r="AP820" s="777">
        <f>I820</f>
        <v>1200</v>
      </c>
      <c r="AQ820" s="656"/>
      <c r="AR820" s="794">
        <f t="shared" si="271"/>
        <v>1200</v>
      </c>
      <c r="AS820" s="656"/>
      <c r="AT820" s="777">
        <f t="shared" ref="AT820:AT825" si="275">I820</f>
        <v>1200</v>
      </c>
      <c r="AU820" s="662"/>
      <c r="AV820" s="432"/>
      <c r="AW820" s="432"/>
      <c r="AX820" s="432"/>
      <c r="AY820" s="432"/>
      <c r="AZ820" s="656"/>
      <c r="BA820" s="656"/>
      <c r="BB820" s="432"/>
      <c r="BC820" s="432"/>
      <c r="BD820" s="656">
        <f>I820/4</f>
        <v>300</v>
      </c>
      <c r="BE820" s="656"/>
      <c r="BF820" s="432"/>
      <c r="BG820" s="656"/>
      <c r="BH820" s="656"/>
      <c r="BI820" s="432"/>
      <c r="BJ820" s="432"/>
      <c r="BK820" s="432"/>
      <c r="BL820" s="432"/>
      <c r="BM820" s="432"/>
      <c r="BN820" s="871"/>
      <c r="BO820" s="432"/>
      <c r="BP820" s="432"/>
      <c r="BQ820" s="432"/>
      <c r="BR820" s="432"/>
      <c r="BS820" s="432"/>
      <c r="BT820" s="432"/>
      <c r="BU820" s="432"/>
      <c r="BV820" s="432"/>
      <c r="BW820" s="432"/>
      <c r="BX820" s="432"/>
      <c r="BY820" s="432"/>
      <c r="BZ820" s="432"/>
      <c r="CA820" s="432"/>
      <c r="CB820" s="432"/>
      <c r="CC820" s="432"/>
      <c r="CD820" s="432"/>
      <c r="CE820" s="432"/>
      <c r="CF820" s="660"/>
      <c r="CG820" s="660"/>
      <c r="CH820" s="660"/>
      <c r="CI820" s="660"/>
      <c r="CJ820" s="660"/>
      <c r="CK820" s="432"/>
      <c r="CL820" s="432"/>
      <c r="CM820" s="432"/>
      <c r="CN820" s="660"/>
      <c r="CO820" s="660"/>
      <c r="CP820" s="660"/>
      <c r="CQ820" s="660"/>
      <c r="CR820" s="660"/>
      <c r="CS820" s="660"/>
    </row>
    <row r="821" s="424" customFormat="1" ht="31" hidden="1" customHeight="1" spans="1:97">
      <c r="A821" s="633">
        <v>46028</v>
      </c>
      <c r="B821" s="497" t="s">
        <v>2859</v>
      </c>
      <c r="C821" s="635" t="s">
        <v>90</v>
      </c>
      <c r="D821" s="432">
        <v>4500190742</v>
      </c>
      <c r="E821" s="635" t="s">
        <v>2860</v>
      </c>
      <c r="F821" s="432" t="s">
        <v>2861</v>
      </c>
      <c r="G821" s="482" t="s">
        <v>2395</v>
      </c>
      <c r="H821" s="635" t="s">
        <v>2396</v>
      </c>
      <c r="I821" s="635">
        <v>4400</v>
      </c>
      <c r="J821" s="635">
        <v>0</v>
      </c>
      <c r="K821" s="635">
        <v>8</v>
      </c>
      <c r="L821" s="842">
        <f t="shared" si="272"/>
        <v>550</v>
      </c>
      <c r="M821" s="679">
        <v>46090</v>
      </c>
      <c r="N821" s="679">
        <v>46086</v>
      </c>
      <c r="O821" s="856"/>
      <c r="P821" s="482"/>
      <c r="Q821" s="647"/>
      <c r="R821" s="647">
        <v>46028</v>
      </c>
      <c r="S821" s="647" t="s">
        <v>66</v>
      </c>
      <c r="T821" s="647" t="s">
        <v>66</v>
      </c>
      <c r="U821" s="683"/>
      <c r="V821" s="508"/>
      <c r="W821" s="508" t="s">
        <v>2862</v>
      </c>
      <c r="X821" s="651" t="s">
        <v>316</v>
      </c>
      <c r="Y821" s="687">
        <v>2.5768</v>
      </c>
      <c r="Z821" s="688">
        <f t="shared" si="273"/>
        <v>11337.92</v>
      </c>
      <c r="AA821" s="482"/>
      <c r="AB821" s="482"/>
      <c r="AC821" s="635"/>
      <c r="AD821" s="482"/>
      <c r="AE821" s="482"/>
      <c r="AF821" s="458">
        <v>1</v>
      </c>
      <c r="AG821" s="482">
        <v>4400</v>
      </c>
      <c r="AH821" s="793">
        <f t="shared" si="274"/>
        <v>0</v>
      </c>
      <c r="AI821" s="482"/>
      <c r="AJ821" s="482"/>
      <c r="AK821" s="656"/>
      <c r="AL821" s="656">
        <f>I821</f>
        <v>4400</v>
      </c>
      <c r="AM821" s="432"/>
      <c r="AN821" s="656"/>
      <c r="AO821" s="432"/>
      <c r="AP821" s="656">
        <f>I821</f>
        <v>4400</v>
      </c>
      <c r="AQ821" s="656"/>
      <c r="AR821" s="656">
        <f t="shared" si="271"/>
        <v>4400</v>
      </c>
      <c r="AS821" s="656"/>
      <c r="AT821" s="656">
        <f t="shared" si="275"/>
        <v>4400</v>
      </c>
      <c r="AU821" s="662"/>
      <c r="AV821" s="432"/>
      <c r="AW821" s="432"/>
      <c r="AX821" s="432"/>
      <c r="AY821" s="432"/>
      <c r="AZ821" s="656"/>
      <c r="BA821" s="656"/>
      <c r="BB821" s="432"/>
      <c r="BC821" s="432"/>
      <c r="BD821" s="656"/>
      <c r="BE821" s="656"/>
      <c r="BF821" s="432">
        <f>L821</f>
        <v>550</v>
      </c>
      <c r="BG821" s="432"/>
      <c r="BH821" s="432"/>
      <c r="BI821" s="432"/>
      <c r="BJ821" s="432"/>
      <c r="BK821" s="432"/>
      <c r="BL821" s="432"/>
      <c r="BM821" s="432"/>
      <c r="BN821" s="871"/>
      <c r="BO821" s="432"/>
      <c r="BP821" s="432"/>
      <c r="BQ821" s="432"/>
      <c r="BR821" s="432"/>
      <c r="BS821" s="432"/>
      <c r="BT821" s="432"/>
      <c r="BU821" s="432"/>
      <c r="BV821" s="432"/>
      <c r="BW821" s="432"/>
      <c r="BX821" s="432"/>
      <c r="BY821" s="432"/>
      <c r="BZ821" s="432"/>
      <c r="CA821" s="432"/>
      <c r="CB821" s="432"/>
      <c r="CC821" s="432"/>
      <c r="CD821" s="432"/>
      <c r="CE821" s="432"/>
      <c r="CF821" s="660"/>
      <c r="CG821" s="660"/>
      <c r="CH821" s="660"/>
      <c r="CI821" s="660"/>
      <c r="CJ821" s="660"/>
      <c r="CK821" s="432"/>
      <c r="CL821" s="432"/>
      <c r="CM821" s="432"/>
      <c r="CN821" s="660"/>
      <c r="CO821" s="660"/>
      <c r="CP821" s="660"/>
      <c r="CQ821" s="660"/>
      <c r="CR821" s="660"/>
      <c r="CS821" s="660"/>
    </row>
    <row r="822" s="424" customFormat="1" ht="31" hidden="1" customHeight="1" spans="1:97">
      <c r="A822" s="633">
        <v>46031</v>
      </c>
      <c r="B822" s="497" t="s">
        <v>2863</v>
      </c>
      <c r="C822" s="635" t="s">
        <v>90</v>
      </c>
      <c r="D822" s="432">
        <v>4500191055</v>
      </c>
      <c r="E822" s="635" t="s">
        <v>2864</v>
      </c>
      <c r="F822" s="432" t="s">
        <v>2865</v>
      </c>
      <c r="G822" s="482" t="s">
        <v>93</v>
      </c>
      <c r="H822" s="635" t="s">
        <v>94</v>
      </c>
      <c r="I822" s="635">
        <v>2860</v>
      </c>
      <c r="J822" s="635">
        <v>0</v>
      </c>
      <c r="K822" s="635">
        <v>4</v>
      </c>
      <c r="L822" s="842">
        <f t="shared" si="272"/>
        <v>715</v>
      </c>
      <c r="M822" s="679">
        <v>46090</v>
      </c>
      <c r="N822" s="679">
        <v>46086</v>
      </c>
      <c r="O822" s="641"/>
      <c r="P822" s="482"/>
      <c r="Q822" s="647"/>
      <c r="R822" s="647" t="s">
        <v>403</v>
      </c>
      <c r="S822" s="683" t="s">
        <v>66</v>
      </c>
      <c r="T822" s="647" t="s">
        <v>2866</v>
      </c>
      <c r="U822" s="508"/>
      <c r="V822" s="508"/>
      <c r="W822" s="508" t="s">
        <v>2867</v>
      </c>
      <c r="X822" s="651" t="s">
        <v>2868</v>
      </c>
      <c r="Y822" s="687">
        <v>2.58</v>
      </c>
      <c r="Z822" s="688">
        <f t="shared" si="273"/>
        <v>7378.8</v>
      </c>
      <c r="AA822" s="482"/>
      <c r="AB822" s="635" t="s">
        <v>93</v>
      </c>
      <c r="AC822" s="635" t="s">
        <v>76</v>
      </c>
      <c r="AD822" s="482"/>
      <c r="AE822" s="482"/>
      <c r="AF822" s="458">
        <v>1</v>
      </c>
      <c r="AG822" s="482"/>
      <c r="AH822" s="793">
        <f t="shared" si="274"/>
        <v>-2860</v>
      </c>
      <c r="AI822" s="482"/>
      <c r="AJ822" s="482" t="s">
        <v>2191</v>
      </c>
      <c r="AK822" s="656"/>
      <c r="AL822" s="656">
        <f>I822</f>
        <v>2860</v>
      </c>
      <c r="AM822" s="658"/>
      <c r="AN822" s="658"/>
      <c r="AO822" s="658"/>
      <c r="AP822" s="794">
        <f>I822</f>
        <v>2860</v>
      </c>
      <c r="AQ822" s="656"/>
      <c r="AR822" s="794">
        <f t="shared" si="271"/>
        <v>2860</v>
      </c>
      <c r="AS822" s="656"/>
      <c r="AT822" s="656">
        <f t="shared" si="275"/>
        <v>2860</v>
      </c>
      <c r="AU822" s="662"/>
      <c r="AV822" s="432"/>
      <c r="AW822" s="432"/>
      <c r="AX822" s="432"/>
      <c r="AY822" s="432"/>
      <c r="AZ822" s="656"/>
      <c r="BA822" s="656"/>
      <c r="BB822" s="432"/>
      <c r="BC822" s="432"/>
      <c r="BD822" s="656">
        <f>I822/4</f>
        <v>715</v>
      </c>
      <c r="BE822" s="656"/>
      <c r="BF822" s="432"/>
      <c r="BG822" s="432"/>
      <c r="BH822" s="432"/>
      <c r="BI822" s="432"/>
      <c r="BJ822" s="432"/>
      <c r="BK822" s="432"/>
      <c r="BL822" s="432"/>
      <c r="BM822" s="432"/>
      <c r="BN822" s="871"/>
      <c r="BO822" s="432"/>
      <c r="BP822" s="432"/>
      <c r="BQ822" s="432"/>
      <c r="BR822" s="432"/>
      <c r="BS822" s="432"/>
      <c r="BT822" s="432"/>
      <c r="BU822" s="432"/>
      <c r="BV822" s="432"/>
      <c r="BW822" s="432"/>
      <c r="BX822" s="432"/>
      <c r="BY822" s="432"/>
      <c r="BZ822" s="432"/>
      <c r="CA822" s="432"/>
      <c r="CB822" s="432"/>
      <c r="CC822" s="432"/>
      <c r="CD822" s="432"/>
      <c r="CE822" s="432"/>
      <c r="CF822" s="660"/>
      <c r="CG822" s="660"/>
      <c r="CH822" s="660"/>
      <c r="CI822" s="660"/>
      <c r="CJ822" s="660"/>
      <c r="CK822" s="432"/>
      <c r="CL822" s="432"/>
      <c r="CM822" s="432"/>
      <c r="CN822" s="660"/>
      <c r="CO822" s="660"/>
      <c r="CP822" s="660"/>
      <c r="CQ822" s="660"/>
      <c r="CR822" s="660"/>
      <c r="CS822" s="660"/>
    </row>
    <row r="823" s="424" customFormat="1" ht="31" hidden="1" customHeight="1" spans="1:97">
      <c r="A823" s="633">
        <v>46031</v>
      </c>
      <c r="B823" s="497" t="s">
        <v>2863</v>
      </c>
      <c r="C823" s="635" t="s">
        <v>90</v>
      </c>
      <c r="D823" s="432">
        <v>4500191070</v>
      </c>
      <c r="E823" s="635">
        <v>4354321876</v>
      </c>
      <c r="F823" s="432" t="s">
        <v>2869</v>
      </c>
      <c r="G823" s="482" t="s">
        <v>93</v>
      </c>
      <c r="H823" s="635" t="s">
        <v>94</v>
      </c>
      <c r="I823" s="635">
        <v>2340</v>
      </c>
      <c r="J823" s="635">
        <v>0</v>
      </c>
      <c r="K823" s="635">
        <v>4</v>
      </c>
      <c r="L823" s="842">
        <f t="shared" si="272"/>
        <v>585</v>
      </c>
      <c r="M823" s="679">
        <v>46090</v>
      </c>
      <c r="N823" s="679">
        <v>46086</v>
      </c>
      <c r="O823" s="641"/>
      <c r="P823" s="482"/>
      <c r="Q823" s="647"/>
      <c r="R823" s="647" t="s">
        <v>403</v>
      </c>
      <c r="S823" s="683" t="s">
        <v>66</v>
      </c>
      <c r="T823" s="647" t="s">
        <v>2866</v>
      </c>
      <c r="U823" s="508"/>
      <c r="V823" s="508"/>
      <c r="W823" s="508" t="s">
        <v>2870</v>
      </c>
      <c r="X823" s="651" t="s">
        <v>2868</v>
      </c>
      <c r="Y823" s="687">
        <v>2.58</v>
      </c>
      <c r="Z823" s="688">
        <f t="shared" si="273"/>
        <v>6037.2</v>
      </c>
      <c r="AA823" s="482"/>
      <c r="AB823" s="635" t="s">
        <v>93</v>
      </c>
      <c r="AC823" s="635" t="s">
        <v>76</v>
      </c>
      <c r="AD823" s="482"/>
      <c r="AE823" s="482"/>
      <c r="AF823" s="458">
        <v>1</v>
      </c>
      <c r="AG823" s="482"/>
      <c r="AH823" s="793">
        <f t="shared" si="274"/>
        <v>-2340</v>
      </c>
      <c r="AI823" s="482"/>
      <c r="AJ823" s="482" t="s">
        <v>2191</v>
      </c>
      <c r="AK823" s="656"/>
      <c r="AL823" s="656">
        <f>I823</f>
        <v>2340</v>
      </c>
      <c r="AM823" s="658"/>
      <c r="AN823" s="658"/>
      <c r="AO823" s="658"/>
      <c r="AP823" s="794">
        <f>I823</f>
        <v>2340</v>
      </c>
      <c r="AQ823" s="656"/>
      <c r="AR823" s="794">
        <f t="shared" si="271"/>
        <v>2340</v>
      </c>
      <c r="AS823" s="656"/>
      <c r="AT823" s="656">
        <f t="shared" si="275"/>
        <v>2340</v>
      </c>
      <c r="AU823" s="662"/>
      <c r="AV823" s="432"/>
      <c r="AW823" s="432"/>
      <c r="AX823" s="432"/>
      <c r="AY823" s="432"/>
      <c r="AZ823" s="656"/>
      <c r="BA823" s="656"/>
      <c r="BB823" s="432"/>
      <c r="BC823" s="432"/>
      <c r="BD823" s="656">
        <f>I823/4</f>
        <v>585</v>
      </c>
      <c r="BE823" s="656"/>
      <c r="BF823" s="432"/>
      <c r="BG823" s="432"/>
      <c r="BH823" s="432"/>
      <c r="BI823" s="432"/>
      <c r="BJ823" s="432"/>
      <c r="BK823" s="432"/>
      <c r="BL823" s="432"/>
      <c r="BM823" s="432"/>
      <c r="BN823" s="871"/>
      <c r="BO823" s="432"/>
      <c r="BP823" s="432"/>
      <c r="BQ823" s="432"/>
      <c r="BR823" s="432"/>
      <c r="BS823" s="432"/>
      <c r="BT823" s="432"/>
      <c r="BU823" s="432"/>
      <c r="BV823" s="432"/>
      <c r="BW823" s="432"/>
      <c r="BX823" s="432"/>
      <c r="BY823" s="432"/>
      <c r="BZ823" s="432"/>
      <c r="CA823" s="432"/>
      <c r="CB823" s="432"/>
      <c r="CC823" s="432"/>
      <c r="CD823" s="432"/>
      <c r="CE823" s="432"/>
      <c r="CF823" s="660"/>
      <c r="CG823" s="660"/>
      <c r="CH823" s="660"/>
      <c r="CI823" s="660"/>
      <c r="CJ823" s="660"/>
      <c r="CK823" s="432"/>
      <c r="CL823" s="432"/>
      <c r="CM823" s="432"/>
      <c r="CN823" s="660"/>
      <c r="CO823" s="660"/>
      <c r="CP823" s="660"/>
      <c r="CQ823" s="660"/>
      <c r="CR823" s="660"/>
      <c r="CS823" s="660"/>
    </row>
    <row r="824" s="424" customFormat="1" ht="31" hidden="1" customHeight="1" spans="1:97">
      <c r="A824" s="633">
        <v>46387</v>
      </c>
      <c r="B824" s="497" t="s">
        <v>220</v>
      </c>
      <c r="C824" s="635" t="s">
        <v>90</v>
      </c>
      <c r="D824" s="432">
        <v>4500190514</v>
      </c>
      <c r="E824" s="635" t="s">
        <v>2871</v>
      </c>
      <c r="F824" s="432" t="s">
        <v>2872</v>
      </c>
      <c r="G824" s="482" t="s">
        <v>223</v>
      </c>
      <c r="H824" s="635" t="s">
        <v>224</v>
      </c>
      <c r="I824" s="851">
        <v>16000</v>
      </c>
      <c r="J824" s="635">
        <v>0</v>
      </c>
      <c r="K824" s="635">
        <v>4</v>
      </c>
      <c r="L824" s="842">
        <f t="shared" si="272"/>
        <v>4000</v>
      </c>
      <c r="M824" s="679">
        <v>46092</v>
      </c>
      <c r="N824" s="679">
        <v>46088</v>
      </c>
      <c r="O824" s="641"/>
      <c r="P824" s="482"/>
      <c r="Q824" s="647"/>
      <c r="R824" s="647">
        <v>46041</v>
      </c>
      <c r="S824" s="683" t="s">
        <v>96</v>
      </c>
      <c r="T824" s="683" t="s">
        <v>2848</v>
      </c>
      <c r="U824" s="683"/>
      <c r="V824" s="508"/>
      <c r="W824" s="508" t="s">
        <v>2518</v>
      </c>
      <c r="X824" s="651" t="s">
        <v>226</v>
      </c>
      <c r="Y824" s="687">
        <v>2.7832</v>
      </c>
      <c r="Z824" s="688">
        <f t="shared" si="273"/>
        <v>44531.2</v>
      </c>
      <c r="AA824" s="482"/>
      <c r="AB824" s="656" t="s">
        <v>223</v>
      </c>
      <c r="AC824" s="635" t="s">
        <v>76</v>
      </c>
      <c r="AD824" s="482"/>
      <c r="AE824" s="482"/>
      <c r="AF824" s="458">
        <v>1</v>
      </c>
      <c r="AG824" s="482"/>
      <c r="AH824" s="482">
        <f t="shared" si="274"/>
        <v>-16000</v>
      </c>
      <c r="AI824" s="482"/>
      <c r="AJ824" s="482" t="s">
        <v>2191</v>
      </c>
      <c r="AK824" s="656"/>
      <c r="AL824" s="656"/>
      <c r="AM824" s="656"/>
      <c r="AN824" s="656">
        <f>I824</f>
        <v>16000</v>
      </c>
      <c r="AO824" s="432"/>
      <c r="AP824" s="656"/>
      <c r="AQ824" s="656"/>
      <c r="AR824" s="656"/>
      <c r="AS824" s="656"/>
      <c r="AT824" s="656">
        <f t="shared" si="275"/>
        <v>16000</v>
      </c>
      <c r="AU824" s="662"/>
      <c r="AV824" s="432"/>
      <c r="AW824" s="432"/>
      <c r="AX824" s="432"/>
      <c r="AY824" s="432"/>
      <c r="AZ824" s="656"/>
      <c r="BA824" s="656"/>
      <c r="BB824" s="432">
        <f>I824</f>
        <v>16000</v>
      </c>
      <c r="BC824" s="432">
        <f>I824</f>
        <v>16000</v>
      </c>
      <c r="BD824" s="656">
        <f>I824/4</f>
        <v>4000</v>
      </c>
      <c r="BE824" s="656"/>
      <c r="BF824" s="432"/>
      <c r="BG824" s="656"/>
      <c r="BH824" s="656"/>
      <c r="BI824" s="432"/>
      <c r="BJ824" s="432"/>
      <c r="BK824" s="432"/>
      <c r="BL824" s="432"/>
      <c r="BM824" s="432"/>
      <c r="BN824" s="871"/>
      <c r="BO824" s="432"/>
      <c r="BP824" s="432"/>
      <c r="BQ824" s="432"/>
      <c r="BR824" s="432"/>
      <c r="BS824" s="432"/>
      <c r="BT824" s="432"/>
      <c r="BU824" s="432"/>
      <c r="BV824" s="432"/>
      <c r="BW824" s="432"/>
      <c r="BX824" s="432"/>
      <c r="BY824" s="432"/>
      <c r="BZ824" s="432"/>
      <c r="CA824" s="432"/>
      <c r="CB824" s="432"/>
      <c r="CC824" s="432"/>
      <c r="CD824" s="432"/>
      <c r="CE824" s="432"/>
      <c r="CF824" s="660"/>
      <c r="CG824" s="660"/>
      <c r="CH824" s="660"/>
      <c r="CI824" s="660"/>
      <c r="CJ824" s="660"/>
      <c r="CK824" s="432"/>
      <c r="CL824" s="432"/>
      <c r="CM824" s="432"/>
      <c r="CN824" s="660"/>
      <c r="CO824" s="660"/>
      <c r="CP824" s="660"/>
      <c r="CQ824" s="660"/>
      <c r="CR824" s="660"/>
      <c r="CS824" s="660"/>
    </row>
    <row r="825" s="424" customFormat="1" ht="31" hidden="1" customHeight="1" spans="1:97">
      <c r="A825" s="633">
        <v>45995</v>
      </c>
      <c r="B825" s="497" t="s">
        <v>2489</v>
      </c>
      <c r="C825" s="635" t="s">
        <v>90</v>
      </c>
      <c r="D825" s="432">
        <v>4500184338</v>
      </c>
      <c r="E825" s="635">
        <v>60260737</v>
      </c>
      <c r="F825" s="432" t="s">
        <v>2873</v>
      </c>
      <c r="G825" s="482" t="s">
        <v>2491</v>
      </c>
      <c r="H825" s="635" t="s">
        <v>2492</v>
      </c>
      <c r="I825" s="635">
        <v>2000</v>
      </c>
      <c r="J825" s="635">
        <v>0</v>
      </c>
      <c r="K825" s="635">
        <v>8</v>
      </c>
      <c r="L825" s="842">
        <f t="shared" si="272"/>
        <v>250</v>
      </c>
      <c r="M825" s="679">
        <v>46093</v>
      </c>
      <c r="N825" s="679">
        <v>46090</v>
      </c>
      <c r="O825" s="641"/>
      <c r="P825" s="482"/>
      <c r="Q825" s="647"/>
      <c r="R825" s="647">
        <v>45995</v>
      </c>
      <c r="S825" s="683" t="s">
        <v>66</v>
      </c>
      <c r="T825" s="647" t="s">
        <v>2493</v>
      </c>
      <c r="U825" s="683"/>
      <c r="V825" s="508"/>
      <c r="W825" s="571" t="s">
        <v>2874</v>
      </c>
      <c r="X825" s="651" t="s">
        <v>2441</v>
      </c>
      <c r="Y825" s="687">
        <v>4.097</v>
      </c>
      <c r="Z825" s="688">
        <f t="shared" si="273"/>
        <v>8194</v>
      </c>
      <c r="AA825" s="482"/>
      <c r="AB825" s="482" t="s">
        <v>2495</v>
      </c>
      <c r="AC825" s="635" t="s">
        <v>76</v>
      </c>
      <c r="AD825" s="482"/>
      <c r="AE825" s="482"/>
      <c r="AF825" s="458">
        <v>1</v>
      </c>
      <c r="AG825" s="482"/>
      <c r="AH825" s="793">
        <f t="shared" si="274"/>
        <v>-2000</v>
      </c>
      <c r="AI825" s="482"/>
      <c r="AJ825" s="482"/>
      <c r="AK825" s="656"/>
      <c r="AL825" s="656">
        <f>I825</f>
        <v>2000</v>
      </c>
      <c r="AM825" s="656"/>
      <c r="AN825" s="656"/>
      <c r="AO825" s="432"/>
      <c r="AP825" s="656">
        <f>I825</f>
        <v>2000</v>
      </c>
      <c r="AQ825" s="656"/>
      <c r="AR825" s="794">
        <f>I825</f>
        <v>2000</v>
      </c>
      <c r="AS825" s="656"/>
      <c r="AT825" s="656">
        <f t="shared" si="275"/>
        <v>2000</v>
      </c>
      <c r="AU825" s="662"/>
      <c r="AV825" s="432"/>
      <c r="AW825" s="432"/>
      <c r="AX825" s="432"/>
      <c r="AY825" s="432"/>
      <c r="AZ825" s="656"/>
      <c r="BA825" s="656"/>
      <c r="BB825" s="432"/>
      <c r="BC825" s="432"/>
      <c r="BD825" s="656"/>
      <c r="BE825" s="656"/>
      <c r="BF825" s="432"/>
      <c r="BG825" s="656"/>
      <c r="BH825" s="656"/>
      <c r="BI825" s="432"/>
      <c r="BJ825" s="432">
        <f>I825</f>
        <v>2000</v>
      </c>
      <c r="BK825" s="432"/>
      <c r="BL825" s="432"/>
      <c r="BM825" s="432"/>
      <c r="BN825" s="871"/>
      <c r="BO825" s="432"/>
      <c r="BP825" s="432"/>
      <c r="BQ825" s="432"/>
      <c r="BR825" s="432"/>
      <c r="BS825" s="432"/>
      <c r="BT825" s="432"/>
      <c r="BU825" s="432"/>
      <c r="BV825" s="432"/>
      <c r="BW825" s="432"/>
      <c r="BX825" s="432"/>
      <c r="BY825" s="432"/>
      <c r="BZ825" s="432"/>
      <c r="CA825" s="432"/>
      <c r="CB825" s="432"/>
      <c r="CC825" s="432"/>
      <c r="CD825" s="432"/>
      <c r="CE825" s="432"/>
      <c r="CF825" s="660"/>
      <c r="CG825" s="660"/>
      <c r="CH825" s="660"/>
      <c r="CI825" s="660"/>
      <c r="CJ825" s="660"/>
      <c r="CK825" s="432"/>
      <c r="CL825" s="432"/>
      <c r="CM825" s="432"/>
      <c r="CN825" s="660"/>
      <c r="CO825" s="660"/>
      <c r="CP825" s="660"/>
      <c r="CQ825" s="660"/>
      <c r="CR825" s="660"/>
      <c r="CS825" s="660"/>
    </row>
    <row r="826" s="424" customFormat="1" ht="31" hidden="1" customHeight="1" spans="1:97">
      <c r="A826" s="633">
        <v>46030</v>
      </c>
      <c r="B826" s="637" t="s">
        <v>2754</v>
      </c>
      <c r="C826" s="634" t="s">
        <v>356</v>
      </c>
      <c r="D826" s="432">
        <v>4500190902</v>
      </c>
      <c r="E826" s="635">
        <v>5510064828</v>
      </c>
      <c r="F826" s="432" t="s">
        <v>2875</v>
      </c>
      <c r="G826" s="482" t="s">
        <v>743</v>
      </c>
      <c r="H826" s="635" t="s">
        <v>744</v>
      </c>
      <c r="I826" s="482">
        <v>1800</v>
      </c>
      <c r="J826" s="482">
        <v>0</v>
      </c>
      <c r="K826" s="482">
        <v>75</v>
      </c>
      <c r="L826" s="639">
        <f t="shared" si="272"/>
        <v>24</v>
      </c>
      <c r="M826" s="679">
        <v>46093</v>
      </c>
      <c r="N826" s="679">
        <v>46090</v>
      </c>
      <c r="O826" s="641"/>
      <c r="P826" s="482"/>
      <c r="Q826" s="647"/>
      <c r="R826" s="647">
        <v>46030</v>
      </c>
      <c r="S826" s="862" t="s">
        <v>66</v>
      </c>
      <c r="T826" s="862" t="s">
        <v>66</v>
      </c>
      <c r="U826" s="683"/>
      <c r="V826" s="508"/>
      <c r="W826" s="508" t="s">
        <v>2876</v>
      </c>
      <c r="X826" s="650" t="s">
        <v>1424</v>
      </c>
      <c r="Y826" s="508">
        <v>623.8856</v>
      </c>
      <c r="Z826" s="651">
        <f>Y826*L826</f>
        <v>14973.2544</v>
      </c>
      <c r="AA826" s="482"/>
      <c r="AB826" s="654" t="s">
        <v>743</v>
      </c>
      <c r="AC826" s="635" t="s">
        <v>76</v>
      </c>
      <c r="AD826" s="482"/>
      <c r="AE826" s="482"/>
      <c r="AF826" s="482" t="s">
        <v>2757</v>
      </c>
      <c r="AG826" s="482"/>
      <c r="AH826" s="793">
        <f t="shared" si="274"/>
        <v>-1800</v>
      </c>
      <c r="AI826" s="482"/>
      <c r="AJ826" s="482"/>
      <c r="AK826" s="656"/>
      <c r="AL826" s="656"/>
      <c r="AM826" s="656"/>
      <c r="AN826" s="656"/>
      <c r="AO826" s="432">
        <f>I826</f>
        <v>1800</v>
      </c>
      <c r="AP826" s="656"/>
      <c r="AQ826" s="656"/>
      <c r="AR826" s="656"/>
      <c r="AS826" s="656"/>
      <c r="AT826" s="656"/>
      <c r="AU826" s="662"/>
      <c r="AV826" s="432"/>
      <c r="AW826" s="432">
        <f>I826</f>
        <v>1800</v>
      </c>
      <c r="AX826" s="432">
        <f>I826</f>
        <v>1800</v>
      </c>
      <c r="AY826" s="432">
        <f>I826</f>
        <v>1800</v>
      </c>
      <c r="AZ826" s="656"/>
      <c r="BA826" s="656"/>
      <c r="BB826" s="432"/>
      <c r="BC826" s="432"/>
      <c r="BD826" s="656"/>
      <c r="BE826" s="656"/>
      <c r="BF826" s="432"/>
      <c r="BG826" s="656"/>
      <c r="BH826" s="656"/>
      <c r="BI826" s="432"/>
      <c r="BJ826" s="432"/>
      <c r="BK826" s="432"/>
      <c r="BL826" s="432"/>
      <c r="BM826" s="432"/>
      <c r="BN826" s="871"/>
      <c r="BO826" s="432"/>
      <c r="BP826" s="432"/>
      <c r="BQ826" s="432"/>
      <c r="BR826" s="432"/>
      <c r="BS826" s="432"/>
      <c r="BT826" s="432"/>
      <c r="BU826" s="432"/>
      <c r="BV826" s="432"/>
      <c r="BW826" s="432"/>
      <c r="BX826" s="432"/>
      <c r="BY826" s="432"/>
      <c r="BZ826" s="432"/>
      <c r="CA826" s="432"/>
      <c r="CB826" s="432"/>
      <c r="CC826" s="432"/>
      <c r="CD826" s="432"/>
      <c r="CE826" s="432"/>
      <c r="CF826" s="660"/>
      <c r="CG826" s="660"/>
      <c r="CH826" s="660"/>
      <c r="CI826" s="660"/>
      <c r="CJ826" s="660"/>
      <c r="CK826" s="432"/>
      <c r="CL826" s="432"/>
      <c r="CM826" s="432"/>
      <c r="CN826" s="660"/>
      <c r="CO826" s="660"/>
      <c r="CP826" s="660"/>
      <c r="CQ826" s="660"/>
      <c r="CR826" s="660"/>
      <c r="CS826" s="660"/>
    </row>
    <row r="827" s="424" customFormat="1" ht="31" hidden="1" customHeight="1" spans="1:97">
      <c r="A827" s="633">
        <v>46034</v>
      </c>
      <c r="B827" s="497" t="s">
        <v>2877</v>
      </c>
      <c r="C827" s="635" t="s">
        <v>249</v>
      </c>
      <c r="D827" s="432">
        <v>4500190991</v>
      </c>
      <c r="E827" s="635" t="s">
        <v>2878</v>
      </c>
      <c r="F827" s="432" t="s">
        <v>2879</v>
      </c>
      <c r="G827" s="482" t="s">
        <v>102</v>
      </c>
      <c r="H827" s="635" t="s">
        <v>65</v>
      </c>
      <c r="I827" s="635">
        <v>2000</v>
      </c>
      <c r="J827" s="635">
        <v>0</v>
      </c>
      <c r="K827" s="635">
        <v>16</v>
      </c>
      <c r="L827" s="842">
        <f t="shared" si="272"/>
        <v>125</v>
      </c>
      <c r="M827" s="679">
        <v>46093</v>
      </c>
      <c r="N827" s="679">
        <v>46090</v>
      </c>
      <c r="O827" s="641"/>
      <c r="P827" s="482"/>
      <c r="Q827" s="647"/>
      <c r="R827" s="647">
        <v>46037</v>
      </c>
      <c r="S827" s="683" t="s">
        <v>66</v>
      </c>
      <c r="T827" s="647" t="s">
        <v>2880</v>
      </c>
      <c r="U827" s="508"/>
      <c r="V827" s="508"/>
      <c r="W827" s="508" t="s">
        <v>2881</v>
      </c>
      <c r="X827" s="651" t="s">
        <v>269</v>
      </c>
      <c r="Y827" s="687">
        <v>4.2542</v>
      </c>
      <c r="Z827" s="688">
        <f>Y827*I827</f>
        <v>8508.4</v>
      </c>
      <c r="AA827" s="482"/>
      <c r="AB827" s="482" t="s">
        <v>102</v>
      </c>
      <c r="AC827" s="635" t="s">
        <v>76</v>
      </c>
      <c r="AD827" s="482"/>
      <c r="AE827" s="482"/>
      <c r="AF827" s="458">
        <v>1</v>
      </c>
      <c r="AG827" s="482"/>
      <c r="AH827" s="793">
        <f t="shared" si="274"/>
        <v>-2000</v>
      </c>
      <c r="AI827" s="482"/>
      <c r="AJ827" s="482" t="s">
        <v>2191</v>
      </c>
      <c r="AK827" s="656"/>
      <c r="AL827" s="656">
        <f>I827</f>
        <v>2000</v>
      </c>
      <c r="AM827" s="658"/>
      <c r="AN827" s="658"/>
      <c r="AO827" s="658"/>
      <c r="AP827" s="656">
        <f>I827</f>
        <v>2000</v>
      </c>
      <c r="AQ827" s="656"/>
      <c r="AR827" s="794">
        <f>I827</f>
        <v>2000</v>
      </c>
      <c r="AS827" s="656"/>
      <c r="AT827" s="656">
        <f>I827</f>
        <v>2000</v>
      </c>
      <c r="AU827" s="662"/>
      <c r="AV827" s="432"/>
      <c r="AW827" s="432"/>
      <c r="AX827" s="432"/>
      <c r="AY827" s="432"/>
      <c r="AZ827" s="656"/>
      <c r="BA827" s="656"/>
      <c r="BB827" s="432"/>
      <c r="BC827" s="432"/>
      <c r="BD827" s="656">
        <f>I827/4</f>
        <v>500</v>
      </c>
      <c r="BE827" s="656"/>
      <c r="BF827" s="432"/>
      <c r="BG827" s="432"/>
      <c r="BH827" s="432"/>
      <c r="BI827" s="432"/>
      <c r="BJ827" s="432"/>
      <c r="BK827" s="432"/>
      <c r="BL827" s="432"/>
      <c r="BM827" s="432"/>
      <c r="BN827" s="871"/>
      <c r="BO827" s="432"/>
      <c r="BP827" s="432"/>
      <c r="BQ827" s="432"/>
      <c r="BR827" s="432"/>
      <c r="BS827" s="432"/>
      <c r="BT827" s="432"/>
      <c r="BU827" s="432"/>
      <c r="BV827" s="432"/>
      <c r="BW827" s="432"/>
      <c r="BX827" s="432"/>
      <c r="BY827" s="432"/>
      <c r="BZ827" s="432"/>
      <c r="CA827" s="432"/>
      <c r="CB827" s="432"/>
      <c r="CC827" s="432"/>
      <c r="CD827" s="432"/>
      <c r="CE827" s="432"/>
      <c r="CF827" s="660"/>
      <c r="CG827" s="660"/>
      <c r="CH827" s="660"/>
      <c r="CI827" s="660"/>
      <c r="CJ827" s="660"/>
      <c r="CK827" s="432"/>
      <c r="CL827" s="432"/>
      <c r="CM827" s="432"/>
      <c r="CN827" s="660"/>
      <c r="CO827" s="660"/>
      <c r="CP827" s="660"/>
      <c r="CQ827" s="660"/>
      <c r="CR827" s="660"/>
      <c r="CS827" s="660"/>
    </row>
    <row r="828" s="424" customFormat="1" ht="31" hidden="1" customHeight="1" spans="1:97">
      <c r="A828" s="633">
        <v>45978</v>
      </c>
      <c r="B828" s="497" t="s">
        <v>1372</v>
      </c>
      <c r="C828" s="635" t="s">
        <v>90</v>
      </c>
      <c r="D828" s="432">
        <v>4500185942</v>
      </c>
      <c r="E828" s="894" t="s">
        <v>2882</v>
      </c>
      <c r="F828" s="432" t="s">
        <v>2883</v>
      </c>
      <c r="G828" s="482" t="s">
        <v>2431</v>
      </c>
      <c r="H828" s="635" t="s">
        <v>744</v>
      </c>
      <c r="I828" s="635">
        <v>5400</v>
      </c>
      <c r="J828" s="635">
        <v>0</v>
      </c>
      <c r="K828" s="635">
        <v>75</v>
      </c>
      <c r="L828" s="842">
        <v>72</v>
      </c>
      <c r="M828" s="680">
        <v>46094</v>
      </c>
      <c r="N828" s="680">
        <v>46090</v>
      </c>
      <c r="O828" s="641"/>
      <c r="P828" s="482"/>
      <c r="Q828" s="647"/>
      <c r="R828" s="647" t="s">
        <v>2432</v>
      </c>
      <c r="S828" s="683" t="s">
        <v>66</v>
      </c>
      <c r="T828" s="683" t="s">
        <v>66</v>
      </c>
      <c r="U828" s="683"/>
      <c r="V828" s="508"/>
      <c r="W828" s="508" t="s">
        <v>2565</v>
      </c>
      <c r="X828" s="651" t="s">
        <v>821</v>
      </c>
      <c r="Y828" s="687">
        <v>359.3436</v>
      </c>
      <c r="Z828" s="688">
        <v>25872.7392</v>
      </c>
      <c r="AA828" s="482"/>
      <c r="AB828" s="568" t="s">
        <v>1378</v>
      </c>
      <c r="AC828" s="635" t="s">
        <v>76</v>
      </c>
      <c r="AD828" s="482"/>
      <c r="AE828" s="482"/>
      <c r="AF828" s="482">
        <v>1</v>
      </c>
      <c r="AG828" s="482"/>
      <c r="AH828" s="793">
        <f t="shared" si="274"/>
        <v>-5400</v>
      </c>
      <c r="AI828" s="482"/>
      <c r="AJ828" s="482"/>
      <c r="AK828" s="656"/>
      <c r="AL828" s="656"/>
      <c r="AM828" s="656">
        <f>I828</f>
        <v>5400</v>
      </c>
      <c r="AN828" s="656"/>
      <c r="AO828" s="432"/>
      <c r="AP828" s="656"/>
      <c r="AQ828" s="656"/>
      <c r="AR828" s="656"/>
      <c r="AS828" s="656"/>
      <c r="AT828" s="656"/>
      <c r="AU828" s="662"/>
      <c r="AV828" s="432"/>
      <c r="AW828" s="432">
        <f>I828</f>
        <v>5400</v>
      </c>
      <c r="AX828" s="432">
        <f>I828</f>
        <v>5400</v>
      </c>
      <c r="AY828" s="432">
        <f>I828</f>
        <v>5400</v>
      </c>
      <c r="AZ828" s="656"/>
      <c r="BA828" s="656"/>
      <c r="BB828" s="432"/>
      <c r="BC828" s="432"/>
      <c r="BD828" s="656"/>
      <c r="BE828" s="656"/>
      <c r="BF828" s="432"/>
      <c r="BG828" s="568">
        <f>I828</f>
        <v>5400</v>
      </c>
      <c r="BH828" s="568">
        <f>I828/5</f>
        <v>1080</v>
      </c>
      <c r="BI828" s="432"/>
      <c r="BJ828" s="432"/>
      <c r="BK828" s="432"/>
      <c r="BL828" s="432"/>
      <c r="BM828" s="432"/>
      <c r="BN828" s="871"/>
      <c r="BO828" s="432"/>
      <c r="BP828" s="432"/>
      <c r="BQ828" s="432"/>
      <c r="BR828" s="432"/>
      <c r="BS828" s="432"/>
      <c r="BT828" s="432"/>
      <c r="BU828" s="432"/>
      <c r="BV828" s="432"/>
      <c r="BW828" s="432"/>
      <c r="BX828" s="432"/>
      <c r="BY828" s="432"/>
      <c r="BZ828" s="432"/>
      <c r="CA828" s="432"/>
      <c r="CB828" s="432"/>
      <c r="CC828" s="432"/>
      <c r="CD828" s="432"/>
      <c r="CE828" s="432"/>
      <c r="CF828" s="660"/>
      <c r="CG828" s="660"/>
      <c r="CH828" s="660"/>
      <c r="CI828" s="660"/>
      <c r="CJ828" s="660"/>
      <c r="CK828" s="432"/>
      <c r="CL828" s="432"/>
      <c r="CM828" s="432"/>
      <c r="CN828" s="660"/>
      <c r="CO828" s="660"/>
      <c r="CP828" s="660"/>
      <c r="CQ828" s="660"/>
      <c r="CR828" s="660"/>
      <c r="CS828" s="660"/>
    </row>
    <row r="829" s="424" customFormat="1" ht="31" hidden="1" customHeight="1" spans="1:97">
      <c r="A829" s="633">
        <v>45978</v>
      </c>
      <c r="B829" s="497" t="s">
        <v>1372</v>
      </c>
      <c r="C829" s="635" t="s">
        <v>90</v>
      </c>
      <c r="D829" s="432">
        <v>4500185943</v>
      </c>
      <c r="E829" s="894" t="s">
        <v>2884</v>
      </c>
      <c r="F829" s="432" t="s">
        <v>2885</v>
      </c>
      <c r="G829" s="482" t="s">
        <v>2431</v>
      </c>
      <c r="H829" s="635" t="s">
        <v>744</v>
      </c>
      <c r="I829" s="635">
        <v>5400</v>
      </c>
      <c r="J829" s="635">
        <v>0</v>
      </c>
      <c r="K829" s="635">
        <v>75</v>
      </c>
      <c r="L829" s="842">
        <v>72</v>
      </c>
      <c r="M829" s="680">
        <v>46094</v>
      </c>
      <c r="N829" s="680">
        <v>46090</v>
      </c>
      <c r="O829" s="641"/>
      <c r="P829" s="482"/>
      <c r="Q829" s="647"/>
      <c r="R829" s="647" t="s">
        <v>2432</v>
      </c>
      <c r="S829" s="683" t="s">
        <v>66</v>
      </c>
      <c r="T829" s="683" t="s">
        <v>66</v>
      </c>
      <c r="U829" s="683"/>
      <c r="V829" s="508"/>
      <c r="W829" s="508" t="s">
        <v>2565</v>
      </c>
      <c r="X829" s="651" t="s">
        <v>821</v>
      </c>
      <c r="Y829" s="687">
        <v>359.3436</v>
      </c>
      <c r="Z829" s="688">
        <v>25872.7392</v>
      </c>
      <c r="AA829" s="482"/>
      <c r="AB829" s="568" t="s">
        <v>1378</v>
      </c>
      <c r="AC829" s="635" t="s">
        <v>76</v>
      </c>
      <c r="AD829" s="482"/>
      <c r="AE829" s="482"/>
      <c r="AF829" s="482">
        <v>1</v>
      </c>
      <c r="AG829" s="482"/>
      <c r="AH829" s="793">
        <f t="shared" si="274"/>
        <v>-5400</v>
      </c>
      <c r="AI829" s="482"/>
      <c r="AJ829" s="482"/>
      <c r="AK829" s="656"/>
      <c r="AL829" s="656"/>
      <c r="AM829" s="656">
        <f>I829</f>
        <v>5400</v>
      </c>
      <c r="AN829" s="656"/>
      <c r="AO829" s="432"/>
      <c r="AP829" s="656"/>
      <c r="AQ829" s="656"/>
      <c r="AR829" s="656"/>
      <c r="AS829" s="656"/>
      <c r="AT829" s="656"/>
      <c r="AU829" s="662"/>
      <c r="AV829" s="432"/>
      <c r="AW829" s="432">
        <f>I829</f>
        <v>5400</v>
      </c>
      <c r="AX829" s="432">
        <f>I829</f>
        <v>5400</v>
      </c>
      <c r="AY829" s="432">
        <f>I829</f>
        <v>5400</v>
      </c>
      <c r="AZ829" s="656"/>
      <c r="BA829" s="656"/>
      <c r="BB829" s="432"/>
      <c r="BC829" s="432"/>
      <c r="BD829" s="656"/>
      <c r="BE829" s="656"/>
      <c r="BF829" s="432"/>
      <c r="BG829" s="568">
        <f>I829</f>
        <v>5400</v>
      </c>
      <c r="BH829" s="568">
        <f>I829/5</f>
        <v>1080</v>
      </c>
      <c r="BI829" s="432"/>
      <c r="BJ829" s="432"/>
      <c r="BK829" s="432"/>
      <c r="BL829" s="432"/>
      <c r="BM829" s="432"/>
      <c r="BN829" s="871"/>
      <c r="BO829" s="432"/>
      <c r="BP829" s="432"/>
      <c r="BQ829" s="432"/>
      <c r="BR829" s="432"/>
      <c r="BS829" s="432"/>
      <c r="BT829" s="432"/>
      <c r="BU829" s="432"/>
      <c r="BV829" s="432"/>
      <c r="BW829" s="432"/>
      <c r="BX829" s="432"/>
      <c r="BY829" s="432"/>
      <c r="BZ829" s="432"/>
      <c r="CA829" s="432"/>
      <c r="CB829" s="432"/>
      <c r="CC829" s="432"/>
      <c r="CD829" s="432"/>
      <c r="CE829" s="432"/>
      <c r="CF829" s="660"/>
      <c r="CG829" s="660"/>
      <c r="CH829" s="660"/>
      <c r="CI829" s="660"/>
      <c r="CJ829" s="660"/>
      <c r="CK829" s="432"/>
      <c r="CL829" s="432"/>
      <c r="CM829" s="432"/>
      <c r="CN829" s="660"/>
      <c r="CO829" s="660"/>
      <c r="CP829" s="660"/>
      <c r="CQ829" s="660"/>
      <c r="CR829" s="660"/>
      <c r="CS829" s="660"/>
    </row>
    <row r="830" s="424" customFormat="1" ht="31" hidden="1" customHeight="1" spans="1:97">
      <c r="A830" s="633">
        <v>46031</v>
      </c>
      <c r="B830" s="497" t="s">
        <v>1545</v>
      </c>
      <c r="C830" s="635" t="s">
        <v>90</v>
      </c>
      <c r="D830" s="432">
        <v>4500191037</v>
      </c>
      <c r="E830" s="635">
        <v>2105687</v>
      </c>
      <c r="F830" s="432" t="s">
        <v>2886</v>
      </c>
      <c r="G830" s="482" t="s">
        <v>64</v>
      </c>
      <c r="H830" s="635" t="s">
        <v>65</v>
      </c>
      <c r="I830" s="851">
        <v>2820</v>
      </c>
      <c r="J830" s="635">
        <v>0</v>
      </c>
      <c r="K830" s="635">
        <v>12</v>
      </c>
      <c r="L830" s="842">
        <f t="shared" ref="L830:L837" si="276">I830/K830</f>
        <v>235</v>
      </c>
      <c r="M830" s="679">
        <v>46094</v>
      </c>
      <c r="N830" s="679">
        <v>46090</v>
      </c>
      <c r="O830" s="641"/>
      <c r="P830" s="482"/>
      <c r="Q830" s="647"/>
      <c r="R830" s="647">
        <v>46031</v>
      </c>
      <c r="S830" s="683" t="s">
        <v>66</v>
      </c>
      <c r="T830" s="683" t="s">
        <v>2887</v>
      </c>
      <c r="U830" s="683"/>
      <c r="V830" s="508"/>
      <c r="W830" s="508" t="s">
        <v>2888</v>
      </c>
      <c r="X830" s="651" t="s">
        <v>794</v>
      </c>
      <c r="Y830" s="508">
        <v>2.5148</v>
      </c>
      <c r="Z830" s="651">
        <f t="shared" ref="Z830:Z837" si="277">Y830*I830</f>
        <v>7091.736</v>
      </c>
      <c r="AA830" s="482"/>
      <c r="AB830" s="656" t="s">
        <v>64</v>
      </c>
      <c r="AC830" s="509" t="s">
        <v>76</v>
      </c>
      <c r="AD830" s="482"/>
      <c r="AE830" s="482"/>
      <c r="AF830" s="482"/>
      <c r="AG830" s="482"/>
      <c r="AH830" s="793">
        <f t="shared" si="274"/>
        <v>-2820</v>
      </c>
      <c r="AI830" s="482"/>
      <c r="AJ830" s="482" t="s">
        <v>2191</v>
      </c>
      <c r="AK830" s="656"/>
      <c r="AL830" s="656">
        <f t="shared" ref="AL830:AL837" si="278">I830</f>
        <v>2820</v>
      </c>
      <c r="AM830" s="656"/>
      <c r="AN830" s="656"/>
      <c r="AO830" s="432"/>
      <c r="AP830" s="656">
        <f>I830</f>
        <v>2820</v>
      </c>
      <c r="AQ830" s="656"/>
      <c r="AR830" s="656">
        <f t="shared" ref="AR830:AR837" si="279">I830</f>
        <v>2820</v>
      </c>
      <c r="AS830" s="656"/>
      <c r="AT830" s="656">
        <f t="shared" ref="AT830:AT837" si="280">I830</f>
        <v>2820</v>
      </c>
      <c r="AU830" s="662"/>
      <c r="AV830" s="432"/>
      <c r="AW830" s="432"/>
      <c r="AX830" s="432"/>
      <c r="AY830" s="432"/>
      <c r="AZ830" s="656"/>
      <c r="BA830" s="656"/>
      <c r="BB830" s="432"/>
      <c r="BC830" s="432"/>
      <c r="BD830" s="656"/>
      <c r="BE830" s="656"/>
      <c r="BF830" s="432"/>
      <c r="BG830" s="656"/>
      <c r="BH830" s="656"/>
      <c r="BI830" s="432"/>
      <c r="BJ830" s="432"/>
      <c r="BK830" s="432"/>
      <c r="BL830" s="432"/>
      <c r="BM830" s="432"/>
      <c r="BN830" s="871"/>
      <c r="BO830" s="432"/>
      <c r="BP830" s="432"/>
      <c r="BQ830" s="432"/>
      <c r="BR830" s="432"/>
      <c r="BS830" s="432"/>
      <c r="BT830" s="432"/>
      <c r="BU830" s="432"/>
      <c r="BV830" s="432"/>
      <c r="BW830" s="432"/>
      <c r="BX830" s="432"/>
      <c r="BY830" s="432"/>
      <c r="BZ830" s="432"/>
      <c r="CA830" s="432"/>
      <c r="CB830" s="432"/>
      <c r="CC830" s="432"/>
      <c r="CD830" s="432"/>
      <c r="CE830" s="432"/>
      <c r="CF830" s="660"/>
      <c r="CG830" s="660"/>
      <c r="CH830" s="660"/>
      <c r="CI830" s="660"/>
      <c r="CJ830" s="660"/>
      <c r="CK830" s="432"/>
      <c r="CL830" s="432"/>
      <c r="CM830" s="432"/>
      <c r="CN830" s="660"/>
      <c r="CO830" s="660"/>
      <c r="CP830" s="660"/>
      <c r="CQ830" s="660"/>
      <c r="CR830" s="660"/>
      <c r="CS830" s="660"/>
    </row>
    <row r="831" s="424" customFormat="1" ht="31" hidden="1" customHeight="1" spans="1:97">
      <c r="A831" s="633">
        <v>46031</v>
      </c>
      <c r="B831" s="497" t="s">
        <v>1545</v>
      </c>
      <c r="C831" s="635" t="s">
        <v>90</v>
      </c>
      <c r="D831" s="432">
        <v>4500191037</v>
      </c>
      <c r="E831" s="635">
        <v>2105689</v>
      </c>
      <c r="F831" s="432" t="s">
        <v>2889</v>
      </c>
      <c r="G831" s="482" t="s">
        <v>64</v>
      </c>
      <c r="H831" s="635" t="s">
        <v>65</v>
      </c>
      <c r="I831" s="635">
        <v>936</v>
      </c>
      <c r="J831" s="635">
        <v>0</v>
      </c>
      <c r="K831" s="635">
        <v>12</v>
      </c>
      <c r="L831" s="842">
        <f t="shared" si="276"/>
        <v>78</v>
      </c>
      <c r="M831" s="679">
        <v>46094</v>
      </c>
      <c r="N831" s="679">
        <v>46090</v>
      </c>
      <c r="O831" s="641"/>
      <c r="P831" s="482"/>
      <c r="Q831" s="647"/>
      <c r="R831" s="647">
        <v>46031</v>
      </c>
      <c r="S831" s="683" t="s">
        <v>66</v>
      </c>
      <c r="T831" s="683" t="s">
        <v>2887</v>
      </c>
      <c r="U831" s="683"/>
      <c r="V831" s="508"/>
      <c r="W831" s="508" t="s">
        <v>2888</v>
      </c>
      <c r="X831" s="651" t="s">
        <v>794</v>
      </c>
      <c r="Y831" s="508">
        <v>2.5148</v>
      </c>
      <c r="Z831" s="651">
        <f t="shared" si="277"/>
        <v>2353.8528</v>
      </c>
      <c r="AA831" s="482"/>
      <c r="AB831" s="656" t="s">
        <v>64</v>
      </c>
      <c r="AC831" s="509" t="s">
        <v>76</v>
      </c>
      <c r="AD831" s="482"/>
      <c r="AE831" s="482"/>
      <c r="AF831" s="482"/>
      <c r="AG831" s="482"/>
      <c r="AH831" s="793">
        <f t="shared" si="274"/>
        <v>-936</v>
      </c>
      <c r="AI831" s="482"/>
      <c r="AJ831" s="482" t="s">
        <v>2191</v>
      </c>
      <c r="AK831" s="656"/>
      <c r="AL831" s="656">
        <f t="shared" si="278"/>
        <v>936</v>
      </c>
      <c r="AM831" s="656"/>
      <c r="AN831" s="656"/>
      <c r="AO831" s="432"/>
      <c r="AP831" s="656">
        <f>I831</f>
        <v>936</v>
      </c>
      <c r="AQ831" s="656"/>
      <c r="AR831" s="656">
        <f t="shared" si="279"/>
        <v>936</v>
      </c>
      <c r="AS831" s="656"/>
      <c r="AT831" s="656">
        <f t="shared" si="280"/>
        <v>936</v>
      </c>
      <c r="AU831" s="662"/>
      <c r="AV831" s="432"/>
      <c r="AW831" s="432"/>
      <c r="AX831" s="432"/>
      <c r="AY831" s="432"/>
      <c r="AZ831" s="656"/>
      <c r="BA831" s="656"/>
      <c r="BB831" s="432"/>
      <c r="BC831" s="432"/>
      <c r="BD831" s="656"/>
      <c r="BE831" s="656"/>
      <c r="BF831" s="432"/>
      <c r="BG831" s="656"/>
      <c r="BH831" s="656"/>
      <c r="BI831" s="432"/>
      <c r="BJ831" s="432"/>
      <c r="BK831" s="432"/>
      <c r="BL831" s="432"/>
      <c r="BM831" s="432"/>
      <c r="BN831" s="871"/>
      <c r="BO831" s="432"/>
      <c r="BP831" s="432"/>
      <c r="BQ831" s="432"/>
      <c r="BR831" s="432"/>
      <c r="BS831" s="432"/>
      <c r="BT831" s="432"/>
      <c r="BU831" s="432"/>
      <c r="BV831" s="432"/>
      <c r="BW831" s="432"/>
      <c r="BX831" s="432"/>
      <c r="BY831" s="432"/>
      <c r="BZ831" s="432"/>
      <c r="CA831" s="432"/>
      <c r="CB831" s="432"/>
      <c r="CC831" s="432"/>
      <c r="CD831" s="432"/>
      <c r="CE831" s="432"/>
      <c r="CF831" s="660"/>
      <c r="CG831" s="660"/>
      <c r="CH831" s="660"/>
      <c r="CI831" s="660"/>
      <c r="CJ831" s="660"/>
      <c r="CK831" s="432"/>
      <c r="CL831" s="432"/>
      <c r="CM831" s="432"/>
      <c r="CN831" s="660"/>
      <c r="CO831" s="660"/>
      <c r="CP831" s="660"/>
      <c r="CQ831" s="660"/>
      <c r="CR831" s="660"/>
      <c r="CS831" s="660"/>
    </row>
    <row r="832" s="424" customFormat="1" ht="31" customHeight="1" spans="1:97">
      <c r="A832" s="633">
        <v>46027</v>
      </c>
      <c r="B832" s="497" t="s">
        <v>122</v>
      </c>
      <c r="C832" s="635" t="s">
        <v>116</v>
      </c>
      <c r="D832" s="432">
        <v>4500190626</v>
      </c>
      <c r="E832" s="635">
        <v>21387824</v>
      </c>
      <c r="F832" s="432" t="s">
        <v>2890</v>
      </c>
      <c r="G832" s="482" t="s">
        <v>64</v>
      </c>
      <c r="H832" s="635" t="s">
        <v>65</v>
      </c>
      <c r="I832" s="851">
        <v>1500</v>
      </c>
      <c r="J832" s="635">
        <v>0</v>
      </c>
      <c r="K832" s="635">
        <v>12</v>
      </c>
      <c r="L832" s="842">
        <f t="shared" si="276"/>
        <v>125</v>
      </c>
      <c r="M832" s="680">
        <v>46097</v>
      </c>
      <c r="N832" s="680">
        <v>46093</v>
      </c>
      <c r="O832" s="641"/>
      <c r="P832" s="482"/>
      <c r="Q832" s="647"/>
      <c r="R832" s="647" t="s">
        <v>403</v>
      </c>
      <c r="S832" s="683" t="s">
        <v>96</v>
      </c>
      <c r="T832" s="683" t="s">
        <v>2891</v>
      </c>
      <c r="U832" s="683"/>
      <c r="V832" s="508"/>
      <c r="W832" s="571" t="s">
        <v>2892</v>
      </c>
      <c r="X832" s="651" t="s">
        <v>2893</v>
      </c>
      <c r="Y832" s="508">
        <v>4.2552</v>
      </c>
      <c r="Z832" s="651">
        <f t="shared" si="277"/>
        <v>6382.8</v>
      </c>
      <c r="AA832" s="482"/>
      <c r="AB832" s="656" t="s">
        <v>64</v>
      </c>
      <c r="AC832" s="509" t="s">
        <v>76</v>
      </c>
      <c r="AD832" s="482"/>
      <c r="AE832" s="482"/>
      <c r="AF832" s="482">
        <v>1</v>
      </c>
      <c r="AG832" s="482"/>
      <c r="AH832" s="793">
        <f t="shared" si="274"/>
        <v>-1500</v>
      </c>
      <c r="AI832" s="482"/>
      <c r="AJ832" s="482" t="s">
        <v>403</v>
      </c>
      <c r="AK832" s="656"/>
      <c r="AL832" s="656">
        <f t="shared" si="278"/>
        <v>1500</v>
      </c>
      <c r="AM832" s="656"/>
      <c r="AN832" s="656"/>
      <c r="AO832" s="432"/>
      <c r="AP832" s="656">
        <f>I832</f>
        <v>1500</v>
      </c>
      <c r="AQ832" s="656"/>
      <c r="AR832" s="656">
        <f t="shared" si="279"/>
        <v>1500</v>
      </c>
      <c r="AS832" s="656"/>
      <c r="AT832" s="656">
        <f t="shared" si="280"/>
        <v>1500</v>
      </c>
      <c r="AU832" s="662"/>
      <c r="AV832" s="432"/>
      <c r="AW832" s="432"/>
      <c r="AX832" s="432"/>
      <c r="AY832" s="432"/>
      <c r="AZ832" s="656"/>
      <c r="BA832" s="656"/>
      <c r="BB832" s="432"/>
      <c r="BC832" s="432"/>
      <c r="BD832" s="656"/>
      <c r="BE832" s="656"/>
      <c r="BF832" s="432"/>
      <c r="BG832" s="656"/>
      <c r="BH832" s="656"/>
      <c r="BI832" s="432"/>
      <c r="BJ832" s="432"/>
      <c r="BK832" s="432"/>
      <c r="BL832" s="432"/>
      <c r="BM832" s="432"/>
      <c r="BN832" s="871"/>
      <c r="BO832" s="432"/>
      <c r="BP832" s="432"/>
      <c r="BQ832" s="432"/>
      <c r="BR832" s="432"/>
      <c r="BS832" s="432"/>
      <c r="BT832" s="432"/>
      <c r="BU832" s="432"/>
      <c r="BV832" s="432"/>
      <c r="BW832" s="432"/>
      <c r="BX832" s="432"/>
      <c r="BY832" s="432"/>
      <c r="BZ832" s="432"/>
      <c r="CA832" s="432"/>
      <c r="CB832" s="432"/>
      <c r="CC832" s="432"/>
      <c r="CD832" s="432"/>
      <c r="CE832" s="432"/>
      <c r="CF832" s="660"/>
      <c r="CG832" s="660"/>
      <c r="CH832" s="660"/>
      <c r="CI832" s="660"/>
      <c r="CJ832" s="660"/>
      <c r="CK832" s="432"/>
      <c r="CL832" s="432"/>
      <c r="CM832" s="432"/>
      <c r="CN832" s="660"/>
      <c r="CO832" s="660"/>
      <c r="CP832" s="660"/>
      <c r="CQ832" s="660"/>
      <c r="CR832" s="660"/>
      <c r="CS832" s="660"/>
    </row>
    <row r="833" s="424" customFormat="1" ht="31" hidden="1" customHeight="1" spans="1:97">
      <c r="A833" s="633">
        <v>46027</v>
      </c>
      <c r="B833" s="497" t="s">
        <v>1724</v>
      </c>
      <c r="C833" s="635" t="s">
        <v>1725</v>
      </c>
      <c r="D833" s="432">
        <v>4500190606</v>
      </c>
      <c r="E833" s="635" t="s">
        <v>2894</v>
      </c>
      <c r="F833" s="432" t="s">
        <v>2895</v>
      </c>
      <c r="G833" s="482" t="s">
        <v>64</v>
      </c>
      <c r="H833" s="635" t="s">
        <v>65</v>
      </c>
      <c r="I833" s="851">
        <v>1008</v>
      </c>
      <c r="J833" s="635">
        <v>0</v>
      </c>
      <c r="K833" s="635">
        <v>12</v>
      </c>
      <c r="L833" s="842">
        <f t="shared" si="276"/>
        <v>84</v>
      </c>
      <c r="M833" s="679">
        <v>46097</v>
      </c>
      <c r="N833" s="679" t="s">
        <v>2896</v>
      </c>
      <c r="O833" s="641"/>
      <c r="P833" s="482"/>
      <c r="Q833" s="647"/>
      <c r="R833" s="647">
        <v>46029</v>
      </c>
      <c r="S833" s="683" t="s">
        <v>66</v>
      </c>
      <c r="T833" s="683" t="s">
        <v>2897</v>
      </c>
      <c r="U833" s="683"/>
      <c r="V833" s="508"/>
      <c r="W833" s="508" t="s">
        <v>2898</v>
      </c>
      <c r="X833" s="651" t="s">
        <v>473</v>
      </c>
      <c r="Y833" s="508">
        <v>4.1623</v>
      </c>
      <c r="Z833" s="651">
        <f t="shared" si="277"/>
        <v>4195.5984</v>
      </c>
      <c r="AA833" s="482"/>
      <c r="AB833" s="635" t="s">
        <v>165</v>
      </c>
      <c r="AC833" s="635" t="s">
        <v>76</v>
      </c>
      <c r="AD833" s="482"/>
      <c r="AE833" s="482"/>
      <c r="AF833" s="482">
        <v>1</v>
      </c>
      <c r="AG833" s="482"/>
      <c r="AH833" s="793">
        <f t="shared" si="274"/>
        <v>-1008</v>
      </c>
      <c r="AI833" s="482"/>
      <c r="AJ833" s="482"/>
      <c r="AK833" s="656"/>
      <c r="AL833" s="656">
        <f t="shared" si="278"/>
        <v>1008</v>
      </c>
      <c r="AM833" s="656"/>
      <c r="AN833" s="656"/>
      <c r="AO833" s="432"/>
      <c r="AP833" s="656"/>
      <c r="AQ833" s="656">
        <f>I833</f>
        <v>1008</v>
      </c>
      <c r="AR833" s="656">
        <f t="shared" si="279"/>
        <v>1008</v>
      </c>
      <c r="AS833" s="656"/>
      <c r="AT833" s="656">
        <f t="shared" si="280"/>
        <v>1008</v>
      </c>
      <c r="AU833" s="662"/>
      <c r="AV833" s="432"/>
      <c r="AW833" s="432"/>
      <c r="AX833" s="432"/>
      <c r="AY833" s="432"/>
      <c r="AZ833" s="656"/>
      <c r="BA833" s="656"/>
      <c r="BB833" s="432"/>
      <c r="BC833" s="432"/>
      <c r="BD833" s="656"/>
      <c r="BE833" s="656"/>
      <c r="BF833" s="432"/>
      <c r="BG833" s="656"/>
      <c r="BH833" s="656"/>
      <c r="BI833" s="432"/>
      <c r="BJ833" s="432"/>
      <c r="BK833" s="432"/>
      <c r="BL833" s="432"/>
      <c r="BM833" s="432"/>
      <c r="BN833" s="871"/>
      <c r="BO833" s="432"/>
      <c r="BP833" s="432"/>
      <c r="BQ833" s="432"/>
      <c r="BR833" s="432"/>
      <c r="BS833" s="432"/>
      <c r="BT833" s="432"/>
      <c r="BU833" s="432"/>
      <c r="BV833" s="432"/>
      <c r="BW833" s="432"/>
      <c r="BX833" s="432"/>
      <c r="BY833" s="432"/>
      <c r="BZ833" s="432"/>
      <c r="CA833" s="432"/>
      <c r="CB833" s="432"/>
      <c r="CC833" s="432"/>
      <c r="CD833" s="432"/>
      <c r="CE833" s="432"/>
      <c r="CF833" s="660"/>
      <c r="CG833" s="660"/>
      <c r="CH833" s="660"/>
      <c r="CI833" s="660"/>
      <c r="CJ833" s="660"/>
      <c r="CK833" s="432"/>
      <c r="CL833" s="432"/>
      <c r="CM833" s="432"/>
      <c r="CN833" s="660"/>
      <c r="CO833" s="660"/>
      <c r="CP833" s="660"/>
      <c r="CQ833" s="660"/>
      <c r="CR833" s="660"/>
      <c r="CS833" s="660"/>
    </row>
    <row r="834" s="424" customFormat="1" ht="31" hidden="1" customHeight="1" spans="1:97">
      <c r="A834" s="633">
        <v>46036</v>
      </c>
      <c r="B834" s="497" t="s">
        <v>1294</v>
      </c>
      <c r="C834" s="635" t="s">
        <v>468</v>
      </c>
      <c r="D834" s="432">
        <v>4500191234</v>
      </c>
      <c r="E834" s="635"/>
      <c r="F834" s="432" t="s">
        <v>2899</v>
      </c>
      <c r="G834" s="482" t="s">
        <v>64</v>
      </c>
      <c r="H834" s="635" t="s">
        <v>65</v>
      </c>
      <c r="I834" s="851">
        <v>420</v>
      </c>
      <c r="J834" s="635">
        <v>0</v>
      </c>
      <c r="K834" s="635">
        <v>12</v>
      </c>
      <c r="L834" s="842">
        <f t="shared" si="276"/>
        <v>35</v>
      </c>
      <c r="M834" s="679">
        <v>46097</v>
      </c>
      <c r="N834" s="679">
        <v>46093</v>
      </c>
      <c r="O834" s="641"/>
      <c r="P834" s="482"/>
      <c r="Q834" s="647"/>
      <c r="R834" s="647">
        <v>46038</v>
      </c>
      <c r="S834" s="683" t="s">
        <v>66</v>
      </c>
      <c r="T834" s="683" t="s">
        <v>2900</v>
      </c>
      <c r="U834" s="683"/>
      <c r="V834" s="508"/>
      <c r="W834" s="508" t="s">
        <v>2901</v>
      </c>
      <c r="X834" s="651" t="s">
        <v>304</v>
      </c>
      <c r="Y834" s="508">
        <v>4.1623</v>
      </c>
      <c r="Z834" s="651">
        <f t="shared" si="277"/>
        <v>1748.166</v>
      </c>
      <c r="AA834" s="482"/>
      <c r="AB834" s="635" t="s">
        <v>165</v>
      </c>
      <c r="AC834" s="635" t="s">
        <v>76</v>
      </c>
      <c r="AD834" s="482"/>
      <c r="AE834" s="482"/>
      <c r="AF834" s="482"/>
      <c r="AG834" s="482"/>
      <c r="AH834" s="793">
        <f t="shared" si="274"/>
        <v>-420</v>
      </c>
      <c r="AI834" s="482"/>
      <c r="AJ834" s="482" t="s">
        <v>2191</v>
      </c>
      <c r="AK834" s="656"/>
      <c r="AL834" s="656">
        <f t="shared" si="278"/>
        <v>420</v>
      </c>
      <c r="AM834" s="656"/>
      <c r="AN834" s="656"/>
      <c r="AO834" s="432"/>
      <c r="AP834" s="656"/>
      <c r="AQ834" s="656">
        <f>I834</f>
        <v>420</v>
      </c>
      <c r="AR834" s="656">
        <f t="shared" si="279"/>
        <v>420</v>
      </c>
      <c r="AS834" s="656"/>
      <c r="AT834" s="656">
        <f t="shared" si="280"/>
        <v>420</v>
      </c>
      <c r="AU834" s="662"/>
      <c r="AV834" s="432"/>
      <c r="AW834" s="432"/>
      <c r="AX834" s="432"/>
      <c r="AY834" s="432"/>
      <c r="AZ834" s="656"/>
      <c r="BA834" s="656"/>
      <c r="BB834" s="432"/>
      <c r="BC834" s="432"/>
      <c r="BD834" s="656"/>
      <c r="BE834" s="656"/>
      <c r="BF834" s="432"/>
      <c r="BG834" s="656"/>
      <c r="BH834" s="656"/>
      <c r="BI834" s="432"/>
      <c r="BJ834" s="432"/>
      <c r="BK834" s="432"/>
      <c r="BL834" s="432"/>
      <c r="BM834" s="432"/>
      <c r="BN834" s="871"/>
      <c r="BO834" s="432"/>
      <c r="BP834" s="432"/>
      <c r="BQ834" s="432"/>
      <c r="BR834" s="432"/>
      <c r="BS834" s="432"/>
      <c r="BT834" s="432"/>
      <c r="BU834" s="432"/>
      <c r="BV834" s="432"/>
      <c r="BW834" s="432"/>
      <c r="BX834" s="432"/>
      <c r="BY834" s="432"/>
      <c r="BZ834" s="432"/>
      <c r="CA834" s="432"/>
      <c r="CB834" s="432"/>
      <c r="CC834" s="432"/>
      <c r="CD834" s="432"/>
      <c r="CE834" s="432"/>
      <c r="CF834" s="660"/>
      <c r="CG834" s="660"/>
      <c r="CH834" s="660"/>
      <c r="CI834" s="660"/>
      <c r="CJ834" s="660"/>
      <c r="CK834" s="432"/>
      <c r="CL834" s="432"/>
      <c r="CM834" s="432"/>
      <c r="CN834" s="660"/>
      <c r="CO834" s="660"/>
      <c r="CP834" s="660"/>
      <c r="CQ834" s="660"/>
      <c r="CR834" s="660"/>
      <c r="CS834" s="660"/>
    </row>
    <row r="835" s="424" customFormat="1" ht="31" hidden="1" customHeight="1" spans="1:97">
      <c r="A835" s="633">
        <v>46038</v>
      </c>
      <c r="B835" s="497" t="s">
        <v>675</v>
      </c>
      <c r="C835" s="635" t="s">
        <v>676</v>
      </c>
      <c r="D835" s="432">
        <v>4500191663</v>
      </c>
      <c r="E835" s="635"/>
      <c r="F835" s="432" t="s">
        <v>2902</v>
      </c>
      <c r="G835" s="482" t="s">
        <v>64</v>
      </c>
      <c r="H835" s="635" t="s">
        <v>65</v>
      </c>
      <c r="I835" s="851">
        <v>1008</v>
      </c>
      <c r="J835" s="635">
        <v>0</v>
      </c>
      <c r="K835" s="635">
        <v>12</v>
      </c>
      <c r="L835" s="842">
        <f t="shared" si="276"/>
        <v>84</v>
      </c>
      <c r="M835" s="679">
        <v>46097</v>
      </c>
      <c r="N835" s="679">
        <v>46093</v>
      </c>
      <c r="O835" s="641"/>
      <c r="P835" s="482"/>
      <c r="Q835" s="647"/>
      <c r="R835" s="647" t="s">
        <v>403</v>
      </c>
      <c r="S835" s="683" t="s">
        <v>66</v>
      </c>
      <c r="T835" s="683" t="s">
        <v>2897</v>
      </c>
      <c r="U835" s="683" t="s">
        <v>2903</v>
      </c>
      <c r="V835" s="508"/>
      <c r="W835" s="508" t="s">
        <v>2904</v>
      </c>
      <c r="X835" s="651" t="s">
        <v>473</v>
      </c>
      <c r="Y835" s="508">
        <v>4.1623</v>
      </c>
      <c r="Z835" s="651">
        <f t="shared" si="277"/>
        <v>4195.5984</v>
      </c>
      <c r="AA835" s="482"/>
      <c r="AB835" s="656" t="s">
        <v>64</v>
      </c>
      <c r="AC835" s="635" t="s">
        <v>76</v>
      </c>
      <c r="AD835" s="482"/>
      <c r="AE835" s="482"/>
      <c r="AF835" s="482"/>
      <c r="AG835" s="482"/>
      <c r="AH835" s="793">
        <f t="shared" si="274"/>
        <v>-1008</v>
      </c>
      <c r="AI835" s="482"/>
      <c r="AJ835" s="482" t="s">
        <v>2191</v>
      </c>
      <c r="AK835" s="656"/>
      <c r="AL835" s="656">
        <f t="shared" si="278"/>
        <v>1008</v>
      </c>
      <c r="AM835" s="656"/>
      <c r="AN835" s="656"/>
      <c r="AO835" s="432"/>
      <c r="AP835" s="656">
        <f>I835</f>
        <v>1008</v>
      </c>
      <c r="AQ835" s="656"/>
      <c r="AR835" s="656">
        <f t="shared" si="279"/>
        <v>1008</v>
      </c>
      <c r="AS835" s="656"/>
      <c r="AT835" s="656">
        <f t="shared" si="280"/>
        <v>1008</v>
      </c>
      <c r="AU835" s="662"/>
      <c r="AV835" s="432"/>
      <c r="AW835" s="432"/>
      <c r="AX835" s="432"/>
      <c r="AY835" s="432"/>
      <c r="AZ835" s="656"/>
      <c r="BA835" s="656"/>
      <c r="BB835" s="432"/>
      <c r="BC835" s="432"/>
      <c r="BD835" s="656"/>
      <c r="BE835" s="656"/>
      <c r="BF835" s="432"/>
      <c r="BG835" s="656"/>
      <c r="BH835" s="656"/>
      <c r="BI835" s="432"/>
      <c r="BJ835" s="432"/>
      <c r="BK835" s="432"/>
      <c r="BL835" s="432"/>
      <c r="BM835" s="432"/>
      <c r="BN835" s="871"/>
      <c r="BO835" s="432"/>
      <c r="BP835" s="432"/>
      <c r="BQ835" s="432"/>
      <c r="BR835" s="432"/>
      <c r="BS835" s="432"/>
      <c r="BT835" s="432"/>
      <c r="BU835" s="432"/>
      <c r="BV835" s="432"/>
      <c r="BW835" s="432"/>
      <c r="BX835" s="432"/>
      <c r="BY835" s="432"/>
      <c r="BZ835" s="432"/>
      <c r="CA835" s="432"/>
      <c r="CB835" s="432"/>
      <c r="CC835" s="432"/>
      <c r="CD835" s="432"/>
      <c r="CE835" s="432"/>
      <c r="CF835" s="660"/>
      <c r="CG835" s="660"/>
      <c r="CH835" s="660"/>
      <c r="CI835" s="660"/>
      <c r="CJ835" s="660"/>
      <c r="CK835" s="432"/>
      <c r="CL835" s="432"/>
      <c r="CM835" s="432"/>
      <c r="CN835" s="660"/>
      <c r="CO835" s="660"/>
      <c r="CP835" s="660"/>
      <c r="CQ835" s="660"/>
      <c r="CR835" s="660"/>
      <c r="CS835" s="660"/>
    </row>
    <row r="836" s="424" customFormat="1" ht="31" hidden="1" customHeight="1" spans="1:97">
      <c r="A836" s="633">
        <v>46042</v>
      </c>
      <c r="B836" s="497" t="s">
        <v>70</v>
      </c>
      <c r="C836" s="635" t="s">
        <v>71</v>
      </c>
      <c r="D836" s="432">
        <v>4500191819</v>
      </c>
      <c r="E836" s="635">
        <v>29394401</v>
      </c>
      <c r="F836" s="432" t="s">
        <v>2905</v>
      </c>
      <c r="G836" s="482" t="s">
        <v>64</v>
      </c>
      <c r="H836" s="635" t="s">
        <v>65</v>
      </c>
      <c r="I836" s="851">
        <v>648</v>
      </c>
      <c r="J836" s="635">
        <v>0</v>
      </c>
      <c r="K836" s="635">
        <v>12</v>
      </c>
      <c r="L836" s="842">
        <f t="shared" si="276"/>
        <v>54</v>
      </c>
      <c r="M836" s="679">
        <v>46097</v>
      </c>
      <c r="N836" s="679">
        <v>46093</v>
      </c>
      <c r="O836" s="641"/>
      <c r="P836" s="482"/>
      <c r="Q836" s="647"/>
      <c r="R836" s="647">
        <v>46042</v>
      </c>
      <c r="S836" s="683" t="s">
        <v>66</v>
      </c>
      <c r="T836" s="683" t="s">
        <v>2906</v>
      </c>
      <c r="U836" s="683"/>
      <c r="V836" s="508"/>
      <c r="W836" s="508" t="s">
        <v>2907</v>
      </c>
      <c r="X836" s="651" t="s">
        <v>1602</v>
      </c>
      <c r="Y836" s="508">
        <v>4.1623</v>
      </c>
      <c r="Z836" s="651">
        <f t="shared" si="277"/>
        <v>2697.1704</v>
      </c>
      <c r="AA836" s="482"/>
      <c r="AB836" s="656" t="s">
        <v>64</v>
      </c>
      <c r="AC836" s="635" t="s">
        <v>76</v>
      </c>
      <c r="AD836" s="482"/>
      <c r="AE836" s="482"/>
      <c r="AF836" s="482"/>
      <c r="AG836" s="482"/>
      <c r="AH836" s="793">
        <f t="shared" si="274"/>
        <v>-648</v>
      </c>
      <c r="AI836" s="482"/>
      <c r="AJ836" s="482" t="s">
        <v>2191</v>
      </c>
      <c r="AK836" s="656"/>
      <c r="AL836" s="656">
        <f t="shared" si="278"/>
        <v>648</v>
      </c>
      <c r="AM836" s="656"/>
      <c r="AN836" s="656"/>
      <c r="AO836" s="432"/>
      <c r="AP836" s="656">
        <f>I836</f>
        <v>648</v>
      </c>
      <c r="AQ836" s="656"/>
      <c r="AR836" s="656">
        <f t="shared" si="279"/>
        <v>648</v>
      </c>
      <c r="AS836" s="656"/>
      <c r="AT836" s="656">
        <f t="shared" si="280"/>
        <v>648</v>
      </c>
      <c r="AU836" s="662"/>
      <c r="AV836" s="432"/>
      <c r="AW836" s="432"/>
      <c r="AX836" s="432"/>
      <c r="AY836" s="432"/>
      <c r="AZ836" s="656"/>
      <c r="BA836" s="656"/>
      <c r="BB836" s="432"/>
      <c r="BC836" s="432"/>
      <c r="BD836" s="656"/>
      <c r="BE836" s="656"/>
      <c r="BF836" s="432"/>
      <c r="BG836" s="656"/>
      <c r="BH836" s="656"/>
      <c r="BI836" s="432"/>
      <c r="BJ836" s="432"/>
      <c r="BK836" s="432"/>
      <c r="BL836" s="432"/>
      <c r="BM836" s="432"/>
      <c r="BN836" s="871"/>
      <c r="BO836" s="432"/>
      <c r="BP836" s="432"/>
      <c r="BQ836" s="432"/>
      <c r="BR836" s="432"/>
      <c r="BS836" s="432"/>
      <c r="BT836" s="432"/>
      <c r="BU836" s="432"/>
      <c r="BV836" s="432"/>
      <c r="BW836" s="432"/>
      <c r="BX836" s="432"/>
      <c r="BY836" s="432"/>
      <c r="BZ836" s="432"/>
      <c r="CA836" s="432"/>
      <c r="CB836" s="432"/>
      <c r="CC836" s="432"/>
      <c r="CD836" s="432"/>
      <c r="CE836" s="432"/>
      <c r="CF836" s="660"/>
      <c r="CG836" s="660"/>
      <c r="CH836" s="660"/>
      <c r="CI836" s="660"/>
      <c r="CJ836" s="660"/>
      <c r="CK836" s="432"/>
      <c r="CL836" s="432"/>
      <c r="CM836" s="432"/>
      <c r="CN836" s="660"/>
      <c r="CO836" s="660"/>
      <c r="CP836" s="660"/>
      <c r="CQ836" s="660"/>
      <c r="CR836" s="660"/>
      <c r="CS836" s="660"/>
    </row>
    <row r="837" s="424" customFormat="1" ht="31" hidden="1" customHeight="1" spans="1:97">
      <c r="A837" s="633">
        <v>46042</v>
      </c>
      <c r="B837" s="497" t="s">
        <v>70</v>
      </c>
      <c r="C837" s="635" t="s">
        <v>71</v>
      </c>
      <c r="D837" s="432">
        <v>4500191819</v>
      </c>
      <c r="E837" s="635">
        <v>29394330</v>
      </c>
      <c r="F837" s="432" t="s">
        <v>2908</v>
      </c>
      <c r="G837" s="482" t="s">
        <v>64</v>
      </c>
      <c r="H837" s="635" t="s">
        <v>65</v>
      </c>
      <c r="I837" s="851">
        <v>348</v>
      </c>
      <c r="J837" s="635">
        <v>0</v>
      </c>
      <c r="K837" s="635">
        <v>12</v>
      </c>
      <c r="L837" s="842">
        <f t="shared" si="276"/>
        <v>29</v>
      </c>
      <c r="M837" s="679">
        <v>46097</v>
      </c>
      <c r="N837" s="679">
        <v>46093</v>
      </c>
      <c r="O837" s="641"/>
      <c r="P837" s="482"/>
      <c r="Q837" s="647"/>
      <c r="R837" s="647">
        <v>46042</v>
      </c>
      <c r="S837" s="683" t="s">
        <v>66</v>
      </c>
      <c r="T837" s="683" t="s">
        <v>2906</v>
      </c>
      <c r="U837" s="683"/>
      <c r="V837" s="508"/>
      <c r="W837" s="508" t="s">
        <v>2907</v>
      </c>
      <c r="X837" s="651" t="s">
        <v>1602</v>
      </c>
      <c r="Y837" s="508">
        <v>4.1623</v>
      </c>
      <c r="Z837" s="651">
        <f t="shared" si="277"/>
        <v>1448.4804</v>
      </c>
      <c r="AA837" s="482"/>
      <c r="AB837" s="656" t="s">
        <v>64</v>
      </c>
      <c r="AC837" s="635" t="s">
        <v>76</v>
      </c>
      <c r="AD837" s="482"/>
      <c r="AE837" s="482"/>
      <c r="AF837" s="482"/>
      <c r="AG837" s="482"/>
      <c r="AH837" s="793">
        <f t="shared" si="274"/>
        <v>-348</v>
      </c>
      <c r="AI837" s="482"/>
      <c r="AJ837" s="482" t="s">
        <v>2191</v>
      </c>
      <c r="AK837" s="656"/>
      <c r="AL837" s="656">
        <f t="shared" si="278"/>
        <v>348</v>
      </c>
      <c r="AM837" s="656"/>
      <c r="AN837" s="656"/>
      <c r="AO837" s="432"/>
      <c r="AP837" s="656">
        <f>I837</f>
        <v>348</v>
      </c>
      <c r="AQ837" s="656"/>
      <c r="AR837" s="656">
        <f t="shared" si="279"/>
        <v>348</v>
      </c>
      <c r="AS837" s="656"/>
      <c r="AT837" s="656">
        <f t="shared" si="280"/>
        <v>348</v>
      </c>
      <c r="AU837" s="662"/>
      <c r="AV837" s="432"/>
      <c r="AW837" s="432"/>
      <c r="AX837" s="432"/>
      <c r="AY837" s="432"/>
      <c r="AZ837" s="656"/>
      <c r="BA837" s="656"/>
      <c r="BB837" s="432"/>
      <c r="BC837" s="432"/>
      <c r="BD837" s="656"/>
      <c r="BE837" s="656"/>
      <c r="BF837" s="432"/>
      <c r="BG837" s="656"/>
      <c r="BH837" s="656"/>
      <c r="BI837" s="432"/>
      <c r="BJ837" s="432"/>
      <c r="BK837" s="432"/>
      <c r="BL837" s="432"/>
      <c r="BM837" s="432"/>
      <c r="BN837" s="871"/>
      <c r="BO837" s="432"/>
      <c r="BP837" s="432"/>
      <c r="BQ837" s="432"/>
      <c r="BR837" s="432"/>
      <c r="BS837" s="432"/>
      <c r="BT837" s="432"/>
      <c r="BU837" s="432"/>
      <c r="BV837" s="432"/>
      <c r="BW837" s="432"/>
      <c r="BX837" s="432"/>
      <c r="BY837" s="432"/>
      <c r="BZ837" s="432"/>
      <c r="CA837" s="432"/>
      <c r="CB837" s="432"/>
      <c r="CC837" s="432"/>
      <c r="CD837" s="432"/>
      <c r="CE837" s="432"/>
      <c r="CF837" s="660"/>
      <c r="CG837" s="660"/>
      <c r="CH837" s="660"/>
      <c r="CI837" s="660"/>
      <c r="CJ837" s="660"/>
      <c r="CK837" s="432"/>
      <c r="CL837" s="432"/>
      <c r="CM837" s="432"/>
      <c r="CN837" s="660"/>
      <c r="CO837" s="660"/>
      <c r="CP837" s="660"/>
      <c r="CQ837" s="660"/>
      <c r="CR837" s="660"/>
      <c r="CS837" s="660"/>
    </row>
    <row r="838" s="424" customFormat="1" ht="31" hidden="1" customHeight="1" spans="1:97">
      <c r="A838" s="633">
        <v>45978</v>
      </c>
      <c r="B838" s="497" t="s">
        <v>1372</v>
      </c>
      <c r="C838" s="635" t="s">
        <v>90</v>
      </c>
      <c r="D838" s="432">
        <v>4500185945</v>
      </c>
      <c r="E838" s="894" t="s">
        <v>2909</v>
      </c>
      <c r="F838" s="432" t="s">
        <v>2910</v>
      </c>
      <c r="G838" s="482" t="s">
        <v>2431</v>
      </c>
      <c r="H838" s="635" t="s">
        <v>744</v>
      </c>
      <c r="I838" s="635">
        <v>5400</v>
      </c>
      <c r="J838" s="635">
        <v>0</v>
      </c>
      <c r="K838" s="635">
        <v>75</v>
      </c>
      <c r="L838" s="842">
        <v>72</v>
      </c>
      <c r="M838" s="680">
        <v>46101</v>
      </c>
      <c r="N838" s="680">
        <v>46097</v>
      </c>
      <c r="O838" s="641"/>
      <c r="P838" s="482"/>
      <c r="Q838" s="647"/>
      <c r="R838" s="647" t="s">
        <v>2432</v>
      </c>
      <c r="S838" s="683" t="s">
        <v>66</v>
      </c>
      <c r="T838" s="683" t="s">
        <v>66</v>
      </c>
      <c r="U838" s="683"/>
      <c r="V838" s="508"/>
      <c r="W838" s="508" t="s">
        <v>2565</v>
      </c>
      <c r="X838" s="651" t="s">
        <v>821</v>
      </c>
      <c r="Y838" s="687">
        <v>359.3436</v>
      </c>
      <c r="Z838" s="688">
        <v>25872.7392</v>
      </c>
      <c r="AA838" s="482"/>
      <c r="AB838" s="568" t="s">
        <v>1378</v>
      </c>
      <c r="AC838" s="635" t="s">
        <v>76</v>
      </c>
      <c r="AD838" s="482"/>
      <c r="AE838" s="482"/>
      <c r="AF838" s="482">
        <v>1</v>
      </c>
      <c r="AG838" s="482"/>
      <c r="AH838" s="793">
        <f t="shared" ref="AH838:AH864" si="281">AG838-I838</f>
        <v>-5400</v>
      </c>
      <c r="AI838" s="482"/>
      <c r="AJ838" s="482"/>
      <c r="AK838" s="656"/>
      <c r="AL838" s="656"/>
      <c r="AM838" s="656">
        <f>I838</f>
        <v>5400</v>
      </c>
      <c r="AN838" s="656"/>
      <c r="AO838" s="432"/>
      <c r="AP838" s="656"/>
      <c r="AQ838" s="656"/>
      <c r="AR838" s="656"/>
      <c r="AS838" s="656"/>
      <c r="AT838" s="656"/>
      <c r="AU838" s="662"/>
      <c r="AV838" s="432"/>
      <c r="AW838" s="432">
        <f>I838</f>
        <v>5400</v>
      </c>
      <c r="AX838" s="432">
        <f>I838</f>
        <v>5400</v>
      </c>
      <c r="AY838" s="432">
        <f>I838</f>
        <v>5400</v>
      </c>
      <c r="AZ838" s="656"/>
      <c r="BA838" s="656"/>
      <c r="BB838" s="432"/>
      <c r="BC838" s="432"/>
      <c r="BD838" s="656"/>
      <c r="BE838" s="656"/>
      <c r="BF838" s="432"/>
      <c r="BG838" s="568">
        <f>I838</f>
        <v>5400</v>
      </c>
      <c r="BH838" s="568">
        <f>I838/5</f>
        <v>1080</v>
      </c>
      <c r="BI838" s="432"/>
      <c r="BJ838" s="432"/>
      <c r="BK838" s="432"/>
      <c r="BL838" s="432"/>
      <c r="BM838" s="432"/>
      <c r="BN838" s="871"/>
      <c r="BO838" s="432"/>
      <c r="BP838" s="432"/>
      <c r="BQ838" s="432"/>
      <c r="BR838" s="432"/>
      <c r="BS838" s="432"/>
      <c r="BT838" s="432"/>
      <c r="BU838" s="432"/>
      <c r="BV838" s="432"/>
      <c r="BW838" s="432"/>
      <c r="BX838" s="432"/>
      <c r="BY838" s="432"/>
      <c r="BZ838" s="432"/>
      <c r="CA838" s="432"/>
      <c r="CB838" s="432"/>
      <c r="CC838" s="432"/>
      <c r="CD838" s="432"/>
      <c r="CE838" s="432"/>
      <c r="CF838" s="660"/>
      <c r="CG838" s="660"/>
      <c r="CH838" s="660"/>
      <c r="CI838" s="660"/>
      <c r="CJ838" s="660"/>
      <c r="CK838" s="432"/>
      <c r="CL838" s="432"/>
      <c r="CM838" s="432"/>
      <c r="CN838" s="660"/>
      <c r="CO838" s="660"/>
      <c r="CP838" s="660"/>
      <c r="CQ838" s="660"/>
      <c r="CR838" s="660"/>
      <c r="CS838" s="660"/>
    </row>
    <row r="839" s="424" customFormat="1" ht="31" hidden="1" customHeight="1" spans="1:97">
      <c r="A839" s="633">
        <v>45978</v>
      </c>
      <c r="B839" s="497" t="s">
        <v>1372</v>
      </c>
      <c r="C839" s="635" t="s">
        <v>90</v>
      </c>
      <c r="D839" s="432">
        <v>4500185946</v>
      </c>
      <c r="E839" s="894" t="s">
        <v>2911</v>
      </c>
      <c r="F839" s="432" t="s">
        <v>2912</v>
      </c>
      <c r="G839" s="482" t="s">
        <v>2431</v>
      </c>
      <c r="H839" s="635" t="s">
        <v>744</v>
      </c>
      <c r="I839" s="635">
        <v>5400</v>
      </c>
      <c r="J839" s="635">
        <v>0</v>
      </c>
      <c r="K839" s="635">
        <v>75</v>
      </c>
      <c r="L839" s="842">
        <v>72</v>
      </c>
      <c r="M839" s="680">
        <v>46101</v>
      </c>
      <c r="N839" s="680">
        <v>46097</v>
      </c>
      <c r="O839" s="641"/>
      <c r="P839" s="482"/>
      <c r="Q839" s="647"/>
      <c r="R839" s="647" t="s">
        <v>2432</v>
      </c>
      <c r="S839" s="683" t="s">
        <v>66</v>
      </c>
      <c r="T839" s="683" t="s">
        <v>66</v>
      </c>
      <c r="U839" s="683"/>
      <c r="V839" s="508"/>
      <c r="W839" s="508" t="s">
        <v>2565</v>
      </c>
      <c r="X839" s="651" t="s">
        <v>821</v>
      </c>
      <c r="Y839" s="687">
        <v>359.3436</v>
      </c>
      <c r="Z839" s="688">
        <v>25872.7392</v>
      </c>
      <c r="AA839" s="482"/>
      <c r="AB839" s="568" t="s">
        <v>1378</v>
      </c>
      <c r="AC839" s="635" t="s">
        <v>76</v>
      </c>
      <c r="AD839" s="482"/>
      <c r="AE839" s="482"/>
      <c r="AF839" s="482">
        <v>1</v>
      </c>
      <c r="AG839" s="482"/>
      <c r="AH839" s="793">
        <f t="shared" si="281"/>
        <v>-5400</v>
      </c>
      <c r="AI839" s="482"/>
      <c r="AJ839" s="482"/>
      <c r="AK839" s="656"/>
      <c r="AL839" s="656"/>
      <c r="AM839" s="656">
        <f>I839</f>
        <v>5400</v>
      </c>
      <c r="AN839" s="656"/>
      <c r="AO839" s="432"/>
      <c r="AP839" s="656"/>
      <c r="AQ839" s="656"/>
      <c r="AR839" s="656"/>
      <c r="AS839" s="656"/>
      <c r="AT839" s="656"/>
      <c r="AU839" s="662"/>
      <c r="AV839" s="432"/>
      <c r="AW839" s="432">
        <f>I839</f>
        <v>5400</v>
      </c>
      <c r="AX839" s="432">
        <f>I839</f>
        <v>5400</v>
      </c>
      <c r="AY839" s="432">
        <f>I839</f>
        <v>5400</v>
      </c>
      <c r="AZ839" s="656"/>
      <c r="BA839" s="656"/>
      <c r="BB839" s="432"/>
      <c r="BC839" s="432"/>
      <c r="BD839" s="656"/>
      <c r="BE839" s="656"/>
      <c r="BF839" s="432"/>
      <c r="BG839" s="568">
        <f>I839</f>
        <v>5400</v>
      </c>
      <c r="BH839" s="568">
        <f>I839/5</f>
        <v>1080</v>
      </c>
      <c r="BI839" s="432"/>
      <c r="BJ839" s="432"/>
      <c r="BK839" s="432"/>
      <c r="BL839" s="432"/>
      <c r="BM839" s="432"/>
      <c r="BN839" s="871"/>
      <c r="BO839" s="432"/>
      <c r="BP839" s="432"/>
      <c r="BQ839" s="432"/>
      <c r="BR839" s="432"/>
      <c r="BS839" s="432"/>
      <c r="BT839" s="432"/>
      <c r="BU839" s="432"/>
      <c r="BV839" s="432"/>
      <c r="BW839" s="432"/>
      <c r="BX839" s="432"/>
      <c r="BY839" s="432"/>
      <c r="BZ839" s="432"/>
      <c r="CA839" s="432"/>
      <c r="CB839" s="432"/>
      <c r="CC839" s="432"/>
      <c r="CD839" s="432"/>
      <c r="CE839" s="432"/>
      <c r="CF839" s="660"/>
      <c r="CG839" s="660"/>
      <c r="CH839" s="660"/>
      <c r="CI839" s="660"/>
      <c r="CJ839" s="660"/>
      <c r="CK839" s="432"/>
      <c r="CL839" s="432"/>
      <c r="CM839" s="432"/>
      <c r="CN839" s="660"/>
      <c r="CO839" s="660"/>
      <c r="CP839" s="660"/>
      <c r="CQ839" s="660"/>
      <c r="CR839" s="660"/>
      <c r="CS839" s="660"/>
    </row>
    <row r="840" s="424" customFormat="1" ht="31" hidden="1" customHeight="1" spans="1:97">
      <c r="A840" s="633">
        <v>45978</v>
      </c>
      <c r="B840" s="497" t="s">
        <v>1372</v>
      </c>
      <c r="C840" s="635" t="s">
        <v>90</v>
      </c>
      <c r="D840" s="432">
        <v>4500185948</v>
      </c>
      <c r="E840" s="894" t="s">
        <v>2913</v>
      </c>
      <c r="F840" s="432" t="s">
        <v>2914</v>
      </c>
      <c r="G840" s="482" t="s">
        <v>2431</v>
      </c>
      <c r="H840" s="635" t="s">
        <v>744</v>
      </c>
      <c r="I840" s="635">
        <v>5400</v>
      </c>
      <c r="J840" s="635">
        <v>0</v>
      </c>
      <c r="K840" s="635">
        <v>75</v>
      </c>
      <c r="L840" s="842">
        <v>72</v>
      </c>
      <c r="M840" s="680">
        <v>46101</v>
      </c>
      <c r="N840" s="680">
        <v>46097</v>
      </c>
      <c r="O840" s="641"/>
      <c r="P840" s="482"/>
      <c r="Q840" s="647"/>
      <c r="R840" s="647" t="s">
        <v>2432</v>
      </c>
      <c r="S840" s="683" t="s">
        <v>66</v>
      </c>
      <c r="T840" s="683" t="s">
        <v>66</v>
      </c>
      <c r="U840" s="683"/>
      <c r="V840" s="508"/>
      <c r="W840" s="508" t="s">
        <v>2565</v>
      </c>
      <c r="X840" s="651" t="s">
        <v>821</v>
      </c>
      <c r="Y840" s="687">
        <v>359.3436</v>
      </c>
      <c r="Z840" s="688">
        <v>25872.7392</v>
      </c>
      <c r="AA840" s="482"/>
      <c r="AB840" s="568" t="s">
        <v>1378</v>
      </c>
      <c r="AC840" s="635" t="s">
        <v>76</v>
      </c>
      <c r="AD840" s="482"/>
      <c r="AE840" s="482"/>
      <c r="AF840" s="482">
        <v>1</v>
      </c>
      <c r="AG840" s="482"/>
      <c r="AH840" s="793">
        <f t="shared" si="281"/>
        <v>-5400</v>
      </c>
      <c r="AI840" s="482"/>
      <c r="AJ840" s="482"/>
      <c r="AK840" s="656"/>
      <c r="AL840" s="656"/>
      <c r="AM840" s="656">
        <f>I840</f>
        <v>5400</v>
      </c>
      <c r="AN840" s="656"/>
      <c r="AO840" s="432"/>
      <c r="AP840" s="656"/>
      <c r="AQ840" s="656"/>
      <c r="AR840" s="656"/>
      <c r="AS840" s="656"/>
      <c r="AT840" s="656"/>
      <c r="AU840" s="662"/>
      <c r="AV840" s="432"/>
      <c r="AW840" s="432">
        <f>I840</f>
        <v>5400</v>
      </c>
      <c r="AX840" s="432">
        <f>I840</f>
        <v>5400</v>
      </c>
      <c r="AY840" s="432">
        <f>I840</f>
        <v>5400</v>
      </c>
      <c r="AZ840" s="656"/>
      <c r="BA840" s="656"/>
      <c r="BB840" s="432"/>
      <c r="BC840" s="432"/>
      <c r="BD840" s="656"/>
      <c r="BE840" s="656"/>
      <c r="BF840" s="432"/>
      <c r="BG840" s="568">
        <f>I840</f>
        <v>5400</v>
      </c>
      <c r="BH840" s="568">
        <f>I840/5</f>
        <v>1080</v>
      </c>
      <c r="BI840" s="432"/>
      <c r="BJ840" s="432"/>
      <c r="BK840" s="432"/>
      <c r="BL840" s="432"/>
      <c r="BM840" s="432"/>
      <c r="BN840" s="871"/>
      <c r="BO840" s="432"/>
      <c r="BP840" s="432"/>
      <c r="BQ840" s="432"/>
      <c r="BR840" s="432"/>
      <c r="BS840" s="432"/>
      <c r="BT840" s="432"/>
      <c r="BU840" s="432"/>
      <c r="BV840" s="432"/>
      <c r="BW840" s="432"/>
      <c r="BX840" s="432"/>
      <c r="BY840" s="432"/>
      <c r="BZ840" s="432"/>
      <c r="CA840" s="432"/>
      <c r="CB840" s="432"/>
      <c r="CC840" s="432"/>
      <c r="CD840" s="432"/>
      <c r="CE840" s="432"/>
      <c r="CF840" s="660"/>
      <c r="CG840" s="660"/>
      <c r="CH840" s="660"/>
      <c r="CI840" s="660"/>
      <c r="CJ840" s="660"/>
      <c r="CK840" s="432"/>
      <c r="CL840" s="432"/>
      <c r="CM840" s="432"/>
      <c r="CN840" s="660"/>
      <c r="CO840" s="660"/>
      <c r="CP840" s="660"/>
      <c r="CQ840" s="660"/>
      <c r="CR840" s="660"/>
      <c r="CS840" s="660"/>
    </row>
    <row r="841" s="424" customFormat="1" ht="31" hidden="1" customHeight="1" spans="1:97">
      <c r="A841" s="633">
        <v>45995</v>
      </c>
      <c r="B841" s="497" t="s">
        <v>2553</v>
      </c>
      <c r="C841" s="635" t="s">
        <v>90</v>
      </c>
      <c r="D841" s="432">
        <v>4500187942</v>
      </c>
      <c r="E841" s="635">
        <v>70079711</v>
      </c>
      <c r="F841" s="432" t="s">
        <v>2915</v>
      </c>
      <c r="G841" s="482" t="s">
        <v>2491</v>
      </c>
      <c r="H841" s="635" t="s">
        <v>2492</v>
      </c>
      <c r="I841" s="635">
        <v>600</v>
      </c>
      <c r="J841" s="635">
        <v>0</v>
      </c>
      <c r="K841" s="635">
        <v>8</v>
      </c>
      <c r="L841" s="842">
        <f t="shared" ref="L841:L860" si="282">I841/K841</f>
        <v>75</v>
      </c>
      <c r="M841" s="679">
        <v>46101</v>
      </c>
      <c r="N841" s="679">
        <v>46097</v>
      </c>
      <c r="O841" s="641"/>
      <c r="P841" s="482"/>
      <c r="Q841" s="647"/>
      <c r="R841" s="647">
        <v>45995</v>
      </c>
      <c r="S841" s="683" t="s">
        <v>66</v>
      </c>
      <c r="T841" s="647" t="s">
        <v>2493</v>
      </c>
      <c r="U841" s="683"/>
      <c r="V841" s="508"/>
      <c r="W841" s="571" t="s">
        <v>2774</v>
      </c>
      <c r="X841" s="651" t="s">
        <v>2775</v>
      </c>
      <c r="Y841" s="687">
        <v>4.2977</v>
      </c>
      <c r="Z841" s="688">
        <f t="shared" ref="Z841:Z853" si="283">Y841*I841</f>
        <v>2578.62</v>
      </c>
      <c r="AA841" s="482"/>
      <c r="AB841" s="482" t="s">
        <v>2495</v>
      </c>
      <c r="AC841" s="635" t="s">
        <v>76</v>
      </c>
      <c r="AD841" s="482"/>
      <c r="AE841" s="482"/>
      <c r="AF841" s="482"/>
      <c r="AG841" s="482"/>
      <c r="AH841" s="793">
        <f t="shared" si="281"/>
        <v>-600</v>
      </c>
      <c r="AI841" s="482"/>
      <c r="AJ841" s="482"/>
      <c r="AK841" s="656"/>
      <c r="AL841" s="656">
        <f>I841</f>
        <v>600</v>
      </c>
      <c r="AM841" s="656"/>
      <c r="AN841" s="656"/>
      <c r="AO841" s="432"/>
      <c r="AP841" s="656">
        <f>I841</f>
        <v>600</v>
      </c>
      <c r="AQ841" s="656"/>
      <c r="AR841" s="794">
        <f t="shared" ref="AR841:AR861" si="284">I841</f>
        <v>600</v>
      </c>
      <c r="AS841" s="656"/>
      <c r="AT841" s="656">
        <f t="shared" ref="AT841:AT851" si="285">I841</f>
        <v>600</v>
      </c>
      <c r="AU841" s="662"/>
      <c r="AV841" s="432"/>
      <c r="AW841" s="432"/>
      <c r="AX841" s="432"/>
      <c r="AY841" s="432"/>
      <c r="AZ841" s="656"/>
      <c r="BA841" s="656"/>
      <c r="BB841" s="432"/>
      <c r="BC841" s="432"/>
      <c r="BD841" s="656"/>
      <c r="BE841" s="656"/>
      <c r="BF841" s="432"/>
      <c r="BG841" s="656"/>
      <c r="BH841" s="656"/>
      <c r="BI841" s="432"/>
      <c r="BJ841" s="432">
        <f>I841</f>
        <v>600</v>
      </c>
      <c r="BK841" s="432"/>
      <c r="BL841" s="432"/>
      <c r="BM841" s="432"/>
      <c r="BN841" s="871"/>
      <c r="BO841" s="432"/>
      <c r="BP841" s="432"/>
      <c r="BQ841" s="432"/>
      <c r="BR841" s="432"/>
      <c r="BS841" s="432"/>
      <c r="BT841" s="432"/>
      <c r="BU841" s="432"/>
      <c r="BV841" s="432"/>
      <c r="BW841" s="432"/>
      <c r="BX841" s="432"/>
      <c r="BY841" s="432"/>
      <c r="BZ841" s="432"/>
      <c r="CA841" s="432"/>
      <c r="CB841" s="432"/>
      <c r="CC841" s="432"/>
      <c r="CD841" s="432"/>
      <c r="CE841" s="432"/>
      <c r="CF841" s="660"/>
      <c r="CG841" s="660"/>
      <c r="CH841" s="660"/>
      <c r="CI841" s="660"/>
      <c r="CJ841" s="660"/>
      <c r="CK841" s="432"/>
      <c r="CL841" s="432"/>
      <c r="CM841" s="432"/>
      <c r="CN841" s="660"/>
      <c r="CO841" s="660"/>
      <c r="CP841" s="660"/>
      <c r="CQ841" s="660"/>
      <c r="CR841" s="660"/>
      <c r="CS841" s="660"/>
    </row>
    <row r="842" s="424" customFormat="1" ht="31" hidden="1" customHeight="1" spans="1:97">
      <c r="A842" s="633">
        <v>46387</v>
      </c>
      <c r="B842" s="497" t="s">
        <v>220</v>
      </c>
      <c r="C842" s="635" t="s">
        <v>90</v>
      </c>
      <c r="D842" s="432">
        <v>4500190515</v>
      </c>
      <c r="E842" s="635" t="s">
        <v>2916</v>
      </c>
      <c r="F842" s="432" t="s">
        <v>2917</v>
      </c>
      <c r="G842" s="482" t="s">
        <v>223</v>
      </c>
      <c r="H842" s="635" t="s">
        <v>224</v>
      </c>
      <c r="I842" s="851">
        <v>30000</v>
      </c>
      <c r="J842" s="635">
        <v>0</v>
      </c>
      <c r="K842" s="635">
        <v>4</v>
      </c>
      <c r="L842" s="842">
        <f t="shared" si="282"/>
        <v>7500</v>
      </c>
      <c r="M842" s="679">
        <v>46101</v>
      </c>
      <c r="N842" s="679">
        <v>46097</v>
      </c>
      <c r="O842" s="641"/>
      <c r="P842" s="482"/>
      <c r="Q842" s="647"/>
      <c r="R842" s="647">
        <v>46044</v>
      </c>
      <c r="S842" s="683" t="s">
        <v>96</v>
      </c>
      <c r="T842" s="683" t="s">
        <v>2848</v>
      </c>
      <c r="U842" s="683"/>
      <c r="V842" s="508"/>
      <c r="W842" s="508" t="s">
        <v>2518</v>
      </c>
      <c r="X842" s="651" t="s">
        <v>226</v>
      </c>
      <c r="Y842" s="687">
        <v>2.7734</v>
      </c>
      <c r="Z842" s="688">
        <f t="shared" si="283"/>
        <v>83202</v>
      </c>
      <c r="AA842" s="482"/>
      <c r="AB842" s="656" t="s">
        <v>223</v>
      </c>
      <c r="AC842" s="635" t="s">
        <v>76</v>
      </c>
      <c r="AD842" s="482"/>
      <c r="AE842" s="482"/>
      <c r="AF842" s="458">
        <v>1</v>
      </c>
      <c r="AG842" s="482"/>
      <c r="AH842" s="482">
        <f t="shared" si="281"/>
        <v>-30000</v>
      </c>
      <c r="AI842" s="482"/>
      <c r="AJ842" s="482"/>
      <c r="AK842" s="656"/>
      <c r="AL842" s="656"/>
      <c r="AM842" s="656"/>
      <c r="AN842" s="656">
        <f>I842</f>
        <v>30000</v>
      </c>
      <c r="AO842" s="432"/>
      <c r="AP842" s="656"/>
      <c r="AQ842" s="656"/>
      <c r="AR842" s="656"/>
      <c r="AS842" s="656"/>
      <c r="AT842" s="656">
        <f t="shared" si="285"/>
        <v>30000</v>
      </c>
      <c r="AU842" s="662"/>
      <c r="AV842" s="432"/>
      <c r="AW842" s="432"/>
      <c r="AX842" s="432"/>
      <c r="AY842" s="432"/>
      <c r="AZ842" s="656"/>
      <c r="BA842" s="656"/>
      <c r="BB842" s="432">
        <f>I842</f>
        <v>30000</v>
      </c>
      <c r="BC842" s="432">
        <f>I842</f>
        <v>30000</v>
      </c>
      <c r="BD842" s="656">
        <f>I842/4</f>
        <v>7500</v>
      </c>
      <c r="BE842" s="656"/>
      <c r="BF842" s="432"/>
      <c r="BG842" s="656"/>
      <c r="BH842" s="656"/>
      <c r="BI842" s="432"/>
      <c r="BJ842" s="432"/>
      <c r="BK842" s="432"/>
      <c r="BL842" s="432"/>
      <c r="BM842" s="432"/>
      <c r="BN842" s="871"/>
      <c r="BO842" s="432"/>
      <c r="BP842" s="432"/>
      <c r="BQ842" s="432"/>
      <c r="BR842" s="432"/>
      <c r="BS842" s="432"/>
      <c r="BT842" s="432"/>
      <c r="BU842" s="432"/>
      <c r="BV842" s="432"/>
      <c r="BW842" s="432"/>
      <c r="BX842" s="432"/>
      <c r="BY842" s="432"/>
      <c r="BZ842" s="432"/>
      <c r="CA842" s="432"/>
      <c r="CB842" s="432"/>
      <c r="CC842" s="432"/>
      <c r="CD842" s="432"/>
      <c r="CE842" s="432"/>
      <c r="CF842" s="660"/>
      <c r="CG842" s="660"/>
      <c r="CH842" s="660"/>
      <c r="CI842" s="660"/>
      <c r="CJ842" s="660"/>
      <c r="CK842" s="432"/>
      <c r="CL842" s="432"/>
      <c r="CM842" s="432"/>
      <c r="CN842" s="660"/>
      <c r="CO842" s="660"/>
      <c r="CP842" s="660"/>
      <c r="CQ842" s="660"/>
      <c r="CR842" s="660"/>
      <c r="CS842" s="660"/>
    </row>
    <row r="843" s="424" customFormat="1" ht="31" hidden="1" customHeight="1" spans="1:97">
      <c r="A843" s="633">
        <v>46037</v>
      </c>
      <c r="B843" s="497" t="s">
        <v>1383</v>
      </c>
      <c r="C843" s="635" t="s">
        <v>90</v>
      </c>
      <c r="D843" s="432">
        <v>4500191480</v>
      </c>
      <c r="E843" s="635" t="s">
        <v>2918</v>
      </c>
      <c r="F843" s="432" t="s">
        <v>2919</v>
      </c>
      <c r="G843" s="482" t="s">
        <v>64</v>
      </c>
      <c r="H843" s="635" t="s">
        <v>65</v>
      </c>
      <c r="I843" s="851">
        <v>624</v>
      </c>
      <c r="J843" s="635">
        <v>0</v>
      </c>
      <c r="K843" s="635">
        <v>12</v>
      </c>
      <c r="L843" s="842">
        <f t="shared" si="282"/>
        <v>52</v>
      </c>
      <c r="M843" s="679">
        <v>46101</v>
      </c>
      <c r="N843" s="679">
        <v>46097</v>
      </c>
      <c r="O843" s="641"/>
      <c r="P843" s="482"/>
      <c r="Q843" s="647"/>
      <c r="R843" s="647">
        <v>46037</v>
      </c>
      <c r="S843" s="683" t="s">
        <v>96</v>
      </c>
      <c r="T843" s="683" t="s">
        <v>403</v>
      </c>
      <c r="U843" s="683"/>
      <c r="V843" s="508"/>
      <c r="W843" s="508" t="s">
        <v>2920</v>
      </c>
      <c r="X843" s="651" t="s">
        <v>113</v>
      </c>
      <c r="Y843" s="508">
        <v>2.4974</v>
      </c>
      <c r="Z843" s="651">
        <f t="shared" si="283"/>
        <v>1558.3776</v>
      </c>
      <c r="AA843" s="482"/>
      <c r="AB843" s="635" t="s">
        <v>64</v>
      </c>
      <c r="AC843" s="635" t="s">
        <v>76</v>
      </c>
      <c r="AD843" s="482"/>
      <c r="AE843" s="482"/>
      <c r="AF843" s="482"/>
      <c r="AG843" s="482"/>
      <c r="AH843" s="793">
        <f t="shared" si="281"/>
        <v>-624</v>
      </c>
      <c r="AI843" s="482"/>
      <c r="AJ843" s="482"/>
      <c r="AK843" s="656"/>
      <c r="AL843" s="656">
        <f t="shared" ref="AL843:AL861" si="286">I843</f>
        <v>624</v>
      </c>
      <c r="AM843" s="656"/>
      <c r="AN843" s="656"/>
      <c r="AO843" s="432"/>
      <c r="AP843" s="656">
        <f>I843</f>
        <v>624</v>
      </c>
      <c r="AQ843" s="656"/>
      <c r="AR843" s="656">
        <f t="shared" si="284"/>
        <v>624</v>
      </c>
      <c r="AS843" s="656"/>
      <c r="AT843" s="656">
        <f t="shared" si="285"/>
        <v>624</v>
      </c>
      <c r="AU843" s="662"/>
      <c r="AV843" s="432"/>
      <c r="AW843" s="432"/>
      <c r="AX843" s="432"/>
      <c r="AY843" s="432"/>
      <c r="AZ843" s="656"/>
      <c r="BA843" s="656"/>
      <c r="BB843" s="432"/>
      <c r="BC843" s="432"/>
      <c r="BD843" s="656"/>
      <c r="BE843" s="656"/>
      <c r="BF843" s="432"/>
      <c r="BG843" s="656"/>
      <c r="BH843" s="656"/>
      <c r="BI843" s="432"/>
      <c r="BJ843" s="432"/>
      <c r="BK843" s="432"/>
      <c r="BL843" s="432"/>
      <c r="BM843" s="432"/>
      <c r="BN843" s="871"/>
      <c r="BO843" s="432"/>
      <c r="BP843" s="432"/>
      <c r="BQ843" s="432"/>
      <c r="BR843" s="432"/>
      <c r="BS843" s="432"/>
      <c r="BT843" s="432"/>
      <c r="BU843" s="432"/>
      <c r="BV843" s="432"/>
      <c r="BW843" s="432"/>
      <c r="BX843" s="432"/>
      <c r="BY843" s="432"/>
      <c r="BZ843" s="432"/>
      <c r="CA843" s="432"/>
      <c r="CB843" s="432"/>
      <c r="CC843" s="432"/>
      <c r="CD843" s="432"/>
      <c r="CE843" s="432"/>
      <c r="CF843" s="660"/>
      <c r="CG843" s="660"/>
      <c r="CH843" s="660"/>
      <c r="CI843" s="660"/>
      <c r="CJ843" s="660"/>
      <c r="CK843" s="432"/>
      <c r="CL843" s="432"/>
      <c r="CM843" s="432"/>
      <c r="CN843" s="660"/>
      <c r="CO843" s="660"/>
      <c r="CP843" s="660"/>
      <c r="CQ843" s="660"/>
      <c r="CR843" s="660"/>
      <c r="CS843" s="660"/>
    </row>
    <row r="844" s="424" customFormat="1" ht="31" hidden="1" customHeight="1" spans="1:97">
      <c r="A844" s="633">
        <v>46037</v>
      </c>
      <c r="B844" s="497" t="s">
        <v>1383</v>
      </c>
      <c r="C844" s="635" t="s">
        <v>90</v>
      </c>
      <c r="D844" s="432">
        <v>4500191499</v>
      </c>
      <c r="E844" s="635" t="s">
        <v>2921</v>
      </c>
      <c r="F844" s="432" t="s">
        <v>2922</v>
      </c>
      <c r="G844" s="482" t="s">
        <v>64</v>
      </c>
      <c r="H844" s="635" t="s">
        <v>65</v>
      </c>
      <c r="I844" s="851">
        <v>276</v>
      </c>
      <c r="J844" s="635">
        <v>0</v>
      </c>
      <c r="K844" s="635">
        <v>12</v>
      </c>
      <c r="L844" s="842">
        <f t="shared" si="282"/>
        <v>23</v>
      </c>
      <c r="M844" s="679">
        <v>46101</v>
      </c>
      <c r="N844" s="679">
        <v>46097</v>
      </c>
      <c r="O844" s="641"/>
      <c r="P844" s="482"/>
      <c r="Q844" s="647"/>
      <c r="R844" s="647">
        <v>46037</v>
      </c>
      <c r="S844" s="683" t="s">
        <v>96</v>
      </c>
      <c r="T844" s="683" t="s">
        <v>403</v>
      </c>
      <c r="U844" s="683"/>
      <c r="V844" s="508"/>
      <c r="W844" s="508" t="s">
        <v>2923</v>
      </c>
      <c r="X844" s="651" t="s">
        <v>113</v>
      </c>
      <c r="Y844" s="508">
        <v>2.4711</v>
      </c>
      <c r="Z844" s="651">
        <f t="shared" si="283"/>
        <v>682.0236</v>
      </c>
      <c r="AA844" s="482"/>
      <c r="AB844" s="635" t="s">
        <v>64</v>
      </c>
      <c r="AC844" s="635" t="s">
        <v>76</v>
      </c>
      <c r="AD844" s="482"/>
      <c r="AE844" s="482"/>
      <c r="AF844" s="482"/>
      <c r="AG844" s="482"/>
      <c r="AH844" s="793">
        <f t="shared" si="281"/>
        <v>-276</v>
      </c>
      <c r="AI844" s="482"/>
      <c r="AJ844" s="482"/>
      <c r="AK844" s="656"/>
      <c r="AL844" s="656">
        <f t="shared" si="286"/>
        <v>276</v>
      </c>
      <c r="AM844" s="656"/>
      <c r="AN844" s="656"/>
      <c r="AO844" s="432"/>
      <c r="AP844" s="656">
        <f>I844</f>
        <v>276</v>
      </c>
      <c r="AQ844" s="656"/>
      <c r="AR844" s="656">
        <f t="shared" si="284"/>
        <v>276</v>
      </c>
      <c r="AS844" s="656"/>
      <c r="AT844" s="656">
        <f t="shared" si="285"/>
        <v>276</v>
      </c>
      <c r="AU844" s="662"/>
      <c r="AV844" s="432"/>
      <c r="AW844" s="432"/>
      <c r="AX844" s="432"/>
      <c r="AY844" s="432"/>
      <c r="AZ844" s="656"/>
      <c r="BA844" s="656"/>
      <c r="BB844" s="432"/>
      <c r="BC844" s="432"/>
      <c r="BD844" s="656"/>
      <c r="BE844" s="656"/>
      <c r="BF844" s="432"/>
      <c r="BG844" s="656"/>
      <c r="BH844" s="656"/>
      <c r="BI844" s="432"/>
      <c r="BJ844" s="432"/>
      <c r="BK844" s="432"/>
      <c r="BL844" s="432"/>
      <c r="BM844" s="432"/>
      <c r="BN844" s="871"/>
      <c r="BO844" s="432"/>
      <c r="BP844" s="432"/>
      <c r="BQ844" s="432"/>
      <c r="BR844" s="432"/>
      <c r="BS844" s="432"/>
      <c r="BT844" s="432"/>
      <c r="BU844" s="432"/>
      <c r="BV844" s="432"/>
      <c r="BW844" s="432"/>
      <c r="BX844" s="432"/>
      <c r="BY844" s="432"/>
      <c r="BZ844" s="432"/>
      <c r="CA844" s="432"/>
      <c r="CB844" s="432"/>
      <c r="CC844" s="432"/>
      <c r="CD844" s="432"/>
      <c r="CE844" s="432"/>
      <c r="CF844" s="660"/>
      <c r="CG844" s="660"/>
      <c r="CH844" s="660"/>
      <c r="CI844" s="660"/>
      <c r="CJ844" s="660"/>
      <c r="CK844" s="432"/>
      <c r="CL844" s="432"/>
      <c r="CM844" s="432"/>
      <c r="CN844" s="660"/>
      <c r="CO844" s="660"/>
      <c r="CP844" s="660"/>
      <c r="CQ844" s="660"/>
      <c r="CR844" s="660"/>
      <c r="CS844" s="660"/>
    </row>
    <row r="845" s="424" customFormat="1" ht="31" hidden="1" customHeight="1" spans="1:97">
      <c r="A845" s="633">
        <v>46037</v>
      </c>
      <c r="B845" s="497" t="s">
        <v>2924</v>
      </c>
      <c r="C845" s="635" t="s">
        <v>310</v>
      </c>
      <c r="D845" s="432">
        <v>4500191577</v>
      </c>
      <c r="E845" s="635"/>
      <c r="F845" s="432" t="s">
        <v>2925</v>
      </c>
      <c r="G845" s="482" t="s">
        <v>64</v>
      </c>
      <c r="H845" s="635" t="s">
        <v>65</v>
      </c>
      <c r="I845" s="851">
        <v>600</v>
      </c>
      <c r="J845" s="635">
        <v>0</v>
      </c>
      <c r="K845" s="635">
        <v>12</v>
      </c>
      <c r="L845" s="842">
        <f t="shared" si="282"/>
        <v>50</v>
      </c>
      <c r="M845" s="679">
        <v>46101</v>
      </c>
      <c r="N845" s="679">
        <v>46097</v>
      </c>
      <c r="O845" s="641"/>
      <c r="P845" s="482"/>
      <c r="Q845" s="647"/>
      <c r="R845" s="647" t="s">
        <v>403</v>
      </c>
      <c r="S845" s="683" t="s">
        <v>66</v>
      </c>
      <c r="T845" s="683" t="s">
        <v>403</v>
      </c>
      <c r="U845" s="683"/>
      <c r="V845" s="508"/>
      <c r="W845" s="508" t="s">
        <v>2926</v>
      </c>
      <c r="X845" s="651" t="s">
        <v>473</v>
      </c>
      <c r="Y845" s="508">
        <v>4.1623</v>
      </c>
      <c r="Z845" s="651">
        <f t="shared" si="283"/>
        <v>2497.38</v>
      </c>
      <c r="AA845" s="482"/>
      <c r="AB845" s="635" t="s">
        <v>165</v>
      </c>
      <c r="AC845" s="635" t="s">
        <v>76</v>
      </c>
      <c r="AD845" s="482"/>
      <c r="AE845" s="482"/>
      <c r="AF845" s="482"/>
      <c r="AG845" s="482"/>
      <c r="AH845" s="793">
        <f t="shared" si="281"/>
        <v>-600</v>
      </c>
      <c r="AI845" s="482"/>
      <c r="AJ845" s="482" t="s">
        <v>2191</v>
      </c>
      <c r="AK845" s="656"/>
      <c r="AL845" s="656">
        <f t="shared" si="286"/>
        <v>600</v>
      </c>
      <c r="AM845" s="656"/>
      <c r="AN845" s="656"/>
      <c r="AO845" s="432"/>
      <c r="AP845" s="656"/>
      <c r="AQ845" s="656">
        <f>I845</f>
        <v>600</v>
      </c>
      <c r="AR845" s="656">
        <f t="shared" si="284"/>
        <v>600</v>
      </c>
      <c r="AS845" s="656"/>
      <c r="AT845" s="656">
        <f t="shared" si="285"/>
        <v>600</v>
      </c>
      <c r="AU845" s="662"/>
      <c r="AV845" s="432"/>
      <c r="AW845" s="432"/>
      <c r="AX845" s="432"/>
      <c r="AY845" s="432"/>
      <c r="AZ845" s="656"/>
      <c r="BA845" s="656"/>
      <c r="BB845" s="432"/>
      <c r="BC845" s="432"/>
      <c r="BD845" s="656"/>
      <c r="BE845" s="656"/>
      <c r="BF845" s="432"/>
      <c r="BG845" s="656"/>
      <c r="BH845" s="656"/>
      <c r="BI845" s="432"/>
      <c r="BJ845" s="432"/>
      <c r="BK845" s="432"/>
      <c r="BL845" s="432"/>
      <c r="BM845" s="432"/>
      <c r="BN845" s="871"/>
      <c r="BO845" s="432"/>
      <c r="BP845" s="432"/>
      <c r="BQ845" s="432"/>
      <c r="BR845" s="432"/>
      <c r="BS845" s="432"/>
      <c r="BT845" s="432"/>
      <c r="BU845" s="432"/>
      <c r="BV845" s="432"/>
      <c r="BW845" s="432"/>
      <c r="BX845" s="432"/>
      <c r="BY845" s="432"/>
      <c r="BZ845" s="432"/>
      <c r="CA845" s="432"/>
      <c r="CB845" s="432"/>
      <c r="CC845" s="432"/>
      <c r="CD845" s="432"/>
      <c r="CE845" s="432"/>
      <c r="CF845" s="660"/>
      <c r="CG845" s="660"/>
      <c r="CH845" s="660"/>
      <c r="CI845" s="660"/>
      <c r="CJ845" s="660"/>
      <c r="CK845" s="432"/>
      <c r="CL845" s="432"/>
      <c r="CM845" s="432"/>
      <c r="CN845" s="660"/>
      <c r="CO845" s="660"/>
      <c r="CP845" s="660"/>
      <c r="CQ845" s="660"/>
      <c r="CR845" s="660"/>
      <c r="CS845" s="660"/>
    </row>
    <row r="846" s="424" customFormat="1" ht="31" hidden="1" customHeight="1" spans="1:97">
      <c r="A846" s="633">
        <v>46037</v>
      </c>
      <c r="B846" s="497" t="s">
        <v>1383</v>
      </c>
      <c r="C846" s="635" t="s">
        <v>90</v>
      </c>
      <c r="D846" s="432">
        <v>4500191560</v>
      </c>
      <c r="E846" s="635" t="s">
        <v>2927</v>
      </c>
      <c r="F846" s="432" t="s">
        <v>2928</v>
      </c>
      <c r="G846" s="482" t="s">
        <v>64</v>
      </c>
      <c r="H846" s="635" t="s">
        <v>65</v>
      </c>
      <c r="I846" s="851">
        <v>180</v>
      </c>
      <c r="J846" s="635">
        <v>0</v>
      </c>
      <c r="K846" s="635">
        <v>12</v>
      </c>
      <c r="L846" s="842">
        <f t="shared" si="282"/>
        <v>15</v>
      </c>
      <c r="M846" s="679">
        <v>46101</v>
      </c>
      <c r="N846" s="679">
        <v>46097</v>
      </c>
      <c r="O846" s="641"/>
      <c r="P846" s="482"/>
      <c r="Q846" s="647"/>
      <c r="R846" s="647">
        <v>46037</v>
      </c>
      <c r="S846" s="683" t="s">
        <v>96</v>
      </c>
      <c r="T846" s="683" t="s">
        <v>403</v>
      </c>
      <c r="U846" s="683"/>
      <c r="V846" s="508"/>
      <c r="W846" s="508" t="s">
        <v>2920</v>
      </c>
      <c r="X846" s="651" t="s">
        <v>113</v>
      </c>
      <c r="Y846" s="508">
        <v>2.4711</v>
      </c>
      <c r="Z846" s="651">
        <f t="shared" si="283"/>
        <v>444.798</v>
      </c>
      <c r="AA846" s="482"/>
      <c r="AB846" s="635" t="s">
        <v>64</v>
      </c>
      <c r="AC846" s="635" t="s">
        <v>76</v>
      </c>
      <c r="AD846" s="482"/>
      <c r="AE846" s="482"/>
      <c r="AF846" s="482"/>
      <c r="AG846" s="482"/>
      <c r="AH846" s="793">
        <f t="shared" si="281"/>
        <v>-180</v>
      </c>
      <c r="AI846" s="482"/>
      <c r="AJ846" s="482"/>
      <c r="AK846" s="656"/>
      <c r="AL846" s="656">
        <f t="shared" si="286"/>
        <v>180</v>
      </c>
      <c r="AM846" s="656"/>
      <c r="AN846" s="656"/>
      <c r="AO846" s="432"/>
      <c r="AP846" s="656">
        <f t="shared" ref="AP846:AP852" si="287">I846</f>
        <v>180</v>
      </c>
      <c r="AQ846" s="656"/>
      <c r="AR846" s="656">
        <f t="shared" si="284"/>
        <v>180</v>
      </c>
      <c r="AS846" s="656"/>
      <c r="AT846" s="656">
        <f t="shared" si="285"/>
        <v>180</v>
      </c>
      <c r="AU846" s="662"/>
      <c r="AV846" s="432"/>
      <c r="AW846" s="432"/>
      <c r="AX846" s="432"/>
      <c r="AY846" s="432"/>
      <c r="AZ846" s="656"/>
      <c r="BA846" s="656"/>
      <c r="BB846" s="432"/>
      <c r="BC846" s="432"/>
      <c r="BD846" s="656"/>
      <c r="BE846" s="656"/>
      <c r="BF846" s="432"/>
      <c r="BG846" s="656"/>
      <c r="BH846" s="656"/>
      <c r="BI846" s="432"/>
      <c r="BJ846" s="432"/>
      <c r="BK846" s="432"/>
      <c r="BL846" s="432"/>
      <c r="BM846" s="432"/>
      <c r="BN846" s="871"/>
      <c r="BO846" s="432"/>
      <c r="BP846" s="432"/>
      <c r="BQ846" s="432"/>
      <c r="BR846" s="432"/>
      <c r="BS846" s="432"/>
      <c r="BT846" s="432"/>
      <c r="BU846" s="432"/>
      <c r="BV846" s="432"/>
      <c r="BW846" s="432"/>
      <c r="BX846" s="432"/>
      <c r="BY846" s="432"/>
      <c r="BZ846" s="432"/>
      <c r="CA846" s="432"/>
      <c r="CB846" s="432"/>
      <c r="CC846" s="432"/>
      <c r="CD846" s="432"/>
      <c r="CE846" s="432"/>
      <c r="CF846" s="660"/>
      <c r="CG846" s="660"/>
      <c r="CH846" s="660"/>
      <c r="CI846" s="660"/>
      <c r="CJ846" s="660"/>
      <c r="CK846" s="432"/>
      <c r="CL846" s="432"/>
      <c r="CM846" s="432"/>
      <c r="CN846" s="660"/>
      <c r="CO846" s="660"/>
      <c r="CP846" s="660"/>
      <c r="CQ846" s="660"/>
      <c r="CR846" s="660"/>
      <c r="CS846" s="660"/>
    </row>
    <row r="847" s="424" customFormat="1" ht="31" hidden="1" customHeight="1" spans="1:97">
      <c r="A847" s="633">
        <v>46037</v>
      </c>
      <c r="B847" s="497" t="s">
        <v>1383</v>
      </c>
      <c r="C847" s="635" t="s">
        <v>90</v>
      </c>
      <c r="D847" s="432">
        <v>4500191547</v>
      </c>
      <c r="E847" s="635" t="s">
        <v>2929</v>
      </c>
      <c r="F847" s="432" t="s">
        <v>2930</v>
      </c>
      <c r="G847" s="482" t="s">
        <v>64</v>
      </c>
      <c r="H847" s="635" t="s">
        <v>65</v>
      </c>
      <c r="I847" s="851">
        <v>900</v>
      </c>
      <c r="J847" s="635">
        <v>0</v>
      </c>
      <c r="K847" s="635">
        <v>12</v>
      </c>
      <c r="L847" s="842">
        <f t="shared" si="282"/>
        <v>75</v>
      </c>
      <c r="M847" s="679">
        <v>46101</v>
      </c>
      <c r="N847" s="679">
        <v>46097</v>
      </c>
      <c r="O847" s="641"/>
      <c r="P847" s="482"/>
      <c r="Q847" s="647"/>
      <c r="R847" s="647">
        <v>46037</v>
      </c>
      <c r="S847" s="683" t="s">
        <v>96</v>
      </c>
      <c r="T847" s="683" t="s">
        <v>403</v>
      </c>
      <c r="U847" s="683"/>
      <c r="V847" s="508"/>
      <c r="W847" s="508" t="s">
        <v>2920</v>
      </c>
      <c r="X847" s="651" t="s">
        <v>113</v>
      </c>
      <c r="Y847" s="508">
        <v>2.4711</v>
      </c>
      <c r="Z847" s="651">
        <f t="shared" si="283"/>
        <v>2223.99</v>
      </c>
      <c r="AA847" s="482"/>
      <c r="AB847" s="635" t="s">
        <v>64</v>
      </c>
      <c r="AC847" s="635" t="s">
        <v>76</v>
      </c>
      <c r="AD847" s="482"/>
      <c r="AE847" s="482"/>
      <c r="AF847" s="482"/>
      <c r="AG847" s="482"/>
      <c r="AH847" s="793">
        <f t="shared" si="281"/>
        <v>-900</v>
      </c>
      <c r="AI847" s="482"/>
      <c r="AJ847" s="482"/>
      <c r="AK847" s="656"/>
      <c r="AL847" s="656">
        <f t="shared" si="286"/>
        <v>900</v>
      </c>
      <c r="AM847" s="656"/>
      <c r="AN847" s="656"/>
      <c r="AO847" s="432"/>
      <c r="AP847" s="656">
        <f t="shared" si="287"/>
        <v>900</v>
      </c>
      <c r="AQ847" s="656"/>
      <c r="AR847" s="656">
        <f t="shared" si="284"/>
        <v>900</v>
      </c>
      <c r="AS847" s="656"/>
      <c r="AT847" s="656">
        <f t="shared" si="285"/>
        <v>900</v>
      </c>
      <c r="AU847" s="662"/>
      <c r="AV847" s="432"/>
      <c r="AW847" s="432"/>
      <c r="AX847" s="432"/>
      <c r="AY847" s="432"/>
      <c r="AZ847" s="656"/>
      <c r="BA847" s="656"/>
      <c r="BB847" s="432"/>
      <c r="BC847" s="432"/>
      <c r="BD847" s="656"/>
      <c r="BE847" s="656"/>
      <c r="BF847" s="432"/>
      <c r="BG847" s="656"/>
      <c r="BH847" s="656"/>
      <c r="BI847" s="432"/>
      <c r="BJ847" s="432"/>
      <c r="BK847" s="432"/>
      <c r="BL847" s="432"/>
      <c r="BM847" s="432"/>
      <c r="BN847" s="871"/>
      <c r="BO847" s="432"/>
      <c r="BP847" s="432"/>
      <c r="BQ847" s="432"/>
      <c r="BR847" s="432"/>
      <c r="BS847" s="432"/>
      <c r="BT847" s="432"/>
      <c r="BU847" s="432"/>
      <c r="BV847" s="432"/>
      <c r="BW847" s="432"/>
      <c r="BX847" s="432"/>
      <c r="BY847" s="432"/>
      <c r="BZ847" s="432"/>
      <c r="CA847" s="432"/>
      <c r="CB847" s="432"/>
      <c r="CC847" s="432"/>
      <c r="CD847" s="432"/>
      <c r="CE847" s="432"/>
      <c r="CF847" s="660"/>
      <c r="CG847" s="660"/>
      <c r="CH847" s="660"/>
      <c r="CI847" s="660"/>
      <c r="CJ847" s="660"/>
      <c r="CK847" s="432"/>
      <c r="CL847" s="432"/>
      <c r="CM847" s="432"/>
      <c r="CN847" s="660"/>
      <c r="CO847" s="660"/>
      <c r="CP847" s="660"/>
      <c r="CQ847" s="660"/>
      <c r="CR847" s="660"/>
      <c r="CS847" s="660"/>
    </row>
    <row r="848" s="424" customFormat="1" ht="31" hidden="1" customHeight="1" spans="1:97">
      <c r="A848" s="633">
        <v>46037</v>
      </c>
      <c r="B848" s="497" t="s">
        <v>1383</v>
      </c>
      <c r="C848" s="635" t="s">
        <v>90</v>
      </c>
      <c r="D848" s="432">
        <v>4501091531</v>
      </c>
      <c r="E848" s="635" t="s">
        <v>2931</v>
      </c>
      <c r="F848" s="432" t="s">
        <v>2932</v>
      </c>
      <c r="G848" s="482" t="s">
        <v>64</v>
      </c>
      <c r="H848" s="635" t="s">
        <v>65</v>
      </c>
      <c r="I848" s="851">
        <v>1980</v>
      </c>
      <c r="J848" s="635">
        <v>0</v>
      </c>
      <c r="K848" s="635">
        <v>12</v>
      </c>
      <c r="L848" s="842">
        <f t="shared" si="282"/>
        <v>165</v>
      </c>
      <c r="M848" s="679">
        <v>46101</v>
      </c>
      <c r="N848" s="679">
        <v>46097</v>
      </c>
      <c r="O848" s="641"/>
      <c r="P848" s="482"/>
      <c r="Q848" s="647"/>
      <c r="R848" s="647">
        <v>46037</v>
      </c>
      <c r="S848" s="683" t="s">
        <v>96</v>
      </c>
      <c r="T848" s="683" t="s">
        <v>403</v>
      </c>
      <c r="U848" s="683"/>
      <c r="V848" s="508"/>
      <c r="W848" s="508" t="s">
        <v>2920</v>
      </c>
      <c r="X848" s="651" t="s">
        <v>113</v>
      </c>
      <c r="Y848" s="508">
        <v>2.4974</v>
      </c>
      <c r="Z848" s="651">
        <f t="shared" si="283"/>
        <v>4944.852</v>
      </c>
      <c r="AA848" s="482"/>
      <c r="AB848" s="635" t="s">
        <v>64</v>
      </c>
      <c r="AC848" s="635" t="s">
        <v>76</v>
      </c>
      <c r="AD848" s="482"/>
      <c r="AE848" s="482"/>
      <c r="AF848" s="482"/>
      <c r="AG848" s="482"/>
      <c r="AH848" s="793">
        <f t="shared" si="281"/>
        <v>-1980</v>
      </c>
      <c r="AI848" s="482"/>
      <c r="AJ848" s="482"/>
      <c r="AK848" s="656"/>
      <c r="AL848" s="656">
        <f t="shared" si="286"/>
        <v>1980</v>
      </c>
      <c r="AM848" s="656"/>
      <c r="AN848" s="656"/>
      <c r="AO848" s="432"/>
      <c r="AP848" s="656">
        <f t="shared" si="287"/>
        <v>1980</v>
      </c>
      <c r="AQ848" s="656"/>
      <c r="AR848" s="656">
        <f t="shared" si="284"/>
        <v>1980</v>
      </c>
      <c r="AS848" s="656"/>
      <c r="AT848" s="656">
        <f t="shared" si="285"/>
        <v>1980</v>
      </c>
      <c r="AU848" s="662"/>
      <c r="AV848" s="432"/>
      <c r="AW848" s="432"/>
      <c r="AX848" s="432"/>
      <c r="AY848" s="432"/>
      <c r="AZ848" s="656"/>
      <c r="BA848" s="656"/>
      <c r="BB848" s="432"/>
      <c r="BC848" s="432"/>
      <c r="BD848" s="656"/>
      <c r="BE848" s="656"/>
      <c r="BF848" s="432"/>
      <c r="BG848" s="656"/>
      <c r="BH848" s="656"/>
      <c r="BI848" s="432"/>
      <c r="BJ848" s="432"/>
      <c r="BK848" s="432"/>
      <c r="BL848" s="432"/>
      <c r="BM848" s="432"/>
      <c r="BN848" s="871"/>
      <c r="BO848" s="432"/>
      <c r="BP848" s="432"/>
      <c r="BQ848" s="432"/>
      <c r="BR848" s="432"/>
      <c r="BS848" s="432"/>
      <c r="BT848" s="432"/>
      <c r="BU848" s="432"/>
      <c r="BV848" s="432"/>
      <c r="BW848" s="432"/>
      <c r="BX848" s="432"/>
      <c r="BY848" s="432"/>
      <c r="BZ848" s="432"/>
      <c r="CA848" s="432"/>
      <c r="CB848" s="432"/>
      <c r="CC848" s="432"/>
      <c r="CD848" s="432"/>
      <c r="CE848" s="432"/>
      <c r="CF848" s="660"/>
      <c r="CG848" s="660"/>
      <c r="CH848" s="660"/>
      <c r="CI848" s="660"/>
      <c r="CJ848" s="660"/>
      <c r="CK848" s="432"/>
      <c r="CL848" s="432"/>
      <c r="CM848" s="432"/>
      <c r="CN848" s="660"/>
      <c r="CO848" s="660"/>
      <c r="CP848" s="660"/>
      <c r="CQ848" s="660"/>
      <c r="CR848" s="660"/>
      <c r="CS848" s="660"/>
    </row>
    <row r="849" s="424" customFormat="1" ht="31" hidden="1" customHeight="1" spans="1:97">
      <c r="A849" s="633">
        <v>46037</v>
      </c>
      <c r="B849" s="497" t="s">
        <v>1383</v>
      </c>
      <c r="C849" s="635" t="s">
        <v>90</v>
      </c>
      <c r="D849" s="432">
        <v>4500191511</v>
      </c>
      <c r="E849" s="635" t="s">
        <v>2933</v>
      </c>
      <c r="F849" s="432" t="s">
        <v>2934</v>
      </c>
      <c r="G849" s="482" t="s">
        <v>64</v>
      </c>
      <c r="H849" s="635" t="s">
        <v>65</v>
      </c>
      <c r="I849" s="851">
        <v>960</v>
      </c>
      <c r="J849" s="635">
        <v>0</v>
      </c>
      <c r="K849" s="635">
        <v>12</v>
      </c>
      <c r="L849" s="842">
        <f t="shared" si="282"/>
        <v>80</v>
      </c>
      <c r="M849" s="679">
        <v>46101</v>
      </c>
      <c r="N849" s="679">
        <v>46097</v>
      </c>
      <c r="O849" s="641"/>
      <c r="P849" s="482"/>
      <c r="Q849" s="647"/>
      <c r="R849" s="647">
        <v>46037</v>
      </c>
      <c r="S849" s="683" t="s">
        <v>96</v>
      </c>
      <c r="T849" s="683" t="s">
        <v>403</v>
      </c>
      <c r="U849" s="683"/>
      <c r="V849" s="508"/>
      <c r="W849" s="508" t="s">
        <v>2920</v>
      </c>
      <c r="X849" s="651" t="s">
        <v>113</v>
      </c>
      <c r="Y849" s="508">
        <v>2.4711</v>
      </c>
      <c r="Z849" s="651">
        <f t="shared" si="283"/>
        <v>2372.256</v>
      </c>
      <c r="AA849" s="482"/>
      <c r="AB849" s="635" t="s">
        <v>64</v>
      </c>
      <c r="AC849" s="635" t="s">
        <v>76</v>
      </c>
      <c r="AD849" s="482"/>
      <c r="AE849" s="482"/>
      <c r="AF849" s="482"/>
      <c r="AG849" s="482"/>
      <c r="AH849" s="793">
        <f t="shared" si="281"/>
        <v>-960</v>
      </c>
      <c r="AI849" s="482"/>
      <c r="AJ849" s="482"/>
      <c r="AK849" s="656"/>
      <c r="AL849" s="656">
        <f t="shared" si="286"/>
        <v>960</v>
      </c>
      <c r="AM849" s="656"/>
      <c r="AN849" s="656"/>
      <c r="AO849" s="432"/>
      <c r="AP849" s="656">
        <f t="shared" si="287"/>
        <v>960</v>
      </c>
      <c r="AQ849" s="656"/>
      <c r="AR849" s="656">
        <f t="shared" si="284"/>
        <v>960</v>
      </c>
      <c r="AS849" s="656"/>
      <c r="AT849" s="656">
        <f t="shared" si="285"/>
        <v>960</v>
      </c>
      <c r="AU849" s="662"/>
      <c r="AV849" s="432"/>
      <c r="AW849" s="432"/>
      <c r="AX849" s="432"/>
      <c r="AY849" s="432"/>
      <c r="AZ849" s="656"/>
      <c r="BA849" s="656"/>
      <c r="BB849" s="432"/>
      <c r="BC849" s="432"/>
      <c r="BD849" s="656"/>
      <c r="BE849" s="656"/>
      <c r="BF849" s="432"/>
      <c r="BG849" s="656"/>
      <c r="BH849" s="656"/>
      <c r="BI849" s="432"/>
      <c r="BJ849" s="432"/>
      <c r="BK849" s="432"/>
      <c r="BL849" s="432"/>
      <c r="BM849" s="432"/>
      <c r="BN849" s="871"/>
      <c r="BO849" s="432"/>
      <c r="BP849" s="432"/>
      <c r="BQ849" s="432"/>
      <c r="BR849" s="432"/>
      <c r="BS849" s="432"/>
      <c r="BT849" s="432"/>
      <c r="BU849" s="432"/>
      <c r="BV849" s="432"/>
      <c r="BW849" s="432"/>
      <c r="BX849" s="432"/>
      <c r="BY849" s="432"/>
      <c r="BZ849" s="432"/>
      <c r="CA849" s="432"/>
      <c r="CB849" s="432"/>
      <c r="CC849" s="432"/>
      <c r="CD849" s="432"/>
      <c r="CE849" s="432"/>
      <c r="CF849" s="660"/>
      <c r="CG849" s="660"/>
      <c r="CH849" s="660"/>
      <c r="CI849" s="660"/>
      <c r="CJ849" s="660"/>
      <c r="CK849" s="432"/>
      <c r="CL849" s="432"/>
      <c r="CM849" s="432"/>
      <c r="CN849" s="660"/>
      <c r="CO849" s="660"/>
      <c r="CP849" s="660"/>
      <c r="CQ849" s="660"/>
      <c r="CR849" s="660"/>
      <c r="CS849" s="660"/>
    </row>
    <row r="850" s="424" customFormat="1" ht="31" hidden="1" customHeight="1" spans="1:97">
      <c r="A850" s="633">
        <v>46037</v>
      </c>
      <c r="B850" s="497" t="s">
        <v>1383</v>
      </c>
      <c r="C850" s="635" t="s">
        <v>90</v>
      </c>
      <c r="D850" s="432">
        <v>4500191531</v>
      </c>
      <c r="E850" s="635" t="s">
        <v>2931</v>
      </c>
      <c r="F850" s="432" t="s">
        <v>2935</v>
      </c>
      <c r="G850" s="482" t="s">
        <v>64</v>
      </c>
      <c r="H850" s="635" t="s">
        <v>65</v>
      </c>
      <c r="I850" s="851">
        <v>1980</v>
      </c>
      <c r="J850" s="635">
        <v>0</v>
      </c>
      <c r="K850" s="635">
        <v>12</v>
      </c>
      <c r="L850" s="842">
        <f t="shared" si="282"/>
        <v>165</v>
      </c>
      <c r="M850" s="679">
        <v>46101</v>
      </c>
      <c r="N850" s="679">
        <v>46097</v>
      </c>
      <c r="O850" s="641"/>
      <c r="P850" s="482"/>
      <c r="Q850" s="647"/>
      <c r="R850" s="647">
        <v>46037</v>
      </c>
      <c r="S850" s="683" t="s">
        <v>96</v>
      </c>
      <c r="T850" s="683" t="s">
        <v>403</v>
      </c>
      <c r="U850" s="683"/>
      <c r="V850" s="508"/>
      <c r="W850" s="508" t="s">
        <v>2920</v>
      </c>
      <c r="X850" s="651" t="s">
        <v>113</v>
      </c>
      <c r="Y850" s="508">
        <v>2.4974</v>
      </c>
      <c r="Z850" s="651">
        <f t="shared" si="283"/>
        <v>4944.852</v>
      </c>
      <c r="AA850" s="482"/>
      <c r="AB850" s="635" t="s">
        <v>64</v>
      </c>
      <c r="AC850" s="635" t="s">
        <v>76</v>
      </c>
      <c r="AD850" s="482"/>
      <c r="AE850" s="482"/>
      <c r="AF850" s="482"/>
      <c r="AG850" s="482"/>
      <c r="AH850" s="793">
        <f t="shared" si="281"/>
        <v>-1980</v>
      </c>
      <c r="AI850" s="482"/>
      <c r="AJ850" s="482"/>
      <c r="AK850" s="656"/>
      <c r="AL850" s="656">
        <f t="shared" si="286"/>
        <v>1980</v>
      </c>
      <c r="AM850" s="656"/>
      <c r="AN850" s="656"/>
      <c r="AO850" s="432"/>
      <c r="AP850" s="656">
        <f t="shared" si="287"/>
        <v>1980</v>
      </c>
      <c r="AQ850" s="656"/>
      <c r="AR850" s="656">
        <f t="shared" si="284"/>
        <v>1980</v>
      </c>
      <c r="AS850" s="656"/>
      <c r="AT850" s="656">
        <f t="shared" si="285"/>
        <v>1980</v>
      </c>
      <c r="AU850" s="662"/>
      <c r="AV850" s="432"/>
      <c r="AW850" s="432"/>
      <c r="AX850" s="432"/>
      <c r="AY850" s="432"/>
      <c r="AZ850" s="656"/>
      <c r="BA850" s="656"/>
      <c r="BB850" s="432"/>
      <c r="BC850" s="432"/>
      <c r="BD850" s="656"/>
      <c r="BE850" s="656"/>
      <c r="BF850" s="432"/>
      <c r="BG850" s="656"/>
      <c r="BH850" s="656"/>
      <c r="BI850" s="432"/>
      <c r="BJ850" s="432"/>
      <c r="BK850" s="432"/>
      <c r="BL850" s="432"/>
      <c r="BM850" s="432"/>
      <c r="BN850" s="871"/>
      <c r="BO850" s="432"/>
      <c r="BP850" s="432"/>
      <c r="BQ850" s="432"/>
      <c r="BR850" s="432"/>
      <c r="BS850" s="432"/>
      <c r="BT850" s="432"/>
      <c r="BU850" s="432"/>
      <c r="BV850" s="432"/>
      <c r="BW850" s="432"/>
      <c r="BX850" s="432"/>
      <c r="BY850" s="432"/>
      <c r="BZ850" s="432"/>
      <c r="CA850" s="432"/>
      <c r="CB850" s="432"/>
      <c r="CC850" s="432"/>
      <c r="CD850" s="432"/>
      <c r="CE850" s="432"/>
      <c r="CF850" s="660"/>
      <c r="CG850" s="660"/>
      <c r="CH850" s="660"/>
      <c r="CI850" s="660"/>
      <c r="CJ850" s="660"/>
      <c r="CK850" s="432"/>
      <c r="CL850" s="432"/>
      <c r="CM850" s="432"/>
      <c r="CN850" s="660"/>
      <c r="CO850" s="660"/>
      <c r="CP850" s="660"/>
      <c r="CQ850" s="660"/>
      <c r="CR850" s="660"/>
      <c r="CS850" s="660"/>
    </row>
    <row r="851" s="424" customFormat="1" ht="31" hidden="1" customHeight="1" spans="1:97">
      <c r="A851" s="633">
        <v>46041</v>
      </c>
      <c r="B851" s="497"/>
      <c r="C851" s="635"/>
      <c r="D851" s="432" t="s">
        <v>2936</v>
      </c>
      <c r="E851" s="635"/>
      <c r="F851" s="432" t="s">
        <v>2937</v>
      </c>
      <c r="G851" s="482" t="s">
        <v>64</v>
      </c>
      <c r="H851" s="635" t="s">
        <v>65</v>
      </c>
      <c r="I851" s="851">
        <v>168</v>
      </c>
      <c r="J851" s="635">
        <v>0</v>
      </c>
      <c r="K851" s="635">
        <v>12</v>
      </c>
      <c r="L851" s="842">
        <f t="shared" si="282"/>
        <v>14</v>
      </c>
      <c r="M851" s="679">
        <v>46101</v>
      </c>
      <c r="N851" s="679">
        <v>46097</v>
      </c>
      <c r="O851" s="641"/>
      <c r="P851" s="482"/>
      <c r="Q851" s="647"/>
      <c r="R851" s="647" t="s">
        <v>1144</v>
      </c>
      <c r="S851" s="683" t="s">
        <v>66</v>
      </c>
      <c r="T851" s="683" t="s">
        <v>66</v>
      </c>
      <c r="U851" s="683"/>
      <c r="V851" s="508"/>
      <c r="W851" s="508" t="s">
        <v>2938</v>
      </c>
      <c r="X851" s="651" t="s">
        <v>2939</v>
      </c>
      <c r="Y851" s="508"/>
      <c r="Z851" s="651"/>
      <c r="AA851" s="482"/>
      <c r="AB851" s="635" t="s">
        <v>64</v>
      </c>
      <c r="AC851" s="635" t="s">
        <v>76</v>
      </c>
      <c r="AD851" s="482"/>
      <c r="AE851" s="482"/>
      <c r="AF851" s="482"/>
      <c r="AG851" s="482"/>
      <c r="AH851" s="793">
        <f t="shared" si="281"/>
        <v>-168</v>
      </c>
      <c r="AI851" s="482"/>
      <c r="AJ851" s="482"/>
      <c r="AK851" s="656"/>
      <c r="AL851" s="656">
        <f t="shared" si="286"/>
        <v>168</v>
      </c>
      <c r="AM851" s="656"/>
      <c r="AN851" s="656"/>
      <c r="AO851" s="432"/>
      <c r="AP851" s="656">
        <f t="shared" si="287"/>
        <v>168</v>
      </c>
      <c r="AQ851" s="656"/>
      <c r="AR851" s="656">
        <f t="shared" si="284"/>
        <v>168</v>
      </c>
      <c r="AS851" s="656"/>
      <c r="AT851" s="656">
        <f t="shared" si="285"/>
        <v>168</v>
      </c>
      <c r="AU851" s="662"/>
      <c r="AV851" s="432"/>
      <c r="AW851" s="432"/>
      <c r="AX851" s="432"/>
      <c r="AY851" s="432"/>
      <c r="AZ851" s="656"/>
      <c r="BA851" s="656"/>
      <c r="BB851" s="432"/>
      <c r="BC851" s="432"/>
      <c r="BD851" s="656"/>
      <c r="BE851" s="656"/>
      <c r="BF851" s="432"/>
      <c r="BG851" s="656"/>
      <c r="BH851" s="656"/>
      <c r="BI851" s="432"/>
      <c r="BJ851" s="432"/>
      <c r="BK851" s="432"/>
      <c r="BL851" s="432"/>
      <c r="BM851" s="432"/>
      <c r="BN851" s="871"/>
      <c r="BO851" s="432"/>
      <c r="BP851" s="432"/>
      <c r="BQ851" s="432"/>
      <c r="BR851" s="432"/>
      <c r="BS851" s="432"/>
      <c r="BT851" s="432"/>
      <c r="BU851" s="432"/>
      <c r="BV851" s="432"/>
      <c r="BW851" s="432"/>
      <c r="BX851" s="432"/>
      <c r="BY851" s="432"/>
      <c r="BZ851" s="432"/>
      <c r="CA851" s="432"/>
      <c r="CB851" s="432"/>
      <c r="CC851" s="432"/>
      <c r="CD851" s="432"/>
      <c r="CE851" s="432"/>
      <c r="CF851" s="660"/>
      <c r="CG851" s="660"/>
      <c r="CH851" s="660"/>
      <c r="CI851" s="660"/>
      <c r="CJ851" s="660"/>
      <c r="CK851" s="432"/>
      <c r="CL851" s="432"/>
      <c r="CM851" s="432"/>
      <c r="CN851" s="660"/>
      <c r="CO851" s="660"/>
      <c r="CP851" s="660"/>
      <c r="CQ851" s="660"/>
      <c r="CR851" s="660"/>
      <c r="CS851" s="660"/>
    </row>
    <row r="852" s="424" customFormat="1" ht="31" hidden="1" customHeight="1" spans="1:97">
      <c r="A852" s="633">
        <v>46041</v>
      </c>
      <c r="B852" s="497"/>
      <c r="C852" s="635"/>
      <c r="D852" s="432" t="s">
        <v>2936</v>
      </c>
      <c r="E852" s="635"/>
      <c r="F852" s="432" t="s">
        <v>2940</v>
      </c>
      <c r="G852" s="482" t="s">
        <v>423</v>
      </c>
      <c r="H852" s="635" t="s">
        <v>424</v>
      </c>
      <c r="I852" s="635">
        <v>90</v>
      </c>
      <c r="J852" s="635">
        <v>0</v>
      </c>
      <c r="K852" s="635">
        <v>6</v>
      </c>
      <c r="L852" s="842">
        <f t="shared" si="282"/>
        <v>15</v>
      </c>
      <c r="M852" s="679">
        <v>46101</v>
      </c>
      <c r="N852" s="679">
        <v>46097</v>
      </c>
      <c r="O852" s="641"/>
      <c r="P852" s="482"/>
      <c r="Q852" s="647"/>
      <c r="R852" s="647" t="s">
        <v>1144</v>
      </c>
      <c r="S852" s="683" t="s">
        <v>66</v>
      </c>
      <c r="T852" s="683" t="s">
        <v>66</v>
      </c>
      <c r="U852" s="683"/>
      <c r="V852" s="508"/>
      <c r="W852" s="508" t="s">
        <v>2941</v>
      </c>
      <c r="X852" s="651" t="s">
        <v>2942</v>
      </c>
      <c r="Y852" s="508"/>
      <c r="Z852" s="651"/>
      <c r="AA852" s="482"/>
      <c r="AB852" s="635"/>
      <c r="AC852" s="635"/>
      <c r="AD852" s="482"/>
      <c r="AE852" s="482"/>
      <c r="AF852" s="482"/>
      <c r="AG852" s="482"/>
      <c r="AH852" s="793">
        <f t="shared" si="281"/>
        <v>-90</v>
      </c>
      <c r="AI852" s="482"/>
      <c r="AJ852" s="482"/>
      <c r="AK852" s="656"/>
      <c r="AL852" s="543">
        <f t="shared" si="286"/>
        <v>90</v>
      </c>
      <c r="AM852" s="656"/>
      <c r="AN852" s="656"/>
      <c r="AO852" s="432"/>
      <c r="AP852" s="656">
        <f t="shared" si="287"/>
        <v>90</v>
      </c>
      <c r="AQ852" s="656"/>
      <c r="AR852" s="656">
        <f t="shared" si="284"/>
        <v>90</v>
      </c>
      <c r="AS852" s="656"/>
      <c r="AT852" s="656">
        <f t="shared" ref="AT852:AT862" si="288">I852</f>
        <v>90</v>
      </c>
      <c r="AU852" s="662"/>
      <c r="AV852" s="432"/>
      <c r="AW852" s="432"/>
      <c r="AX852" s="432"/>
      <c r="AY852" s="432"/>
      <c r="AZ852" s="656"/>
      <c r="BA852" s="656"/>
      <c r="BB852" s="432"/>
      <c r="BC852" s="432"/>
      <c r="BD852" s="656"/>
      <c r="BE852" s="656"/>
      <c r="BF852" s="432"/>
      <c r="BG852" s="656"/>
      <c r="BH852" s="656"/>
      <c r="BI852" s="432"/>
      <c r="BJ852" s="432">
        <f>I852</f>
        <v>90</v>
      </c>
      <c r="BK852" s="432"/>
      <c r="BL852" s="432"/>
      <c r="BM852" s="432"/>
      <c r="BN852" s="871"/>
      <c r="BO852" s="432"/>
      <c r="BP852" s="432"/>
      <c r="BQ852" s="432"/>
      <c r="BR852" s="432"/>
      <c r="BS852" s="432"/>
      <c r="BT852" s="432"/>
      <c r="BU852" s="432"/>
      <c r="BV852" s="432"/>
      <c r="BW852" s="432"/>
      <c r="BX852" s="432"/>
      <c r="BY852" s="432"/>
      <c r="BZ852" s="432"/>
      <c r="CA852" s="432"/>
      <c r="CB852" s="432"/>
      <c r="CC852" s="432"/>
      <c r="CD852" s="432"/>
      <c r="CE852" s="432"/>
      <c r="CF852" s="660"/>
      <c r="CG852" s="660"/>
      <c r="CH852" s="660"/>
      <c r="CI852" s="660"/>
      <c r="CJ852" s="660"/>
      <c r="CK852" s="432"/>
      <c r="CL852" s="432"/>
      <c r="CM852" s="432"/>
      <c r="CN852" s="660"/>
      <c r="CO852" s="660"/>
      <c r="CP852" s="660"/>
      <c r="CQ852" s="660"/>
      <c r="CR852" s="660"/>
      <c r="CS852" s="660"/>
    </row>
    <row r="853" s="424" customFormat="1" ht="31" hidden="1" customHeight="1" spans="1:97">
      <c r="A853" s="633">
        <v>46048</v>
      </c>
      <c r="B853" s="497" t="s">
        <v>220</v>
      </c>
      <c r="C853" s="635" t="s">
        <v>90</v>
      </c>
      <c r="D853" s="432">
        <v>4500192284</v>
      </c>
      <c r="E853" s="635"/>
      <c r="F853" s="432" t="s">
        <v>2943</v>
      </c>
      <c r="G853" s="482" t="s">
        <v>223</v>
      </c>
      <c r="H853" s="635" t="s">
        <v>224</v>
      </c>
      <c r="I853" s="851">
        <v>25000</v>
      </c>
      <c r="J853" s="635">
        <v>0</v>
      </c>
      <c r="K853" s="635">
        <v>4</v>
      </c>
      <c r="L853" s="842">
        <f t="shared" si="282"/>
        <v>6250</v>
      </c>
      <c r="M853" s="679">
        <v>46101</v>
      </c>
      <c r="N853" s="679">
        <v>46097</v>
      </c>
      <c r="O853" s="641" t="s">
        <v>2944</v>
      </c>
      <c r="P853" s="482"/>
      <c r="Q853" s="647"/>
      <c r="R853" s="647" t="s">
        <v>403</v>
      </c>
      <c r="S853" s="683" t="s">
        <v>96</v>
      </c>
      <c r="T853" s="683" t="s">
        <v>2848</v>
      </c>
      <c r="U853" s="683"/>
      <c r="V853" s="508"/>
      <c r="W853" s="508" t="s">
        <v>2518</v>
      </c>
      <c r="X853" s="651" t="s">
        <v>226</v>
      </c>
      <c r="Y853" s="687">
        <v>2.7734</v>
      </c>
      <c r="Z853" s="688">
        <f t="shared" ref="Z853:Z860" si="289">Y853*I853</f>
        <v>69335</v>
      </c>
      <c r="AA853" s="482"/>
      <c r="AB853" s="656" t="s">
        <v>223</v>
      </c>
      <c r="AC853" s="635" t="s">
        <v>76</v>
      </c>
      <c r="AD853" s="482"/>
      <c r="AE853" s="482"/>
      <c r="AF853" s="482"/>
      <c r="AG853" s="482"/>
      <c r="AH853" s="482">
        <f t="shared" si="281"/>
        <v>-25000</v>
      </c>
      <c r="AI853" s="482"/>
      <c r="AJ853" s="482" t="s">
        <v>2191</v>
      </c>
      <c r="AK853" s="656"/>
      <c r="AL853" s="656"/>
      <c r="AM853" s="656"/>
      <c r="AN853" s="656">
        <f>I853</f>
        <v>25000</v>
      </c>
      <c r="AO853" s="432"/>
      <c r="AP853" s="656"/>
      <c r="AQ853" s="656"/>
      <c r="AR853" s="656"/>
      <c r="AS853" s="656"/>
      <c r="AT853" s="656">
        <f t="shared" si="288"/>
        <v>25000</v>
      </c>
      <c r="AU853" s="662"/>
      <c r="AV853" s="432"/>
      <c r="AW853" s="432"/>
      <c r="AX853" s="432"/>
      <c r="AY853" s="432"/>
      <c r="AZ853" s="656"/>
      <c r="BA853" s="656"/>
      <c r="BB853" s="432">
        <f>I853</f>
        <v>25000</v>
      </c>
      <c r="BC853" s="432">
        <f>I853</f>
        <v>25000</v>
      </c>
      <c r="BD853" s="656">
        <f>I853/4</f>
        <v>6250</v>
      </c>
      <c r="BE853" s="656"/>
      <c r="BF853" s="432"/>
      <c r="BG853" s="568"/>
      <c r="BH853" s="568"/>
      <c r="BI853" s="432"/>
      <c r="BJ853" s="432"/>
      <c r="BK853" s="432"/>
      <c r="BL853" s="432"/>
      <c r="BM853" s="432"/>
      <c r="BN853" s="871"/>
      <c r="BO853" s="432"/>
      <c r="BP853" s="432"/>
      <c r="BQ853" s="432"/>
      <c r="BR853" s="432"/>
      <c r="BS853" s="432"/>
      <c r="BT853" s="432"/>
      <c r="BU853" s="432"/>
      <c r="BV853" s="432"/>
      <c r="BW853" s="432"/>
      <c r="BX853" s="432"/>
      <c r="BY853" s="432"/>
      <c r="BZ853" s="432"/>
      <c r="CA853" s="432"/>
      <c r="CB853" s="432"/>
      <c r="CC853" s="432"/>
      <c r="CD853" s="432"/>
      <c r="CE853" s="432"/>
      <c r="CF853" s="660"/>
      <c r="CG853" s="660"/>
      <c r="CH853" s="660"/>
      <c r="CI853" s="660"/>
      <c r="CJ853" s="660"/>
      <c r="CK853" s="432"/>
      <c r="CL853" s="432"/>
      <c r="CM853" s="432"/>
      <c r="CN853" s="660"/>
      <c r="CO853" s="660"/>
      <c r="CP853" s="660"/>
      <c r="CQ853" s="660"/>
      <c r="CR853" s="660"/>
      <c r="CS853" s="660"/>
    </row>
    <row r="854" s="424" customFormat="1" ht="31" hidden="1" customHeight="1" spans="1:97">
      <c r="A854" s="633">
        <v>46044</v>
      </c>
      <c r="B854" s="497" t="s">
        <v>1708</v>
      </c>
      <c r="C854" s="635" t="s">
        <v>468</v>
      </c>
      <c r="D854" s="432">
        <v>4500192091</v>
      </c>
      <c r="E854" s="635"/>
      <c r="F854" s="432" t="s">
        <v>2945</v>
      </c>
      <c r="G854" s="482" t="s">
        <v>64</v>
      </c>
      <c r="H854" s="635" t="s">
        <v>65</v>
      </c>
      <c r="I854" s="851">
        <v>1200</v>
      </c>
      <c r="J854" s="635">
        <v>0</v>
      </c>
      <c r="K854" s="635">
        <v>12</v>
      </c>
      <c r="L854" s="842">
        <f t="shared" si="282"/>
        <v>100</v>
      </c>
      <c r="M854" s="679">
        <v>46101</v>
      </c>
      <c r="N854" s="679">
        <v>46097</v>
      </c>
      <c r="O854" s="641"/>
      <c r="P854" s="482"/>
      <c r="Q854" s="647"/>
      <c r="R854" s="647" t="s">
        <v>403</v>
      </c>
      <c r="S854" s="683" t="s">
        <v>66</v>
      </c>
      <c r="T854" s="683" t="s">
        <v>403</v>
      </c>
      <c r="U854" s="683"/>
      <c r="V854" s="508"/>
      <c r="W854" s="508" t="s">
        <v>2946</v>
      </c>
      <c r="X854" s="508" t="s">
        <v>853</v>
      </c>
      <c r="Y854" s="508">
        <v>4.1185</v>
      </c>
      <c r="Z854" s="651">
        <f t="shared" si="289"/>
        <v>4942.2</v>
      </c>
      <c r="AA854" s="482"/>
      <c r="AB854" s="635" t="s">
        <v>165</v>
      </c>
      <c r="AC854" s="635" t="s">
        <v>76</v>
      </c>
      <c r="AD854" s="482"/>
      <c r="AE854" s="482"/>
      <c r="AF854" s="482"/>
      <c r="AG854" s="482"/>
      <c r="AH854" s="482">
        <f t="shared" ref="AH854:AH860" si="290">AG854-I854</f>
        <v>-1200</v>
      </c>
      <c r="AI854" s="482"/>
      <c r="AJ854" s="482"/>
      <c r="AK854" s="656"/>
      <c r="AL854" s="656">
        <f t="shared" ref="AL854:AL860" si="291">I854</f>
        <v>1200</v>
      </c>
      <c r="AM854" s="656"/>
      <c r="AN854" s="656"/>
      <c r="AO854" s="432"/>
      <c r="AP854" s="656"/>
      <c r="AQ854" s="656">
        <f>I854</f>
        <v>1200</v>
      </c>
      <c r="AR854" s="656">
        <f>I854</f>
        <v>1200</v>
      </c>
      <c r="AS854" s="656"/>
      <c r="AT854" s="656">
        <f t="shared" si="288"/>
        <v>1200</v>
      </c>
      <c r="AU854" s="662"/>
      <c r="AV854" s="432"/>
      <c r="AW854" s="432"/>
      <c r="AX854" s="432"/>
      <c r="AY854" s="432"/>
      <c r="AZ854" s="656"/>
      <c r="BA854" s="656"/>
      <c r="BB854" s="432"/>
      <c r="BC854" s="432"/>
      <c r="BD854" s="656"/>
      <c r="BE854" s="656"/>
      <c r="BF854" s="432"/>
      <c r="BG854" s="568"/>
      <c r="BH854" s="568"/>
      <c r="BI854" s="432"/>
      <c r="BJ854" s="432"/>
      <c r="BK854" s="432"/>
      <c r="BL854" s="432"/>
      <c r="BM854" s="432"/>
      <c r="BN854" s="871"/>
      <c r="BO854" s="432"/>
      <c r="BP854" s="432"/>
      <c r="BQ854" s="432"/>
      <c r="BR854" s="432"/>
      <c r="BS854" s="432"/>
      <c r="BT854" s="432"/>
      <c r="BU854" s="432"/>
      <c r="BV854" s="432"/>
      <c r="BW854" s="432"/>
      <c r="BX854" s="432"/>
      <c r="BY854" s="432"/>
      <c r="BZ854" s="432"/>
      <c r="CA854" s="432"/>
      <c r="CB854" s="432"/>
      <c r="CC854" s="432"/>
      <c r="CD854" s="432"/>
      <c r="CE854" s="432"/>
      <c r="CF854" s="660"/>
      <c r="CG854" s="660"/>
      <c r="CH854" s="660"/>
      <c r="CI854" s="660"/>
      <c r="CJ854" s="660"/>
      <c r="CK854" s="432"/>
      <c r="CL854" s="432"/>
      <c r="CM854" s="432"/>
      <c r="CN854" s="660"/>
      <c r="CO854" s="660"/>
      <c r="CP854" s="660"/>
      <c r="CQ854" s="660"/>
      <c r="CR854" s="660"/>
      <c r="CS854" s="660"/>
    </row>
    <row r="855" s="434" customFormat="1" ht="31" hidden="1" customHeight="1" spans="1:97">
      <c r="A855" s="633">
        <v>46052</v>
      </c>
      <c r="B855" s="497" t="s">
        <v>108</v>
      </c>
      <c r="C855" s="635" t="s">
        <v>90</v>
      </c>
      <c r="D855" s="432">
        <v>4500192106</v>
      </c>
      <c r="E855" s="635">
        <v>5200008751</v>
      </c>
      <c r="F855" s="432" t="s">
        <v>2947</v>
      </c>
      <c r="G855" s="482" t="s">
        <v>111</v>
      </c>
      <c r="H855" s="635" t="s">
        <v>65</v>
      </c>
      <c r="I855" s="851">
        <v>2496</v>
      </c>
      <c r="J855" s="635">
        <v>0</v>
      </c>
      <c r="K855" s="635">
        <v>12</v>
      </c>
      <c r="L855" s="842">
        <f t="shared" si="282"/>
        <v>208</v>
      </c>
      <c r="M855" s="679">
        <v>46104</v>
      </c>
      <c r="N855" s="679">
        <v>46100</v>
      </c>
      <c r="O855" s="641"/>
      <c r="P855" s="482"/>
      <c r="Q855" s="647"/>
      <c r="R855" s="647">
        <v>46052</v>
      </c>
      <c r="S855" s="683" t="s">
        <v>66</v>
      </c>
      <c r="T855" s="683" t="s">
        <v>66</v>
      </c>
      <c r="U855" s="683"/>
      <c r="V855" s="508"/>
      <c r="W855" s="508" t="s">
        <v>2030</v>
      </c>
      <c r="X855" s="508" t="s">
        <v>113</v>
      </c>
      <c r="Y855" s="687">
        <v>2.4941</v>
      </c>
      <c r="Z855" s="688">
        <f t="shared" si="289"/>
        <v>6225.2736</v>
      </c>
      <c r="AA855" s="482"/>
      <c r="AB855" s="520" t="s">
        <v>64</v>
      </c>
      <c r="AC855" s="635" t="s">
        <v>76</v>
      </c>
      <c r="AD855" s="482"/>
      <c r="AE855" s="482"/>
      <c r="AF855" s="482"/>
      <c r="AG855" s="482"/>
      <c r="AH855" s="482">
        <f t="shared" si="290"/>
        <v>-2496</v>
      </c>
      <c r="AI855" s="482"/>
      <c r="AJ855" s="482"/>
      <c r="AK855" s="656"/>
      <c r="AL855" s="656">
        <f t="shared" si="291"/>
        <v>2496</v>
      </c>
      <c r="AM855" s="656"/>
      <c r="AN855" s="656"/>
      <c r="AO855" s="432"/>
      <c r="AP855" s="656">
        <f>I855</f>
        <v>2496</v>
      </c>
      <c r="AQ855" s="656"/>
      <c r="AR855" s="656">
        <f>I855</f>
        <v>2496</v>
      </c>
      <c r="AS855" s="656"/>
      <c r="AT855" s="656">
        <f t="shared" si="288"/>
        <v>2496</v>
      </c>
      <c r="AU855" s="662"/>
      <c r="AV855" s="432"/>
      <c r="AW855" s="432"/>
      <c r="AX855" s="432"/>
      <c r="AY855" s="432"/>
      <c r="AZ855" s="656"/>
      <c r="BA855" s="656"/>
      <c r="BB855" s="432"/>
      <c r="BC855" s="432"/>
      <c r="BD855" s="656"/>
      <c r="BE855" s="656"/>
      <c r="BF855" s="432"/>
      <c r="BG855" s="656"/>
      <c r="BH855" s="656"/>
      <c r="BI855" s="432"/>
      <c r="BJ855" s="432"/>
      <c r="BK855" s="432"/>
      <c r="BL855" s="432"/>
      <c r="BM855" s="432"/>
      <c r="BN855" s="871"/>
      <c r="BO855" s="432"/>
      <c r="BP855" s="432"/>
      <c r="BQ855" s="432"/>
      <c r="BR855" s="432"/>
      <c r="BS855" s="432"/>
      <c r="BT855" s="432"/>
      <c r="BU855" s="432"/>
      <c r="BV855" s="432"/>
      <c r="BW855" s="432"/>
      <c r="BX855" s="432"/>
      <c r="BY855" s="432"/>
      <c r="BZ855" s="432"/>
      <c r="CA855" s="432"/>
      <c r="CB855" s="432"/>
      <c r="CC855" s="432"/>
      <c r="CD855" s="432"/>
      <c r="CE855" s="432"/>
      <c r="CF855" s="660"/>
      <c r="CG855" s="660"/>
      <c r="CH855" s="660"/>
      <c r="CI855" s="660"/>
      <c r="CJ855" s="660"/>
      <c r="CK855" s="432"/>
      <c r="CL855" s="432"/>
      <c r="CM855" s="432"/>
      <c r="CN855" s="660"/>
      <c r="CO855" s="660"/>
      <c r="CP855" s="660"/>
      <c r="CQ855" s="660"/>
      <c r="CR855" s="660"/>
      <c r="CS855" s="660"/>
    </row>
    <row r="856" s="434" customFormat="1" ht="31" hidden="1" customHeight="1" spans="1:97">
      <c r="A856" s="633">
        <v>46052</v>
      </c>
      <c r="B856" s="497" t="s">
        <v>108</v>
      </c>
      <c r="C856" s="635" t="s">
        <v>90</v>
      </c>
      <c r="D856" s="432">
        <v>4500192818</v>
      </c>
      <c r="E856" s="635">
        <v>5200008873</v>
      </c>
      <c r="F856" s="432" t="s">
        <v>2948</v>
      </c>
      <c r="G856" s="482" t="s">
        <v>111</v>
      </c>
      <c r="H856" s="635" t="s">
        <v>65</v>
      </c>
      <c r="I856" s="851">
        <v>2496</v>
      </c>
      <c r="J856" s="635">
        <v>0</v>
      </c>
      <c r="K856" s="635">
        <v>12</v>
      </c>
      <c r="L856" s="842">
        <f t="shared" si="282"/>
        <v>208</v>
      </c>
      <c r="M856" s="679">
        <v>46104</v>
      </c>
      <c r="N856" s="679">
        <v>46100</v>
      </c>
      <c r="O856" s="641"/>
      <c r="P856" s="482"/>
      <c r="Q856" s="647" t="s">
        <v>2949</v>
      </c>
      <c r="R856" s="647">
        <v>46052</v>
      </c>
      <c r="S856" s="683" t="s">
        <v>66</v>
      </c>
      <c r="T856" s="683" t="s">
        <v>66</v>
      </c>
      <c r="U856" s="683"/>
      <c r="V856" s="508"/>
      <c r="W856" s="508" t="s">
        <v>2950</v>
      </c>
      <c r="X856" s="508" t="s">
        <v>1512</v>
      </c>
      <c r="Y856" s="687">
        <v>2.4974</v>
      </c>
      <c r="Z856" s="688">
        <f t="shared" si="289"/>
        <v>6233.5104</v>
      </c>
      <c r="AA856" s="482"/>
      <c r="AB856" s="520" t="s">
        <v>64</v>
      </c>
      <c r="AC856" s="635" t="s">
        <v>76</v>
      </c>
      <c r="AD856" s="482"/>
      <c r="AE856" s="482"/>
      <c r="AF856" s="482"/>
      <c r="AG856" s="482"/>
      <c r="AH856" s="482">
        <f t="shared" si="290"/>
        <v>-2496</v>
      </c>
      <c r="AI856" s="482"/>
      <c r="AJ856" s="482"/>
      <c r="AK856" s="656"/>
      <c r="AL856" s="656">
        <f t="shared" si="291"/>
        <v>2496</v>
      </c>
      <c r="AM856" s="656"/>
      <c r="AN856" s="656"/>
      <c r="AO856" s="432"/>
      <c r="AP856" s="656">
        <f>I856</f>
        <v>2496</v>
      </c>
      <c r="AQ856" s="656"/>
      <c r="AR856" s="656">
        <f>I856</f>
        <v>2496</v>
      </c>
      <c r="AS856" s="656"/>
      <c r="AT856" s="656">
        <f t="shared" si="288"/>
        <v>2496</v>
      </c>
      <c r="AU856" s="662"/>
      <c r="AV856" s="432"/>
      <c r="AW856" s="432"/>
      <c r="AX856" s="432"/>
      <c r="AY856" s="432"/>
      <c r="AZ856" s="656"/>
      <c r="BA856" s="656"/>
      <c r="BB856" s="432"/>
      <c r="BC856" s="432"/>
      <c r="BD856" s="656"/>
      <c r="BE856" s="656"/>
      <c r="BF856" s="432"/>
      <c r="BG856" s="656"/>
      <c r="BH856" s="656"/>
      <c r="BI856" s="432"/>
      <c r="BJ856" s="432"/>
      <c r="BK856" s="432"/>
      <c r="BL856" s="432"/>
      <c r="BM856" s="432"/>
      <c r="BN856" s="871"/>
      <c r="BO856" s="432"/>
      <c r="BP856" s="432"/>
      <c r="BQ856" s="432"/>
      <c r="BR856" s="432"/>
      <c r="BS856" s="432"/>
      <c r="BT856" s="432"/>
      <c r="BU856" s="432"/>
      <c r="BV856" s="432"/>
      <c r="BW856" s="432"/>
      <c r="BX856" s="432"/>
      <c r="BY856" s="432"/>
      <c r="BZ856" s="432"/>
      <c r="CA856" s="432"/>
      <c r="CB856" s="432"/>
      <c r="CC856" s="432"/>
      <c r="CD856" s="432"/>
      <c r="CE856" s="432"/>
      <c r="CF856" s="660"/>
      <c r="CG856" s="660"/>
      <c r="CH856" s="660"/>
      <c r="CI856" s="660"/>
      <c r="CJ856" s="660"/>
      <c r="CK856" s="432"/>
      <c r="CL856" s="432"/>
      <c r="CM856" s="432"/>
      <c r="CN856" s="660"/>
      <c r="CO856" s="660"/>
      <c r="CP856" s="660"/>
      <c r="CQ856" s="660"/>
      <c r="CR856" s="660"/>
      <c r="CS856" s="660"/>
    </row>
    <row r="857" s="424" customFormat="1" ht="31" hidden="1" customHeight="1" spans="1:97">
      <c r="A857" s="633">
        <v>46041</v>
      </c>
      <c r="B857" s="673" t="s">
        <v>1228</v>
      </c>
      <c r="C857" s="674" t="s">
        <v>841</v>
      </c>
      <c r="D857" s="675">
        <v>4500191722</v>
      </c>
      <c r="E857" s="635"/>
      <c r="F857" s="675" t="s">
        <v>2951</v>
      </c>
      <c r="G857" s="482" t="s">
        <v>64</v>
      </c>
      <c r="H857" s="635" t="s">
        <v>65</v>
      </c>
      <c r="I857" s="873">
        <v>48</v>
      </c>
      <c r="J857" s="635">
        <v>0</v>
      </c>
      <c r="K857" s="635">
        <v>12</v>
      </c>
      <c r="L857" s="842">
        <f t="shared" si="282"/>
        <v>4</v>
      </c>
      <c r="M857" s="640">
        <v>46105</v>
      </c>
      <c r="N857" s="640">
        <v>46101</v>
      </c>
      <c r="O857" s="641"/>
      <c r="P857" s="482"/>
      <c r="Q857" s="647"/>
      <c r="R857" s="647" t="s">
        <v>403</v>
      </c>
      <c r="S857" s="683" t="s">
        <v>66</v>
      </c>
      <c r="T857" s="683" t="s">
        <v>403</v>
      </c>
      <c r="U857" s="683"/>
      <c r="V857" s="508"/>
      <c r="W857" s="571" t="s">
        <v>2952</v>
      </c>
      <c r="X857" s="651" t="s">
        <v>853</v>
      </c>
      <c r="Y857" s="508">
        <v>4.1185</v>
      </c>
      <c r="Z857" s="651">
        <f t="shared" si="289"/>
        <v>197.688</v>
      </c>
      <c r="AA857" s="482"/>
      <c r="AB857" s="635" t="s">
        <v>165</v>
      </c>
      <c r="AC857" s="635" t="s">
        <v>76</v>
      </c>
      <c r="AD857" s="482"/>
      <c r="AE857" s="482"/>
      <c r="AF857" s="482"/>
      <c r="AG857" s="482"/>
      <c r="AH857" s="642">
        <f t="shared" si="290"/>
        <v>-48</v>
      </c>
      <c r="AI857" s="482"/>
      <c r="AJ857" s="482"/>
      <c r="AK857" s="656"/>
      <c r="AL857" s="656">
        <f t="shared" si="291"/>
        <v>48</v>
      </c>
      <c r="AM857" s="656"/>
      <c r="AN857" s="656"/>
      <c r="AO857" s="432"/>
      <c r="AP857" s="656"/>
      <c r="AQ857" s="656">
        <f t="shared" ref="AQ857:AQ860" si="292">I857</f>
        <v>48</v>
      </c>
      <c r="AR857" s="656">
        <f t="shared" ref="AR857:AR860" si="293">I857</f>
        <v>48</v>
      </c>
      <c r="AS857" s="656"/>
      <c r="AT857" s="656">
        <f t="shared" si="288"/>
        <v>48</v>
      </c>
      <c r="AU857" s="662"/>
      <c r="AV857" s="432"/>
      <c r="AW857" s="432"/>
      <c r="AX857" s="432"/>
      <c r="AY857" s="432"/>
      <c r="AZ857" s="656"/>
      <c r="BA857" s="656"/>
      <c r="BB857" s="432"/>
      <c r="BC857" s="432"/>
      <c r="BD857" s="656"/>
      <c r="BE857" s="656"/>
      <c r="BF857" s="432"/>
      <c r="BG857" s="656"/>
      <c r="BH857" s="656"/>
      <c r="BI857" s="432"/>
      <c r="BJ857" s="432"/>
      <c r="BK857" s="432"/>
      <c r="BL857" s="432"/>
      <c r="BM857" s="432"/>
      <c r="BN857" s="871"/>
      <c r="BO857" s="432"/>
      <c r="BP857" s="432"/>
      <c r="BQ857" s="432"/>
      <c r="BR857" s="432"/>
      <c r="BS857" s="432"/>
      <c r="BT857" s="432"/>
      <c r="BU857" s="432"/>
      <c r="BV857" s="432"/>
      <c r="BW857" s="432"/>
      <c r="BX857" s="432"/>
      <c r="BY857" s="432"/>
      <c r="BZ857" s="432"/>
      <c r="CA857" s="432"/>
      <c r="CB857" s="432"/>
      <c r="CC857" s="432"/>
      <c r="CD857" s="432"/>
      <c r="CE857" s="432"/>
      <c r="CF857" s="660"/>
      <c r="CG857" s="660"/>
      <c r="CH857" s="660"/>
      <c r="CI857" s="660"/>
      <c r="CJ857" s="660"/>
      <c r="CK857" s="432"/>
      <c r="CL857" s="432"/>
      <c r="CM857" s="432"/>
      <c r="CN857" s="660"/>
      <c r="CO857" s="660"/>
      <c r="CP857" s="660"/>
      <c r="CQ857" s="660"/>
      <c r="CR857" s="660"/>
      <c r="CS857" s="660"/>
    </row>
    <row r="858" s="434" customFormat="1" ht="31" hidden="1" customHeight="1" spans="1:97">
      <c r="A858" s="633">
        <v>46052</v>
      </c>
      <c r="B858" s="497" t="s">
        <v>1228</v>
      </c>
      <c r="C858" s="635" t="s">
        <v>841</v>
      </c>
      <c r="D858" s="432">
        <v>4500192740</v>
      </c>
      <c r="E858" s="635"/>
      <c r="F858" s="432" t="s">
        <v>2953</v>
      </c>
      <c r="G858" s="482" t="s">
        <v>64</v>
      </c>
      <c r="H858" s="635" t="s">
        <v>65</v>
      </c>
      <c r="I858" s="851">
        <v>24</v>
      </c>
      <c r="J858" s="635">
        <v>0</v>
      </c>
      <c r="K858" s="635">
        <v>12</v>
      </c>
      <c r="L858" s="842">
        <f t="shared" si="282"/>
        <v>2</v>
      </c>
      <c r="M858" s="679">
        <v>46105</v>
      </c>
      <c r="N858" s="679">
        <v>46101</v>
      </c>
      <c r="O858" s="641"/>
      <c r="P858" s="482"/>
      <c r="Q858" s="647"/>
      <c r="R858" s="647">
        <v>46052</v>
      </c>
      <c r="S858" s="683" t="s">
        <v>66</v>
      </c>
      <c r="T858" s="683" t="s">
        <v>403</v>
      </c>
      <c r="U858" s="683"/>
      <c r="V858" s="508"/>
      <c r="W858" s="508" t="s">
        <v>2954</v>
      </c>
      <c r="X858" s="508" t="s">
        <v>853</v>
      </c>
      <c r="Y858" s="687">
        <v>4.1185</v>
      </c>
      <c r="Z858" s="688">
        <f t="shared" si="289"/>
        <v>98.844</v>
      </c>
      <c r="AA858" s="482"/>
      <c r="AB858" s="635" t="s">
        <v>165</v>
      </c>
      <c r="AC858" s="635" t="s">
        <v>76</v>
      </c>
      <c r="AD858" s="482"/>
      <c r="AE858" s="482"/>
      <c r="AF858" s="482"/>
      <c r="AG858" s="482"/>
      <c r="AH858" s="482">
        <f t="shared" si="290"/>
        <v>-24</v>
      </c>
      <c r="AI858" s="482"/>
      <c r="AJ858" s="482"/>
      <c r="AK858" s="656"/>
      <c r="AL858" s="656">
        <f t="shared" si="291"/>
        <v>24</v>
      </c>
      <c r="AM858" s="656"/>
      <c r="AN858" s="656"/>
      <c r="AO858" s="432"/>
      <c r="AP858" s="656"/>
      <c r="AQ858" s="656">
        <f t="shared" si="292"/>
        <v>24</v>
      </c>
      <c r="AR858" s="656">
        <f t="shared" si="293"/>
        <v>24</v>
      </c>
      <c r="AS858" s="656"/>
      <c r="AT858" s="656">
        <f t="shared" si="288"/>
        <v>24</v>
      </c>
      <c r="AU858" s="662"/>
      <c r="AV858" s="432"/>
      <c r="AW858" s="432"/>
      <c r="AX858" s="432"/>
      <c r="AY858" s="432"/>
      <c r="AZ858" s="656"/>
      <c r="BA858" s="656"/>
      <c r="BB858" s="432"/>
      <c r="BC858" s="432"/>
      <c r="BD858" s="656"/>
      <c r="BE858" s="656"/>
      <c r="BF858" s="432"/>
      <c r="BG858" s="656"/>
      <c r="BH858" s="656"/>
      <c r="BI858" s="432"/>
      <c r="BJ858" s="432"/>
      <c r="BK858" s="432"/>
      <c r="BL858" s="432"/>
      <c r="BM858" s="432"/>
      <c r="BN858" s="871"/>
      <c r="BO858" s="432"/>
      <c r="BP858" s="432"/>
      <c r="BQ858" s="432"/>
      <c r="BR858" s="432"/>
      <c r="BS858" s="432"/>
      <c r="BT858" s="432"/>
      <c r="BU858" s="432"/>
      <c r="BV858" s="432"/>
      <c r="BW858" s="432"/>
      <c r="BX858" s="432"/>
      <c r="BY858" s="432"/>
      <c r="BZ858" s="432"/>
      <c r="CA858" s="432"/>
      <c r="CB858" s="432"/>
      <c r="CC858" s="432"/>
      <c r="CD858" s="432"/>
      <c r="CE858" s="432"/>
      <c r="CF858" s="660"/>
      <c r="CG858" s="660"/>
      <c r="CH858" s="660"/>
      <c r="CI858" s="660"/>
      <c r="CJ858" s="660"/>
      <c r="CK858" s="432"/>
      <c r="CL858" s="432"/>
      <c r="CM858" s="432"/>
      <c r="CN858" s="660"/>
      <c r="CO858" s="660"/>
      <c r="CP858" s="660"/>
      <c r="CQ858" s="660"/>
      <c r="CR858" s="660"/>
      <c r="CS858" s="660"/>
    </row>
    <row r="859" s="424" customFormat="1" ht="31" hidden="1" customHeight="1" spans="1:97">
      <c r="A859" s="633">
        <v>46052</v>
      </c>
      <c r="B859" s="497" t="s">
        <v>1228</v>
      </c>
      <c r="C859" s="635" t="s">
        <v>841</v>
      </c>
      <c r="D859" s="432">
        <v>4500192757</v>
      </c>
      <c r="E859" s="635"/>
      <c r="F859" s="432" t="s">
        <v>2955</v>
      </c>
      <c r="G859" s="482" t="s">
        <v>64</v>
      </c>
      <c r="H859" s="635" t="s">
        <v>65</v>
      </c>
      <c r="I859" s="851">
        <v>24</v>
      </c>
      <c r="J859" s="635">
        <v>0</v>
      </c>
      <c r="K859" s="635">
        <v>12</v>
      </c>
      <c r="L859" s="842">
        <f t="shared" si="282"/>
        <v>2</v>
      </c>
      <c r="M859" s="679">
        <v>46105</v>
      </c>
      <c r="N859" s="679">
        <v>46101</v>
      </c>
      <c r="O859" s="641"/>
      <c r="P859" s="482"/>
      <c r="Q859" s="647"/>
      <c r="R859" s="647">
        <v>46052</v>
      </c>
      <c r="S859" s="683" t="s">
        <v>66</v>
      </c>
      <c r="T859" s="683" t="s">
        <v>403</v>
      </c>
      <c r="U859" s="683"/>
      <c r="V859" s="508"/>
      <c r="W859" s="508" t="s">
        <v>2956</v>
      </c>
      <c r="X859" s="508" t="s">
        <v>853</v>
      </c>
      <c r="Y859" s="687">
        <v>4.1623</v>
      </c>
      <c r="Z859" s="688">
        <f t="shared" si="289"/>
        <v>99.8952</v>
      </c>
      <c r="AA859" s="482" t="s">
        <v>2957</v>
      </c>
      <c r="AB859" s="635" t="s">
        <v>165</v>
      </c>
      <c r="AC859" s="635" t="s">
        <v>76</v>
      </c>
      <c r="AD859" s="482"/>
      <c r="AE859" s="482"/>
      <c r="AF859" s="482"/>
      <c r="AG859" s="482"/>
      <c r="AH859" s="482">
        <f t="shared" si="290"/>
        <v>-24</v>
      </c>
      <c r="AI859" s="482"/>
      <c r="AJ859" s="482"/>
      <c r="AK859" s="656"/>
      <c r="AL859" s="656">
        <f t="shared" si="291"/>
        <v>24</v>
      </c>
      <c r="AM859" s="656"/>
      <c r="AN859" s="656"/>
      <c r="AO859" s="432"/>
      <c r="AP859" s="656"/>
      <c r="AQ859" s="656">
        <f t="shared" si="292"/>
        <v>24</v>
      </c>
      <c r="AR859" s="656">
        <f t="shared" si="293"/>
        <v>24</v>
      </c>
      <c r="AS859" s="656"/>
      <c r="AT859" s="656">
        <f t="shared" si="288"/>
        <v>24</v>
      </c>
      <c r="AU859" s="662"/>
      <c r="AV859" s="432"/>
      <c r="AW859" s="432"/>
      <c r="AX859" s="432"/>
      <c r="AY859" s="432"/>
      <c r="AZ859" s="656"/>
      <c r="BA859" s="656"/>
      <c r="BB859" s="432"/>
      <c r="BC859" s="432"/>
      <c r="BD859" s="656"/>
      <c r="BE859" s="656"/>
      <c r="BF859" s="432"/>
      <c r="BG859" s="656"/>
      <c r="BH859" s="656"/>
      <c r="BI859" s="432"/>
      <c r="BJ859" s="432"/>
      <c r="BK859" s="432"/>
      <c r="BL859" s="432"/>
      <c r="BM859" s="432"/>
      <c r="BN859" s="871"/>
      <c r="BO859" s="432"/>
      <c r="BP859" s="432"/>
      <c r="BQ859" s="432"/>
      <c r="BR859" s="432"/>
      <c r="BS859" s="432"/>
      <c r="BT859" s="432"/>
      <c r="BU859" s="432"/>
      <c r="BV859" s="432"/>
      <c r="BW859" s="432"/>
      <c r="BX859" s="432"/>
      <c r="BY859" s="432"/>
      <c r="BZ859" s="432"/>
      <c r="CA859" s="432"/>
      <c r="CB859" s="432"/>
      <c r="CC859" s="432"/>
      <c r="CD859" s="432"/>
      <c r="CE859" s="432"/>
      <c r="CF859" s="660"/>
      <c r="CG859" s="660"/>
      <c r="CH859" s="660"/>
      <c r="CI859" s="660"/>
      <c r="CJ859" s="660"/>
      <c r="CK859" s="432"/>
      <c r="CL859" s="432"/>
      <c r="CM859" s="432"/>
      <c r="CN859" s="660"/>
      <c r="CO859" s="660"/>
      <c r="CP859" s="660"/>
      <c r="CQ859" s="660"/>
      <c r="CR859" s="660"/>
      <c r="CS859" s="660"/>
    </row>
    <row r="860" s="424" customFormat="1" ht="31" hidden="1" customHeight="1" spans="1:97">
      <c r="A860" s="633">
        <v>46052</v>
      </c>
      <c r="B860" s="497" t="s">
        <v>1228</v>
      </c>
      <c r="C860" s="635" t="s">
        <v>841</v>
      </c>
      <c r="D860" s="432">
        <v>4500192767</v>
      </c>
      <c r="E860" s="635"/>
      <c r="F860" s="432" t="s">
        <v>2958</v>
      </c>
      <c r="G860" s="482" t="s">
        <v>64</v>
      </c>
      <c r="H860" s="635" t="s">
        <v>65</v>
      </c>
      <c r="I860" s="851">
        <v>24</v>
      </c>
      <c r="J860" s="635">
        <v>0</v>
      </c>
      <c r="K860" s="635">
        <v>12</v>
      </c>
      <c r="L860" s="842">
        <f t="shared" si="282"/>
        <v>2</v>
      </c>
      <c r="M860" s="679">
        <v>46105</v>
      </c>
      <c r="N860" s="679">
        <v>46101</v>
      </c>
      <c r="O860" s="641"/>
      <c r="P860" s="482"/>
      <c r="Q860" s="647"/>
      <c r="R860" s="647">
        <v>46052</v>
      </c>
      <c r="S860" s="683" t="s">
        <v>66</v>
      </c>
      <c r="T860" s="683" t="s">
        <v>403</v>
      </c>
      <c r="U860" s="683"/>
      <c r="V860" s="508"/>
      <c r="W860" s="508" t="s">
        <v>2959</v>
      </c>
      <c r="X860" s="508" t="s">
        <v>853</v>
      </c>
      <c r="Y860" s="687">
        <v>4.1623</v>
      </c>
      <c r="Z860" s="688">
        <f t="shared" si="289"/>
        <v>99.8952</v>
      </c>
      <c r="AA860" s="482"/>
      <c r="AB860" s="635" t="s">
        <v>165</v>
      </c>
      <c r="AC860" s="635" t="s">
        <v>76</v>
      </c>
      <c r="AD860" s="482"/>
      <c r="AE860" s="482"/>
      <c r="AF860" s="482"/>
      <c r="AG860" s="482"/>
      <c r="AH860" s="482">
        <f t="shared" si="290"/>
        <v>-24</v>
      </c>
      <c r="AI860" s="482"/>
      <c r="AJ860" s="482"/>
      <c r="AK860" s="656"/>
      <c r="AL860" s="656">
        <f t="shared" si="291"/>
        <v>24</v>
      </c>
      <c r="AM860" s="656"/>
      <c r="AN860" s="656"/>
      <c r="AO860" s="432"/>
      <c r="AP860" s="656"/>
      <c r="AQ860" s="656">
        <f t="shared" si="292"/>
        <v>24</v>
      </c>
      <c r="AR860" s="656">
        <f t="shared" si="293"/>
        <v>24</v>
      </c>
      <c r="AS860" s="656"/>
      <c r="AT860" s="656">
        <f t="shared" si="288"/>
        <v>24</v>
      </c>
      <c r="AU860" s="662"/>
      <c r="AV860" s="432"/>
      <c r="AW860" s="432"/>
      <c r="AX860" s="432"/>
      <c r="AY860" s="432"/>
      <c r="AZ860" s="656"/>
      <c r="BA860" s="656"/>
      <c r="BB860" s="432"/>
      <c r="BC860" s="432"/>
      <c r="BD860" s="656"/>
      <c r="BE860" s="656"/>
      <c r="BF860" s="432"/>
      <c r="BG860" s="656"/>
      <c r="BH860" s="656"/>
      <c r="BI860" s="432"/>
      <c r="BJ860" s="432"/>
      <c r="BK860" s="432"/>
      <c r="BL860" s="432"/>
      <c r="BM860" s="432"/>
      <c r="BN860" s="871"/>
      <c r="BO860" s="432"/>
      <c r="BP860" s="432"/>
      <c r="BQ860" s="432"/>
      <c r="BR860" s="432"/>
      <c r="BS860" s="432"/>
      <c r="BT860" s="432"/>
      <c r="BU860" s="432"/>
      <c r="BV860" s="432"/>
      <c r="BW860" s="432"/>
      <c r="BX860" s="432"/>
      <c r="BY860" s="432"/>
      <c r="BZ860" s="432"/>
      <c r="CA860" s="432"/>
      <c r="CB860" s="432"/>
      <c r="CC860" s="432"/>
      <c r="CD860" s="432"/>
      <c r="CE860" s="432"/>
      <c r="CF860" s="660"/>
      <c r="CG860" s="660"/>
      <c r="CH860" s="660"/>
      <c r="CI860" s="660"/>
      <c r="CJ860" s="660"/>
      <c r="CK860" s="432"/>
      <c r="CL860" s="432"/>
      <c r="CM860" s="432"/>
      <c r="CN860" s="660"/>
      <c r="CO860" s="660"/>
      <c r="CP860" s="660"/>
      <c r="CQ860" s="660"/>
      <c r="CR860" s="660"/>
      <c r="CS860" s="660"/>
    </row>
    <row r="861" s="424" customFormat="1" ht="31" hidden="1" customHeight="1" spans="1:97">
      <c r="A861" s="633">
        <v>45995</v>
      </c>
      <c r="B861" s="497" t="s">
        <v>2489</v>
      </c>
      <c r="C861" s="635" t="s">
        <v>90</v>
      </c>
      <c r="D861" s="432">
        <v>4500186326</v>
      </c>
      <c r="E861" s="635">
        <v>60260744</v>
      </c>
      <c r="F861" s="432" t="s">
        <v>2960</v>
      </c>
      <c r="G861" s="482" t="s">
        <v>2491</v>
      </c>
      <c r="H861" s="635" t="s">
        <v>2492</v>
      </c>
      <c r="I861" s="635">
        <v>1600</v>
      </c>
      <c r="J861" s="635">
        <v>0</v>
      </c>
      <c r="K861" s="635">
        <v>8</v>
      </c>
      <c r="L861" s="842">
        <f t="shared" ref="L861:L874" si="294">I861/K861</f>
        <v>200</v>
      </c>
      <c r="M861" s="679">
        <v>46106</v>
      </c>
      <c r="N861" s="679">
        <v>46102</v>
      </c>
      <c r="O861" s="641"/>
      <c r="P861" s="482"/>
      <c r="Q861" s="647"/>
      <c r="R861" s="647">
        <v>45995</v>
      </c>
      <c r="S861" s="683" t="s">
        <v>66</v>
      </c>
      <c r="T861" s="647" t="s">
        <v>2493</v>
      </c>
      <c r="U861" s="683"/>
      <c r="V861" s="508"/>
      <c r="W861" s="571" t="s">
        <v>2961</v>
      </c>
      <c r="X861" s="651" t="s">
        <v>2441</v>
      </c>
      <c r="Y861" s="687">
        <v>4.0996</v>
      </c>
      <c r="Z861" s="688">
        <f t="shared" ref="Z861:Z874" si="295">Y861*I861</f>
        <v>6559.36</v>
      </c>
      <c r="AA861" s="482"/>
      <c r="AB861" s="482" t="s">
        <v>2495</v>
      </c>
      <c r="AC861" s="635" t="s">
        <v>76</v>
      </c>
      <c r="AD861" s="482"/>
      <c r="AE861" s="482"/>
      <c r="AF861" s="482" t="s">
        <v>114</v>
      </c>
      <c r="AG861" s="482"/>
      <c r="AH861" s="793">
        <f t="shared" ref="AH861:AH879" si="296">AG861-I861</f>
        <v>-1600</v>
      </c>
      <c r="AI861" s="482"/>
      <c r="AJ861" s="482" t="s">
        <v>2191</v>
      </c>
      <c r="AK861" s="656"/>
      <c r="AL861" s="656">
        <f t="shared" ref="AL861:AL871" si="297">I861</f>
        <v>1600</v>
      </c>
      <c r="AM861" s="656"/>
      <c r="AN861" s="656"/>
      <c r="AO861" s="432"/>
      <c r="AP861" s="656">
        <f>I861</f>
        <v>1600</v>
      </c>
      <c r="AQ861" s="656"/>
      <c r="AR861" s="794">
        <f t="shared" ref="AR861:AR868" si="298">I861</f>
        <v>1600</v>
      </c>
      <c r="AS861" s="656"/>
      <c r="AT861" s="656">
        <f t="shared" si="288"/>
        <v>1600</v>
      </c>
      <c r="AU861" s="662"/>
      <c r="AV861" s="432"/>
      <c r="AW861" s="432"/>
      <c r="AX861" s="432"/>
      <c r="AY861" s="432"/>
      <c r="AZ861" s="656"/>
      <c r="BA861" s="656"/>
      <c r="BB861" s="432"/>
      <c r="BC861" s="432"/>
      <c r="BD861" s="656"/>
      <c r="BE861" s="656"/>
      <c r="BF861" s="432"/>
      <c r="BG861" s="656"/>
      <c r="BH861" s="656"/>
      <c r="BI861" s="432"/>
      <c r="BJ861" s="432">
        <f>I861</f>
        <v>1600</v>
      </c>
      <c r="BK861" s="432"/>
      <c r="BL861" s="432"/>
      <c r="BM861" s="432"/>
      <c r="BN861" s="871"/>
      <c r="BO861" s="432"/>
      <c r="BP861" s="432"/>
      <c r="BQ861" s="432"/>
      <c r="BR861" s="432"/>
      <c r="BS861" s="432"/>
      <c r="BT861" s="432"/>
      <c r="BU861" s="432"/>
      <c r="BV861" s="432"/>
      <c r="BW861" s="432"/>
      <c r="BX861" s="432"/>
      <c r="BY861" s="432"/>
      <c r="BZ861" s="432"/>
      <c r="CA861" s="432"/>
      <c r="CB861" s="432"/>
      <c r="CC861" s="432"/>
      <c r="CD861" s="432"/>
      <c r="CE861" s="432"/>
      <c r="CF861" s="660"/>
      <c r="CG861" s="660"/>
      <c r="CH861" s="660"/>
      <c r="CI861" s="660"/>
      <c r="CJ861" s="660"/>
      <c r="CK861" s="432"/>
      <c r="CL861" s="432"/>
      <c r="CM861" s="432"/>
      <c r="CN861" s="660"/>
      <c r="CO861" s="660"/>
      <c r="CP861" s="660"/>
      <c r="CQ861" s="660"/>
      <c r="CR861" s="660"/>
      <c r="CS861" s="660"/>
    </row>
    <row r="862" s="424" customFormat="1" ht="31" hidden="1" customHeight="1" spans="1:97">
      <c r="A862" s="633">
        <v>46038</v>
      </c>
      <c r="B862" s="497" t="s">
        <v>1411</v>
      </c>
      <c r="C862" s="635" t="s">
        <v>468</v>
      </c>
      <c r="D862" s="432">
        <v>4500190343</v>
      </c>
      <c r="E862" s="635">
        <v>25785</v>
      </c>
      <c r="F862" s="432" t="s">
        <v>2962</v>
      </c>
      <c r="G862" s="482" t="s">
        <v>64</v>
      </c>
      <c r="H862" s="635" t="s">
        <v>65</v>
      </c>
      <c r="I862" s="851">
        <v>1824</v>
      </c>
      <c r="J862" s="635">
        <v>0</v>
      </c>
      <c r="K862" s="635">
        <v>12</v>
      </c>
      <c r="L862" s="842">
        <f t="shared" si="294"/>
        <v>152</v>
      </c>
      <c r="M862" s="679">
        <v>46106</v>
      </c>
      <c r="N862" s="679">
        <v>46102</v>
      </c>
      <c r="O862" s="641"/>
      <c r="P862" s="482"/>
      <c r="Q862" s="647"/>
      <c r="R862" s="647">
        <v>46045</v>
      </c>
      <c r="S862" s="683" t="s">
        <v>66</v>
      </c>
      <c r="T862" s="647" t="s">
        <v>403</v>
      </c>
      <c r="U862" s="683"/>
      <c r="V862" s="508"/>
      <c r="W862" s="508" t="s">
        <v>2963</v>
      </c>
      <c r="X862" s="651" t="s">
        <v>853</v>
      </c>
      <c r="Y862" s="508">
        <v>4.1623</v>
      </c>
      <c r="Z862" s="651">
        <f t="shared" si="295"/>
        <v>7592.0352</v>
      </c>
      <c r="AA862" s="482"/>
      <c r="AB862" s="635" t="s">
        <v>165</v>
      </c>
      <c r="AC862" s="635" t="s">
        <v>76</v>
      </c>
      <c r="AD862" s="482"/>
      <c r="AE862" s="482"/>
      <c r="AF862" s="482"/>
      <c r="AG862" s="482"/>
      <c r="AH862" s="793">
        <f t="shared" si="296"/>
        <v>-1824</v>
      </c>
      <c r="AI862" s="482"/>
      <c r="AJ862" s="482"/>
      <c r="AK862" s="656"/>
      <c r="AL862" s="656">
        <f t="shared" si="297"/>
        <v>1824</v>
      </c>
      <c r="AM862" s="656"/>
      <c r="AN862" s="656"/>
      <c r="AO862" s="432"/>
      <c r="AP862" s="656"/>
      <c r="AQ862" s="656">
        <f t="shared" ref="AQ862:AQ868" si="299">I862</f>
        <v>1824</v>
      </c>
      <c r="AR862" s="656">
        <f t="shared" si="298"/>
        <v>1824</v>
      </c>
      <c r="AS862" s="656"/>
      <c r="AT862" s="656">
        <f t="shared" si="288"/>
        <v>1824</v>
      </c>
      <c r="AU862" s="662"/>
      <c r="AV862" s="432"/>
      <c r="AW862" s="432"/>
      <c r="AX862" s="432"/>
      <c r="AY862" s="432"/>
      <c r="AZ862" s="656"/>
      <c r="BA862" s="656"/>
      <c r="BB862" s="432"/>
      <c r="BC862" s="432"/>
      <c r="BD862" s="656"/>
      <c r="BE862" s="656"/>
      <c r="BF862" s="432"/>
      <c r="BG862" s="656"/>
      <c r="BH862" s="656"/>
      <c r="BI862" s="432"/>
      <c r="BJ862" s="432"/>
      <c r="BK862" s="432"/>
      <c r="BL862" s="432"/>
      <c r="BM862" s="432"/>
      <c r="BN862" s="871"/>
      <c r="BO862" s="432"/>
      <c r="BP862" s="432"/>
      <c r="BQ862" s="432"/>
      <c r="BR862" s="432"/>
      <c r="BS862" s="432"/>
      <c r="BT862" s="432"/>
      <c r="BU862" s="432"/>
      <c r="BV862" s="432"/>
      <c r="BW862" s="432"/>
      <c r="BX862" s="432"/>
      <c r="BY862" s="432"/>
      <c r="BZ862" s="432"/>
      <c r="CA862" s="432"/>
      <c r="CB862" s="432"/>
      <c r="CC862" s="432"/>
      <c r="CD862" s="432"/>
      <c r="CE862" s="432"/>
      <c r="CF862" s="660"/>
      <c r="CG862" s="660"/>
      <c r="CH862" s="660"/>
      <c r="CI862" s="660"/>
      <c r="CJ862" s="660"/>
      <c r="CK862" s="432"/>
      <c r="CL862" s="432"/>
      <c r="CM862" s="432"/>
      <c r="CN862" s="660"/>
      <c r="CO862" s="660"/>
      <c r="CP862" s="660"/>
      <c r="CQ862" s="660"/>
      <c r="CR862" s="660"/>
      <c r="CS862" s="660"/>
    </row>
    <row r="863" s="424" customFormat="1" ht="31" hidden="1" customHeight="1" spans="1:97">
      <c r="A863" s="633">
        <v>46044</v>
      </c>
      <c r="B863" s="497" t="s">
        <v>1782</v>
      </c>
      <c r="C863" s="635" t="s">
        <v>139</v>
      </c>
      <c r="D863" s="432">
        <v>4500191865</v>
      </c>
      <c r="E863" s="635" t="s">
        <v>2964</v>
      </c>
      <c r="F863" s="432" t="s">
        <v>2965</v>
      </c>
      <c r="G863" s="482" t="s">
        <v>463</v>
      </c>
      <c r="H863" s="635" t="s">
        <v>424</v>
      </c>
      <c r="I863" s="645">
        <v>1008</v>
      </c>
      <c r="J863" s="482">
        <v>0</v>
      </c>
      <c r="K863" s="482">
        <v>6</v>
      </c>
      <c r="L863" s="639">
        <f t="shared" si="294"/>
        <v>168</v>
      </c>
      <c r="M863" s="679">
        <v>46106</v>
      </c>
      <c r="N863" s="679">
        <v>46102</v>
      </c>
      <c r="O863" s="641"/>
      <c r="P863" s="482"/>
      <c r="Q863" s="647"/>
      <c r="R863" s="647" t="s">
        <v>411</v>
      </c>
      <c r="S863" s="683" t="s">
        <v>96</v>
      </c>
      <c r="T863" s="647" t="s">
        <v>2966</v>
      </c>
      <c r="U863" s="683"/>
      <c r="V863" s="508"/>
      <c r="W863" s="508" t="s">
        <v>2967</v>
      </c>
      <c r="X863" s="651" t="s">
        <v>381</v>
      </c>
      <c r="Y863" s="648">
        <v>6.8326</v>
      </c>
      <c r="Z863" s="651">
        <f t="shared" si="295"/>
        <v>6887.2608</v>
      </c>
      <c r="AA863" s="482"/>
      <c r="AB863" s="656" t="s">
        <v>427</v>
      </c>
      <c r="AC863" s="635" t="s">
        <v>76</v>
      </c>
      <c r="AD863" s="482"/>
      <c r="AE863" s="482"/>
      <c r="AF863" s="482"/>
      <c r="AG863" s="482"/>
      <c r="AH863" s="793">
        <f t="shared" si="296"/>
        <v>-1008</v>
      </c>
      <c r="AI863" s="482"/>
      <c r="AJ863" s="482"/>
      <c r="AK863" s="656"/>
      <c r="AL863" s="656">
        <f t="shared" si="297"/>
        <v>1008</v>
      </c>
      <c r="AM863" s="656"/>
      <c r="AN863" s="656"/>
      <c r="AO863" s="432"/>
      <c r="AP863" s="656"/>
      <c r="AQ863" s="656">
        <f t="shared" si="299"/>
        <v>1008</v>
      </c>
      <c r="AR863" s="656">
        <f t="shared" si="298"/>
        <v>1008</v>
      </c>
      <c r="AS863" s="656"/>
      <c r="AT863" s="656"/>
      <c r="AU863" s="662"/>
      <c r="AV863" s="432"/>
      <c r="AW863" s="432"/>
      <c r="AX863" s="432"/>
      <c r="AY863" s="432"/>
      <c r="AZ863" s="656"/>
      <c r="BA863" s="656"/>
      <c r="BB863" s="432"/>
      <c r="BC863" s="432"/>
      <c r="BD863" s="656"/>
      <c r="BE863" s="656"/>
      <c r="BF863" s="432"/>
      <c r="BG863" s="656"/>
      <c r="BH863" s="656"/>
      <c r="BI863" s="432"/>
      <c r="BJ863" s="432">
        <f>I863</f>
        <v>1008</v>
      </c>
      <c r="BK863" s="432"/>
      <c r="BL863" s="432"/>
      <c r="BM863" s="432"/>
      <c r="BN863" s="871"/>
      <c r="BO863" s="432"/>
      <c r="BP863" s="432"/>
      <c r="BQ863" s="432"/>
      <c r="BR863" s="432"/>
      <c r="BS863" s="432"/>
      <c r="BT863" s="432"/>
      <c r="BU863" s="432"/>
      <c r="BV863" s="432"/>
      <c r="BW863" s="432"/>
      <c r="BX863" s="432"/>
      <c r="BY863" s="432"/>
      <c r="BZ863" s="432"/>
      <c r="CA863" s="432"/>
      <c r="CB863" s="432"/>
      <c r="CC863" s="432"/>
      <c r="CD863" s="432"/>
      <c r="CE863" s="432"/>
      <c r="CF863" s="660"/>
      <c r="CG863" s="660"/>
      <c r="CH863" s="660"/>
      <c r="CI863" s="660"/>
      <c r="CJ863" s="660"/>
      <c r="CK863" s="432"/>
      <c r="CL863" s="432"/>
      <c r="CM863" s="432"/>
      <c r="CN863" s="660"/>
      <c r="CO863" s="660"/>
      <c r="CP863" s="660"/>
      <c r="CQ863" s="660"/>
      <c r="CR863" s="660"/>
      <c r="CS863" s="660"/>
    </row>
    <row r="864" s="424" customFormat="1" ht="31" hidden="1" customHeight="1" spans="1:97">
      <c r="A864" s="633">
        <v>46044</v>
      </c>
      <c r="B864" s="497" t="s">
        <v>1782</v>
      </c>
      <c r="C864" s="635" t="s">
        <v>271</v>
      </c>
      <c r="D864" s="432">
        <v>4500191865</v>
      </c>
      <c r="E864" s="635" t="s">
        <v>2968</v>
      </c>
      <c r="F864" s="432" t="s">
        <v>2969</v>
      </c>
      <c r="G864" s="482" t="s">
        <v>463</v>
      </c>
      <c r="H864" s="635" t="s">
        <v>424</v>
      </c>
      <c r="I864" s="645">
        <v>5058</v>
      </c>
      <c r="J864" s="482">
        <v>0</v>
      </c>
      <c r="K864" s="482">
        <v>6</v>
      </c>
      <c r="L864" s="639">
        <f t="shared" si="294"/>
        <v>843</v>
      </c>
      <c r="M864" s="679">
        <v>46106</v>
      </c>
      <c r="N864" s="679">
        <v>46102</v>
      </c>
      <c r="O864" s="641"/>
      <c r="P864" s="482"/>
      <c r="Q864" s="647"/>
      <c r="R864" s="647" t="s">
        <v>411</v>
      </c>
      <c r="S864" s="683" t="s">
        <v>96</v>
      </c>
      <c r="T864" s="647" t="s">
        <v>2966</v>
      </c>
      <c r="U864" s="683"/>
      <c r="V864" s="508"/>
      <c r="W864" s="508" t="s">
        <v>2970</v>
      </c>
      <c r="X864" s="651" t="s">
        <v>381</v>
      </c>
      <c r="Y864" s="648">
        <v>6.5757</v>
      </c>
      <c r="Z864" s="651">
        <f t="shared" si="295"/>
        <v>33259.8906</v>
      </c>
      <c r="AA864" s="482"/>
      <c r="AB864" s="656" t="s">
        <v>427</v>
      </c>
      <c r="AC864" s="635" t="s">
        <v>76</v>
      </c>
      <c r="AD864" s="482"/>
      <c r="AE864" s="482"/>
      <c r="AF864" s="482"/>
      <c r="AG864" s="482"/>
      <c r="AH864" s="793">
        <f t="shared" si="296"/>
        <v>-5058</v>
      </c>
      <c r="AI864" s="482"/>
      <c r="AJ864" s="482"/>
      <c r="AK864" s="656"/>
      <c r="AL864" s="656">
        <f t="shared" si="297"/>
        <v>5058</v>
      </c>
      <c r="AM864" s="656"/>
      <c r="AN864" s="656"/>
      <c r="AO864" s="432"/>
      <c r="AP864" s="656"/>
      <c r="AQ864" s="656">
        <f t="shared" si="299"/>
        <v>5058</v>
      </c>
      <c r="AR864" s="656">
        <f t="shared" si="298"/>
        <v>5058</v>
      </c>
      <c r="AS864" s="656"/>
      <c r="AT864" s="656"/>
      <c r="AU864" s="662"/>
      <c r="AV864" s="432"/>
      <c r="AW864" s="432"/>
      <c r="AX864" s="432"/>
      <c r="AY864" s="432"/>
      <c r="AZ864" s="656"/>
      <c r="BA864" s="656"/>
      <c r="BB864" s="432"/>
      <c r="BC864" s="432"/>
      <c r="BD864" s="656"/>
      <c r="BE864" s="656"/>
      <c r="BF864" s="432"/>
      <c r="BG864" s="656"/>
      <c r="BH864" s="656"/>
      <c r="BI864" s="432"/>
      <c r="BJ864" s="432">
        <f>I864</f>
        <v>5058</v>
      </c>
      <c r="BK864" s="432"/>
      <c r="BL864" s="432"/>
      <c r="BM864" s="432"/>
      <c r="BN864" s="871"/>
      <c r="BO864" s="432"/>
      <c r="BP864" s="432"/>
      <c r="BQ864" s="432"/>
      <c r="BR864" s="432"/>
      <c r="BS864" s="432"/>
      <c r="BT864" s="432"/>
      <c r="BU864" s="432"/>
      <c r="BV864" s="432"/>
      <c r="BW864" s="432"/>
      <c r="BX864" s="432"/>
      <c r="BY864" s="432"/>
      <c r="BZ864" s="432"/>
      <c r="CA864" s="432"/>
      <c r="CB864" s="432"/>
      <c r="CC864" s="432"/>
      <c r="CD864" s="432"/>
      <c r="CE864" s="432"/>
      <c r="CF864" s="660"/>
      <c r="CG864" s="660"/>
      <c r="CH864" s="660"/>
      <c r="CI864" s="660"/>
      <c r="CJ864" s="660"/>
      <c r="CK864" s="432"/>
      <c r="CL864" s="432"/>
      <c r="CM864" s="432"/>
      <c r="CN864" s="660"/>
      <c r="CO864" s="660"/>
      <c r="CP864" s="660"/>
      <c r="CQ864" s="660"/>
      <c r="CR864" s="660"/>
      <c r="CS864" s="660"/>
    </row>
    <row r="865" s="424" customFormat="1" ht="31" hidden="1" customHeight="1" spans="1:97">
      <c r="A865" s="633">
        <v>46044</v>
      </c>
      <c r="B865" s="497" t="s">
        <v>1782</v>
      </c>
      <c r="C865" s="635" t="s">
        <v>366</v>
      </c>
      <c r="D865" s="432">
        <v>4500191865</v>
      </c>
      <c r="E865" s="635" t="s">
        <v>2971</v>
      </c>
      <c r="F865" s="432" t="s">
        <v>2972</v>
      </c>
      <c r="G865" s="482" t="s">
        <v>463</v>
      </c>
      <c r="H865" s="635" t="s">
        <v>424</v>
      </c>
      <c r="I865" s="482">
        <v>504</v>
      </c>
      <c r="J865" s="482">
        <v>0</v>
      </c>
      <c r="K865" s="482">
        <v>6</v>
      </c>
      <c r="L865" s="639">
        <f t="shared" si="294"/>
        <v>84</v>
      </c>
      <c r="M865" s="679">
        <v>46106</v>
      </c>
      <c r="N865" s="679">
        <v>46102</v>
      </c>
      <c r="O865" s="641"/>
      <c r="P865" s="482"/>
      <c r="Q865" s="647"/>
      <c r="R865" s="647" t="s">
        <v>411</v>
      </c>
      <c r="S865" s="683" t="s">
        <v>96</v>
      </c>
      <c r="T865" s="647" t="s">
        <v>2966</v>
      </c>
      <c r="U865" s="683"/>
      <c r="V865" s="508"/>
      <c r="W865" s="508" t="s">
        <v>2973</v>
      </c>
      <c r="X865" s="651" t="s">
        <v>381</v>
      </c>
      <c r="Y865" s="648">
        <v>7.1628</v>
      </c>
      <c r="Z865" s="651">
        <f t="shared" si="295"/>
        <v>3610.0512</v>
      </c>
      <c r="AA865" s="482"/>
      <c r="AB865" s="656" t="s">
        <v>427</v>
      </c>
      <c r="AC865" s="635" t="s">
        <v>76</v>
      </c>
      <c r="AD865" s="482"/>
      <c r="AE865" s="482"/>
      <c r="AF865" s="482"/>
      <c r="AG865" s="482"/>
      <c r="AH865" s="793">
        <f t="shared" si="296"/>
        <v>-504</v>
      </c>
      <c r="AI865" s="482"/>
      <c r="AJ865" s="482"/>
      <c r="AK865" s="656"/>
      <c r="AL865" s="656">
        <f t="shared" si="297"/>
        <v>504</v>
      </c>
      <c r="AM865" s="656"/>
      <c r="AN865" s="656"/>
      <c r="AO865" s="432"/>
      <c r="AP865" s="656"/>
      <c r="AQ865" s="656">
        <f t="shared" si="299"/>
        <v>504</v>
      </c>
      <c r="AR865" s="656">
        <f t="shared" si="298"/>
        <v>504</v>
      </c>
      <c r="AS865" s="656"/>
      <c r="AT865" s="656"/>
      <c r="AU865" s="662"/>
      <c r="AV865" s="432"/>
      <c r="AW865" s="432"/>
      <c r="AX865" s="432"/>
      <c r="AY865" s="432"/>
      <c r="AZ865" s="656"/>
      <c r="BA865" s="656"/>
      <c r="BB865" s="432"/>
      <c r="BC865" s="432"/>
      <c r="BD865" s="656"/>
      <c r="BE865" s="656"/>
      <c r="BF865" s="432"/>
      <c r="BG865" s="656"/>
      <c r="BH865" s="656"/>
      <c r="BI865" s="432"/>
      <c r="BJ865" s="432">
        <f>I865</f>
        <v>504</v>
      </c>
      <c r="BK865" s="432"/>
      <c r="BL865" s="432"/>
      <c r="BM865" s="432"/>
      <c r="BN865" s="871"/>
      <c r="BO865" s="432"/>
      <c r="BP865" s="432"/>
      <c r="BQ865" s="432"/>
      <c r="BR865" s="432"/>
      <c r="BS865" s="432"/>
      <c r="BT865" s="432"/>
      <c r="BU865" s="432"/>
      <c r="BV865" s="432"/>
      <c r="BW865" s="432"/>
      <c r="BX865" s="432"/>
      <c r="BY865" s="432"/>
      <c r="BZ865" s="432"/>
      <c r="CA865" s="432"/>
      <c r="CB865" s="432"/>
      <c r="CC865" s="432"/>
      <c r="CD865" s="432"/>
      <c r="CE865" s="432"/>
      <c r="CF865" s="660"/>
      <c r="CG865" s="660"/>
      <c r="CH865" s="660"/>
      <c r="CI865" s="660"/>
      <c r="CJ865" s="660"/>
      <c r="CK865" s="432"/>
      <c r="CL865" s="432"/>
      <c r="CM865" s="432"/>
      <c r="CN865" s="660"/>
      <c r="CO865" s="660"/>
      <c r="CP865" s="660"/>
      <c r="CQ865" s="660"/>
      <c r="CR865" s="660"/>
      <c r="CS865" s="660"/>
    </row>
    <row r="866" s="424" customFormat="1" ht="31" hidden="1" customHeight="1" spans="1:97">
      <c r="A866" s="633">
        <v>46044</v>
      </c>
      <c r="B866" s="497" t="s">
        <v>1782</v>
      </c>
      <c r="C866" s="635" t="s">
        <v>139</v>
      </c>
      <c r="D866" s="432">
        <v>4500191865</v>
      </c>
      <c r="E866" s="635" t="s">
        <v>2964</v>
      </c>
      <c r="F866" s="432" t="s">
        <v>2974</v>
      </c>
      <c r="G866" s="482" t="s">
        <v>64</v>
      </c>
      <c r="H866" s="635" t="s">
        <v>65</v>
      </c>
      <c r="I866" s="851">
        <v>2676</v>
      </c>
      <c r="J866" s="635">
        <v>0</v>
      </c>
      <c r="K866" s="635">
        <v>12</v>
      </c>
      <c r="L866" s="842">
        <f t="shared" si="294"/>
        <v>223</v>
      </c>
      <c r="M866" s="679">
        <v>46106</v>
      </c>
      <c r="N866" s="679">
        <v>46102</v>
      </c>
      <c r="O866" s="641"/>
      <c r="P866" s="482"/>
      <c r="Q866" s="647"/>
      <c r="R866" s="647" t="s">
        <v>411</v>
      </c>
      <c r="S866" s="683" t="s">
        <v>96</v>
      </c>
      <c r="T866" s="647" t="s">
        <v>96</v>
      </c>
      <c r="U866" s="683"/>
      <c r="V866" s="508"/>
      <c r="W866" s="508" t="s">
        <v>2975</v>
      </c>
      <c r="X866" s="651" t="s">
        <v>381</v>
      </c>
      <c r="Y866" s="508">
        <v>4.1623</v>
      </c>
      <c r="Z866" s="651">
        <f t="shared" si="295"/>
        <v>11138.3148</v>
      </c>
      <c r="AA866" s="482"/>
      <c r="AB866" s="635" t="s">
        <v>165</v>
      </c>
      <c r="AC866" s="635" t="s">
        <v>76</v>
      </c>
      <c r="AD866" s="482"/>
      <c r="AE866" s="482"/>
      <c r="AF866" s="482"/>
      <c r="AG866" s="482"/>
      <c r="AH866" s="793">
        <f t="shared" si="296"/>
        <v>-2676</v>
      </c>
      <c r="AI866" s="482"/>
      <c r="AJ866" s="482" t="s">
        <v>2191</v>
      </c>
      <c r="AK866" s="656"/>
      <c r="AL866" s="656">
        <f t="shared" si="297"/>
        <v>2676</v>
      </c>
      <c r="AM866" s="656"/>
      <c r="AN866" s="656"/>
      <c r="AO866" s="432"/>
      <c r="AP866" s="656"/>
      <c r="AQ866" s="656">
        <f t="shared" si="299"/>
        <v>2676</v>
      </c>
      <c r="AR866" s="656">
        <f t="shared" si="298"/>
        <v>2676</v>
      </c>
      <c r="AS866" s="656"/>
      <c r="AT866" s="656">
        <f>I866</f>
        <v>2676</v>
      </c>
      <c r="AU866" s="662"/>
      <c r="AV866" s="432"/>
      <c r="AW866" s="432"/>
      <c r="AX866" s="432"/>
      <c r="AY866" s="432"/>
      <c r="AZ866" s="656"/>
      <c r="BA866" s="656"/>
      <c r="BB866" s="432"/>
      <c r="BC866" s="432"/>
      <c r="BD866" s="656"/>
      <c r="BE866" s="656"/>
      <c r="BF866" s="432"/>
      <c r="BG866" s="656"/>
      <c r="BH866" s="656"/>
      <c r="BI866" s="432"/>
      <c r="BJ866" s="432"/>
      <c r="BK866" s="432"/>
      <c r="BL866" s="432"/>
      <c r="BM866" s="432"/>
      <c r="BN866" s="871"/>
      <c r="BO866" s="432"/>
      <c r="BP866" s="432"/>
      <c r="BQ866" s="432"/>
      <c r="BR866" s="432"/>
      <c r="BS866" s="432"/>
      <c r="BT866" s="432"/>
      <c r="BU866" s="432"/>
      <c r="BV866" s="432"/>
      <c r="BW866" s="432"/>
      <c r="BX866" s="432"/>
      <c r="BY866" s="432"/>
      <c r="BZ866" s="432"/>
      <c r="CA866" s="432"/>
      <c r="CB866" s="432"/>
      <c r="CC866" s="432"/>
      <c r="CD866" s="432"/>
      <c r="CE866" s="432"/>
      <c r="CF866" s="660"/>
      <c r="CG866" s="660"/>
      <c r="CH866" s="660"/>
      <c r="CI866" s="660"/>
      <c r="CJ866" s="660"/>
      <c r="CK866" s="432"/>
      <c r="CL866" s="432"/>
      <c r="CM866" s="432"/>
      <c r="CN866" s="660"/>
      <c r="CO866" s="660"/>
      <c r="CP866" s="660"/>
      <c r="CQ866" s="660"/>
      <c r="CR866" s="660"/>
      <c r="CS866" s="660"/>
    </row>
    <row r="867" s="424" customFormat="1" ht="31" hidden="1" customHeight="1" spans="1:97">
      <c r="A867" s="633">
        <v>46044</v>
      </c>
      <c r="B867" s="497" t="s">
        <v>1782</v>
      </c>
      <c r="C867" s="635" t="s">
        <v>356</v>
      </c>
      <c r="D867" s="432">
        <v>4500191865</v>
      </c>
      <c r="E867" s="635" t="s">
        <v>2976</v>
      </c>
      <c r="F867" s="432" t="s">
        <v>2977</v>
      </c>
      <c r="G867" s="482" t="s">
        <v>64</v>
      </c>
      <c r="H867" s="635" t="s">
        <v>65</v>
      </c>
      <c r="I867" s="851">
        <v>1248</v>
      </c>
      <c r="J867" s="635">
        <v>0</v>
      </c>
      <c r="K867" s="635">
        <v>12</v>
      </c>
      <c r="L867" s="842">
        <f t="shared" si="294"/>
        <v>104</v>
      </c>
      <c r="M867" s="679">
        <v>46106</v>
      </c>
      <c r="N867" s="679">
        <v>46102</v>
      </c>
      <c r="O867" s="641"/>
      <c r="P867" s="482"/>
      <c r="Q867" s="647"/>
      <c r="R867" s="647" t="s">
        <v>411</v>
      </c>
      <c r="S867" s="683" t="s">
        <v>96</v>
      </c>
      <c r="T867" s="647" t="s">
        <v>96</v>
      </c>
      <c r="U867" s="683"/>
      <c r="V867" s="508"/>
      <c r="W867" s="508" t="s">
        <v>2978</v>
      </c>
      <c r="X867" s="651" t="s">
        <v>381</v>
      </c>
      <c r="Y867" s="508">
        <v>4.1623</v>
      </c>
      <c r="Z867" s="651">
        <f t="shared" si="295"/>
        <v>5194.5504</v>
      </c>
      <c r="AA867" s="482"/>
      <c r="AB867" s="635" t="s">
        <v>165</v>
      </c>
      <c r="AC867" s="635" t="s">
        <v>76</v>
      </c>
      <c r="AD867" s="482"/>
      <c r="AE867" s="482"/>
      <c r="AF867" s="482"/>
      <c r="AG867" s="482"/>
      <c r="AH867" s="793">
        <f t="shared" si="296"/>
        <v>-1248</v>
      </c>
      <c r="AI867" s="482"/>
      <c r="AJ867" s="482" t="s">
        <v>2191</v>
      </c>
      <c r="AK867" s="656"/>
      <c r="AL867" s="656">
        <f t="shared" si="297"/>
        <v>1248</v>
      </c>
      <c r="AM867" s="656"/>
      <c r="AN867" s="656"/>
      <c r="AO867" s="432"/>
      <c r="AP867" s="656"/>
      <c r="AQ867" s="656">
        <f t="shared" si="299"/>
        <v>1248</v>
      </c>
      <c r="AR867" s="656">
        <f t="shared" si="298"/>
        <v>1248</v>
      </c>
      <c r="AS867" s="656"/>
      <c r="AT867" s="656">
        <f>I867</f>
        <v>1248</v>
      </c>
      <c r="AU867" s="662"/>
      <c r="AV867" s="432"/>
      <c r="AW867" s="432"/>
      <c r="AX867" s="432"/>
      <c r="AY867" s="432"/>
      <c r="AZ867" s="656"/>
      <c r="BA867" s="656"/>
      <c r="BB867" s="432"/>
      <c r="BC867" s="432"/>
      <c r="BD867" s="656"/>
      <c r="BE867" s="656"/>
      <c r="BF867" s="432"/>
      <c r="BG867" s="656"/>
      <c r="BH867" s="656"/>
      <c r="BI867" s="432"/>
      <c r="BJ867" s="432"/>
      <c r="BK867" s="432"/>
      <c r="BL867" s="432"/>
      <c r="BM867" s="432"/>
      <c r="BN867" s="871"/>
      <c r="BO867" s="432"/>
      <c r="BP867" s="432"/>
      <c r="BQ867" s="432"/>
      <c r="BR867" s="432"/>
      <c r="BS867" s="432"/>
      <c r="BT867" s="432"/>
      <c r="BU867" s="432"/>
      <c r="BV867" s="432"/>
      <c r="BW867" s="432"/>
      <c r="BX867" s="432"/>
      <c r="BY867" s="432"/>
      <c r="BZ867" s="432"/>
      <c r="CA867" s="432"/>
      <c r="CB867" s="432"/>
      <c r="CC867" s="432"/>
      <c r="CD867" s="432"/>
      <c r="CE867" s="432"/>
      <c r="CF867" s="660"/>
      <c r="CG867" s="660"/>
      <c r="CH867" s="660"/>
      <c r="CI867" s="660"/>
      <c r="CJ867" s="660"/>
      <c r="CK867" s="432"/>
      <c r="CL867" s="432"/>
      <c r="CM867" s="432"/>
      <c r="CN867" s="660"/>
      <c r="CO867" s="660"/>
      <c r="CP867" s="660"/>
      <c r="CQ867" s="660"/>
      <c r="CR867" s="660"/>
      <c r="CS867" s="660"/>
    </row>
    <row r="868" s="424" customFormat="1" ht="31" hidden="1" customHeight="1" spans="1:97">
      <c r="A868" s="633">
        <v>46044</v>
      </c>
      <c r="B868" s="497" t="s">
        <v>1782</v>
      </c>
      <c r="C868" s="635" t="s">
        <v>271</v>
      </c>
      <c r="D868" s="432">
        <v>4500191865</v>
      </c>
      <c r="E868" s="635" t="s">
        <v>2968</v>
      </c>
      <c r="F868" s="432" t="s">
        <v>2979</v>
      </c>
      <c r="G868" s="482" t="s">
        <v>64</v>
      </c>
      <c r="H868" s="635" t="s">
        <v>65</v>
      </c>
      <c r="I868" s="851">
        <v>1008</v>
      </c>
      <c r="J868" s="635">
        <v>0</v>
      </c>
      <c r="K868" s="635">
        <v>12</v>
      </c>
      <c r="L868" s="842">
        <f t="shared" si="294"/>
        <v>84</v>
      </c>
      <c r="M868" s="679">
        <v>46106</v>
      </c>
      <c r="N868" s="679">
        <v>46102</v>
      </c>
      <c r="O868" s="641"/>
      <c r="P868" s="482"/>
      <c r="Q868" s="647"/>
      <c r="R868" s="647" t="s">
        <v>411</v>
      </c>
      <c r="S868" s="683" t="s">
        <v>96</v>
      </c>
      <c r="T868" s="647" t="s">
        <v>96</v>
      </c>
      <c r="U868" s="683"/>
      <c r="V868" s="508"/>
      <c r="W868" s="508" t="s">
        <v>2980</v>
      </c>
      <c r="X868" s="651" t="s">
        <v>381</v>
      </c>
      <c r="Y868" s="508">
        <v>4.1623</v>
      </c>
      <c r="Z868" s="651">
        <f t="shared" si="295"/>
        <v>4195.5984</v>
      </c>
      <c r="AA868" s="482"/>
      <c r="AB868" s="635" t="s">
        <v>165</v>
      </c>
      <c r="AC868" s="635" t="s">
        <v>76</v>
      </c>
      <c r="AD868" s="482"/>
      <c r="AE868" s="482"/>
      <c r="AF868" s="482"/>
      <c r="AG868" s="482"/>
      <c r="AH868" s="793">
        <f t="shared" si="296"/>
        <v>-1008</v>
      </c>
      <c r="AI868" s="482"/>
      <c r="AJ868" s="482" t="s">
        <v>2191</v>
      </c>
      <c r="AK868" s="656"/>
      <c r="AL868" s="656">
        <f t="shared" si="297"/>
        <v>1008</v>
      </c>
      <c r="AM868" s="656"/>
      <c r="AN868" s="656"/>
      <c r="AO868" s="432"/>
      <c r="AP868" s="656"/>
      <c r="AQ868" s="656">
        <f t="shared" si="299"/>
        <v>1008</v>
      </c>
      <c r="AR868" s="656">
        <f t="shared" si="298"/>
        <v>1008</v>
      </c>
      <c r="AS868" s="656"/>
      <c r="AT868" s="656">
        <f t="shared" ref="AT868:AT874" si="300">I868</f>
        <v>1008</v>
      </c>
      <c r="AU868" s="662"/>
      <c r="AV868" s="432"/>
      <c r="AW868" s="432"/>
      <c r="AX868" s="432"/>
      <c r="AY868" s="432"/>
      <c r="AZ868" s="656"/>
      <c r="BA868" s="656"/>
      <c r="BB868" s="432"/>
      <c r="BC868" s="432"/>
      <c r="BD868" s="656"/>
      <c r="BE868" s="656"/>
      <c r="BF868" s="432"/>
      <c r="BG868" s="656"/>
      <c r="BH868" s="656"/>
      <c r="BI868" s="432"/>
      <c r="BJ868" s="432"/>
      <c r="BK868" s="432"/>
      <c r="BL868" s="432"/>
      <c r="BM868" s="432"/>
      <c r="BN868" s="871"/>
      <c r="BO868" s="432"/>
      <c r="BP868" s="432"/>
      <c r="BQ868" s="432"/>
      <c r="BR868" s="432"/>
      <c r="BS868" s="432"/>
      <c r="BT868" s="432"/>
      <c r="BU868" s="432"/>
      <c r="BV868" s="432"/>
      <c r="BW868" s="432"/>
      <c r="BX868" s="432"/>
      <c r="BY868" s="432"/>
      <c r="BZ868" s="432"/>
      <c r="CA868" s="432"/>
      <c r="CB868" s="432"/>
      <c r="CC868" s="432"/>
      <c r="CD868" s="432"/>
      <c r="CE868" s="432"/>
      <c r="CF868" s="660"/>
      <c r="CG868" s="660"/>
      <c r="CH868" s="660"/>
      <c r="CI868" s="660"/>
      <c r="CJ868" s="660"/>
      <c r="CK868" s="432"/>
      <c r="CL868" s="432"/>
      <c r="CM868" s="432"/>
      <c r="CN868" s="660"/>
      <c r="CO868" s="660"/>
      <c r="CP868" s="660"/>
      <c r="CQ868" s="660"/>
      <c r="CR868" s="660"/>
      <c r="CS868" s="660"/>
    </row>
    <row r="869" s="424" customFormat="1" ht="31" hidden="1" customHeight="1" spans="1:97">
      <c r="A869" s="633">
        <v>46050</v>
      </c>
      <c r="B869" s="497" t="s">
        <v>2328</v>
      </c>
      <c r="C869" s="634" t="s">
        <v>90</v>
      </c>
      <c r="D869" s="432">
        <v>4500192425</v>
      </c>
      <c r="E869" s="635" t="s">
        <v>2981</v>
      </c>
      <c r="F869" s="432" t="s">
        <v>2982</v>
      </c>
      <c r="G869" s="482" t="s">
        <v>64</v>
      </c>
      <c r="H869" s="635" t="s">
        <v>65</v>
      </c>
      <c r="I869" s="645">
        <v>720</v>
      </c>
      <c r="J869" s="482">
        <v>0</v>
      </c>
      <c r="K869" s="482">
        <v>12</v>
      </c>
      <c r="L869" s="639">
        <f t="shared" si="294"/>
        <v>60</v>
      </c>
      <c r="M869" s="679">
        <v>46106</v>
      </c>
      <c r="N869" s="679">
        <v>46102</v>
      </c>
      <c r="O869" s="641"/>
      <c r="P869" s="482"/>
      <c r="Q869" s="647"/>
      <c r="R869" s="647" t="s">
        <v>403</v>
      </c>
      <c r="S869" s="683" t="s">
        <v>66</v>
      </c>
      <c r="T869" s="683" t="s">
        <v>66</v>
      </c>
      <c r="U869" s="683"/>
      <c r="V869" s="508"/>
      <c r="W869" s="508" t="s">
        <v>2983</v>
      </c>
      <c r="X869" s="651" t="s">
        <v>242</v>
      </c>
      <c r="Y869" s="648">
        <v>2.4974</v>
      </c>
      <c r="Z869" s="651">
        <f t="shared" si="295"/>
        <v>1798.128</v>
      </c>
      <c r="AA869" s="482"/>
      <c r="AB869" s="635" t="s">
        <v>64</v>
      </c>
      <c r="AC869" s="635" t="s">
        <v>76</v>
      </c>
      <c r="AD869" s="482"/>
      <c r="AE869" s="482"/>
      <c r="AF869" s="482"/>
      <c r="AG869" s="482"/>
      <c r="AH869" s="793">
        <f t="shared" si="296"/>
        <v>-720</v>
      </c>
      <c r="AI869" s="482"/>
      <c r="AJ869" s="482"/>
      <c r="AK869" s="656"/>
      <c r="AL869" s="656">
        <f t="shared" si="297"/>
        <v>720</v>
      </c>
      <c r="AM869" s="656"/>
      <c r="AN869" s="656"/>
      <c r="AO869" s="432"/>
      <c r="AP869" s="656">
        <f t="shared" ref="AP869:AP874" si="301">I869</f>
        <v>720</v>
      </c>
      <c r="AQ869" s="656"/>
      <c r="AR869" s="656">
        <f t="shared" ref="AR869:AR874" si="302">I869</f>
        <v>720</v>
      </c>
      <c r="AS869" s="656"/>
      <c r="AT869" s="656">
        <f t="shared" si="300"/>
        <v>720</v>
      </c>
      <c r="AU869" s="662"/>
      <c r="AV869" s="432"/>
      <c r="AW869" s="432"/>
      <c r="AX869" s="432"/>
      <c r="AY869" s="432"/>
      <c r="AZ869" s="656"/>
      <c r="BA869" s="656"/>
      <c r="BB869" s="432"/>
      <c r="BC869" s="432"/>
      <c r="BD869" s="656"/>
      <c r="BE869" s="656"/>
      <c r="BF869" s="432"/>
      <c r="BG869" s="568"/>
      <c r="BH869" s="568"/>
      <c r="BI869" s="432"/>
      <c r="BJ869" s="432"/>
      <c r="BK869" s="432"/>
      <c r="BL869" s="432"/>
      <c r="BM869" s="432"/>
      <c r="BN869" s="871"/>
      <c r="BO869" s="432"/>
      <c r="BP869" s="432"/>
      <c r="BQ869" s="432"/>
      <c r="BR869" s="432"/>
      <c r="BS869" s="432"/>
      <c r="BT869" s="432"/>
      <c r="BU869" s="432"/>
      <c r="BV869" s="432"/>
      <c r="BW869" s="432"/>
      <c r="BX869" s="432"/>
      <c r="BY869" s="432"/>
      <c r="BZ869" s="432"/>
      <c r="CA869" s="432"/>
      <c r="CB869" s="432"/>
      <c r="CC869" s="432"/>
      <c r="CD869" s="432"/>
      <c r="CE869" s="432"/>
      <c r="CF869" s="660"/>
      <c r="CG869" s="660"/>
      <c r="CH869" s="660"/>
      <c r="CI869" s="660"/>
      <c r="CJ869" s="660"/>
      <c r="CK869" s="432"/>
      <c r="CL869" s="432"/>
      <c r="CM869" s="432"/>
      <c r="CN869" s="660"/>
      <c r="CO869" s="660"/>
      <c r="CP869" s="660"/>
      <c r="CQ869" s="660"/>
      <c r="CR869" s="660"/>
      <c r="CS869" s="660"/>
    </row>
    <row r="870" s="424" customFormat="1" ht="31" hidden="1" customHeight="1" spans="1:97">
      <c r="A870" s="633">
        <v>46051</v>
      </c>
      <c r="B870" s="497" t="s">
        <v>1669</v>
      </c>
      <c r="C870" s="635" t="s">
        <v>663</v>
      </c>
      <c r="D870" s="432">
        <v>4500192252</v>
      </c>
      <c r="E870" s="657">
        <v>5000002110</v>
      </c>
      <c r="F870" s="635" t="s">
        <v>2984</v>
      </c>
      <c r="G870" s="482" t="s">
        <v>463</v>
      </c>
      <c r="H870" s="635" t="s">
        <v>424</v>
      </c>
      <c r="I870" s="645">
        <v>5004</v>
      </c>
      <c r="J870" s="482">
        <v>0</v>
      </c>
      <c r="K870" s="482">
        <v>6</v>
      </c>
      <c r="L870" s="639">
        <f t="shared" si="294"/>
        <v>834</v>
      </c>
      <c r="M870" s="679">
        <v>46106</v>
      </c>
      <c r="N870" s="679">
        <v>46102</v>
      </c>
      <c r="O870" s="641"/>
      <c r="P870" s="482"/>
      <c r="Q870" s="647"/>
      <c r="R870" s="647" t="s">
        <v>2985</v>
      </c>
      <c r="S870" s="683" t="s">
        <v>96</v>
      </c>
      <c r="T870" s="647" t="s">
        <v>2743</v>
      </c>
      <c r="U870" s="683"/>
      <c r="V870" s="508"/>
      <c r="W870" s="508" t="s">
        <v>2986</v>
      </c>
      <c r="X870" s="651" t="s">
        <v>1674</v>
      </c>
      <c r="Y870" s="648">
        <v>6.4585</v>
      </c>
      <c r="Z870" s="651">
        <f t="shared" si="295"/>
        <v>32318.334</v>
      </c>
      <c r="AA870" s="482"/>
      <c r="AB870" s="482" t="s">
        <v>2069</v>
      </c>
      <c r="AC870" s="635" t="s">
        <v>76</v>
      </c>
      <c r="AD870" s="482"/>
      <c r="AE870" s="482"/>
      <c r="AF870" s="458"/>
      <c r="AG870" s="482"/>
      <c r="AH870" s="482">
        <f t="shared" si="296"/>
        <v>-5004</v>
      </c>
      <c r="AI870" s="482"/>
      <c r="AJ870" s="482"/>
      <c r="AK870" s="656"/>
      <c r="AL870" s="656">
        <f t="shared" si="297"/>
        <v>5004</v>
      </c>
      <c r="AM870" s="656"/>
      <c r="AN870" s="656"/>
      <c r="AO870" s="432"/>
      <c r="AP870" s="794">
        <f t="shared" si="301"/>
        <v>5004</v>
      </c>
      <c r="AQ870" s="656"/>
      <c r="AR870" s="794"/>
      <c r="AS870" s="656">
        <f>I870</f>
        <v>5004</v>
      </c>
      <c r="AT870" s="777"/>
      <c r="AU870" s="869">
        <f>I870</f>
        <v>5004</v>
      </c>
      <c r="AV870" s="432"/>
      <c r="AW870" s="432"/>
      <c r="AX870" s="432"/>
      <c r="AY870" s="432"/>
      <c r="AZ870" s="656"/>
      <c r="BA870" s="656"/>
      <c r="BB870" s="432"/>
      <c r="BC870" s="432"/>
      <c r="BD870" s="656"/>
      <c r="BE870" s="656"/>
      <c r="BF870" s="432"/>
      <c r="BG870" s="656"/>
      <c r="BH870" s="656"/>
      <c r="BI870" s="432"/>
      <c r="BJ870" s="432">
        <f t="shared" ref="BJ870:BJ874" si="303">I870</f>
        <v>5004</v>
      </c>
      <c r="BK870" s="432"/>
      <c r="BL870" s="871"/>
      <c r="BM870" s="432"/>
      <c r="BN870" s="871"/>
      <c r="BO870" s="432"/>
      <c r="BP870" s="432"/>
      <c r="BQ870" s="432"/>
      <c r="BR870" s="432"/>
      <c r="BS870" s="432"/>
      <c r="BT870" s="432"/>
      <c r="BU870" s="432"/>
      <c r="BV870" s="432"/>
      <c r="BW870" s="432"/>
      <c r="BX870" s="432"/>
      <c r="BY870" s="432"/>
      <c r="BZ870" s="432"/>
      <c r="CA870" s="432"/>
      <c r="CB870" s="432"/>
      <c r="CC870" s="432"/>
      <c r="CD870" s="432"/>
      <c r="CE870" s="432"/>
      <c r="CF870" s="660"/>
      <c r="CG870" s="660"/>
      <c r="CH870" s="660"/>
      <c r="CI870" s="660"/>
      <c r="CJ870" s="660"/>
      <c r="CK870" s="432"/>
      <c r="CL870" s="432"/>
      <c r="CM870" s="432"/>
      <c r="CN870" s="660"/>
      <c r="CO870" s="660"/>
      <c r="CP870" s="660"/>
      <c r="CQ870" s="660"/>
      <c r="CR870" s="660"/>
      <c r="CS870" s="660"/>
    </row>
    <row r="871" s="424" customFormat="1" ht="31" hidden="1" customHeight="1" spans="1:97">
      <c r="A871" s="633">
        <v>46051</v>
      </c>
      <c r="B871" s="497" t="s">
        <v>1822</v>
      </c>
      <c r="C871" s="635" t="s">
        <v>726</v>
      </c>
      <c r="D871" s="432">
        <v>4500192550</v>
      </c>
      <c r="E871" s="657" t="s">
        <v>2987</v>
      </c>
      <c r="F871" s="635" t="s">
        <v>2988</v>
      </c>
      <c r="G871" s="482" t="s">
        <v>102</v>
      </c>
      <c r="H871" s="635" t="s">
        <v>65</v>
      </c>
      <c r="I871" s="851">
        <v>1504</v>
      </c>
      <c r="J871" s="635">
        <v>0</v>
      </c>
      <c r="K871" s="635">
        <v>16</v>
      </c>
      <c r="L871" s="842">
        <f t="shared" si="294"/>
        <v>94</v>
      </c>
      <c r="M871" s="679">
        <v>46106</v>
      </c>
      <c r="N871" s="679">
        <v>46102</v>
      </c>
      <c r="O871" s="641"/>
      <c r="P871" s="482"/>
      <c r="Q871" s="647"/>
      <c r="R871" s="647">
        <v>46051</v>
      </c>
      <c r="S871" s="683" t="s">
        <v>66</v>
      </c>
      <c r="T871" s="647" t="s">
        <v>2989</v>
      </c>
      <c r="U871" s="683"/>
      <c r="V871" s="508"/>
      <c r="W871" s="508" t="s">
        <v>2990</v>
      </c>
      <c r="X871" s="651" t="s">
        <v>207</v>
      </c>
      <c r="Y871" s="687">
        <v>4.3451</v>
      </c>
      <c r="Z871" s="688">
        <f t="shared" si="295"/>
        <v>6535.0304</v>
      </c>
      <c r="AA871" s="482"/>
      <c r="AB871" s="482" t="s">
        <v>102</v>
      </c>
      <c r="AC871" s="635" t="s">
        <v>76</v>
      </c>
      <c r="AD871" s="482"/>
      <c r="AE871" s="482"/>
      <c r="AF871" s="458"/>
      <c r="AG871" s="482"/>
      <c r="AH871" s="793">
        <f t="shared" si="296"/>
        <v>-1504</v>
      </c>
      <c r="AI871" s="482"/>
      <c r="AJ871" s="482"/>
      <c r="AK871" s="656"/>
      <c r="AL871" s="656">
        <f t="shared" si="297"/>
        <v>1504</v>
      </c>
      <c r="AM871" s="656"/>
      <c r="AN871" s="656"/>
      <c r="AO871" s="432"/>
      <c r="AP871" s="656">
        <f t="shared" si="301"/>
        <v>1504</v>
      </c>
      <c r="AQ871" s="656"/>
      <c r="AR871" s="794">
        <f t="shared" si="302"/>
        <v>1504</v>
      </c>
      <c r="AS871" s="656"/>
      <c r="AT871" s="656">
        <f t="shared" si="300"/>
        <v>1504</v>
      </c>
      <c r="AU871" s="662"/>
      <c r="AV871" s="432"/>
      <c r="AW871" s="432"/>
      <c r="AX871" s="432"/>
      <c r="AY871" s="432"/>
      <c r="AZ871" s="656"/>
      <c r="BA871" s="656"/>
      <c r="BB871" s="432"/>
      <c r="BC871" s="432"/>
      <c r="BD871" s="656">
        <f>I871/4</f>
        <v>376</v>
      </c>
      <c r="BE871" s="656"/>
      <c r="BF871" s="432"/>
      <c r="BG871" s="656"/>
      <c r="BH871" s="656"/>
      <c r="BI871" s="432"/>
      <c r="BJ871" s="432"/>
      <c r="BK871" s="432"/>
      <c r="BL871" s="871"/>
      <c r="BM871" s="432"/>
      <c r="BN871" s="871"/>
      <c r="BO871" s="432"/>
      <c r="BP871" s="432"/>
      <c r="BQ871" s="432"/>
      <c r="BR871" s="432"/>
      <c r="BS871" s="432"/>
      <c r="BT871" s="432"/>
      <c r="BU871" s="432"/>
      <c r="BV871" s="432"/>
      <c r="BW871" s="432"/>
      <c r="BX871" s="432"/>
      <c r="BY871" s="432"/>
      <c r="BZ871" s="432"/>
      <c r="CA871" s="432"/>
      <c r="CB871" s="432"/>
      <c r="CC871" s="432"/>
      <c r="CD871" s="432"/>
      <c r="CE871" s="432"/>
      <c r="CF871" s="660"/>
      <c r="CG871" s="660"/>
      <c r="CH871" s="660"/>
      <c r="CI871" s="660"/>
      <c r="CJ871" s="660"/>
      <c r="CK871" s="432"/>
      <c r="CL871" s="432"/>
      <c r="CM871" s="432"/>
      <c r="CN871" s="660"/>
      <c r="CO871" s="660"/>
      <c r="CP871" s="660"/>
      <c r="CQ871" s="660"/>
      <c r="CR871" s="660"/>
      <c r="CS871" s="660"/>
    </row>
    <row r="872" s="424" customFormat="1" ht="31" hidden="1" customHeight="1" spans="1:97">
      <c r="A872" s="633">
        <v>46387</v>
      </c>
      <c r="B872" s="497" t="s">
        <v>220</v>
      </c>
      <c r="C872" s="635" t="s">
        <v>90</v>
      </c>
      <c r="D872" s="432">
        <v>4500190516</v>
      </c>
      <c r="E872" s="635" t="s">
        <v>2991</v>
      </c>
      <c r="F872" s="432" t="s">
        <v>2992</v>
      </c>
      <c r="G872" s="482" t="s">
        <v>223</v>
      </c>
      <c r="H872" s="635" t="s">
        <v>224</v>
      </c>
      <c r="I872" s="851">
        <v>17000</v>
      </c>
      <c r="J872" s="635">
        <v>0</v>
      </c>
      <c r="K872" s="635">
        <v>4</v>
      </c>
      <c r="L872" s="842">
        <f t="shared" si="294"/>
        <v>4250</v>
      </c>
      <c r="M872" s="679">
        <v>46107</v>
      </c>
      <c r="N872" s="679">
        <v>46104</v>
      </c>
      <c r="O872" s="641"/>
      <c r="P872" s="482"/>
      <c r="Q872" s="647"/>
      <c r="R872" s="647">
        <v>46044</v>
      </c>
      <c r="S872" s="683" t="s">
        <v>96</v>
      </c>
      <c r="T872" s="683" t="s">
        <v>2848</v>
      </c>
      <c r="U872" s="683"/>
      <c r="V872" s="508"/>
      <c r="W872" s="508" t="s">
        <v>2518</v>
      </c>
      <c r="X872" s="651" t="s">
        <v>226</v>
      </c>
      <c r="Y872" s="687">
        <v>2.7832</v>
      </c>
      <c r="Z872" s="688">
        <f t="shared" si="295"/>
        <v>47314.4</v>
      </c>
      <c r="AA872" s="482"/>
      <c r="AB872" s="656" t="s">
        <v>223</v>
      </c>
      <c r="AC872" s="635" t="s">
        <v>76</v>
      </c>
      <c r="AD872" s="482"/>
      <c r="AE872" s="482"/>
      <c r="AF872" s="482"/>
      <c r="AG872" s="482"/>
      <c r="AH872" s="482">
        <f t="shared" si="296"/>
        <v>-17000</v>
      </c>
      <c r="AI872" s="482"/>
      <c r="AJ872" s="482"/>
      <c r="AK872" s="656"/>
      <c r="AL872" s="656"/>
      <c r="AM872" s="656"/>
      <c r="AN872" s="656">
        <f>I872</f>
        <v>17000</v>
      </c>
      <c r="AO872" s="432"/>
      <c r="AP872" s="656"/>
      <c r="AQ872" s="656"/>
      <c r="AR872" s="656"/>
      <c r="AS872" s="656"/>
      <c r="AT872" s="656">
        <f t="shared" si="300"/>
        <v>17000</v>
      </c>
      <c r="AU872" s="662"/>
      <c r="AV872" s="432"/>
      <c r="AW872" s="432"/>
      <c r="AX872" s="432"/>
      <c r="AY872" s="432"/>
      <c r="AZ872" s="656"/>
      <c r="BA872" s="656"/>
      <c r="BB872" s="432">
        <f>I872</f>
        <v>17000</v>
      </c>
      <c r="BC872" s="432">
        <f>I872</f>
        <v>17000</v>
      </c>
      <c r="BD872" s="656">
        <f>I872/4</f>
        <v>4250</v>
      </c>
      <c r="BE872" s="656"/>
      <c r="BF872" s="432"/>
      <c r="BG872" s="656"/>
      <c r="BH872" s="656"/>
      <c r="BI872" s="432"/>
      <c r="BJ872" s="432"/>
      <c r="BK872" s="432"/>
      <c r="BL872" s="432"/>
      <c r="BM872" s="432"/>
      <c r="BN872" s="871"/>
      <c r="BO872" s="432"/>
      <c r="BP872" s="432"/>
      <c r="BQ872" s="432"/>
      <c r="BR872" s="432"/>
      <c r="BS872" s="432"/>
      <c r="BT872" s="432"/>
      <c r="BU872" s="432"/>
      <c r="BV872" s="432"/>
      <c r="BW872" s="432"/>
      <c r="BX872" s="432"/>
      <c r="BY872" s="432"/>
      <c r="BZ872" s="432"/>
      <c r="CA872" s="432"/>
      <c r="CB872" s="432"/>
      <c r="CC872" s="432"/>
      <c r="CD872" s="432"/>
      <c r="CE872" s="432"/>
      <c r="CF872" s="660"/>
      <c r="CG872" s="660"/>
      <c r="CH872" s="660"/>
      <c r="CI872" s="660"/>
      <c r="CJ872" s="660"/>
      <c r="CK872" s="432"/>
      <c r="CL872" s="432"/>
      <c r="CM872" s="432"/>
      <c r="CN872" s="660"/>
      <c r="CO872" s="660"/>
      <c r="CP872" s="660"/>
      <c r="CQ872" s="660"/>
      <c r="CR872" s="660"/>
      <c r="CS872" s="660"/>
    </row>
    <row r="873" s="424" customFormat="1" ht="31" hidden="1" customHeight="1" spans="1:97">
      <c r="A873" s="633">
        <v>46049</v>
      </c>
      <c r="B873" s="497" t="s">
        <v>122</v>
      </c>
      <c r="C873" s="634" t="s">
        <v>116</v>
      </c>
      <c r="D873" s="432">
        <v>4500192220</v>
      </c>
      <c r="E873" s="635">
        <v>21528174</v>
      </c>
      <c r="F873" s="432" t="s">
        <v>2993</v>
      </c>
      <c r="G873" s="482" t="s">
        <v>463</v>
      </c>
      <c r="H873" s="635" t="s">
        <v>424</v>
      </c>
      <c r="I873" s="645">
        <v>4548</v>
      </c>
      <c r="J873" s="482">
        <v>0</v>
      </c>
      <c r="K873" s="482">
        <v>6</v>
      </c>
      <c r="L873" s="639">
        <f t="shared" si="294"/>
        <v>758</v>
      </c>
      <c r="M873" s="679">
        <v>46107</v>
      </c>
      <c r="N873" s="679">
        <v>46104</v>
      </c>
      <c r="O873" s="641"/>
      <c r="P873" s="482"/>
      <c r="Q873" s="647"/>
      <c r="R873" s="647" t="s">
        <v>403</v>
      </c>
      <c r="S873" s="683" t="s">
        <v>96</v>
      </c>
      <c r="T873" s="683" t="s">
        <v>403</v>
      </c>
      <c r="U873" s="683"/>
      <c r="V873" s="508"/>
      <c r="W873" s="508" t="s">
        <v>2994</v>
      </c>
      <c r="X873" s="651" t="s">
        <v>2893</v>
      </c>
      <c r="Y873" s="648">
        <v>6.8865</v>
      </c>
      <c r="Z873" s="651">
        <f t="shared" si="295"/>
        <v>31319.802</v>
      </c>
      <c r="AA873" s="482"/>
      <c r="AB873" s="568" t="s">
        <v>1203</v>
      </c>
      <c r="AC873" s="635" t="s">
        <v>76</v>
      </c>
      <c r="AD873" s="482"/>
      <c r="AE873" s="482"/>
      <c r="AF873" s="482"/>
      <c r="AG873" s="482"/>
      <c r="AH873" s="482">
        <f t="shared" si="296"/>
        <v>-4548</v>
      </c>
      <c r="AI873" s="482"/>
      <c r="AJ873" s="482"/>
      <c r="AK873" s="656"/>
      <c r="AL873" s="656">
        <f>I873</f>
        <v>4548</v>
      </c>
      <c r="AM873" s="656"/>
      <c r="AN873" s="656"/>
      <c r="AO873" s="432"/>
      <c r="AP873" s="656">
        <f t="shared" si="301"/>
        <v>4548</v>
      </c>
      <c r="AQ873" s="656"/>
      <c r="AR873" s="794">
        <f t="shared" si="302"/>
        <v>4548</v>
      </c>
      <c r="AS873" s="656"/>
      <c r="AT873" s="656">
        <f t="shared" si="300"/>
        <v>4548</v>
      </c>
      <c r="AU873" s="662"/>
      <c r="AV873" s="432"/>
      <c r="AW873" s="432"/>
      <c r="AX873" s="432"/>
      <c r="AY873" s="432"/>
      <c r="AZ873" s="656"/>
      <c r="BA873" s="656"/>
      <c r="BB873" s="432"/>
      <c r="BC873" s="432"/>
      <c r="BD873" s="656"/>
      <c r="BE873" s="656"/>
      <c r="BF873" s="432"/>
      <c r="BG873" s="568"/>
      <c r="BH873" s="568"/>
      <c r="BI873" s="432"/>
      <c r="BJ873" s="432">
        <f t="shared" si="303"/>
        <v>4548</v>
      </c>
      <c r="BK873" s="432"/>
      <c r="BL873" s="432"/>
      <c r="BM873" s="432"/>
      <c r="BN873" s="871"/>
      <c r="BO873" s="432"/>
      <c r="BP873" s="432"/>
      <c r="BQ873" s="432"/>
      <c r="BR873" s="432"/>
      <c r="BS873" s="432"/>
      <c r="BT873" s="432"/>
      <c r="BU873" s="432"/>
      <c r="BV873" s="432"/>
      <c r="BW873" s="432"/>
      <c r="BX873" s="432"/>
      <c r="BY873" s="432"/>
      <c r="BZ873" s="432"/>
      <c r="CA873" s="432"/>
      <c r="CB873" s="432"/>
      <c r="CC873" s="432"/>
      <c r="CD873" s="432"/>
      <c r="CE873" s="432"/>
      <c r="CF873" s="660"/>
      <c r="CG873" s="660"/>
      <c r="CH873" s="660"/>
      <c r="CI873" s="660"/>
      <c r="CJ873" s="660"/>
      <c r="CK873" s="432"/>
      <c r="CL873" s="432"/>
      <c r="CM873" s="432"/>
      <c r="CN873" s="660"/>
      <c r="CO873" s="660"/>
      <c r="CP873" s="660"/>
      <c r="CQ873" s="660"/>
      <c r="CR873" s="660"/>
      <c r="CS873" s="660"/>
    </row>
    <row r="874" s="424" customFormat="1" ht="31" hidden="1" customHeight="1" spans="1:97">
      <c r="A874" s="633">
        <v>46049</v>
      </c>
      <c r="B874" s="497" t="s">
        <v>125</v>
      </c>
      <c r="C874" s="634" t="s">
        <v>71</v>
      </c>
      <c r="D874" s="432">
        <v>4500192221</v>
      </c>
      <c r="E874" s="635">
        <v>21528177</v>
      </c>
      <c r="F874" s="432" t="s">
        <v>2995</v>
      </c>
      <c r="G874" s="482" t="s">
        <v>463</v>
      </c>
      <c r="H874" s="635" t="s">
        <v>424</v>
      </c>
      <c r="I874" s="645">
        <v>456</v>
      </c>
      <c r="J874" s="482">
        <v>0</v>
      </c>
      <c r="K874" s="482">
        <v>6</v>
      </c>
      <c r="L874" s="639">
        <f t="shared" si="294"/>
        <v>76</v>
      </c>
      <c r="M874" s="679">
        <v>46107</v>
      </c>
      <c r="N874" s="679">
        <v>46104</v>
      </c>
      <c r="O874" s="641"/>
      <c r="P874" s="482"/>
      <c r="Q874" s="647"/>
      <c r="R874" s="647" t="s">
        <v>403</v>
      </c>
      <c r="S874" s="683" t="s">
        <v>96</v>
      </c>
      <c r="T874" s="683" t="s">
        <v>403</v>
      </c>
      <c r="U874" s="683"/>
      <c r="V874" s="508"/>
      <c r="W874" s="508" t="s">
        <v>2996</v>
      </c>
      <c r="X874" s="651" t="s">
        <v>2893</v>
      </c>
      <c r="Y874" s="648">
        <v>7.4117</v>
      </c>
      <c r="Z874" s="651">
        <f t="shared" si="295"/>
        <v>3379.7352</v>
      </c>
      <c r="AA874" s="482"/>
      <c r="AB874" s="568" t="s">
        <v>1203</v>
      </c>
      <c r="AC874" s="635" t="s">
        <v>76</v>
      </c>
      <c r="AD874" s="482"/>
      <c r="AE874" s="482"/>
      <c r="AF874" s="482"/>
      <c r="AG874" s="482"/>
      <c r="AH874" s="482">
        <f t="shared" si="296"/>
        <v>-456</v>
      </c>
      <c r="AI874" s="482"/>
      <c r="AJ874" s="482"/>
      <c r="AK874" s="656"/>
      <c r="AL874" s="656">
        <f>I874</f>
        <v>456</v>
      </c>
      <c r="AM874" s="656"/>
      <c r="AN874" s="656"/>
      <c r="AO874" s="432"/>
      <c r="AP874" s="656">
        <f t="shared" si="301"/>
        <v>456</v>
      </c>
      <c r="AQ874" s="656"/>
      <c r="AR874" s="794">
        <f t="shared" si="302"/>
        <v>456</v>
      </c>
      <c r="AS874" s="656"/>
      <c r="AT874" s="656">
        <f t="shared" si="300"/>
        <v>456</v>
      </c>
      <c r="AU874" s="662"/>
      <c r="AV874" s="432"/>
      <c r="AW874" s="432"/>
      <c r="AX874" s="432"/>
      <c r="AY874" s="432"/>
      <c r="AZ874" s="656"/>
      <c r="BA874" s="656"/>
      <c r="BB874" s="432"/>
      <c r="BC874" s="432"/>
      <c r="BD874" s="656"/>
      <c r="BE874" s="656"/>
      <c r="BF874" s="432"/>
      <c r="BG874" s="568"/>
      <c r="BH874" s="568"/>
      <c r="BI874" s="432"/>
      <c r="BJ874" s="432">
        <f t="shared" si="303"/>
        <v>456</v>
      </c>
      <c r="BK874" s="432"/>
      <c r="BL874" s="432"/>
      <c r="BM874" s="432"/>
      <c r="BN874" s="871"/>
      <c r="BO874" s="432"/>
      <c r="BP874" s="432"/>
      <c r="BQ874" s="432"/>
      <c r="BR874" s="432"/>
      <c r="BS874" s="432"/>
      <c r="BT874" s="432"/>
      <c r="BU874" s="432"/>
      <c r="BV874" s="432"/>
      <c r="BW874" s="432"/>
      <c r="BX874" s="432"/>
      <c r="BY874" s="432"/>
      <c r="BZ874" s="432"/>
      <c r="CA874" s="432"/>
      <c r="CB874" s="432"/>
      <c r="CC874" s="432"/>
      <c r="CD874" s="432"/>
      <c r="CE874" s="432"/>
      <c r="CF874" s="660"/>
      <c r="CG874" s="660"/>
      <c r="CH874" s="660"/>
      <c r="CI874" s="660"/>
      <c r="CJ874" s="660"/>
      <c r="CK874" s="432"/>
      <c r="CL874" s="432"/>
      <c r="CM874" s="432"/>
      <c r="CN874" s="660"/>
      <c r="CO874" s="660"/>
      <c r="CP874" s="660"/>
      <c r="CQ874" s="660"/>
      <c r="CR874" s="660"/>
      <c r="CS874" s="660"/>
    </row>
    <row r="875" s="424" customFormat="1" ht="31" hidden="1" customHeight="1" spans="1:97">
      <c r="A875" s="633">
        <v>45978</v>
      </c>
      <c r="B875" s="497" t="s">
        <v>1372</v>
      </c>
      <c r="C875" s="635" t="s">
        <v>90</v>
      </c>
      <c r="D875" s="432">
        <v>4500185949</v>
      </c>
      <c r="E875" s="894" t="s">
        <v>2997</v>
      </c>
      <c r="F875" s="432" t="s">
        <v>2998</v>
      </c>
      <c r="G875" s="482" t="s">
        <v>2431</v>
      </c>
      <c r="H875" s="635" t="s">
        <v>744</v>
      </c>
      <c r="I875" s="635">
        <v>5400</v>
      </c>
      <c r="J875" s="635">
        <v>0</v>
      </c>
      <c r="K875" s="635">
        <v>75</v>
      </c>
      <c r="L875" s="842">
        <v>72</v>
      </c>
      <c r="M875" s="680">
        <v>46108</v>
      </c>
      <c r="N875" s="680">
        <v>46104</v>
      </c>
      <c r="O875" s="641"/>
      <c r="P875" s="482"/>
      <c r="Q875" s="647"/>
      <c r="R875" s="647" t="s">
        <v>2432</v>
      </c>
      <c r="S875" s="683" t="s">
        <v>66</v>
      </c>
      <c r="T875" s="683" t="s">
        <v>66</v>
      </c>
      <c r="U875" s="683"/>
      <c r="V875" s="508"/>
      <c r="W875" s="508" t="s">
        <v>2565</v>
      </c>
      <c r="X875" s="651" t="s">
        <v>821</v>
      </c>
      <c r="Y875" s="687">
        <v>359.3436</v>
      </c>
      <c r="Z875" s="688">
        <v>25872.7392</v>
      </c>
      <c r="AA875" s="482"/>
      <c r="AB875" s="568" t="s">
        <v>1378</v>
      </c>
      <c r="AC875" s="635" t="s">
        <v>76</v>
      </c>
      <c r="AD875" s="482"/>
      <c r="AE875" s="482"/>
      <c r="AF875" s="482"/>
      <c r="AG875" s="482"/>
      <c r="AH875" s="793">
        <f t="shared" si="296"/>
        <v>-5400</v>
      </c>
      <c r="AI875" s="482"/>
      <c r="AJ875" s="482"/>
      <c r="AK875" s="656"/>
      <c r="AL875" s="656"/>
      <c r="AM875" s="656">
        <f>I875</f>
        <v>5400</v>
      </c>
      <c r="AN875" s="656"/>
      <c r="AO875" s="432"/>
      <c r="AP875" s="656"/>
      <c r="AQ875" s="656"/>
      <c r="AR875" s="656"/>
      <c r="AS875" s="656"/>
      <c r="AT875" s="656"/>
      <c r="AU875" s="662"/>
      <c r="AV875" s="432"/>
      <c r="AW875" s="432">
        <f>I875</f>
        <v>5400</v>
      </c>
      <c r="AX875" s="432">
        <f>I875</f>
        <v>5400</v>
      </c>
      <c r="AY875" s="432">
        <f>I875</f>
        <v>5400</v>
      </c>
      <c r="AZ875" s="656"/>
      <c r="BA875" s="656"/>
      <c r="BB875" s="432"/>
      <c r="BC875" s="432"/>
      <c r="BD875" s="656"/>
      <c r="BE875" s="656"/>
      <c r="BF875" s="432"/>
      <c r="BG875" s="568">
        <f>I875</f>
        <v>5400</v>
      </c>
      <c r="BH875" s="568">
        <f>I875/5</f>
        <v>1080</v>
      </c>
      <c r="BI875" s="432"/>
      <c r="BJ875" s="432"/>
      <c r="BK875" s="432"/>
      <c r="BL875" s="432"/>
      <c r="BM875" s="432"/>
      <c r="BN875" s="871"/>
      <c r="BO875" s="432"/>
      <c r="BP875" s="432"/>
      <c r="BQ875" s="432"/>
      <c r="BR875" s="432"/>
      <c r="BS875" s="432"/>
      <c r="BT875" s="432"/>
      <c r="BU875" s="432"/>
      <c r="BV875" s="432"/>
      <c r="BW875" s="432"/>
      <c r="BX875" s="432"/>
      <c r="BY875" s="432"/>
      <c r="BZ875" s="432"/>
      <c r="CA875" s="432"/>
      <c r="CB875" s="432"/>
      <c r="CC875" s="432"/>
      <c r="CD875" s="432"/>
      <c r="CE875" s="432"/>
      <c r="CF875" s="660"/>
      <c r="CG875" s="660"/>
      <c r="CH875" s="660"/>
      <c r="CI875" s="660"/>
      <c r="CJ875" s="660"/>
      <c r="CK875" s="432"/>
      <c r="CL875" s="432"/>
      <c r="CM875" s="432"/>
      <c r="CN875" s="660"/>
      <c r="CO875" s="660"/>
      <c r="CP875" s="660"/>
      <c r="CQ875" s="660"/>
      <c r="CR875" s="660"/>
      <c r="CS875" s="660"/>
    </row>
    <row r="876" s="424" customFormat="1" ht="31" hidden="1" customHeight="1" spans="1:97">
      <c r="A876" s="633">
        <v>45978</v>
      </c>
      <c r="B876" s="497" t="s">
        <v>1372</v>
      </c>
      <c r="C876" s="635" t="s">
        <v>90</v>
      </c>
      <c r="D876" s="432">
        <v>4500185956</v>
      </c>
      <c r="E876" s="894" t="s">
        <v>2999</v>
      </c>
      <c r="F876" s="432" t="s">
        <v>3000</v>
      </c>
      <c r="G876" s="482" t="s">
        <v>2431</v>
      </c>
      <c r="H876" s="635" t="s">
        <v>744</v>
      </c>
      <c r="I876" s="635">
        <v>5400</v>
      </c>
      <c r="J876" s="635">
        <v>0</v>
      </c>
      <c r="K876" s="635">
        <v>75</v>
      </c>
      <c r="L876" s="842">
        <v>72</v>
      </c>
      <c r="M876" s="680">
        <v>46108</v>
      </c>
      <c r="N876" s="680">
        <v>46104</v>
      </c>
      <c r="O876" s="641"/>
      <c r="P876" s="482"/>
      <c r="Q876" s="647"/>
      <c r="R876" s="647" t="s">
        <v>2432</v>
      </c>
      <c r="S876" s="683" t="s">
        <v>66</v>
      </c>
      <c r="T876" s="683" t="s">
        <v>66</v>
      </c>
      <c r="U876" s="683"/>
      <c r="V876" s="508"/>
      <c r="W876" s="508" t="s">
        <v>2565</v>
      </c>
      <c r="X876" s="651" t="s">
        <v>821</v>
      </c>
      <c r="Y876" s="687">
        <v>359.3436</v>
      </c>
      <c r="Z876" s="688">
        <v>25872.7392</v>
      </c>
      <c r="AA876" s="482"/>
      <c r="AB876" s="568" t="s">
        <v>1378</v>
      </c>
      <c r="AC876" s="635" t="s">
        <v>76</v>
      </c>
      <c r="AD876" s="482"/>
      <c r="AE876" s="482"/>
      <c r="AF876" s="482"/>
      <c r="AG876" s="482"/>
      <c r="AH876" s="793">
        <f t="shared" si="296"/>
        <v>-5400</v>
      </c>
      <c r="AI876" s="482"/>
      <c r="AJ876" s="482"/>
      <c r="AK876" s="656"/>
      <c r="AL876" s="656"/>
      <c r="AM876" s="656">
        <f>I876</f>
        <v>5400</v>
      </c>
      <c r="AN876" s="656"/>
      <c r="AO876" s="432"/>
      <c r="AP876" s="656"/>
      <c r="AQ876" s="656"/>
      <c r="AR876" s="656"/>
      <c r="AS876" s="656"/>
      <c r="AT876" s="656"/>
      <c r="AU876" s="662"/>
      <c r="AV876" s="432"/>
      <c r="AW876" s="432">
        <f>I876</f>
        <v>5400</v>
      </c>
      <c r="AX876" s="432">
        <f>I876</f>
        <v>5400</v>
      </c>
      <c r="AY876" s="432">
        <f>I876</f>
        <v>5400</v>
      </c>
      <c r="AZ876" s="656"/>
      <c r="BA876" s="656"/>
      <c r="BB876" s="432"/>
      <c r="BC876" s="432"/>
      <c r="BD876" s="656"/>
      <c r="BE876" s="656"/>
      <c r="BF876" s="432"/>
      <c r="BG876" s="568">
        <f>I876</f>
        <v>5400</v>
      </c>
      <c r="BH876" s="568">
        <f>I876/5</f>
        <v>1080</v>
      </c>
      <c r="BI876" s="432"/>
      <c r="BJ876" s="432"/>
      <c r="BK876" s="432"/>
      <c r="BL876" s="432"/>
      <c r="BM876" s="432"/>
      <c r="BN876" s="871"/>
      <c r="BO876" s="432"/>
      <c r="BP876" s="432"/>
      <c r="BQ876" s="432"/>
      <c r="BR876" s="432"/>
      <c r="BS876" s="432"/>
      <c r="BT876" s="432"/>
      <c r="BU876" s="432"/>
      <c r="BV876" s="432"/>
      <c r="BW876" s="432"/>
      <c r="BX876" s="432"/>
      <c r="BY876" s="432"/>
      <c r="BZ876" s="432"/>
      <c r="CA876" s="432"/>
      <c r="CB876" s="432"/>
      <c r="CC876" s="432"/>
      <c r="CD876" s="432"/>
      <c r="CE876" s="432"/>
      <c r="CF876" s="660"/>
      <c r="CG876" s="660"/>
      <c r="CH876" s="660"/>
      <c r="CI876" s="660"/>
      <c r="CJ876" s="660"/>
      <c r="CK876" s="432"/>
      <c r="CL876" s="432"/>
      <c r="CM876" s="432"/>
      <c r="CN876" s="660"/>
      <c r="CO876" s="660"/>
      <c r="CP876" s="660"/>
      <c r="CQ876" s="660"/>
      <c r="CR876" s="660"/>
      <c r="CS876" s="660"/>
    </row>
    <row r="877" s="424" customFormat="1" ht="31" hidden="1" customHeight="1" spans="1:97">
      <c r="A877" s="633">
        <v>46038</v>
      </c>
      <c r="B877" s="497" t="s">
        <v>516</v>
      </c>
      <c r="C877" s="635" t="s">
        <v>271</v>
      </c>
      <c r="D877" s="432">
        <v>4500191607</v>
      </c>
      <c r="E877" s="635">
        <v>2000009161</v>
      </c>
      <c r="F877" s="432" t="s">
        <v>3001</v>
      </c>
      <c r="G877" s="482" t="s">
        <v>463</v>
      </c>
      <c r="H877" s="635" t="s">
        <v>424</v>
      </c>
      <c r="I877" s="645">
        <v>3690</v>
      </c>
      <c r="J877" s="482">
        <v>0</v>
      </c>
      <c r="K877" s="482">
        <v>6</v>
      </c>
      <c r="L877" s="639">
        <f t="shared" ref="L877:L883" si="304">I877/K877</f>
        <v>615</v>
      </c>
      <c r="M877" s="679">
        <v>46108</v>
      </c>
      <c r="N877" s="679">
        <v>46104</v>
      </c>
      <c r="O877" s="641" t="s">
        <v>3002</v>
      </c>
      <c r="P877" s="482"/>
      <c r="Q877" s="647"/>
      <c r="R877" s="647" t="s">
        <v>403</v>
      </c>
      <c r="S877" s="683"/>
      <c r="T877" s="683" t="s">
        <v>3003</v>
      </c>
      <c r="U877" s="683" t="s">
        <v>3004</v>
      </c>
      <c r="V877" s="508"/>
      <c r="W877" s="508" t="s">
        <v>3005</v>
      </c>
      <c r="X877" s="651" t="s">
        <v>370</v>
      </c>
      <c r="Y877" s="648">
        <v>6.7296</v>
      </c>
      <c r="Z877" s="651">
        <f t="shared" ref="Z877:Z883" si="305">Y877*I877</f>
        <v>24832.224</v>
      </c>
      <c r="AA877" s="482"/>
      <c r="AB877" s="656" t="s">
        <v>427</v>
      </c>
      <c r="AC877" s="635" t="s">
        <v>76</v>
      </c>
      <c r="AD877" s="482"/>
      <c r="AE877" s="482"/>
      <c r="AF877" s="482"/>
      <c r="AG877" s="482"/>
      <c r="AH877" s="482">
        <f t="shared" si="296"/>
        <v>-3690</v>
      </c>
      <c r="AI877" s="482"/>
      <c r="AJ877" s="482"/>
      <c r="AK877" s="656"/>
      <c r="AL877" s="656">
        <f>I877</f>
        <v>3690</v>
      </c>
      <c r="AM877" s="656"/>
      <c r="AN877" s="656"/>
      <c r="AO877" s="432"/>
      <c r="AP877" s="656"/>
      <c r="AQ877" s="656">
        <f>I877</f>
        <v>3690</v>
      </c>
      <c r="AR877" s="656">
        <f>I877</f>
        <v>3690</v>
      </c>
      <c r="AS877" s="656"/>
      <c r="AT877" s="656">
        <f t="shared" ref="AT877:AT883" si="306">I877</f>
        <v>3690</v>
      </c>
      <c r="AU877" s="662"/>
      <c r="AV877" s="432"/>
      <c r="AW877" s="432"/>
      <c r="AX877" s="432"/>
      <c r="AY877" s="432"/>
      <c r="AZ877" s="656"/>
      <c r="BA877" s="656"/>
      <c r="BB877" s="432"/>
      <c r="BC877" s="432"/>
      <c r="BD877" s="656"/>
      <c r="BE877" s="656"/>
      <c r="BF877" s="432"/>
      <c r="BG877" s="568"/>
      <c r="BH877" s="568"/>
      <c r="BI877" s="432"/>
      <c r="BJ877" s="432">
        <f>I877</f>
        <v>3690</v>
      </c>
      <c r="BK877" s="432"/>
      <c r="BL877" s="432"/>
      <c r="BM877" s="432"/>
      <c r="BN877" s="871"/>
      <c r="BO877" s="432"/>
      <c r="BP877" s="432"/>
      <c r="BQ877" s="432"/>
      <c r="BR877" s="432"/>
      <c r="BS877" s="432"/>
      <c r="BT877" s="432"/>
      <c r="BU877" s="432"/>
      <c r="BV877" s="432"/>
      <c r="BW877" s="432"/>
      <c r="BX877" s="432"/>
      <c r="BY877" s="432"/>
      <c r="BZ877" s="432"/>
      <c r="CA877" s="432"/>
      <c r="CB877" s="432"/>
      <c r="CC877" s="432"/>
      <c r="CD877" s="432"/>
      <c r="CE877" s="432"/>
      <c r="CF877" s="660"/>
      <c r="CG877" s="660"/>
      <c r="CH877" s="660"/>
      <c r="CI877" s="660"/>
      <c r="CJ877" s="660"/>
      <c r="CK877" s="432"/>
      <c r="CL877" s="432"/>
      <c r="CM877" s="432"/>
      <c r="CN877" s="660"/>
      <c r="CO877" s="660"/>
      <c r="CP877" s="660"/>
      <c r="CQ877" s="660"/>
      <c r="CR877" s="660"/>
      <c r="CS877" s="660"/>
    </row>
    <row r="878" s="424" customFormat="1" ht="31" hidden="1" customHeight="1" spans="1:97">
      <c r="A878" s="633">
        <v>46055</v>
      </c>
      <c r="B878" s="497" t="s">
        <v>3006</v>
      </c>
      <c r="C878" s="635" t="s">
        <v>271</v>
      </c>
      <c r="D878" s="432">
        <v>4500192944</v>
      </c>
      <c r="E878" s="635">
        <v>4400536620</v>
      </c>
      <c r="F878" s="432" t="s">
        <v>3007</v>
      </c>
      <c r="G878" s="482" t="s">
        <v>148</v>
      </c>
      <c r="H878" s="635" t="s">
        <v>65</v>
      </c>
      <c r="I878" s="635">
        <v>704</v>
      </c>
      <c r="J878" s="635">
        <v>0</v>
      </c>
      <c r="K878" s="635">
        <v>8</v>
      </c>
      <c r="L878" s="842">
        <f t="shared" si="304"/>
        <v>88</v>
      </c>
      <c r="M878" s="679">
        <v>46108</v>
      </c>
      <c r="N878" s="679">
        <v>46104</v>
      </c>
      <c r="O878" s="641"/>
      <c r="P878" s="641"/>
      <c r="Q878" s="647"/>
      <c r="R878" s="647" t="s">
        <v>403</v>
      </c>
      <c r="S878" s="683" t="s">
        <v>66</v>
      </c>
      <c r="T878" s="683" t="s">
        <v>149</v>
      </c>
      <c r="U878" s="508"/>
      <c r="V878" s="508"/>
      <c r="W878" s="508" t="s">
        <v>3008</v>
      </c>
      <c r="X878" s="651" t="s">
        <v>1424</v>
      </c>
      <c r="Y878" s="687">
        <v>4.2714</v>
      </c>
      <c r="Z878" s="688">
        <f t="shared" si="305"/>
        <v>3007.0656</v>
      </c>
      <c r="AA878" s="482"/>
      <c r="AB878" s="482" t="s">
        <v>2202</v>
      </c>
      <c r="AC878" s="635" t="s">
        <v>76</v>
      </c>
      <c r="AD878" s="482"/>
      <c r="AE878" s="482"/>
      <c r="AF878" s="482"/>
      <c r="AG878" s="482"/>
      <c r="AH878" s="521">
        <f t="shared" si="296"/>
        <v>-704</v>
      </c>
      <c r="AI878" s="482"/>
      <c r="AJ878" s="482"/>
      <c r="AK878" s="656"/>
      <c r="AL878" s="656">
        <f>I878</f>
        <v>704</v>
      </c>
      <c r="AM878" s="658"/>
      <c r="AN878" s="658"/>
      <c r="AO878" s="658"/>
      <c r="AP878" s="656"/>
      <c r="AQ878" s="656">
        <f>I878</f>
        <v>704</v>
      </c>
      <c r="AR878" s="656">
        <f>I878</f>
        <v>704</v>
      </c>
      <c r="AS878" s="656"/>
      <c r="AT878" s="543">
        <f t="shared" si="306"/>
        <v>704</v>
      </c>
      <c r="AU878" s="662"/>
      <c r="AV878" s="432"/>
      <c r="AW878" s="432"/>
      <c r="AX878" s="432"/>
      <c r="AY878" s="432"/>
      <c r="AZ878" s="656"/>
      <c r="BA878" s="656"/>
      <c r="BB878" s="432"/>
      <c r="BC878" s="432"/>
      <c r="BD878" s="656"/>
      <c r="BE878" s="656">
        <f>I878/4</f>
        <v>176</v>
      </c>
      <c r="BF878" s="432"/>
      <c r="BG878" s="432"/>
      <c r="BH878" s="432"/>
      <c r="BI878" s="432"/>
      <c r="BJ878" s="432"/>
      <c r="BK878" s="432"/>
      <c r="BL878" s="432"/>
      <c r="BM878" s="432"/>
      <c r="BN878" s="871"/>
      <c r="BO878" s="432"/>
      <c r="BP878" s="432"/>
      <c r="BQ878" s="432"/>
      <c r="BR878" s="432"/>
      <c r="BS878" s="432"/>
      <c r="BT878" s="432"/>
      <c r="BU878" s="432"/>
      <c r="BV878" s="432"/>
      <c r="BW878" s="432"/>
      <c r="BX878" s="432"/>
      <c r="BY878" s="432"/>
      <c r="BZ878" s="432"/>
      <c r="CA878" s="432"/>
      <c r="CB878" s="432"/>
      <c r="CC878" s="432"/>
      <c r="CD878" s="432"/>
      <c r="CE878" s="432"/>
      <c r="CF878" s="660"/>
      <c r="CG878" s="660"/>
      <c r="CH878" s="660"/>
      <c r="CI878" s="660"/>
      <c r="CJ878" s="660"/>
      <c r="CK878" s="432"/>
      <c r="CL878" s="432"/>
      <c r="CM878" s="432"/>
      <c r="CN878" s="660"/>
      <c r="CO878" s="660"/>
      <c r="CP878" s="660"/>
      <c r="CQ878" s="660"/>
      <c r="CR878" s="660"/>
      <c r="CS878" s="660"/>
    </row>
    <row r="879" s="424" customFormat="1" ht="31" hidden="1" customHeight="1" spans="1:97">
      <c r="A879" s="633">
        <v>46055</v>
      </c>
      <c r="B879" s="497" t="s">
        <v>3006</v>
      </c>
      <c r="C879" s="635" t="s">
        <v>271</v>
      </c>
      <c r="D879" s="432">
        <v>4500192944</v>
      </c>
      <c r="E879" s="635">
        <v>4400536621</v>
      </c>
      <c r="F879" s="432" t="s">
        <v>3009</v>
      </c>
      <c r="G879" s="482" t="s">
        <v>148</v>
      </c>
      <c r="H879" s="635" t="s">
        <v>65</v>
      </c>
      <c r="I879" s="635">
        <v>296</v>
      </c>
      <c r="J879" s="635">
        <v>0</v>
      </c>
      <c r="K879" s="635">
        <v>8</v>
      </c>
      <c r="L879" s="842">
        <f t="shared" si="304"/>
        <v>37</v>
      </c>
      <c r="M879" s="679">
        <v>46108</v>
      </c>
      <c r="N879" s="679">
        <v>46104</v>
      </c>
      <c r="O879" s="641"/>
      <c r="P879" s="641"/>
      <c r="Q879" s="647"/>
      <c r="R879" s="647" t="s">
        <v>403</v>
      </c>
      <c r="S879" s="683" t="s">
        <v>66</v>
      </c>
      <c r="T879" s="683" t="s">
        <v>149</v>
      </c>
      <c r="U879" s="508"/>
      <c r="V879" s="508"/>
      <c r="W879" s="508" t="s">
        <v>3008</v>
      </c>
      <c r="X879" s="651" t="s">
        <v>1424</v>
      </c>
      <c r="Y879" s="687">
        <v>4.2714</v>
      </c>
      <c r="Z879" s="688">
        <f t="shared" si="305"/>
        <v>1264.3344</v>
      </c>
      <c r="AA879" s="482"/>
      <c r="AB879" s="482" t="s">
        <v>2202</v>
      </c>
      <c r="AC879" s="635" t="s">
        <v>76</v>
      </c>
      <c r="AD879" s="482"/>
      <c r="AE879" s="482"/>
      <c r="AF879" s="482"/>
      <c r="AG879" s="482"/>
      <c r="AH879" s="521">
        <f t="shared" si="296"/>
        <v>-296</v>
      </c>
      <c r="AI879" s="482"/>
      <c r="AJ879" s="482"/>
      <c r="AK879" s="656"/>
      <c r="AL879" s="656">
        <f>I879</f>
        <v>296</v>
      </c>
      <c r="AM879" s="658"/>
      <c r="AN879" s="658"/>
      <c r="AO879" s="658"/>
      <c r="AP879" s="656"/>
      <c r="AQ879" s="656">
        <f>I879</f>
        <v>296</v>
      </c>
      <c r="AR879" s="656">
        <f>I879</f>
        <v>296</v>
      </c>
      <c r="AS879" s="656"/>
      <c r="AT879" s="543">
        <f t="shared" si="306"/>
        <v>296</v>
      </c>
      <c r="AU879" s="662"/>
      <c r="AV879" s="432"/>
      <c r="AW879" s="432"/>
      <c r="AX879" s="432"/>
      <c r="AY879" s="432"/>
      <c r="AZ879" s="656"/>
      <c r="BA879" s="656"/>
      <c r="BB879" s="432"/>
      <c r="BC879" s="432"/>
      <c r="BD879" s="656"/>
      <c r="BE879" s="656">
        <f>I879/4</f>
        <v>74</v>
      </c>
      <c r="BF879" s="432"/>
      <c r="BG879" s="432"/>
      <c r="BH879" s="432"/>
      <c r="BI879" s="432"/>
      <c r="BJ879" s="432"/>
      <c r="BK879" s="432"/>
      <c r="BL879" s="432"/>
      <c r="BM879" s="432"/>
      <c r="BN879" s="871"/>
      <c r="BO879" s="432"/>
      <c r="BP879" s="432"/>
      <c r="BQ879" s="432"/>
      <c r="BR879" s="432"/>
      <c r="BS879" s="432"/>
      <c r="BT879" s="432"/>
      <c r="BU879" s="432"/>
      <c r="BV879" s="432"/>
      <c r="BW879" s="432"/>
      <c r="BX879" s="432"/>
      <c r="BY879" s="432"/>
      <c r="BZ879" s="432"/>
      <c r="CA879" s="432"/>
      <c r="CB879" s="432"/>
      <c r="CC879" s="432"/>
      <c r="CD879" s="432"/>
      <c r="CE879" s="432"/>
      <c r="CF879" s="660"/>
      <c r="CG879" s="660"/>
      <c r="CH879" s="660"/>
      <c r="CI879" s="660"/>
      <c r="CJ879" s="660"/>
      <c r="CK879" s="432"/>
      <c r="CL879" s="432"/>
      <c r="CM879" s="432"/>
      <c r="CN879" s="660"/>
      <c r="CO879" s="660"/>
      <c r="CP879" s="660"/>
      <c r="CQ879" s="660"/>
      <c r="CR879" s="660"/>
      <c r="CS879" s="660"/>
    </row>
    <row r="880" s="424" customFormat="1" ht="31" hidden="1" customHeight="1" spans="1:97">
      <c r="A880" s="633">
        <v>46045</v>
      </c>
      <c r="B880" s="497" t="s">
        <v>1545</v>
      </c>
      <c r="C880" s="635" t="s">
        <v>90</v>
      </c>
      <c r="D880" s="432">
        <v>4500192140</v>
      </c>
      <c r="E880" s="635" t="s">
        <v>3010</v>
      </c>
      <c r="F880" s="432" t="s">
        <v>3011</v>
      </c>
      <c r="G880" s="482" t="s">
        <v>64</v>
      </c>
      <c r="H880" s="635" t="s">
        <v>65</v>
      </c>
      <c r="I880" s="851">
        <v>3948</v>
      </c>
      <c r="J880" s="635">
        <v>0</v>
      </c>
      <c r="K880" s="635">
        <v>12</v>
      </c>
      <c r="L880" s="842">
        <f t="shared" si="304"/>
        <v>329</v>
      </c>
      <c r="M880" s="679">
        <v>46112</v>
      </c>
      <c r="N880" s="679">
        <v>46108</v>
      </c>
      <c r="O880" s="641"/>
      <c r="P880" s="482"/>
      <c r="Q880" s="647"/>
      <c r="R880" s="647">
        <v>46045</v>
      </c>
      <c r="S880" s="683" t="s">
        <v>96</v>
      </c>
      <c r="T880" s="683" t="s">
        <v>3012</v>
      </c>
      <c r="U880" s="683"/>
      <c r="V880" s="508"/>
      <c r="W880" s="508" t="s">
        <v>3013</v>
      </c>
      <c r="X880" s="651" t="s">
        <v>279</v>
      </c>
      <c r="Y880" s="687">
        <v>2.4941</v>
      </c>
      <c r="Z880" s="688">
        <f t="shared" si="305"/>
        <v>9846.7068</v>
      </c>
      <c r="AA880" s="482"/>
      <c r="AB880" s="656" t="s">
        <v>64</v>
      </c>
      <c r="AC880" s="635" t="s">
        <v>76</v>
      </c>
      <c r="AD880" s="482"/>
      <c r="AE880" s="482"/>
      <c r="AF880" s="482"/>
      <c r="AG880" s="482"/>
      <c r="AH880" s="482">
        <f t="shared" ref="AH880:AH900" si="307">AG880-I880</f>
        <v>-3948</v>
      </c>
      <c r="AI880" s="482"/>
      <c r="AJ880" s="482" t="s">
        <v>2191</v>
      </c>
      <c r="AK880" s="656"/>
      <c r="AL880" s="656">
        <f>I880</f>
        <v>3948</v>
      </c>
      <c r="AM880" s="656"/>
      <c r="AN880" s="656"/>
      <c r="AO880" s="432"/>
      <c r="AP880" s="656">
        <f>I880</f>
        <v>3948</v>
      </c>
      <c r="AQ880" s="656"/>
      <c r="AR880" s="656">
        <f>I880</f>
        <v>3948</v>
      </c>
      <c r="AS880" s="656"/>
      <c r="AT880" s="656">
        <f t="shared" si="306"/>
        <v>3948</v>
      </c>
      <c r="AU880" s="662"/>
      <c r="AV880" s="432"/>
      <c r="AW880" s="432"/>
      <c r="AX880" s="432"/>
      <c r="AY880" s="432"/>
      <c r="AZ880" s="656"/>
      <c r="BA880" s="656"/>
      <c r="BB880" s="432"/>
      <c r="BC880" s="432"/>
      <c r="BD880" s="656"/>
      <c r="BE880" s="656"/>
      <c r="BF880" s="432"/>
      <c r="BG880" s="568"/>
      <c r="BH880" s="568"/>
      <c r="BI880" s="432"/>
      <c r="BJ880" s="432"/>
      <c r="BK880" s="432"/>
      <c r="BL880" s="432"/>
      <c r="BM880" s="432"/>
      <c r="BN880" s="871"/>
      <c r="BO880" s="432"/>
      <c r="BP880" s="432"/>
      <c r="BQ880" s="432"/>
      <c r="BR880" s="432"/>
      <c r="BS880" s="432"/>
      <c r="BT880" s="432"/>
      <c r="BU880" s="432"/>
      <c r="BV880" s="432"/>
      <c r="BW880" s="432"/>
      <c r="BX880" s="432"/>
      <c r="BY880" s="432"/>
      <c r="BZ880" s="432"/>
      <c r="CA880" s="432"/>
      <c r="CB880" s="432"/>
      <c r="CC880" s="432"/>
      <c r="CD880" s="432"/>
      <c r="CE880" s="432"/>
      <c r="CF880" s="660"/>
      <c r="CG880" s="660"/>
      <c r="CH880" s="660"/>
      <c r="CI880" s="660"/>
      <c r="CJ880" s="660"/>
      <c r="CK880" s="432"/>
      <c r="CL880" s="432"/>
      <c r="CM880" s="432"/>
      <c r="CN880" s="660"/>
      <c r="CO880" s="660"/>
      <c r="CP880" s="660"/>
      <c r="CQ880" s="660"/>
      <c r="CR880" s="660"/>
      <c r="CS880" s="660"/>
    </row>
    <row r="881" s="424" customFormat="1" ht="31" hidden="1" customHeight="1" spans="1:97">
      <c r="A881" s="633">
        <v>46045</v>
      </c>
      <c r="B881" s="497" t="s">
        <v>1545</v>
      </c>
      <c r="C881" s="635" t="s">
        <v>90</v>
      </c>
      <c r="D881" s="432">
        <v>4500192140</v>
      </c>
      <c r="E881" s="635" t="s">
        <v>3010</v>
      </c>
      <c r="F881" s="432" t="s">
        <v>3014</v>
      </c>
      <c r="G881" s="482" t="s">
        <v>64</v>
      </c>
      <c r="H881" s="635" t="s">
        <v>65</v>
      </c>
      <c r="I881" s="851">
        <v>1692</v>
      </c>
      <c r="J881" s="635">
        <v>0</v>
      </c>
      <c r="K881" s="635">
        <v>12</v>
      </c>
      <c r="L881" s="842">
        <f t="shared" si="304"/>
        <v>141</v>
      </c>
      <c r="M881" s="679">
        <v>46112</v>
      </c>
      <c r="N881" s="679">
        <v>46108</v>
      </c>
      <c r="O881" s="641"/>
      <c r="P881" s="482"/>
      <c r="Q881" s="647"/>
      <c r="R881" s="647">
        <v>46045</v>
      </c>
      <c r="S881" s="683" t="s">
        <v>96</v>
      </c>
      <c r="T881" s="683" t="s">
        <v>3012</v>
      </c>
      <c r="U881" s="683"/>
      <c r="V881" s="508"/>
      <c r="W881" s="508" t="s">
        <v>3013</v>
      </c>
      <c r="X881" s="651" t="s">
        <v>279</v>
      </c>
      <c r="Y881" s="687">
        <v>2.4974</v>
      </c>
      <c r="Z881" s="688">
        <f t="shared" si="305"/>
        <v>4225.6008</v>
      </c>
      <c r="AA881" s="482"/>
      <c r="AB881" s="656" t="s">
        <v>64</v>
      </c>
      <c r="AC881" s="635" t="s">
        <v>76</v>
      </c>
      <c r="AD881" s="482"/>
      <c r="AE881" s="482"/>
      <c r="AF881" s="482"/>
      <c r="AG881" s="482"/>
      <c r="AH881" s="482">
        <f t="shared" si="307"/>
        <v>-1692</v>
      </c>
      <c r="AI881" s="482"/>
      <c r="AJ881" s="482" t="s">
        <v>2191</v>
      </c>
      <c r="AK881" s="656"/>
      <c r="AL881" s="656">
        <f>I881</f>
        <v>1692</v>
      </c>
      <c r="AM881" s="656"/>
      <c r="AN881" s="656"/>
      <c r="AO881" s="432"/>
      <c r="AP881" s="656">
        <f>I881</f>
        <v>1692</v>
      </c>
      <c r="AQ881" s="656"/>
      <c r="AR881" s="656">
        <f>I881</f>
        <v>1692</v>
      </c>
      <c r="AS881" s="656"/>
      <c r="AT881" s="656">
        <f t="shared" si="306"/>
        <v>1692</v>
      </c>
      <c r="AU881" s="662"/>
      <c r="AV881" s="432"/>
      <c r="AW881" s="432"/>
      <c r="AX881" s="432"/>
      <c r="AY881" s="432"/>
      <c r="AZ881" s="656"/>
      <c r="BA881" s="656"/>
      <c r="BB881" s="432"/>
      <c r="BC881" s="432"/>
      <c r="BD881" s="656"/>
      <c r="BE881" s="656"/>
      <c r="BF881" s="432"/>
      <c r="BG881" s="568"/>
      <c r="BH881" s="568"/>
      <c r="BI881" s="432"/>
      <c r="BJ881" s="432"/>
      <c r="BK881" s="432"/>
      <c r="BL881" s="432"/>
      <c r="BM881" s="432"/>
      <c r="BN881" s="871"/>
      <c r="BO881" s="432"/>
      <c r="BP881" s="432"/>
      <c r="BQ881" s="432"/>
      <c r="BR881" s="432"/>
      <c r="BS881" s="432"/>
      <c r="BT881" s="432"/>
      <c r="BU881" s="432"/>
      <c r="BV881" s="432"/>
      <c r="BW881" s="432"/>
      <c r="BX881" s="432"/>
      <c r="BY881" s="432"/>
      <c r="BZ881" s="432"/>
      <c r="CA881" s="432"/>
      <c r="CB881" s="432"/>
      <c r="CC881" s="432"/>
      <c r="CD881" s="432"/>
      <c r="CE881" s="432"/>
      <c r="CF881" s="660"/>
      <c r="CG881" s="660"/>
      <c r="CH881" s="660"/>
      <c r="CI881" s="660"/>
      <c r="CJ881" s="660"/>
      <c r="CK881" s="432"/>
      <c r="CL881" s="432"/>
      <c r="CM881" s="432"/>
      <c r="CN881" s="660"/>
      <c r="CO881" s="660"/>
      <c r="CP881" s="660"/>
      <c r="CQ881" s="660"/>
      <c r="CR881" s="660"/>
      <c r="CS881" s="660"/>
    </row>
    <row r="882" s="424" customFormat="1" ht="31" hidden="1" customHeight="1" spans="1:97">
      <c r="A882" s="633">
        <v>46048</v>
      </c>
      <c r="B882" s="497" t="s">
        <v>220</v>
      </c>
      <c r="C882" s="635" t="s">
        <v>90</v>
      </c>
      <c r="D882" s="432">
        <v>4500192285</v>
      </c>
      <c r="E882" s="635" t="s">
        <v>3015</v>
      </c>
      <c r="F882" s="432" t="s">
        <v>3016</v>
      </c>
      <c r="G882" s="482" t="s">
        <v>223</v>
      </c>
      <c r="H882" s="635" t="s">
        <v>224</v>
      </c>
      <c r="I882" s="851">
        <v>15000</v>
      </c>
      <c r="J882" s="635">
        <v>0</v>
      </c>
      <c r="K882" s="635">
        <v>4</v>
      </c>
      <c r="L882" s="842">
        <f t="shared" si="304"/>
        <v>3750</v>
      </c>
      <c r="M882" s="679">
        <v>46112</v>
      </c>
      <c r="N882" s="679">
        <v>46108</v>
      </c>
      <c r="O882" s="641" t="s">
        <v>2944</v>
      </c>
      <c r="P882" s="482"/>
      <c r="Q882" s="647"/>
      <c r="R882" s="647" t="s">
        <v>403</v>
      </c>
      <c r="S882" s="683" t="s">
        <v>96</v>
      </c>
      <c r="T882" s="683" t="s">
        <v>2848</v>
      </c>
      <c r="U882" s="683"/>
      <c r="V882" s="508"/>
      <c r="W882" s="508" t="s">
        <v>2518</v>
      </c>
      <c r="X882" s="651" t="s">
        <v>226</v>
      </c>
      <c r="Y882" s="687">
        <v>2.7832</v>
      </c>
      <c r="Z882" s="688">
        <f t="shared" si="305"/>
        <v>41748</v>
      </c>
      <c r="AA882" s="482"/>
      <c r="AB882" s="656" t="s">
        <v>223</v>
      </c>
      <c r="AC882" s="635" t="s">
        <v>76</v>
      </c>
      <c r="AD882" s="482"/>
      <c r="AE882" s="482"/>
      <c r="AF882" s="482"/>
      <c r="AG882" s="482"/>
      <c r="AH882" s="482">
        <f t="shared" si="307"/>
        <v>-15000</v>
      </c>
      <c r="AI882" s="482"/>
      <c r="AJ882" s="482" t="s">
        <v>2191</v>
      </c>
      <c r="AK882" s="656"/>
      <c r="AL882" s="656"/>
      <c r="AM882" s="656"/>
      <c r="AN882" s="656">
        <f>I882</f>
        <v>15000</v>
      </c>
      <c r="AO882" s="432"/>
      <c r="AP882" s="656"/>
      <c r="AQ882" s="656"/>
      <c r="AR882" s="656"/>
      <c r="AS882" s="656"/>
      <c r="AT882" s="656">
        <f t="shared" si="306"/>
        <v>15000</v>
      </c>
      <c r="AU882" s="662"/>
      <c r="AV882" s="432"/>
      <c r="AW882" s="432"/>
      <c r="AX882" s="432"/>
      <c r="AY882" s="432"/>
      <c r="AZ882" s="656"/>
      <c r="BA882" s="656"/>
      <c r="BB882" s="432">
        <f>I882</f>
        <v>15000</v>
      </c>
      <c r="BC882" s="432">
        <f>I882</f>
        <v>15000</v>
      </c>
      <c r="BD882" s="656">
        <f>I882/4</f>
        <v>3750</v>
      </c>
      <c r="BE882" s="656"/>
      <c r="BF882" s="432"/>
      <c r="BG882" s="568"/>
      <c r="BH882" s="568"/>
      <c r="BI882" s="432"/>
      <c r="BJ882" s="432"/>
      <c r="BK882" s="432"/>
      <c r="BL882" s="432"/>
      <c r="BM882" s="432"/>
      <c r="BN882" s="871"/>
      <c r="BO882" s="432"/>
      <c r="BP882" s="432"/>
      <c r="BQ882" s="432"/>
      <c r="BR882" s="432"/>
      <c r="BS882" s="432"/>
      <c r="BT882" s="432"/>
      <c r="BU882" s="432"/>
      <c r="BV882" s="432"/>
      <c r="BW882" s="432"/>
      <c r="BX882" s="432"/>
      <c r="BY882" s="432"/>
      <c r="BZ882" s="432"/>
      <c r="CA882" s="432"/>
      <c r="CB882" s="432"/>
      <c r="CC882" s="432"/>
      <c r="CD882" s="432"/>
      <c r="CE882" s="432"/>
      <c r="CF882" s="660"/>
      <c r="CG882" s="660"/>
      <c r="CH882" s="660"/>
      <c r="CI882" s="660"/>
      <c r="CJ882" s="660"/>
      <c r="CK882" s="432"/>
      <c r="CL882" s="432"/>
      <c r="CM882" s="432"/>
      <c r="CN882" s="660"/>
      <c r="CO882" s="660"/>
      <c r="CP882" s="660"/>
      <c r="CQ882" s="660"/>
      <c r="CR882" s="660"/>
      <c r="CS882" s="660"/>
    </row>
    <row r="883" s="424" customFormat="1" ht="31" hidden="1" customHeight="1" spans="1:97">
      <c r="A883" s="633">
        <v>45995</v>
      </c>
      <c r="B883" s="497" t="s">
        <v>2489</v>
      </c>
      <c r="C883" s="635" t="s">
        <v>90</v>
      </c>
      <c r="D883" s="432">
        <v>4500186385</v>
      </c>
      <c r="E883" s="635">
        <v>60260792</v>
      </c>
      <c r="F883" s="432" t="s">
        <v>3017</v>
      </c>
      <c r="G883" s="482" t="s">
        <v>2491</v>
      </c>
      <c r="H883" s="635" t="s">
        <v>2492</v>
      </c>
      <c r="I883" s="635">
        <v>2000</v>
      </c>
      <c r="J883" s="635">
        <v>0</v>
      </c>
      <c r="K883" s="635">
        <v>8</v>
      </c>
      <c r="L883" s="842">
        <f t="shared" si="304"/>
        <v>250</v>
      </c>
      <c r="M883" s="679">
        <v>46115</v>
      </c>
      <c r="N883" s="679">
        <v>46111</v>
      </c>
      <c r="O883" s="641"/>
      <c r="P883" s="482"/>
      <c r="Q883" s="647"/>
      <c r="R883" s="647">
        <v>45995</v>
      </c>
      <c r="S883" s="683" t="s">
        <v>66</v>
      </c>
      <c r="T883" s="647" t="s">
        <v>2493</v>
      </c>
      <c r="U883" s="683"/>
      <c r="V883" s="508"/>
      <c r="W883" s="571" t="s">
        <v>3018</v>
      </c>
      <c r="X883" s="651" t="s">
        <v>2441</v>
      </c>
      <c r="Y883" s="687">
        <v>4.097</v>
      </c>
      <c r="Z883" s="688">
        <f t="shared" si="305"/>
        <v>8194</v>
      </c>
      <c r="AA883" s="482"/>
      <c r="AB883" s="482" t="s">
        <v>2495</v>
      </c>
      <c r="AC883" s="635" t="s">
        <v>76</v>
      </c>
      <c r="AD883" s="482"/>
      <c r="AE883" s="482"/>
      <c r="AF883" s="706"/>
      <c r="AG883" s="482"/>
      <c r="AH883" s="793">
        <f t="shared" si="307"/>
        <v>-2000</v>
      </c>
      <c r="AI883" s="482"/>
      <c r="AJ883" s="482"/>
      <c r="AK883" s="656"/>
      <c r="AL883" s="656">
        <f>I883</f>
        <v>2000</v>
      </c>
      <c r="AM883" s="656"/>
      <c r="AN883" s="656"/>
      <c r="AO883" s="432"/>
      <c r="AP883" s="656">
        <f>I883</f>
        <v>2000</v>
      </c>
      <c r="AQ883" s="656"/>
      <c r="AR883" s="794">
        <f>I883</f>
        <v>2000</v>
      </c>
      <c r="AS883" s="656"/>
      <c r="AT883" s="656">
        <f t="shared" si="306"/>
        <v>2000</v>
      </c>
      <c r="AU883" s="662"/>
      <c r="AV883" s="432"/>
      <c r="AW883" s="432"/>
      <c r="AX883" s="432"/>
      <c r="AY883" s="432"/>
      <c r="AZ883" s="656"/>
      <c r="BA883" s="656"/>
      <c r="BB883" s="432"/>
      <c r="BC883" s="432"/>
      <c r="BD883" s="656"/>
      <c r="BE883" s="656"/>
      <c r="BF883" s="432"/>
      <c r="BG883" s="656"/>
      <c r="BH883" s="656"/>
      <c r="BI883" s="432"/>
      <c r="BJ883" s="432">
        <f>I883</f>
        <v>2000</v>
      </c>
      <c r="BK883" s="432"/>
      <c r="BL883" s="432"/>
      <c r="BM883" s="432"/>
      <c r="BN883" s="871"/>
      <c r="BO883" s="432"/>
      <c r="BP883" s="432"/>
      <c r="BQ883" s="432"/>
      <c r="BR883" s="432"/>
      <c r="BS883" s="432"/>
      <c r="BT883" s="432"/>
      <c r="BU883" s="432"/>
      <c r="BV883" s="432"/>
      <c r="BW883" s="432"/>
      <c r="BX883" s="432"/>
      <c r="BY883" s="432"/>
      <c r="BZ883" s="432"/>
      <c r="CA883" s="432"/>
      <c r="CB883" s="432"/>
      <c r="CC883" s="432"/>
      <c r="CD883" s="432"/>
      <c r="CE883" s="432"/>
      <c r="CF883" s="660"/>
      <c r="CG883" s="660"/>
      <c r="CH883" s="660"/>
      <c r="CI883" s="660"/>
      <c r="CJ883" s="660"/>
      <c r="CK883" s="432"/>
      <c r="CL883" s="432"/>
      <c r="CM883" s="432"/>
      <c r="CN883" s="660"/>
      <c r="CO883" s="660"/>
      <c r="CP883" s="660"/>
      <c r="CQ883" s="660"/>
      <c r="CR883" s="660"/>
      <c r="CS883" s="660"/>
    </row>
    <row r="884" s="424" customFormat="1" ht="31" hidden="1" customHeight="1" spans="1:97">
      <c r="A884" s="633">
        <v>45978</v>
      </c>
      <c r="B884" s="497" t="s">
        <v>1372</v>
      </c>
      <c r="C884" s="635" t="s">
        <v>90</v>
      </c>
      <c r="D884" s="432">
        <v>4500185958</v>
      </c>
      <c r="E884" s="894" t="s">
        <v>3019</v>
      </c>
      <c r="F884" s="432" t="s">
        <v>3020</v>
      </c>
      <c r="G884" s="482" t="s">
        <v>2431</v>
      </c>
      <c r="H884" s="635" t="s">
        <v>744</v>
      </c>
      <c r="I884" s="635">
        <v>5400</v>
      </c>
      <c r="J884" s="635">
        <v>0</v>
      </c>
      <c r="K884" s="635">
        <v>75</v>
      </c>
      <c r="L884" s="842">
        <v>72</v>
      </c>
      <c r="M884" s="680">
        <v>46115</v>
      </c>
      <c r="N884" s="680">
        <f>M884-4</f>
        <v>46111</v>
      </c>
      <c r="O884" s="641"/>
      <c r="P884" s="482"/>
      <c r="Q884" s="647"/>
      <c r="R884" s="647" t="s">
        <v>2432</v>
      </c>
      <c r="S884" s="683" t="s">
        <v>66</v>
      </c>
      <c r="T884" s="683" t="s">
        <v>66</v>
      </c>
      <c r="U884" s="683"/>
      <c r="V884" s="508"/>
      <c r="W884" s="508" t="s">
        <v>2565</v>
      </c>
      <c r="X884" s="651" t="s">
        <v>821</v>
      </c>
      <c r="Y884" s="687">
        <v>359.3436</v>
      </c>
      <c r="Z884" s="688">
        <v>25872.7392</v>
      </c>
      <c r="AA884" s="482"/>
      <c r="AB884" s="568" t="s">
        <v>1378</v>
      </c>
      <c r="AC884" s="635" t="s">
        <v>76</v>
      </c>
      <c r="AD884" s="482"/>
      <c r="AE884" s="482"/>
      <c r="AF884" s="706"/>
      <c r="AG884" s="482"/>
      <c r="AH884" s="793">
        <f t="shared" si="307"/>
        <v>-5400</v>
      </c>
      <c r="AI884" s="482"/>
      <c r="AJ884" s="482"/>
      <c r="AK884" s="656"/>
      <c r="AL884" s="656"/>
      <c r="AM884" s="656">
        <f>I884</f>
        <v>5400</v>
      </c>
      <c r="AN884" s="656"/>
      <c r="AO884" s="432"/>
      <c r="AP884" s="656"/>
      <c r="AQ884" s="656"/>
      <c r="AR884" s="656"/>
      <c r="AS884" s="656"/>
      <c r="AT884" s="656"/>
      <c r="AU884" s="662"/>
      <c r="AV884" s="432"/>
      <c r="AW884" s="432">
        <f>I884</f>
        <v>5400</v>
      </c>
      <c r="AX884" s="432">
        <f>I884</f>
        <v>5400</v>
      </c>
      <c r="AY884" s="432">
        <f>I884</f>
        <v>5400</v>
      </c>
      <c r="AZ884" s="656"/>
      <c r="BA884" s="656"/>
      <c r="BB884" s="432"/>
      <c r="BC884" s="432"/>
      <c r="BD884" s="656"/>
      <c r="BE884" s="656"/>
      <c r="BF884" s="432"/>
      <c r="BG884" s="568">
        <f>I884</f>
        <v>5400</v>
      </c>
      <c r="BH884" s="568">
        <f>I884/5</f>
        <v>1080</v>
      </c>
      <c r="BI884" s="432"/>
      <c r="BJ884" s="432"/>
      <c r="BK884" s="432"/>
      <c r="BL884" s="432"/>
      <c r="BM884" s="432"/>
      <c r="BN884" s="871"/>
      <c r="BO884" s="432"/>
      <c r="BP884" s="432"/>
      <c r="BQ884" s="432"/>
      <c r="BR884" s="432"/>
      <c r="BS884" s="432"/>
      <c r="BT884" s="432"/>
      <c r="BU884" s="432"/>
      <c r="BV884" s="432"/>
      <c r="BW884" s="432"/>
      <c r="BX884" s="432"/>
      <c r="BY884" s="432"/>
      <c r="BZ884" s="432"/>
      <c r="CA884" s="432"/>
      <c r="CB884" s="432"/>
      <c r="CC884" s="432"/>
      <c r="CD884" s="432"/>
      <c r="CE884" s="432"/>
      <c r="CF884" s="660"/>
      <c r="CG884" s="660"/>
      <c r="CH884" s="660"/>
      <c r="CI884" s="660"/>
      <c r="CJ884" s="660"/>
      <c r="CK884" s="432"/>
      <c r="CL884" s="432"/>
      <c r="CM884" s="432"/>
      <c r="CN884" s="660"/>
      <c r="CO884" s="660"/>
      <c r="CP884" s="660"/>
      <c r="CQ884" s="660"/>
      <c r="CR884" s="660"/>
      <c r="CS884" s="660"/>
    </row>
    <row r="885" s="424" customFormat="1" ht="31" hidden="1" customHeight="1" spans="1:97">
      <c r="A885" s="633">
        <v>45978</v>
      </c>
      <c r="B885" s="497" t="s">
        <v>1372</v>
      </c>
      <c r="C885" s="635" t="s">
        <v>90</v>
      </c>
      <c r="D885" s="432">
        <v>4500185959</v>
      </c>
      <c r="E885" s="894" t="s">
        <v>3021</v>
      </c>
      <c r="F885" s="432" t="s">
        <v>3022</v>
      </c>
      <c r="G885" s="482" t="s">
        <v>2431</v>
      </c>
      <c r="H885" s="635" t="s">
        <v>744</v>
      </c>
      <c r="I885" s="635">
        <v>5400</v>
      </c>
      <c r="J885" s="635">
        <v>0</v>
      </c>
      <c r="K885" s="635">
        <v>75</v>
      </c>
      <c r="L885" s="842">
        <v>72</v>
      </c>
      <c r="M885" s="680">
        <v>46115</v>
      </c>
      <c r="N885" s="680">
        <f>M885-4</f>
        <v>46111</v>
      </c>
      <c r="O885" s="641"/>
      <c r="P885" s="482"/>
      <c r="Q885" s="647"/>
      <c r="R885" s="647" t="s">
        <v>2432</v>
      </c>
      <c r="S885" s="683" t="s">
        <v>66</v>
      </c>
      <c r="T885" s="683" t="s">
        <v>66</v>
      </c>
      <c r="U885" s="683"/>
      <c r="V885" s="508"/>
      <c r="W885" s="508" t="s">
        <v>2565</v>
      </c>
      <c r="X885" s="651" t="s">
        <v>821</v>
      </c>
      <c r="Y885" s="687">
        <v>359.3436</v>
      </c>
      <c r="Z885" s="688">
        <v>25872.7392</v>
      </c>
      <c r="AA885" s="482"/>
      <c r="AB885" s="568" t="s">
        <v>1378</v>
      </c>
      <c r="AC885" s="635" t="s">
        <v>76</v>
      </c>
      <c r="AD885" s="482"/>
      <c r="AE885" s="482"/>
      <c r="AF885" s="482"/>
      <c r="AG885" s="482"/>
      <c r="AH885" s="793">
        <f t="shared" si="307"/>
        <v>-5400</v>
      </c>
      <c r="AI885" s="482"/>
      <c r="AJ885" s="482"/>
      <c r="AK885" s="656"/>
      <c r="AL885" s="656"/>
      <c r="AM885" s="656">
        <f>I885</f>
        <v>5400</v>
      </c>
      <c r="AN885" s="656"/>
      <c r="AO885" s="432"/>
      <c r="AP885" s="656"/>
      <c r="AQ885" s="656"/>
      <c r="AR885" s="656"/>
      <c r="AS885" s="656"/>
      <c r="AT885" s="656"/>
      <c r="AU885" s="662"/>
      <c r="AV885" s="432"/>
      <c r="AW885" s="432">
        <f>I885</f>
        <v>5400</v>
      </c>
      <c r="AX885" s="432">
        <f>I885</f>
        <v>5400</v>
      </c>
      <c r="AY885" s="432">
        <f>I885</f>
        <v>5400</v>
      </c>
      <c r="AZ885" s="656"/>
      <c r="BA885" s="656"/>
      <c r="BB885" s="432"/>
      <c r="BC885" s="432"/>
      <c r="BD885" s="656"/>
      <c r="BE885" s="656"/>
      <c r="BF885" s="432"/>
      <c r="BG885" s="568">
        <f>I885</f>
        <v>5400</v>
      </c>
      <c r="BH885" s="568">
        <f>I885/5</f>
        <v>1080</v>
      </c>
      <c r="BI885" s="432"/>
      <c r="BJ885" s="432"/>
      <c r="BK885" s="432"/>
      <c r="BL885" s="432"/>
      <c r="BM885" s="432"/>
      <c r="BN885" s="871"/>
      <c r="BO885" s="432"/>
      <c r="BP885" s="432"/>
      <c r="BQ885" s="432"/>
      <c r="BR885" s="432"/>
      <c r="BS885" s="432"/>
      <c r="BT885" s="432"/>
      <c r="BU885" s="432"/>
      <c r="BV885" s="432"/>
      <c r="BW885" s="432"/>
      <c r="BX885" s="432"/>
      <c r="BY885" s="432"/>
      <c r="BZ885" s="432"/>
      <c r="CA885" s="432"/>
      <c r="CB885" s="432"/>
      <c r="CC885" s="432"/>
      <c r="CD885" s="432"/>
      <c r="CE885" s="432"/>
      <c r="CF885" s="660"/>
      <c r="CG885" s="660"/>
      <c r="CH885" s="660"/>
      <c r="CI885" s="660"/>
      <c r="CJ885" s="660"/>
      <c r="CK885" s="432"/>
      <c r="CL885" s="432"/>
      <c r="CM885" s="432"/>
      <c r="CN885" s="660"/>
      <c r="CO885" s="660"/>
      <c r="CP885" s="660"/>
      <c r="CQ885" s="660"/>
      <c r="CR885" s="660"/>
      <c r="CS885" s="660"/>
    </row>
    <row r="886" s="424" customFormat="1" ht="31" hidden="1" customHeight="1" spans="1:97">
      <c r="A886" s="633">
        <v>46048</v>
      </c>
      <c r="B886" s="497" t="s">
        <v>1669</v>
      </c>
      <c r="C886" s="634" t="s">
        <v>663</v>
      </c>
      <c r="D886" s="432">
        <v>4500192252</v>
      </c>
      <c r="E886" s="635">
        <v>5000002110</v>
      </c>
      <c r="F886" s="432" t="s">
        <v>3023</v>
      </c>
      <c r="G886" s="482" t="s">
        <v>118</v>
      </c>
      <c r="H886" s="635" t="s">
        <v>119</v>
      </c>
      <c r="I886" s="851">
        <v>3600</v>
      </c>
      <c r="J886" s="635">
        <v>0</v>
      </c>
      <c r="K886" s="635">
        <v>6</v>
      </c>
      <c r="L886" s="842">
        <f t="shared" ref="L886:L895" si="308">I886/K886</f>
        <v>600</v>
      </c>
      <c r="M886" s="679">
        <v>46115</v>
      </c>
      <c r="N886" s="679">
        <f>M886-4</f>
        <v>46111</v>
      </c>
      <c r="O886" s="641"/>
      <c r="P886" s="482"/>
      <c r="Q886" s="647"/>
      <c r="R886" s="647" t="s">
        <v>3024</v>
      </c>
      <c r="S886" s="683" t="s">
        <v>96</v>
      </c>
      <c r="T886" s="647" t="s">
        <v>2743</v>
      </c>
      <c r="U886" s="683"/>
      <c r="V886" s="508"/>
      <c r="W886" s="508" t="s">
        <v>3025</v>
      </c>
      <c r="X886" s="651" t="s">
        <v>1674</v>
      </c>
      <c r="Y886" s="687">
        <v>4.1689</v>
      </c>
      <c r="Z886" s="688">
        <f t="shared" ref="Z886:Z895" si="309">Y886*I886</f>
        <v>15008.04</v>
      </c>
      <c r="AA886" s="482"/>
      <c r="AB886" s="656" t="s">
        <v>2047</v>
      </c>
      <c r="AC886" s="635" t="s">
        <v>76</v>
      </c>
      <c r="AD886" s="482"/>
      <c r="AE886" s="482"/>
      <c r="AF886" s="482"/>
      <c r="AG886" s="482"/>
      <c r="AH886" s="482">
        <f t="shared" si="307"/>
        <v>-3600</v>
      </c>
      <c r="AI886" s="482"/>
      <c r="AJ886" s="482"/>
      <c r="AK886" s="656"/>
      <c r="AL886" s="656">
        <f t="shared" ref="AL886:AL893" si="310">I886</f>
        <v>3600</v>
      </c>
      <c r="AM886" s="656"/>
      <c r="AN886" s="656"/>
      <c r="AO886" s="432"/>
      <c r="AP886" s="794">
        <f t="shared" ref="AP886:AP891" si="311">I886</f>
        <v>3600</v>
      </c>
      <c r="AQ886" s="656"/>
      <c r="AR886" s="656"/>
      <c r="AS886" s="656">
        <f>I886</f>
        <v>3600</v>
      </c>
      <c r="AT886" s="777"/>
      <c r="AU886" s="869">
        <f>I886</f>
        <v>3600</v>
      </c>
      <c r="AV886" s="432"/>
      <c r="AW886" s="432"/>
      <c r="AX886" s="432"/>
      <c r="AY886" s="432"/>
      <c r="AZ886" s="656"/>
      <c r="BA886" s="656"/>
      <c r="BB886" s="432"/>
      <c r="BC886" s="432"/>
      <c r="BD886" s="656"/>
      <c r="BE886" s="656"/>
      <c r="BF886" s="432"/>
      <c r="BG886" s="568"/>
      <c r="BH886" s="568"/>
      <c r="BI886" s="432"/>
      <c r="BJ886" s="432"/>
      <c r="BK886" s="432"/>
      <c r="BL886" s="432"/>
      <c r="BM886" s="432"/>
      <c r="BN886" s="871"/>
      <c r="BO886" s="432"/>
      <c r="BP886" s="432"/>
      <c r="BQ886" s="432"/>
      <c r="BR886" s="432"/>
      <c r="BS886" s="432"/>
      <c r="BT886" s="432"/>
      <c r="BU886" s="432"/>
      <c r="BV886" s="432"/>
      <c r="BW886" s="432"/>
      <c r="BX886" s="432"/>
      <c r="BY886" s="432"/>
      <c r="BZ886" s="432"/>
      <c r="CA886" s="432"/>
      <c r="CB886" s="432"/>
      <c r="CC886" s="432"/>
      <c r="CD886" s="432"/>
      <c r="CE886" s="432"/>
      <c r="CF886" s="660"/>
      <c r="CG886" s="660"/>
      <c r="CH886" s="660"/>
      <c r="CI886" s="660"/>
      <c r="CJ886" s="660"/>
      <c r="CK886" s="432"/>
      <c r="CL886" s="432"/>
      <c r="CM886" s="432"/>
      <c r="CN886" s="660"/>
      <c r="CO886" s="660"/>
      <c r="CP886" s="660"/>
      <c r="CQ886" s="660"/>
      <c r="CR886" s="660"/>
      <c r="CS886" s="660"/>
    </row>
    <row r="887" s="424" customFormat="1" ht="31" hidden="1" customHeight="1" spans="1:97">
      <c r="A887" s="633">
        <v>46048</v>
      </c>
      <c r="B887" s="497" t="s">
        <v>1669</v>
      </c>
      <c r="C887" s="634" t="s">
        <v>663</v>
      </c>
      <c r="D887" s="432">
        <v>4500192252</v>
      </c>
      <c r="E887" s="635">
        <v>5000002110</v>
      </c>
      <c r="F887" s="432" t="s">
        <v>3026</v>
      </c>
      <c r="G887" s="482" t="s">
        <v>463</v>
      </c>
      <c r="H887" s="635" t="s">
        <v>424</v>
      </c>
      <c r="I887" s="645">
        <v>1200</v>
      </c>
      <c r="J887" s="482">
        <v>0</v>
      </c>
      <c r="K887" s="482">
        <v>6</v>
      </c>
      <c r="L887" s="639">
        <f t="shared" si="308"/>
        <v>200</v>
      </c>
      <c r="M887" s="679">
        <v>46115</v>
      </c>
      <c r="N887" s="679">
        <f>M887-4</f>
        <v>46111</v>
      </c>
      <c r="O887" s="641"/>
      <c r="P887" s="482"/>
      <c r="Q887" s="647"/>
      <c r="R887" s="647" t="s">
        <v>2985</v>
      </c>
      <c r="S887" s="683" t="s">
        <v>96</v>
      </c>
      <c r="T887" s="647" t="s">
        <v>2743</v>
      </c>
      <c r="U887" s="683"/>
      <c r="V887" s="508"/>
      <c r="W887" s="508" t="s">
        <v>2986</v>
      </c>
      <c r="X887" s="651" t="s">
        <v>1674</v>
      </c>
      <c r="Y887" s="648">
        <v>6.7154</v>
      </c>
      <c r="Z887" s="651">
        <f t="shared" si="309"/>
        <v>8058.48</v>
      </c>
      <c r="AA887" s="482"/>
      <c r="AB887" s="656" t="s">
        <v>2069</v>
      </c>
      <c r="AC887" s="635" t="s">
        <v>76</v>
      </c>
      <c r="AD887" s="482"/>
      <c r="AE887" s="482"/>
      <c r="AF887" s="482"/>
      <c r="AG887" s="482"/>
      <c r="AH887" s="482">
        <f t="shared" si="307"/>
        <v>-1200</v>
      </c>
      <c r="AI887" s="482"/>
      <c r="AJ887" s="482"/>
      <c r="AK887" s="656"/>
      <c r="AL887" s="656">
        <f t="shared" si="310"/>
        <v>1200</v>
      </c>
      <c r="AM887" s="656"/>
      <c r="AN887" s="656"/>
      <c r="AO887" s="432"/>
      <c r="AP887" s="794">
        <f t="shared" si="311"/>
        <v>1200</v>
      </c>
      <c r="AQ887" s="656"/>
      <c r="AR887" s="656"/>
      <c r="AS887" s="656">
        <f>I887</f>
        <v>1200</v>
      </c>
      <c r="AT887" s="777"/>
      <c r="AU887" s="869">
        <f>I887</f>
        <v>1200</v>
      </c>
      <c r="AV887" s="432"/>
      <c r="AW887" s="432"/>
      <c r="AX887" s="432"/>
      <c r="AY887" s="432"/>
      <c r="AZ887" s="656"/>
      <c r="BA887" s="656"/>
      <c r="BB887" s="432"/>
      <c r="BC887" s="432"/>
      <c r="BD887" s="656"/>
      <c r="BE887" s="656"/>
      <c r="BF887" s="432"/>
      <c r="BG887" s="568"/>
      <c r="BH887" s="568"/>
      <c r="BI887" s="432"/>
      <c r="BJ887" s="432">
        <f>I887</f>
        <v>1200</v>
      </c>
      <c r="BK887" s="432"/>
      <c r="BL887" s="432"/>
      <c r="BM887" s="432"/>
      <c r="BN887" s="871"/>
      <c r="BO887" s="432"/>
      <c r="BP887" s="432"/>
      <c r="BQ887" s="432"/>
      <c r="BR887" s="432"/>
      <c r="BS887" s="432"/>
      <c r="BT887" s="432"/>
      <c r="BU887" s="432"/>
      <c r="BV887" s="432"/>
      <c r="BW887" s="432"/>
      <c r="BX887" s="432"/>
      <c r="BY887" s="432"/>
      <c r="BZ887" s="432"/>
      <c r="CA887" s="432"/>
      <c r="CB887" s="432"/>
      <c r="CC887" s="432"/>
      <c r="CD887" s="432"/>
      <c r="CE887" s="432"/>
      <c r="CF887" s="660"/>
      <c r="CG887" s="660"/>
      <c r="CH887" s="660"/>
      <c r="CI887" s="660"/>
      <c r="CJ887" s="660"/>
      <c r="CK887" s="432"/>
      <c r="CL887" s="432"/>
      <c r="CM887" s="432"/>
      <c r="CN887" s="660"/>
      <c r="CO887" s="660"/>
      <c r="CP887" s="660"/>
      <c r="CQ887" s="660"/>
      <c r="CR887" s="660"/>
      <c r="CS887" s="660"/>
    </row>
    <row r="888" s="424" customFormat="1" ht="31" hidden="1" customHeight="1" spans="1:97">
      <c r="A888" s="633">
        <v>46051</v>
      </c>
      <c r="B888" s="497" t="s">
        <v>1669</v>
      </c>
      <c r="C888" s="635" t="s">
        <v>663</v>
      </c>
      <c r="D888" s="432">
        <v>4500192252</v>
      </c>
      <c r="E888" s="657">
        <v>5000002110</v>
      </c>
      <c r="F888" s="635" t="s">
        <v>3027</v>
      </c>
      <c r="G888" s="482" t="s">
        <v>463</v>
      </c>
      <c r="H888" s="635" t="s">
        <v>424</v>
      </c>
      <c r="I888" s="645">
        <v>3000</v>
      </c>
      <c r="J888" s="482">
        <v>0</v>
      </c>
      <c r="K888" s="482">
        <v>6</v>
      </c>
      <c r="L888" s="639">
        <f t="shared" si="308"/>
        <v>500</v>
      </c>
      <c r="M888" s="679">
        <v>46115</v>
      </c>
      <c r="N888" s="679">
        <v>46111</v>
      </c>
      <c r="O888" s="641"/>
      <c r="P888" s="482"/>
      <c r="Q888" s="647"/>
      <c r="R888" s="647" t="s">
        <v>2985</v>
      </c>
      <c r="S888" s="683" t="s">
        <v>96</v>
      </c>
      <c r="T888" s="647" t="s">
        <v>2743</v>
      </c>
      <c r="U888" s="683"/>
      <c r="V888" s="508"/>
      <c r="W888" s="508" t="s">
        <v>2986</v>
      </c>
      <c r="X888" s="651" t="s">
        <v>1674</v>
      </c>
      <c r="Y888" s="648">
        <v>6.4585</v>
      </c>
      <c r="Z888" s="651">
        <f t="shared" si="309"/>
        <v>19375.5</v>
      </c>
      <c r="AA888" s="482"/>
      <c r="AB888" s="656" t="s">
        <v>2069</v>
      </c>
      <c r="AC888" s="635" t="s">
        <v>76</v>
      </c>
      <c r="AD888" s="482"/>
      <c r="AE888" s="482"/>
      <c r="AF888" s="458"/>
      <c r="AG888" s="482"/>
      <c r="AH888" s="482">
        <f t="shared" si="307"/>
        <v>-3000</v>
      </c>
      <c r="AI888" s="482"/>
      <c r="AJ888" s="482"/>
      <c r="AK888" s="656"/>
      <c r="AL888" s="656">
        <f t="shared" si="310"/>
        <v>3000</v>
      </c>
      <c r="AM888" s="656"/>
      <c r="AN888" s="656"/>
      <c r="AO888" s="432"/>
      <c r="AP888" s="794">
        <f t="shared" si="311"/>
        <v>3000</v>
      </c>
      <c r="AQ888" s="656"/>
      <c r="AR888" s="794"/>
      <c r="AS888" s="656">
        <f>I888</f>
        <v>3000</v>
      </c>
      <c r="AT888" s="777"/>
      <c r="AU888" s="869">
        <f>I888</f>
        <v>3000</v>
      </c>
      <c r="AV888" s="432"/>
      <c r="AW888" s="432"/>
      <c r="AX888" s="432"/>
      <c r="AY888" s="432"/>
      <c r="AZ888" s="656"/>
      <c r="BA888" s="656"/>
      <c r="BB888" s="432"/>
      <c r="BC888" s="432"/>
      <c r="BD888" s="656"/>
      <c r="BE888" s="656"/>
      <c r="BF888" s="432"/>
      <c r="BG888" s="656"/>
      <c r="BH888" s="656"/>
      <c r="BI888" s="432"/>
      <c r="BJ888" s="432">
        <f>I888</f>
        <v>3000</v>
      </c>
      <c r="BK888" s="432"/>
      <c r="BL888" s="871"/>
      <c r="BM888" s="432"/>
      <c r="BN888" s="871"/>
      <c r="BO888" s="432"/>
      <c r="BP888" s="432"/>
      <c r="BQ888" s="432"/>
      <c r="BR888" s="432"/>
      <c r="BS888" s="432"/>
      <c r="BT888" s="432"/>
      <c r="BU888" s="432"/>
      <c r="BV888" s="432"/>
      <c r="BW888" s="432"/>
      <c r="BX888" s="432"/>
      <c r="BY888" s="432"/>
      <c r="BZ888" s="432"/>
      <c r="CA888" s="432"/>
      <c r="CB888" s="432"/>
      <c r="CC888" s="432"/>
      <c r="CD888" s="432"/>
      <c r="CE888" s="432"/>
      <c r="CF888" s="660"/>
      <c r="CG888" s="660"/>
      <c r="CH888" s="660"/>
      <c r="CI888" s="660"/>
      <c r="CJ888" s="660"/>
      <c r="CK888" s="432"/>
      <c r="CL888" s="432"/>
      <c r="CM888" s="432"/>
      <c r="CN888" s="660"/>
      <c r="CO888" s="660"/>
      <c r="CP888" s="660"/>
      <c r="CQ888" s="660"/>
      <c r="CR888" s="660"/>
      <c r="CS888" s="660"/>
    </row>
    <row r="889" s="424" customFormat="1" ht="31" hidden="1" customHeight="1" spans="1:97">
      <c r="A889" s="633">
        <v>46057</v>
      </c>
      <c r="B889" s="497" t="s">
        <v>3028</v>
      </c>
      <c r="C889" s="635" t="s">
        <v>3029</v>
      </c>
      <c r="D889" s="432">
        <v>4500193066</v>
      </c>
      <c r="E889" s="635" t="s">
        <v>3030</v>
      </c>
      <c r="F889" s="432" t="s">
        <v>3031</v>
      </c>
      <c r="G889" s="482" t="s">
        <v>64</v>
      </c>
      <c r="H889" s="635" t="s">
        <v>65</v>
      </c>
      <c r="I889" s="851">
        <v>1200</v>
      </c>
      <c r="J889" s="635">
        <v>0</v>
      </c>
      <c r="K889" s="635">
        <v>12</v>
      </c>
      <c r="L889" s="842">
        <f t="shared" si="308"/>
        <v>100</v>
      </c>
      <c r="M889" s="679">
        <v>46115</v>
      </c>
      <c r="N889" s="679">
        <v>46111</v>
      </c>
      <c r="O889" s="641"/>
      <c r="P889" s="482"/>
      <c r="Q889" s="647"/>
      <c r="R889" s="647" t="s">
        <v>403</v>
      </c>
      <c r="S889" s="683" t="s">
        <v>66</v>
      </c>
      <c r="T889" s="683" t="s">
        <v>403</v>
      </c>
      <c r="U889" s="683"/>
      <c r="V889" s="508"/>
      <c r="W889" s="508" t="s">
        <v>3032</v>
      </c>
      <c r="X889" s="651" t="s">
        <v>473</v>
      </c>
      <c r="Y889" s="687">
        <v>4.1623</v>
      </c>
      <c r="Z889" s="688">
        <f t="shared" si="309"/>
        <v>4994.76</v>
      </c>
      <c r="AA889" s="482"/>
      <c r="AB889" s="656" t="s">
        <v>64</v>
      </c>
      <c r="AC889" s="635" t="s">
        <v>76</v>
      </c>
      <c r="AD889" s="482"/>
      <c r="AE889" s="482"/>
      <c r="AF889" s="482"/>
      <c r="AG889" s="482"/>
      <c r="AH889" s="793">
        <f t="shared" si="307"/>
        <v>-1200</v>
      </c>
      <c r="AI889" s="482"/>
      <c r="AJ889" s="482"/>
      <c r="AK889" s="656"/>
      <c r="AL889" s="656">
        <f t="shared" si="310"/>
        <v>1200</v>
      </c>
      <c r="AM889" s="656"/>
      <c r="AN889" s="656"/>
      <c r="AO889" s="432"/>
      <c r="AP889" s="656">
        <f t="shared" si="311"/>
        <v>1200</v>
      </c>
      <c r="AQ889" s="656"/>
      <c r="AR889" s="656">
        <f>I889</f>
        <v>1200</v>
      </c>
      <c r="AS889" s="656"/>
      <c r="AT889" s="656">
        <f>I889</f>
        <v>1200</v>
      </c>
      <c r="AU889" s="662"/>
      <c r="AV889" s="432"/>
      <c r="AW889" s="432"/>
      <c r="AX889" s="432"/>
      <c r="AY889" s="432"/>
      <c r="AZ889" s="656"/>
      <c r="BA889" s="656"/>
      <c r="BB889" s="432"/>
      <c r="BC889" s="432"/>
      <c r="BD889" s="656"/>
      <c r="BE889" s="656"/>
      <c r="BF889" s="432"/>
      <c r="BG889" s="568"/>
      <c r="BH889" s="568"/>
      <c r="BI889" s="432"/>
      <c r="BJ889" s="432"/>
      <c r="BK889" s="432"/>
      <c r="BL889" s="432"/>
      <c r="BM889" s="432"/>
      <c r="BN889" s="871"/>
      <c r="BO889" s="432"/>
      <c r="BP889" s="432"/>
      <c r="BQ889" s="432"/>
      <c r="BR889" s="432"/>
      <c r="BS889" s="432"/>
      <c r="BT889" s="432"/>
      <c r="BU889" s="432"/>
      <c r="BV889" s="432"/>
      <c r="BW889" s="432"/>
      <c r="BX889" s="432"/>
      <c r="BY889" s="432"/>
      <c r="BZ889" s="432"/>
      <c r="CA889" s="432"/>
      <c r="CB889" s="432"/>
      <c r="CC889" s="432"/>
      <c r="CD889" s="432"/>
      <c r="CE889" s="432"/>
      <c r="CF889" s="660"/>
      <c r="CG889" s="660"/>
      <c r="CH889" s="660"/>
      <c r="CI889" s="660"/>
      <c r="CJ889" s="660"/>
      <c r="CK889" s="432"/>
      <c r="CL889" s="432"/>
      <c r="CM889" s="432"/>
      <c r="CN889" s="660"/>
      <c r="CO889" s="660"/>
      <c r="CP889" s="660"/>
      <c r="CQ889" s="660"/>
      <c r="CR889" s="660"/>
      <c r="CS889" s="660"/>
    </row>
    <row r="890" s="424" customFormat="1" ht="31" hidden="1" customHeight="1" spans="1:97">
      <c r="A890" s="633">
        <v>46058</v>
      </c>
      <c r="B890" s="497" t="s">
        <v>1669</v>
      </c>
      <c r="C890" s="635" t="s">
        <v>663</v>
      </c>
      <c r="D890" s="432">
        <v>4500192252</v>
      </c>
      <c r="E890" s="635">
        <v>5000002110</v>
      </c>
      <c r="F890" s="432" t="s">
        <v>3033</v>
      </c>
      <c r="G890" s="482" t="s">
        <v>463</v>
      </c>
      <c r="H890" s="635" t="s">
        <v>424</v>
      </c>
      <c r="I890" s="645">
        <v>13860</v>
      </c>
      <c r="J890" s="482">
        <v>0</v>
      </c>
      <c r="K890" s="482">
        <v>6</v>
      </c>
      <c r="L890" s="639">
        <f t="shared" si="308"/>
        <v>2310</v>
      </c>
      <c r="M890" s="679">
        <v>46115</v>
      </c>
      <c r="N890" s="679">
        <v>46111</v>
      </c>
      <c r="O890" s="641"/>
      <c r="P890" s="482"/>
      <c r="Q890" s="647"/>
      <c r="R890" s="647" t="s">
        <v>2985</v>
      </c>
      <c r="S890" s="683" t="s">
        <v>96</v>
      </c>
      <c r="T890" s="683" t="s">
        <v>2743</v>
      </c>
      <c r="U890" s="683"/>
      <c r="V890" s="508"/>
      <c r="W890" s="508" t="s">
        <v>2986</v>
      </c>
      <c r="X890" s="651" t="s">
        <v>1674</v>
      </c>
      <c r="Y890" s="648">
        <v>6.3788</v>
      </c>
      <c r="Z890" s="651">
        <f t="shared" si="309"/>
        <v>88410.168</v>
      </c>
      <c r="AA890" s="482"/>
      <c r="AB890" s="656" t="s">
        <v>2069</v>
      </c>
      <c r="AC890" s="635" t="s">
        <v>76</v>
      </c>
      <c r="AD890" s="482"/>
      <c r="AE890" s="482"/>
      <c r="AF890" s="482"/>
      <c r="AG890" s="482"/>
      <c r="AH890" s="482">
        <f t="shared" si="307"/>
        <v>-13860</v>
      </c>
      <c r="AI890" s="482"/>
      <c r="AJ890" s="482"/>
      <c r="AK890" s="656"/>
      <c r="AL890" s="656">
        <f t="shared" si="310"/>
        <v>13860</v>
      </c>
      <c r="AM890" s="656"/>
      <c r="AN890" s="656"/>
      <c r="AO890" s="432"/>
      <c r="AP890" s="794">
        <f t="shared" si="311"/>
        <v>13860</v>
      </c>
      <c r="AQ890" s="656"/>
      <c r="AR890" s="794"/>
      <c r="AS890" s="656">
        <f>I890</f>
        <v>13860</v>
      </c>
      <c r="AT890" s="777"/>
      <c r="AU890" s="869">
        <f>I890</f>
        <v>13860</v>
      </c>
      <c r="AV890" s="432"/>
      <c r="AW890" s="432"/>
      <c r="AX890" s="432"/>
      <c r="AY890" s="432"/>
      <c r="AZ890" s="656"/>
      <c r="BA890" s="656"/>
      <c r="BB890" s="432"/>
      <c r="BC890" s="432"/>
      <c r="BD890" s="656"/>
      <c r="BE890" s="656"/>
      <c r="BF890" s="432"/>
      <c r="BG890" s="568"/>
      <c r="BH890" s="568"/>
      <c r="BI890" s="432"/>
      <c r="BJ890" s="432">
        <f>I890</f>
        <v>13860</v>
      </c>
      <c r="BK890" s="432"/>
      <c r="BL890" s="432"/>
      <c r="BM890" s="432"/>
      <c r="BN890" s="871"/>
      <c r="BO890" s="432"/>
      <c r="BP890" s="432"/>
      <c r="BQ890" s="432"/>
      <c r="BR890" s="432"/>
      <c r="BS890" s="432"/>
      <c r="BT890" s="432"/>
      <c r="BU890" s="432"/>
      <c r="BV890" s="432"/>
      <c r="BW890" s="432"/>
      <c r="BX890" s="432"/>
      <c r="BY890" s="432"/>
      <c r="BZ890" s="432"/>
      <c r="CA890" s="432"/>
      <c r="CB890" s="432"/>
      <c r="CC890" s="432"/>
      <c r="CD890" s="432"/>
      <c r="CE890" s="432"/>
      <c r="CF890" s="660"/>
      <c r="CG890" s="660"/>
      <c r="CH890" s="660"/>
      <c r="CI890" s="660"/>
      <c r="CJ890" s="660"/>
      <c r="CK890" s="432"/>
      <c r="CL890" s="432"/>
      <c r="CM890" s="432"/>
      <c r="CN890" s="660"/>
      <c r="CO890" s="660"/>
      <c r="CP890" s="660"/>
      <c r="CQ890" s="660"/>
      <c r="CR890" s="660"/>
      <c r="CS890" s="660"/>
    </row>
    <row r="891" s="424" customFormat="1" ht="31" hidden="1" customHeight="1" spans="1:97">
      <c r="A891" s="633">
        <v>46058</v>
      </c>
      <c r="B891" s="497" t="s">
        <v>1669</v>
      </c>
      <c r="C891" s="635" t="s">
        <v>663</v>
      </c>
      <c r="D891" s="432">
        <v>4500192252</v>
      </c>
      <c r="E891" s="635">
        <v>5000002110</v>
      </c>
      <c r="F891" s="432" t="s">
        <v>3034</v>
      </c>
      <c r="G891" s="482" t="s">
        <v>463</v>
      </c>
      <c r="H891" s="635" t="s">
        <v>424</v>
      </c>
      <c r="I891" s="645">
        <v>800</v>
      </c>
      <c r="J891" s="482">
        <v>0</v>
      </c>
      <c r="K891" s="482">
        <v>6</v>
      </c>
      <c r="L891" s="639">
        <f t="shared" si="308"/>
        <v>133.333333333333</v>
      </c>
      <c r="M891" s="679">
        <v>46119</v>
      </c>
      <c r="N891" s="679">
        <v>46115</v>
      </c>
      <c r="O891" s="641"/>
      <c r="P891" s="482"/>
      <c r="Q891" s="647"/>
      <c r="R891" s="647" t="s">
        <v>2985</v>
      </c>
      <c r="S891" s="683" t="s">
        <v>96</v>
      </c>
      <c r="T891" s="683" t="s">
        <v>2743</v>
      </c>
      <c r="U891" s="683"/>
      <c r="V891" s="508"/>
      <c r="W891" s="508" t="s">
        <v>2986</v>
      </c>
      <c r="X891" s="651" t="s">
        <v>1674</v>
      </c>
      <c r="Y891" s="648">
        <v>6.3788</v>
      </c>
      <c r="Z891" s="651">
        <f t="shared" si="309"/>
        <v>5103.04</v>
      </c>
      <c r="AA891" s="482"/>
      <c r="AB891" s="656" t="s">
        <v>2069</v>
      </c>
      <c r="AC891" s="635" t="s">
        <v>76</v>
      </c>
      <c r="AD891" s="482"/>
      <c r="AE891" s="482"/>
      <c r="AF891" s="482"/>
      <c r="AG891" s="482"/>
      <c r="AH891" s="482">
        <f t="shared" si="307"/>
        <v>-800</v>
      </c>
      <c r="AI891" s="482"/>
      <c r="AJ891" s="482"/>
      <c r="AK891" s="656"/>
      <c r="AL891" s="656">
        <f t="shared" si="310"/>
        <v>800</v>
      </c>
      <c r="AM891" s="656"/>
      <c r="AN891" s="656"/>
      <c r="AO891" s="432"/>
      <c r="AP891" s="794">
        <f t="shared" si="311"/>
        <v>800</v>
      </c>
      <c r="AQ891" s="656"/>
      <c r="AR891" s="794"/>
      <c r="AS891" s="656">
        <f>I891</f>
        <v>800</v>
      </c>
      <c r="AT891" s="777"/>
      <c r="AU891" s="869">
        <f>I891</f>
        <v>800</v>
      </c>
      <c r="AV891" s="432"/>
      <c r="AW891" s="432"/>
      <c r="AX891" s="432"/>
      <c r="AY891" s="432"/>
      <c r="AZ891" s="656"/>
      <c r="BA891" s="656"/>
      <c r="BB891" s="432"/>
      <c r="BC891" s="432"/>
      <c r="BD891" s="656"/>
      <c r="BE891" s="656"/>
      <c r="BF891" s="432"/>
      <c r="BG891" s="568"/>
      <c r="BH891" s="568"/>
      <c r="BI891" s="432"/>
      <c r="BJ891" s="432">
        <f>I891</f>
        <v>800</v>
      </c>
      <c r="BK891" s="432"/>
      <c r="BL891" s="432"/>
      <c r="BM891" s="432"/>
      <c r="BN891" s="871"/>
      <c r="BO891" s="432"/>
      <c r="BP891" s="432"/>
      <c r="BQ891" s="432"/>
      <c r="BR891" s="432"/>
      <c r="BS891" s="432"/>
      <c r="BT891" s="432"/>
      <c r="BU891" s="432"/>
      <c r="BV891" s="432"/>
      <c r="BW891" s="432"/>
      <c r="BX891" s="432"/>
      <c r="BY891" s="432"/>
      <c r="BZ891" s="432"/>
      <c r="CA891" s="432"/>
      <c r="CB891" s="432"/>
      <c r="CC891" s="432"/>
      <c r="CD891" s="432"/>
      <c r="CE891" s="432"/>
      <c r="CF891" s="660"/>
      <c r="CG891" s="660"/>
      <c r="CH891" s="660"/>
      <c r="CI891" s="660"/>
      <c r="CJ891" s="660"/>
      <c r="CK891" s="432"/>
      <c r="CL891" s="432"/>
      <c r="CM891" s="432"/>
      <c r="CN891" s="660"/>
      <c r="CO891" s="660"/>
      <c r="CP891" s="660"/>
      <c r="CQ891" s="660"/>
      <c r="CR891" s="660"/>
      <c r="CS891" s="660"/>
    </row>
    <row r="892" s="424" customFormat="1" ht="31" hidden="1" customHeight="1" spans="1:97">
      <c r="A892" s="633">
        <v>46052</v>
      </c>
      <c r="B892" s="497" t="s">
        <v>1787</v>
      </c>
      <c r="C892" s="635" t="s">
        <v>377</v>
      </c>
      <c r="D892" s="432">
        <v>4500192711</v>
      </c>
      <c r="E892" s="635">
        <v>160646</v>
      </c>
      <c r="F892" s="432" t="s">
        <v>3035</v>
      </c>
      <c r="G892" s="482" t="s">
        <v>93</v>
      </c>
      <c r="H892" s="635" t="s">
        <v>94</v>
      </c>
      <c r="I892" s="635">
        <v>300</v>
      </c>
      <c r="J892" s="635">
        <v>0</v>
      </c>
      <c r="K892" s="635">
        <v>4</v>
      </c>
      <c r="L892" s="842">
        <f t="shared" si="308"/>
        <v>75</v>
      </c>
      <c r="M892" s="679">
        <v>46118</v>
      </c>
      <c r="N892" s="679">
        <v>46114</v>
      </c>
      <c r="O892" s="641"/>
      <c r="P892" s="482"/>
      <c r="Q892" s="647"/>
      <c r="R892" s="647">
        <v>46059</v>
      </c>
      <c r="S892" s="683"/>
      <c r="T892" s="647" t="s">
        <v>3036</v>
      </c>
      <c r="U892" s="508"/>
      <c r="V892" s="508"/>
      <c r="W892" s="508" t="s">
        <v>3037</v>
      </c>
      <c r="X892" s="651" t="s">
        <v>219</v>
      </c>
      <c r="Y892" s="687">
        <v>4.3</v>
      </c>
      <c r="Z892" s="688">
        <f t="shared" si="309"/>
        <v>1290</v>
      </c>
      <c r="AA892" s="482"/>
      <c r="AB892" s="635"/>
      <c r="AC892" s="635"/>
      <c r="AD892" s="482"/>
      <c r="AE892" s="482"/>
      <c r="AF892" s="482"/>
      <c r="AG892" s="482"/>
      <c r="AH892" s="482">
        <f t="shared" si="307"/>
        <v>-300</v>
      </c>
      <c r="AI892" s="482"/>
      <c r="AJ892" s="482"/>
      <c r="AK892" s="656"/>
      <c r="AL892" s="656">
        <f t="shared" si="310"/>
        <v>300</v>
      </c>
      <c r="AM892" s="658"/>
      <c r="AN892" s="658"/>
      <c r="AO892" s="658"/>
      <c r="AP892" s="794"/>
      <c r="AQ892" s="656">
        <f>I892</f>
        <v>300</v>
      </c>
      <c r="AR892" s="794">
        <f>I892</f>
        <v>300</v>
      </c>
      <c r="AS892" s="656"/>
      <c r="AT892" s="656">
        <f>I892</f>
        <v>300</v>
      </c>
      <c r="AU892" s="662"/>
      <c r="AV892" s="432"/>
      <c r="AW892" s="432"/>
      <c r="AX892" s="432"/>
      <c r="AY892" s="432"/>
      <c r="AZ892" s="656"/>
      <c r="BA892" s="656"/>
      <c r="BB892" s="432"/>
      <c r="BC892" s="432"/>
      <c r="BD892" s="656"/>
      <c r="BE892" s="656">
        <f>I892</f>
        <v>300</v>
      </c>
      <c r="BF892" s="432"/>
      <c r="BG892" s="432"/>
      <c r="BH892" s="432"/>
      <c r="BI892" s="432"/>
      <c r="BJ892" s="432"/>
      <c r="BK892" s="432"/>
      <c r="BL892" s="432"/>
      <c r="BM892" s="432"/>
      <c r="BN892" s="871"/>
      <c r="BO892" s="432"/>
      <c r="BP892" s="432"/>
      <c r="BQ892" s="432"/>
      <c r="BR892" s="432"/>
      <c r="BS892" s="432"/>
      <c r="BT892" s="432"/>
      <c r="BU892" s="432"/>
      <c r="BV892" s="432"/>
      <c r="BW892" s="432"/>
      <c r="BX892" s="432"/>
      <c r="BY892" s="432"/>
      <c r="BZ892" s="432"/>
      <c r="CA892" s="432"/>
      <c r="CB892" s="432"/>
      <c r="CC892" s="432"/>
      <c r="CD892" s="432"/>
      <c r="CE892" s="432"/>
      <c r="CF892" s="660"/>
      <c r="CG892" s="660"/>
      <c r="CH892" s="660"/>
      <c r="CI892" s="660"/>
      <c r="CJ892" s="660"/>
      <c r="CK892" s="432"/>
      <c r="CL892" s="432"/>
      <c r="CM892" s="432"/>
      <c r="CN892" s="660"/>
      <c r="CO892" s="660"/>
      <c r="CP892" s="660"/>
      <c r="CQ892" s="660"/>
      <c r="CR892" s="660"/>
      <c r="CS892" s="660"/>
    </row>
    <row r="893" s="424" customFormat="1" ht="31" hidden="1" customHeight="1" spans="1:97">
      <c r="A893" s="633">
        <v>46058</v>
      </c>
      <c r="B893" s="497" t="s">
        <v>1595</v>
      </c>
      <c r="C893" s="635" t="s">
        <v>139</v>
      </c>
      <c r="D893" s="432">
        <v>4500193186</v>
      </c>
      <c r="E893" s="635">
        <v>4400538625</v>
      </c>
      <c r="F893" s="432" t="s">
        <v>3038</v>
      </c>
      <c r="G893" s="482" t="s">
        <v>148</v>
      </c>
      <c r="H893" s="635" t="s">
        <v>65</v>
      </c>
      <c r="I893" s="635">
        <v>1000</v>
      </c>
      <c r="J893" s="635">
        <v>0</v>
      </c>
      <c r="K893" s="635">
        <v>8</v>
      </c>
      <c r="L893" s="842">
        <f t="shared" si="308"/>
        <v>125</v>
      </c>
      <c r="M893" s="679">
        <v>46118</v>
      </c>
      <c r="N893" s="679">
        <v>46114</v>
      </c>
      <c r="O893" s="641"/>
      <c r="P893" s="641"/>
      <c r="Q893" s="647"/>
      <c r="R893" s="647" t="s">
        <v>403</v>
      </c>
      <c r="S893" s="683" t="s">
        <v>66</v>
      </c>
      <c r="T893" s="683" t="s">
        <v>3039</v>
      </c>
      <c r="U893" s="508"/>
      <c r="V893" s="508"/>
      <c r="W893" s="508" t="s">
        <v>3040</v>
      </c>
      <c r="X893" s="651" t="s">
        <v>1424</v>
      </c>
      <c r="Y893" s="687">
        <v>4.2714</v>
      </c>
      <c r="Z893" s="688">
        <f t="shared" si="309"/>
        <v>4271.4</v>
      </c>
      <c r="AA893" s="482"/>
      <c r="AB893" s="482" t="s">
        <v>2202</v>
      </c>
      <c r="AC893" s="635" t="s">
        <v>76</v>
      </c>
      <c r="AD893" s="482"/>
      <c r="AE893" s="482"/>
      <c r="AF893" s="482"/>
      <c r="AG893" s="482"/>
      <c r="AH893" s="521">
        <f t="shared" si="307"/>
        <v>-1000</v>
      </c>
      <c r="AI893" s="482"/>
      <c r="AJ893" s="482"/>
      <c r="AK893" s="656"/>
      <c r="AL893" s="656">
        <f t="shared" si="310"/>
        <v>1000</v>
      </c>
      <c r="AM893" s="658"/>
      <c r="AN893" s="658"/>
      <c r="AO893" s="658"/>
      <c r="AP893" s="656"/>
      <c r="AQ893" s="656">
        <f>I893</f>
        <v>1000</v>
      </c>
      <c r="AR893" s="656">
        <f>I893</f>
        <v>1000</v>
      </c>
      <c r="AS893" s="656"/>
      <c r="AT893" s="543">
        <f>I893</f>
        <v>1000</v>
      </c>
      <c r="AU893" s="662"/>
      <c r="AV893" s="432"/>
      <c r="AW893" s="432"/>
      <c r="AX893" s="432"/>
      <c r="AY893" s="432"/>
      <c r="AZ893" s="656"/>
      <c r="BA893" s="656"/>
      <c r="BB893" s="432"/>
      <c r="BC893" s="432"/>
      <c r="BD893" s="656"/>
      <c r="BE893" s="656">
        <f>I893/4</f>
        <v>250</v>
      </c>
      <c r="BF893" s="432"/>
      <c r="BG893" s="432"/>
      <c r="BH893" s="432"/>
      <c r="BI893" s="432"/>
      <c r="BJ893" s="432"/>
      <c r="BK893" s="432"/>
      <c r="BL893" s="432"/>
      <c r="BM893" s="432"/>
      <c r="BN893" s="871"/>
      <c r="BO893" s="432"/>
      <c r="BP893" s="432"/>
      <c r="BQ893" s="432"/>
      <c r="BR893" s="432"/>
      <c r="BS893" s="432"/>
      <c r="BT893" s="432"/>
      <c r="BU893" s="432"/>
      <c r="BV893" s="432"/>
      <c r="BW893" s="432"/>
      <c r="BX893" s="432"/>
      <c r="BY893" s="432"/>
      <c r="BZ893" s="432"/>
      <c r="CA893" s="432"/>
      <c r="CB893" s="432"/>
      <c r="CC893" s="432"/>
      <c r="CD893" s="432"/>
      <c r="CE893" s="432"/>
      <c r="CF893" s="660"/>
      <c r="CG893" s="660"/>
      <c r="CH893" s="660"/>
      <c r="CI893" s="660"/>
      <c r="CJ893" s="660"/>
      <c r="CK893" s="432"/>
      <c r="CL893" s="432"/>
      <c r="CM893" s="432"/>
      <c r="CN893" s="660"/>
      <c r="CO893" s="660"/>
      <c r="CP893" s="660"/>
      <c r="CQ893" s="660"/>
      <c r="CR893" s="660"/>
      <c r="CS893" s="660"/>
    </row>
    <row r="894" s="424" customFormat="1" ht="31" hidden="1" customHeight="1" spans="1:97">
      <c r="A894" s="633">
        <v>46027</v>
      </c>
      <c r="B894" s="497" t="s">
        <v>220</v>
      </c>
      <c r="C894" s="635" t="s">
        <v>90</v>
      </c>
      <c r="D894" s="432">
        <v>4500190665</v>
      </c>
      <c r="E894" s="635" t="s">
        <v>3041</v>
      </c>
      <c r="F894" s="432" t="s">
        <v>3042</v>
      </c>
      <c r="G894" s="482" t="s">
        <v>223</v>
      </c>
      <c r="H894" s="635" t="s">
        <v>224</v>
      </c>
      <c r="I894" s="851">
        <v>22000</v>
      </c>
      <c r="J894" s="635">
        <v>0</v>
      </c>
      <c r="K894" s="635">
        <v>4</v>
      </c>
      <c r="L894" s="842">
        <f t="shared" si="308"/>
        <v>5500</v>
      </c>
      <c r="M894" s="680">
        <v>46122</v>
      </c>
      <c r="N894" s="680">
        <v>46118</v>
      </c>
      <c r="O894" s="641"/>
      <c r="P894" s="482"/>
      <c r="Q894" s="647"/>
      <c r="R894" s="647" t="s">
        <v>403</v>
      </c>
      <c r="S894" s="683" t="s">
        <v>96</v>
      </c>
      <c r="T894" s="683" t="s">
        <v>2848</v>
      </c>
      <c r="U894" s="683"/>
      <c r="V894" s="508"/>
      <c r="W894" s="508" t="s">
        <v>2518</v>
      </c>
      <c r="X894" s="651" t="s">
        <v>226</v>
      </c>
      <c r="Y894" s="687">
        <v>2.7734</v>
      </c>
      <c r="Z894" s="688">
        <f t="shared" si="309"/>
        <v>61014.8</v>
      </c>
      <c r="AA894" s="482"/>
      <c r="AB894" s="656" t="s">
        <v>223</v>
      </c>
      <c r="AC894" s="635" t="s">
        <v>76</v>
      </c>
      <c r="AD894" s="482"/>
      <c r="AE894" s="482"/>
      <c r="AF894" s="482"/>
      <c r="AG894" s="482"/>
      <c r="AH894" s="482">
        <f t="shared" si="307"/>
        <v>-22000</v>
      </c>
      <c r="AI894" s="482"/>
      <c r="AJ894" s="482"/>
      <c r="AK894" s="656"/>
      <c r="AL894" s="658"/>
      <c r="AM894" s="656"/>
      <c r="AN894" s="656">
        <f>I894</f>
        <v>22000</v>
      </c>
      <c r="AO894" s="432"/>
      <c r="AP894" s="656"/>
      <c r="AQ894" s="656"/>
      <c r="AR894" s="656"/>
      <c r="AS894" s="656"/>
      <c r="AT894" s="656">
        <f>I894</f>
        <v>22000</v>
      </c>
      <c r="AU894" s="662"/>
      <c r="AV894" s="432"/>
      <c r="AW894" s="432"/>
      <c r="AX894" s="432"/>
      <c r="AY894" s="432"/>
      <c r="AZ894" s="656"/>
      <c r="BA894" s="656"/>
      <c r="BB894" s="432">
        <f>I894</f>
        <v>22000</v>
      </c>
      <c r="BC894" s="432">
        <f>I894</f>
        <v>22000</v>
      </c>
      <c r="BD894" s="656">
        <f>I894/4</f>
        <v>5500</v>
      </c>
      <c r="BE894" s="656"/>
      <c r="BF894" s="432"/>
      <c r="BG894" s="656"/>
      <c r="BH894" s="656"/>
      <c r="BI894" s="432"/>
      <c r="BJ894" s="432"/>
      <c r="BK894" s="432"/>
      <c r="BL894" s="432"/>
      <c r="BM894" s="432"/>
      <c r="BN894" s="871"/>
      <c r="BO894" s="432"/>
      <c r="BP894" s="432"/>
      <c r="BQ894" s="432"/>
      <c r="BR894" s="432"/>
      <c r="BS894" s="432"/>
      <c r="BT894" s="432"/>
      <c r="BU894" s="432"/>
      <c r="BV894" s="432"/>
      <c r="BW894" s="432"/>
      <c r="BX894" s="432"/>
      <c r="BY894" s="432"/>
      <c r="BZ894" s="432"/>
      <c r="CA894" s="432"/>
      <c r="CB894" s="432"/>
      <c r="CC894" s="432"/>
      <c r="CD894" s="432"/>
      <c r="CE894" s="432"/>
      <c r="CF894" s="660"/>
      <c r="CG894" s="660"/>
      <c r="CH894" s="660"/>
      <c r="CI894" s="660"/>
      <c r="CJ894" s="660"/>
      <c r="CK894" s="432"/>
      <c r="CL894" s="432"/>
      <c r="CM894" s="432"/>
      <c r="CN894" s="660"/>
      <c r="CO894" s="660"/>
      <c r="CP894" s="660"/>
      <c r="CQ894" s="660"/>
      <c r="CR894" s="660"/>
      <c r="CS894" s="660"/>
    </row>
    <row r="895" s="424" customFormat="1" ht="31" hidden="1" customHeight="1" spans="1:97">
      <c r="A895" s="633">
        <v>46028</v>
      </c>
      <c r="B895" s="497" t="s">
        <v>220</v>
      </c>
      <c r="C895" s="635" t="s">
        <v>90</v>
      </c>
      <c r="D895" s="432">
        <v>4500190738</v>
      </c>
      <c r="E895" s="635" t="s">
        <v>3043</v>
      </c>
      <c r="F895" s="432" t="s">
        <v>3044</v>
      </c>
      <c r="G895" s="482" t="s">
        <v>223</v>
      </c>
      <c r="H895" s="635" t="s">
        <v>224</v>
      </c>
      <c r="I895" s="851">
        <v>3380</v>
      </c>
      <c r="J895" s="635">
        <v>0</v>
      </c>
      <c r="K895" s="635">
        <v>4</v>
      </c>
      <c r="L895" s="842">
        <f t="shared" si="308"/>
        <v>845</v>
      </c>
      <c r="M895" s="874">
        <v>46112</v>
      </c>
      <c r="N895" s="874">
        <v>46108</v>
      </c>
      <c r="O895" s="641"/>
      <c r="P895" s="482"/>
      <c r="Q895" s="647"/>
      <c r="R895" s="647" t="s">
        <v>403</v>
      </c>
      <c r="S895" s="683" t="s">
        <v>96</v>
      </c>
      <c r="T895" s="683" t="s">
        <v>2848</v>
      </c>
      <c r="U895" s="683"/>
      <c r="V895" s="508"/>
      <c r="W895" s="649" t="s">
        <v>3045</v>
      </c>
      <c r="X895" s="651" t="s">
        <v>226</v>
      </c>
      <c r="Y895" s="687">
        <v>2.8063</v>
      </c>
      <c r="Z895" s="688">
        <f t="shared" si="309"/>
        <v>9485.294</v>
      </c>
      <c r="AA895" s="482"/>
      <c r="AB895" s="656" t="s">
        <v>223</v>
      </c>
      <c r="AC895" s="635" t="s">
        <v>76</v>
      </c>
      <c r="AD895" s="482"/>
      <c r="AE895" s="482"/>
      <c r="AF895" s="482"/>
      <c r="AG895" s="482"/>
      <c r="AH895" s="482">
        <f t="shared" si="307"/>
        <v>-3380</v>
      </c>
      <c r="AI895" s="482"/>
      <c r="AJ895" s="482"/>
      <c r="AK895" s="656"/>
      <c r="AL895" s="658"/>
      <c r="AM895" s="656"/>
      <c r="AN895" s="656">
        <f>I895</f>
        <v>3380</v>
      </c>
      <c r="AO895" s="432"/>
      <c r="AP895" s="656"/>
      <c r="AQ895" s="656"/>
      <c r="AR895" s="656"/>
      <c r="AS895" s="656"/>
      <c r="AT895" s="656">
        <f>I895</f>
        <v>3380</v>
      </c>
      <c r="AU895" s="662"/>
      <c r="AV895" s="432"/>
      <c r="AW895" s="432"/>
      <c r="AX895" s="432"/>
      <c r="AY895" s="432"/>
      <c r="AZ895" s="656"/>
      <c r="BA895" s="656"/>
      <c r="BB895" s="432">
        <f>I895</f>
        <v>3380</v>
      </c>
      <c r="BC895" s="432">
        <f>I895</f>
        <v>3380</v>
      </c>
      <c r="BD895" s="656">
        <f>I895/4</f>
        <v>845</v>
      </c>
      <c r="BE895" s="656"/>
      <c r="BF895" s="432"/>
      <c r="BG895" s="656"/>
      <c r="BH895" s="656"/>
      <c r="BI895" s="432"/>
      <c r="BJ895" s="432"/>
      <c r="BK895" s="432"/>
      <c r="BL895" s="432"/>
      <c r="BM895" s="432"/>
      <c r="BN895" s="871"/>
      <c r="BO895" s="432"/>
      <c r="BP895" s="432"/>
      <c r="BQ895" s="432"/>
      <c r="BR895" s="432"/>
      <c r="BS895" s="432"/>
      <c r="BT895" s="432"/>
      <c r="BU895" s="432"/>
      <c r="BV895" s="432"/>
      <c r="BW895" s="432"/>
      <c r="BX895" s="432"/>
      <c r="BY895" s="432"/>
      <c r="BZ895" s="432"/>
      <c r="CA895" s="432"/>
      <c r="CB895" s="432"/>
      <c r="CC895" s="432"/>
      <c r="CD895" s="432"/>
      <c r="CE895" s="432"/>
      <c r="CF895" s="660"/>
      <c r="CG895" s="660"/>
      <c r="CH895" s="660"/>
      <c r="CI895" s="660"/>
      <c r="CJ895" s="660"/>
      <c r="CK895" s="432"/>
      <c r="CL895" s="432"/>
      <c r="CM895" s="432"/>
      <c r="CN895" s="660"/>
      <c r="CO895" s="660"/>
      <c r="CP895" s="660"/>
      <c r="CQ895" s="660"/>
      <c r="CR895" s="660"/>
      <c r="CS895" s="660"/>
    </row>
    <row r="896" s="424" customFormat="1" ht="31" hidden="1" customHeight="1" spans="1:97">
      <c r="A896" s="633">
        <v>45978</v>
      </c>
      <c r="B896" s="497" t="s">
        <v>1372</v>
      </c>
      <c r="C896" s="635" t="s">
        <v>90</v>
      </c>
      <c r="D896" s="432">
        <v>4500185960</v>
      </c>
      <c r="E896" s="894" t="s">
        <v>3046</v>
      </c>
      <c r="F896" s="432" t="s">
        <v>3047</v>
      </c>
      <c r="G896" s="482" t="s">
        <v>2431</v>
      </c>
      <c r="H896" s="635" t="s">
        <v>744</v>
      </c>
      <c r="I896" s="635">
        <v>5400</v>
      </c>
      <c r="J896" s="635">
        <v>0</v>
      </c>
      <c r="K896" s="635">
        <v>75</v>
      </c>
      <c r="L896" s="842">
        <v>72</v>
      </c>
      <c r="M896" s="680">
        <v>46121</v>
      </c>
      <c r="N896" s="680">
        <v>46118</v>
      </c>
      <c r="O896" s="641"/>
      <c r="P896" s="482"/>
      <c r="Q896" s="647"/>
      <c r="R896" s="647" t="s">
        <v>2432</v>
      </c>
      <c r="S896" s="683" t="s">
        <v>66</v>
      </c>
      <c r="T896" s="683" t="s">
        <v>66</v>
      </c>
      <c r="U896" s="683"/>
      <c r="V896" s="508"/>
      <c r="W896" s="508" t="s">
        <v>2565</v>
      </c>
      <c r="X896" s="651" t="s">
        <v>821</v>
      </c>
      <c r="Y896" s="687">
        <v>359.3436</v>
      </c>
      <c r="Z896" s="688">
        <v>25872.7392</v>
      </c>
      <c r="AA896" s="482"/>
      <c r="AB896" s="568" t="s">
        <v>1378</v>
      </c>
      <c r="AC896" s="635" t="s">
        <v>76</v>
      </c>
      <c r="AD896" s="482"/>
      <c r="AE896" s="482"/>
      <c r="AF896" s="482"/>
      <c r="AG896" s="482"/>
      <c r="AH896" s="793">
        <f t="shared" si="307"/>
        <v>-5400</v>
      </c>
      <c r="AI896" s="482"/>
      <c r="AJ896" s="482"/>
      <c r="AK896" s="656"/>
      <c r="AL896" s="656"/>
      <c r="AM896" s="656">
        <f>I896</f>
        <v>5400</v>
      </c>
      <c r="AN896" s="656"/>
      <c r="AO896" s="432"/>
      <c r="AP896" s="656"/>
      <c r="AQ896" s="656"/>
      <c r="AR896" s="656"/>
      <c r="AS896" s="656"/>
      <c r="AT896" s="656"/>
      <c r="AU896" s="662"/>
      <c r="AV896" s="432"/>
      <c r="AW896" s="432">
        <f>I896</f>
        <v>5400</v>
      </c>
      <c r="AX896" s="432">
        <f>I896</f>
        <v>5400</v>
      </c>
      <c r="AY896" s="432">
        <f>I896</f>
        <v>5400</v>
      </c>
      <c r="AZ896" s="656"/>
      <c r="BA896" s="656"/>
      <c r="BB896" s="432"/>
      <c r="BC896" s="432"/>
      <c r="BD896" s="656"/>
      <c r="BE896" s="656"/>
      <c r="BF896" s="432"/>
      <c r="BG896" s="568">
        <f>I896</f>
        <v>5400</v>
      </c>
      <c r="BH896" s="568">
        <f>I896/5</f>
        <v>1080</v>
      </c>
      <c r="BI896" s="432"/>
      <c r="BJ896" s="432"/>
      <c r="BK896" s="432"/>
      <c r="BL896" s="432"/>
      <c r="BM896" s="432"/>
      <c r="BN896" s="871"/>
      <c r="BO896" s="432"/>
      <c r="BP896" s="432"/>
      <c r="BQ896" s="432"/>
      <c r="BR896" s="432"/>
      <c r="BS896" s="432"/>
      <c r="BT896" s="432"/>
      <c r="BU896" s="432"/>
      <c r="BV896" s="432"/>
      <c r="BW896" s="432"/>
      <c r="BX896" s="432"/>
      <c r="BY896" s="432"/>
      <c r="BZ896" s="432"/>
      <c r="CA896" s="432"/>
      <c r="CB896" s="432"/>
      <c r="CC896" s="432"/>
      <c r="CD896" s="432"/>
      <c r="CE896" s="432"/>
      <c r="CF896" s="660"/>
      <c r="CG896" s="660"/>
      <c r="CH896" s="660"/>
      <c r="CI896" s="660"/>
      <c r="CJ896" s="660"/>
      <c r="CK896" s="432"/>
      <c r="CL896" s="432"/>
      <c r="CM896" s="432"/>
      <c r="CN896" s="660"/>
      <c r="CO896" s="660"/>
      <c r="CP896" s="660"/>
      <c r="CQ896" s="660"/>
      <c r="CR896" s="660"/>
      <c r="CS896" s="660"/>
    </row>
    <row r="897" s="424" customFormat="1" ht="31" hidden="1" customHeight="1" spans="1:97">
      <c r="A897" s="633">
        <v>45978</v>
      </c>
      <c r="B897" s="497" t="s">
        <v>1372</v>
      </c>
      <c r="C897" s="635" t="s">
        <v>90</v>
      </c>
      <c r="D897" s="432">
        <v>4500185961</v>
      </c>
      <c r="E897" s="894" t="s">
        <v>3048</v>
      </c>
      <c r="F897" s="432" t="s">
        <v>3049</v>
      </c>
      <c r="G897" s="482" t="s">
        <v>2431</v>
      </c>
      <c r="H897" s="635" t="s">
        <v>744</v>
      </c>
      <c r="I897" s="635">
        <v>5400</v>
      </c>
      <c r="J897" s="635">
        <v>0</v>
      </c>
      <c r="K897" s="635">
        <v>75</v>
      </c>
      <c r="L897" s="842">
        <v>72</v>
      </c>
      <c r="M897" s="680">
        <v>46122</v>
      </c>
      <c r="N897" s="680">
        <v>46118</v>
      </c>
      <c r="O897" s="641"/>
      <c r="P897" s="482"/>
      <c r="Q897" s="647"/>
      <c r="R897" s="647" t="s">
        <v>2432</v>
      </c>
      <c r="S897" s="683" t="s">
        <v>66</v>
      </c>
      <c r="T897" s="683" t="s">
        <v>66</v>
      </c>
      <c r="U897" s="683"/>
      <c r="V897" s="508"/>
      <c r="W897" s="508" t="s">
        <v>2565</v>
      </c>
      <c r="X897" s="651" t="s">
        <v>821</v>
      </c>
      <c r="Y897" s="687">
        <v>359.3436</v>
      </c>
      <c r="Z897" s="688">
        <v>25872.7392</v>
      </c>
      <c r="AA897" s="482"/>
      <c r="AB897" s="568" t="s">
        <v>1378</v>
      </c>
      <c r="AC897" s="635" t="s">
        <v>76</v>
      </c>
      <c r="AD897" s="482"/>
      <c r="AE897" s="482"/>
      <c r="AF897" s="482"/>
      <c r="AG897" s="482"/>
      <c r="AH897" s="793">
        <f t="shared" si="307"/>
        <v>-5400</v>
      </c>
      <c r="AI897" s="482"/>
      <c r="AJ897" s="482"/>
      <c r="AK897" s="656"/>
      <c r="AL897" s="656"/>
      <c r="AM897" s="656">
        <f>I897</f>
        <v>5400</v>
      </c>
      <c r="AN897" s="656"/>
      <c r="AO897" s="432"/>
      <c r="AP897" s="656"/>
      <c r="AQ897" s="656"/>
      <c r="AR897" s="656"/>
      <c r="AS897" s="656"/>
      <c r="AT897" s="656"/>
      <c r="AU897" s="662"/>
      <c r="AV897" s="432"/>
      <c r="AW897" s="432">
        <f>I897</f>
        <v>5400</v>
      </c>
      <c r="AX897" s="432">
        <f>I897</f>
        <v>5400</v>
      </c>
      <c r="AY897" s="432">
        <f>I897</f>
        <v>5400</v>
      </c>
      <c r="AZ897" s="656"/>
      <c r="BA897" s="656"/>
      <c r="BB897" s="432"/>
      <c r="BC897" s="432"/>
      <c r="BD897" s="656"/>
      <c r="BE897" s="656"/>
      <c r="BF897" s="432"/>
      <c r="BG897" s="568">
        <f>I897</f>
        <v>5400</v>
      </c>
      <c r="BH897" s="568">
        <f>I897/5</f>
        <v>1080</v>
      </c>
      <c r="BI897" s="432"/>
      <c r="BJ897" s="432"/>
      <c r="BK897" s="432"/>
      <c r="BL897" s="432"/>
      <c r="BM897" s="432"/>
      <c r="BN897" s="871"/>
      <c r="BO897" s="432"/>
      <c r="BP897" s="432"/>
      <c r="BQ897" s="432"/>
      <c r="BR897" s="432"/>
      <c r="BS897" s="432"/>
      <c r="BT897" s="432"/>
      <c r="BU897" s="432"/>
      <c r="BV897" s="432"/>
      <c r="BW897" s="432"/>
      <c r="BX897" s="432"/>
      <c r="BY897" s="432"/>
      <c r="BZ897" s="432"/>
      <c r="CA897" s="432"/>
      <c r="CB897" s="432"/>
      <c r="CC897" s="432"/>
      <c r="CD897" s="432"/>
      <c r="CE897" s="432"/>
      <c r="CF897" s="660"/>
      <c r="CG897" s="660"/>
      <c r="CH897" s="660"/>
      <c r="CI897" s="660"/>
      <c r="CJ897" s="660"/>
      <c r="CK897" s="432"/>
      <c r="CL897" s="432"/>
      <c r="CM897" s="432"/>
      <c r="CN897" s="660"/>
      <c r="CO897" s="660"/>
      <c r="CP897" s="660"/>
      <c r="CQ897" s="660"/>
      <c r="CR897" s="660"/>
      <c r="CS897" s="660"/>
    </row>
    <row r="898" s="424" customFormat="1" ht="31" hidden="1" customHeight="1" spans="1:97">
      <c r="A898" s="633">
        <v>45978</v>
      </c>
      <c r="B898" s="497" t="s">
        <v>1372</v>
      </c>
      <c r="C898" s="635" t="s">
        <v>90</v>
      </c>
      <c r="D898" s="432">
        <v>4500185964</v>
      </c>
      <c r="E898" s="894" t="s">
        <v>3050</v>
      </c>
      <c r="F898" s="432" t="s">
        <v>3051</v>
      </c>
      <c r="G898" s="482" t="s">
        <v>2431</v>
      </c>
      <c r="H898" s="635" t="s">
        <v>744</v>
      </c>
      <c r="I898" s="635">
        <v>5400</v>
      </c>
      <c r="J898" s="635">
        <v>0</v>
      </c>
      <c r="K898" s="635">
        <v>75</v>
      </c>
      <c r="L898" s="842">
        <v>72</v>
      </c>
      <c r="M898" s="680">
        <v>46122</v>
      </c>
      <c r="N898" s="680">
        <v>46118</v>
      </c>
      <c r="O898" s="641"/>
      <c r="P898" s="482"/>
      <c r="Q898" s="647"/>
      <c r="R898" s="647" t="s">
        <v>2432</v>
      </c>
      <c r="S898" s="683" t="s">
        <v>66</v>
      </c>
      <c r="T898" s="683" t="s">
        <v>66</v>
      </c>
      <c r="U898" s="683"/>
      <c r="V898" s="508"/>
      <c r="W898" s="508" t="s">
        <v>2565</v>
      </c>
      <c r="X898" s="651" t="s">
        <v>821</v>
      </c>
      <c r="Y898" s="687">
        <v>359.3436</v>
      </c>
      <c r="Z898" s="688">
        <v>25872.7392</v>
      </c>
      <c r="AA898" s="482"/>
      <c r="AB898" s="568" t="s">
        <v>1378</v>
      </c>
      <c r="AC898" s="635" t="s">
        <v>76</v>
      </c>
      <c r="AD898" s="482"/>
      <c r="AE898" s="482"/>
      <c r="AF898" s="482"/>
      <c r="AG898" s="482"/>
      <c r="AH898" s="793">
        <f t="shared" si="307"/>
        <v>-5400</v>
      </c>
      <c r="AI898" s="482"/>
      <c r="AJ898" s="482"/>
      <c r="AK898" s="656"/>
      <c r="AL898" s="656"/>
      <c r="AM898" s="656">
        <f>I898</f>
        <v>5400</v>
      </c>
      <c r="AN898" s="656"/>
      <c r="AO898" s="432"/>
      <c r="AP898" s="656"/>
      <c r="AQ898" s="656"/>
      <c r="AR898" s="656"/>
      <c r="AS898" s="656"/>
      <c r="AT898" s="656"/>
      <c r="AU898" s="662"/>
      <c r="AV898" s="432"/>
      <c r="AW898" s="432">
        <f>I898</f>
        <v>5400</v>
      </c>
      <c r="AX898" s="432">
        <f>I898</f>
        <v>5400</v>
      </c>
      <c r="AY898" s="432">
        <f>I898</f>
        <v>5400</v>
      </c>
      <c r="AZ898" s="656"/>
      <c r="BA898" s="656"/>
      <c r="BB898" s="432"/>
      <c r="BC898" s="432"/>
      <c r="BD898" s="656"/>
      <c r="BE898" s="656"/>
      <c r="BF898" s="432"/>
      <c r="BG898" s="568">
        <f>I898</f>
        <v>5400</v>
      </c>
      <c r="BH898" s="568">
        <f>I898/5</f>
        <v>1080</v>
      </c>
      <c r="BI898" s="432"/>
      <c r="BJ898" s="432"/>
      <c r="BK898" s="432"/>
      <c r="BL898" s="432"/>
      <c r="BM898" s="432"/>
      <c r="BN898" s="871"/>
      <c r="BO898" s="432"/>
      <c r="BP898" s="432"/>
      <c r="BQ898" s="432"/>
      <c r="BR898" s="432"/>
      <c r="BS898" s="432"/>
      <c r="BT898" s="432"/>
      <c r="BU898" s="432"/>
      <c r="BV898" s="432"/>
      <c r="BW898" s="432"/>
      <c r="BX898" s="432"/>
      <c r="BY898" s="432"/>
      <c r="BZ898" s="432"/>
      <c r="CA898" s="432"/>
      <c r="CB898" s="432"/>
      <c r="CC898" s="432"/>
      <c r="CD898" s="432"/>
      <c r="CE898" s="432"/>
      <c r="CF898" s="660"/>
      <c r="CG898" s="660"/>
      <c r="CH898" s="660"/>
      <c r="CI898" s="660"/>
      <c r="CJ898" s="660"/>
      <c r="CK898" s="432"/>
      <c r="CL898" s="432"/>
      <c r="CM898" s="432"/>
      <c r="CN898" s="660"/>
      <c r="CO898" s="660"/>
      <c r="CP898" s="660"/>
      <c r="CQ898" s="660"/>
      <c r="CR898" s="660"/>
      <c r="CS898" s="660"/>
    </row>
    <row r="899" s="424" customFormat="1" ht="31" hidden="1" customHeight="1" spans="1:97">
      <c r="A899" s="633">
        <v>46038</v>
      </c>
      <c r="B899" s="497" t="s">
        <v>2566</v>
      </c>
      <c r="C899" s="635" t="s">
        <v>90</v>
      </c>
      <c r="D899" s="432">
        <v>4500191650</v>
      </c>
      <c r="E899" s="635">
        <v>384464407</v>
      </c>
      <c r="F899" s="432" t="s">
        <v>3052</v>
      </c>
      <c r="G899" s="482" t="s">
        <v>118</v>
      </c>
      <c r="H899" s="635" t="s">
        <v>119</v>
      </c>
      <c r="I899" s="851">
        <v>960</v>
      </c>
      <c r="J899" s="635">
        <v>0</v>
      </c>
      <c r="K899" s="635">
        <v>6</v>
      </c>
      <c r="L899" s="842">
        <f>I899/K899</f>
        <v>160</v>
      </c>
      <c r="M899" s="679">
        <v>46122</v>
      </c>
      <c r="N899" s="679">
        <v>46118</v>
      </c>
      <c r="O899" s="641"/>
      <c r="P899" s="482"/>
      <c r="Q899" s="647"/>
      <c r="R899" s="647" t="s">
        <v>403</v>
      </c>
      <c r="S899" s="683" t="s">
        <v>96</v>
      </c>
      <c r="T899" s="683" t="s">
        <v>3053</v>
      </c>
      <c r="U899" s="683"/>
      <c r="V899" s="508"/>
      <c r="W899" s="508" t="s">
        <v>3054</v>
      </c>
      <c r="X899" s="508" t="s">
        <v>1178</v>
      </c>
      <c r="Y899" s="687">
        <v>2.5046</v>
      </c>
      <c r="Z899" s="688">
        <f>Y899*I899</f>
        <v>2404.416</v>
      </c>
      <c r="AA899" s="482"/>
      <c r="AB899" s="539" t="s">
        <v>118</v>
      </c>
      <c r="AC899" s="635" t="s">
        <v>76</v>
      </c>
      <c r="AD899" s="482"/>
      <c r="AE899" s="482"/>
      <c r="AF899" s="635"/>
      <c r="AG899" s="482"/>
      <c r="AH899" s="793">
        <f t="shared" si="307"/>
        <v>-960</v>
      </c>
      <c r="AI899" s="482"/>
      <c r="AJ899" s="482"/>
      <c r="AK899" s="656"/>
      <c r="AL899" s="656">
        <f>I899</f>
        <v>960</v>
      </c>
      <c r="AM899" s="656"/>
      <c r="AN899" s="656"/>
      <c r="AO899" s="432"/>
      <c r="AP899" s="656">
        <f>I899</f>
        <v>960</v>
      </c>
      <c r="AQ899" s="656"/>
      <c r="AR899" s="656">
        <f>I899</f>
        <v>960</v>
      </c>
      <c r="AS899" s="656"/>
      <c r="AT899" s="656">
        <f>I899</f>
        <v>960</v>
      </c>
      <c r="AU899" s="662"/>
      <c r="AV899" s="432"/>
      <c r="AW899" s="432"/>
      <c r="AX899" s="432"/>
      <c r="AY899" s="432"/>
      <c r="AZ899" s="656"/>
      <c r="BA899" s="656"/>
      <c r="BB899" s="432"/>
      <c r="BC899" s="432"/>
      <c r="BD899" s="656"/>
      <c r="BE899" s="656"/>
      <c r="BF899" s="432"/>
      <c r="BG899" s="656"/>
      <c r="BH899" s="656"/>
      <c r="BI899" s="432"/>
      <c r="BJ899" s="432"/>
      <c r="BK899" s="432"/>
      <c r="BL899" s="432"/>
      <c r="BM899" s="432"/>
      <c r="BN899" s="871"/>
      <c r="BO899" s="432"/>
      <c r="BP899" s="432"/>
      <c r="BQ899" s="432"/>
      <c r="BR899" s="432"/>
      <c r="BS899" s="432"/>
      <c r="BT899" s="432"/>
      <c r="BU899" s="432"/>
      <c r="BV899" s="432"/>
      <c r="BW899" s="432"/>
      <c r="BX899" s="432"/>
      <c r="BY899" s="432"/>
      <c r="BZ899" s="432"/>
      <c r="CA899" s="432"/>
      <c r="CB899" s="432"/>
      <c r="CC899" s="432"/>
      <c r="CD899" s="432"/>
      <c r="CE899" s="432"/>
      <c r="CF899" s="660"/>
      <c r="CG899" s="660"/>
      <c r="CH899" s="660"/>
      <c r="CI899" s="660"/>
      <c r="CJ899" s="660"/>
      <c r="CK899" s="432"/>
      <c r="CL899" s="432"/>
      <c r="CM899" s="432"/>
      <c r="CN899" s="660"/>
      <c r="CO899" s="660"/>
      <c r="CP899" s="660"/>
      <c r="CQ899" s="660"/>
      <c r="CR899" s="660"/>
      <c r="CS899" s="660"/>
    </row>
    <row r="900" s="424" customFormat="1" ht="31" hidden="1" customHeight="1" spans="1:97">
      <c r="A900" s="633">
        <v>46038</v>
      </c>
      <c r="B900" s="497" t="s">
        <v>2566</v>
      </c>
      <c r="C900" s="635" t="s">
        <v>90</v>
      </c>
      <c r="D900" s="432">
        <v>4500191650</v>
      </c>
      <c r="E900" s="635">
        <v>384464511</v>
      </c>
      <c r="F900" s="432" t="s">
        <v>3055</v>
      </c>
      <c r="G900" s="482" t="s">
        <v>118</v>
      </c>
      <c r="H900" s="635" t="s">
        <v>119</v>
      </c>
      <c r="I900" s="851">
        <v>960</v>
      </c>
      <c r="J900" s="635">
        <v>0</v>
      </c>
      <c r="K900" s="635">
        <v>6</v>
      </c>
      <c r="L900" s="842">
        <f>I900/K900</f>
        <v>160</v>
      </c>
      <c r="M900" s="679">
        <v>46122</v>
      </c>
      <c r="N900" s="679">
        <v>46118</v>
      </c>
      <c r="O900" s="641"/>
      <c r="P900" s="482"/>
      <c r="Q900" s="647"/>
      <c r="R900" s="647" t="s">
        <v>403</v>
      </c>
      <c r="S900" s="683" t="s">
        <v>96</v>
      </c>
      <c r="T900" s="683" t="s">
        <v>3053</v>
      </c>
      <c r="U900" s="683"/>
      <c r="V900" s="508"/>
      <c r="W900" s="508" t="s">
        <v>3054</v>
      </c>
      <c r="X900" s="508" t="s">
        <v>1178</v>
      </c>
      <c r="Y900" s="687">
        <v>2.5046</v>
      </c>
      <c r="Z900" s="688">
        <f>Y900*I900</f>
        <v>2404.416</v>
      </c>
      <c r="AA900" s="482"/>
      <c r="AB900" s="539" t="s">
        <v>118</v>
      </c>
      <c r="AC900" s="635" t="s">
        <v>76</v>
      </c>
      <c r="AD900" s="482"/>
      <c r="AE900" s="482"/>
      <c r="AF900" s="635"/>
      <c r="AG900" s="482"/>
      <c r="AH900" s="793">
        <f t="shared" si="307"/>
        <v>-960</v>
      </c>
      <c r="AI900" s="482"/>
      <c r="AJ900" s="482"/>
      <c r="AK900" s="656"/>
      <c r="AL900" s="656">
        <f>I900</f>
        <v>960</v>
      </c>
      <c r="AM900" s="656"/>
      <c r="AN900" s="656"/>
      <c r="AO900" s="432"/>
      <c r="AP900" s="656">
        <f>I900</f>
        <v>960</v>
      </c>
      <c r="AQ900" s="656"/>
      <c r="AR900" s="656">
        <f>I900</f>
        <v>960</v>
      </c>
      <c r="AS900" s="656"/>
      <c r="AT900" s="656">
        <f>I900</f>
        <v>960</v>
      </c>
      <c r="AU900" s="662"/>
      <c r="AV900" s="432"/>
      <c r="AW900" s="432"/>
      <c r="AX900" s="432"/>
      <c r="AY900" s="432"/>
      <c r="AZ900" s="656"/>
      <c r="BA900" s="656"/>
      <c r="BB900" s="432"/>
      <c r="BC900" s="432"/>
      <c r="BD900" s="656"/>
      <c r="BE900" s="656"/>
      <c r="BF900" s="432"/>
      <c r="BG900" s="656"/>
      <c r="BH900" s="656"/>
      <c r="BI900" s="432"/>
      <c r="BJ900" s="432"/>
      <c r="BK900" s="432"/>
      <c r="BL900" s="432"/>
      <c r="BM900" s="432"/>
      <c r="BN900" s="871"/>
      <c r="BO900" s="432"/>
      <c r="BP900" s="432"/>
      <c r="BQ900" s="432"/>
      <c r="BR900" s="432"/>
      <c r="BS900" s="432"/>
      <c r="BT900" s="432"/>
      <c r="BU900" s="432"/>
      <c r="BV900" s="432"/>
      <c r="BW900" s="432"/>
      <c r="BX900" s="432"/>
      <c r="BY900" s="432"/>
      <c r="BZ900" s="432"/>
      <c r="CA900" s="432"/>
      <c r="CB900" s="432"/>
      <c r="CC900" s="432"/>
      <c r="CD900" s="432"/>
      <c r="CE900" s="432"/>
      <c r="CF900" s="660"/>
      <c r="CG900" s="660"/>
      <c r="CH900" s="660"/>
      <c r="CI900" s="660"/>
      <c r="CJ900" s="660"/>
      <c r="CK900" s="432"/>
      <c r="CL900" s="432"/>
      <c r="CM900" s="432"/>
      <c r="CN900" s="660"/>
      <c r="CO900" s="660"/>
      <c r="CP900" s="660"/>
      <c r="CQ900" s="660"/>
      <c r="CR900" s="660"/>
      <c r="CS900" s="660"/>
    </row>
    <row r="901" s="436" customFormat="1" ht="31" hidden="1" customHeight="1" spans="1:97">
      <c r="A901" s="703">
        <v>46057</v>
      </c>
      <c r="B901" s="689" t="s">
        <v>3056</v>
      </c>
      <c r="C901" s="705" t="s">
        <v>749</v>
      </c>
      <c r="D901" s="437">
        <v>4500193051</v>
      </c>
      <c r="E901" s="705">
        <v>21214329</v>
      </c>
      <c r="F901" s="437" t="s">
        <v>3057</v>
      </c>
      <c r="G901" s="706" t="s">
        <v>463</v>
      </c>
      <c r="H901" s="705" t="s">
        <v>424</v>
      </c>
      <c r="I901" s="711">
        <v>2196</v>
      </c>
      <c r="J901" s="706">
        <v>0</v>
      </c>
      <c r="K901" s="706">
        <v>6</v>
      </c>
      <c r="L901" s="712">
        <f>I901/K901</f>
        <v>366</v>
      </c>
      <c r="M901" s="874">
        <v>46126</v>
      </c>
      <c r="N901" s="874">
        <v>46122</v>
      </c>
      <c r="O901" s="714"/>
      <c r="P901" s="706"/>
      <c r="Q901" s="718"/>
      <c r="R901" s="718"/>
      <c r="S901" s="876"/>
      <c r="T901" s="876"/>
      <c r="U901" s="876"/>
      <c r="V901" s="649"/>
      <c r="W901" s="649" t="s">
        <v>3058</v>
      </c>
      <c r="X901" s="649" t="s">
        <v>2322</v>
      </c>
      <c r="Y901" s="720">
        <v>6.7112</v>
      </c>
      <c r="Z901" s="723">
        <f>Y901*I901</f>
        <v>14737.7952</v>
      </c>
      <c r="AA901" s="706"/>
      <c r="AB901" s="877"/>
      <c r="AC901" s="705"/>
      <c r="AD901" s="706"/>
      <c r="AE901" s="706"/>
      <c r="AF901" s="705"/>
      <c r="AG901" s="706"/>
      <c r="AH901" s="878"/>
      <c r="AI901" s="706"/>
      <c r="AJ901" s="706"/>
      <c r="AK901" s="729"/>
      <c r="AL901" s="729"/>
      <c r="AM901" s="729"/>
      <c r="AN901" s="729"/>
      <c r="AO901" s="437"/>
      <c r="AP901" s="729"/>
      <c r="AQ901" s="729"/>
      <c r="AR901" s="729"/>
      <c r="AS901" s="729"/>
      <c r="AT901" s="729"/>
      <c r="AU901" s="739"/>
      <c r="AV901" s="437"/>
      <c r="AW901" s="437"/>
      <c r="AX901" s="437"/>
      <c r="AY901" s="437"/>
      <c r="AZ901" s="729"/>
      <c r="BA901" s="729"/>
      <c r="BB901" s="437"/>
      <c r="BC901" s="437"/>
      <c r="BD901" s="729"/>
      <c r="BE901" s="729"/>
      <c r="BF901" s="437"/>
      <c r="BG901" s="729"/>
      <c r="BH901" s="729"/>
      <c r="BI901" s="437"/>
      <c r="BJ901" s="437"/>
      <c r="BK901" s="437"/>
      <c r="BL901" s="437"/>
      <c r="BM901" s="437"/>
      <c r="BN901" s="885"/>
      <c r="BO901" s="437"/>
      <c r="BP901" s="437"/>
      <c r="BQ901" s="437"/>
      <c r="BR901" s="437"/>
      <c r="BS901" s="437"/>
      <c r="BT901" s="437"/>
      <c r="BU901" s="437"/>
      <c r="BV901" s="437"/>
      <c r="BW901" s="437"/>
      <c r="BX901" s="437"/>
      <c r="BY901" s="437"/>
      <c r="BZ901" s="437"/>
      <c r="CA901" s="437"/>
      <c r="CB901" s="437"/>
      <c r="CC901" s="437"/>
      <c r="CD901" s="437"/>
      <c r="CE901" s="437"/>
      <c r="CF901" s="734"/>
      <c r="CG901" s="734"/>
      <c r="CH901" s="734"/>
      <c r="CI901" s="734"/>
      <c r="CJ901" s="734"/>
      <c r="CK901" s="437"/>
      <c r="CL901" s="437"/>
      <c r="CM901" s="437"/>
      <c r="CN901" s="734"/>
      <c r="CO901" s="734"/>
      <c r="CP901" s="734"/>
      <c r="CQ901" s="734"/>
      <c r="CR901" s="734"/>
      <c r="CS901" s="734"/>
    </row>
    <row r="902" s="424" customFormat="1" ht="31" hidden="1" customHeight="1" spans="1:97">
      <c r="A902" s="633">
        <v>45978</v>
      </c>
      <c r="B902" s="497" t="s">
        <v>1372</v>
      </c>
      <c r="C902" s="635" t="s">
        <v>90</v>
      </c>
      <c r="D902" s="432">
        <v>4500185965</v>
      </c>
      <c r="E902" s="894" t="s">
        <v>3059</v>
      </c>
      <c r="F902" s="432" t="s">
        <v>3060</v>
      </c>
      <c r="G902" s="482" t="s">
        <v>2431</v>
      </c>
      <c r="H902" s="635" t="s">
        <v>744</v>
      </c>
      <c r="I902" s="635">
        <v>5400</v>
      </c>
      <c r="J902" s="635">
        <v>0</v>
      </c>
      <c r="K902" s="635">
        <v>75</v>
      </c>
      <c r="L902" s="842">
        <v>72</v>
      </c>
      <c r="M902" s="680">
        <v>46129</v>
      </c>
      <c r="N902" s="680">
        <v>46125</v>
      </c>
      <c r="O902" s="641"/>
      <c r="P902" s="482"/>
      <c r="Q902" s="647"/>
      <c r="R902" s="647" t="s">
        <v>2432</v>
      </c>
      <c r="S902" s="683" t="s">
        <v>66</v>
      </c>
      <c r="T902" s="683" t="s">
        <v>66</v>
      </c>
      <c r="U902" s="683"/>
      <c r="V902" s="508"/>
      <c r="W902" s="508" t="s">
        <v>2565</v>
      </c>
      <c r="X902" s="651" t="s">
        <v>821</v>
      </c>
      <c r="Y902" s="687">
        <v>359.3436</v>
      </c>
      <c r="Z902" s="688">
        <v>25872.7392</v>
      </c>
      <c r="AA902" s="482"/>
      <c r="AB902" s="568" t="s">
        <v>1378</v>
      </c>
      <c r="AC902" s="635" t="s">
        <v>76</v>
      </c>
      <c r="AD902" s="482"/>
      <c r="AE902" s="482"/>
      <c r="AF902" s="635"/>
      <c r="AG902" s="482"/>
      <c r="AH902" s="793">
        <f>AG902-I902</f>
        <v>-5400</v>
      </c>
      <c r="AI902" s="482"/>
      <c r="AJ902" s="482"/>
      <c r="AK902" s="656"/>
      <c r="AL902" s="656"/>
      <c r="AM902" s="656">
        <f>I902</f>
        <v>5400</v>
      </c>
      <c r="AN902" s="656"/>
      <c r="AO902" s="432"/>
      <c r="AP902" s="656"/>
      <c r="AQ902" s="656"/>
      <c r="AR902" s="656"/>
      <c r="AS902" s="656"/>
      <c r="AT902" s="656"/>
      <c r="AU902" s="662"/>
      <c r="AV902" s="432"/>
      <c r="AW902" s="432">
        <f>I902</f>
        <v>5400</v>
      </c>
      <c r="AX902" s="432">
        <f>I902</f>
        <v>5400</v>
      </c>
      <c r="AY902" s="432">
        <f>I902</f>
        <v>5400</v>
      </c>
      <c r="AZ902" s="656"/>
      <c r="BA902" s="656"/>
      <c r="BB902" s="432"/>
      <c r="BC902" s="432"/>
      <c r="BD902" s="656"/>
      <c r="BE902" s="656"/>
      <c r="BF902" s="432"/>
      <c r="BG902" s="568">
        <f>I902</f>
        <v>5400</v>
      </c>
      <c r="BH902" s="568">
        <f>I902/5</f>
        <v>1080</v>
      </c>
      <c r="BI902" s="432"/>
      <c r="BJ902" s="432"/>
      <c r="BK902" s="432"/>
      <c r="BL902" s="432"/>
      <c r="BM902" s="432"/>
      <c r="BN902" s="871"/>
      <c r="BO902" s="432"/>
      <c r="BP902" s="432"/>
      <c r="BQ902" s="432"/>
      <c r="BR902" s="432"/>
      <c r="BS902" s="432"/>
      <c r="BT902" s="432"/>
      <c r="BU902" s="432"/>
      <c r="BV902" s="432"/>
      <c r="BW902" s="432"/>
      <c r="BX902" s="432"/>
      <c r="BY902" s="432"/>
      <c r="BZ902" s="432"/>
      <c r="CA902" s="432"/>
      <c r="CB902" s="432"/>
      <c r="CC902" s="432"/>
      <c r="CD902" s="432"/>
      <c r="CE902" s="432"/>
      <c r="CF902" s="660"/>
      <c r="CG902" s="660"/>
      <c r="CH902" s="660"/>
      <c r="CI902" s="660"/>
      <c r="CJ902" s="660"/>
      <c r="CK902" s="432"/>
      <c r="CL902" s="432"/>
      <c r="CM902" s="432"/>
      <c r="CN902" s="660"/>
      <c r="CO902" s="660"/>
      <c r="CP902" s="660"/>
      <c r="CQ902" s="660"/>
      <c r="CR902" s="660"/>
      <c r="CS902" s="660"/>
    </row>
    <row r="903" s="424" customFormat="1" ht="31" hidden="1" customHeight="1" spans="1:97">
      <c r="A903" s="633">
        <v>45978</v>
      </c>
      <c r="B903" s="497" t="s">
        <v>1372</v>
      </c>
      <c r="C903" s="635" t="s">
        <v>90</v>
      </c>
      <c r="D903" s="432">
        <v>4500185966</v>
      </c>
      <c r="E903" s="894" t="s">
        <v>3061</v>
      </c>
      <c r="F903" s="432" t="s">
        <v>3062</v>
      </c>
      <c r="G903" s="482" t="s">
        <v>2431</v>
      </c>
      <c r="H903" s="635" t="s">
        <v>744</v>
      </c>
      <c r="I903" s="635">
        <v>5400</v>
      </c>
      <c r="J903" s="635">
        <v>0</v>
      </c>
      <c r="K903" s="635">
        <v>75</v>
      </c>
      <c r="L903" s="842">
        <v>72</v>
      </c>
      <c r="M903" s="680">
        <v>46129</v>
      </c>
      <c r="N903" s="680">
        <v>46125</v>
      </c>
      <c r="O903" s="641"/>
      <c r="P903" s="482"/>
      <c r="Q903" s="647"/>
      <c r="R903" s="647" t="s">
        <v>2432</v>
      </c>
      <c r="S903" s="683" t="s">
        <v>66</v>
      </c>
      <c r="T903" s="683" t="s">
        <v>66</v>
      </c>
      <c r="U903" s="683"/>
      <c r="V903" s="508"/>
      <c r="W903" s="508" t="s">
        <v>2565</v>
      </c>
      <c r="X903" s="651" t="s">
        <v>821</v>
      </c>
      <c r="Y903" s="687">
        <v>359.3436</v>
      </c>
      <c r="Z903" s="688">
        <v>25872.7392</v>
      </c>
      <c r="AA903" s="482"/>
      <c r="AB903" s="568" t="s">
        <v>1378</v>
      </c>
      <c r="AC903" s="635" t="s">
        <v>76</v>
      </c>
      <c r="AD903" s="482"/>
      <c r="AE903" s="482"/>
      <c r="AF903" s="458"/>
      <c r="AG903" s="482"/>
      <c r="AH903" s="793">
        <f>AG903-I903</f>
        <v>-5400</v>
      </c>
      <c r="AI903" s="482"/>
      <c r="AJ903" s="482"/>
      <c r="AK903" s="656"/>
      <c r="AL903" s="656"/>
      <c r="AM903" s="656">
        <f>I903</f>
        <v>5400</v>
      </c>
      <c r="AN903" s="656"/>
      <c r="AO903" s="432"/>
      <c r="AP903" s="656"/>
      <c r="AQ903" s="656"/>
      <c r="AR903" s="656"/>
      <c r="AS903" s="656"/>
      <c r="AT903" s="656"/>
      <c r="AU903" s="662"/>
      <c r="AV903" s="432"/>
      <c r="AW903" s="432">
        <f>I903</f>
        <v>5400</v>
      </c>
      <c r="AX903" s="432">
        <f>I903</f>
        <v>5400</v>
      </c>
      <c r="AY903" s="432">
        <f>I903</f>
        <v>5400</v>
      </c>
      <c r="AZ903" s="656"/>
      <c r="BA903" s="656"/>
      <c r="BB903" s="432"/>
      <c r="BC903" s="432"/>
      <c r="BD903" s="656"/>
      <c r="BE903" s="656"/>
      <c r="BF903" s="432"/>
      <c r="BG903" s="568">
        <f>I903</f>
        <v>5400</v>
      </c>
      <c r="BH903" s="568">
        <f>I903/5</f>
        <v>1080</v>
      </c>
      <c r="BI903" s="432"/>
      <c r="BJ903" s="432"/>
      <c r="BK903" s="432"/>
      <c r="BL903" s="432"/>
      <c r="BM903" s="432"/>
      <c r="BN903" s="871"/>
      <c r="BO903" s="432"/>
      <c r="BP903" s="432"/>
      <c r="BQ903" s="432"/>
      <c r="BR903" s="432"/>
      <c r="BS903" s="432"/>
      <c r="BT903" s="432"/>
      <c r="BU903" s="432"/>
      <c r="BV903" s="432"/>
      <c r="BW903" s="432"/>
      <c r="BX903" s="432"/>
      <c r="BY903" s="432"/>
      <c r="BZ903" s="432"/>
      <c r="CA903" s="432"/>
      <c r="CB903" s="432"/>
      <c r="CC903" s="432"/>
      <c r="CD903" s="432"/>
      <c r="CE903" s="432"/>
      <c r="CF903" s="660"/>
      <c r="CG903" s="660"/>
      <c r="CH903" s="660"/>
      <c r="CI903" s="660"/>
      <c r="CJ903" s="660"/>
      <c r="CK903" s="432"/>
      <c r="CL903" s="432"/>
      <c r="CM903" s="432"/>
      <c r="CN903" s="660"/>
      <c r="CO903" s="660"/>
      <c r="CP903" s="660"/>
      <c r="CQ903" s="660"/>
      <c r="CR903" s="660"/>
      <c r="CS903" s="660"/>
    </row>
    <row r="904" s="424" customFormat="1" ht="31" hidden="1" customHeight="1" spans="1:97">
      <c r="A904" s="633">
        <v>45978</v>
      </c>
      <c r="B904" s="497" t="s">
        <v>1372</v>
      </c>
      <c r="C904" s="635" t="s">
        <v>90</v>
      </c>
      <c r="D904" s="432">
        <v>4500185968</v>
      </c>
      <c r="E904" s="894" t="s">
        <v>3063</v>
      </c>
      <c r="F904" s="432" t="s">
        <v>3064</v>
      </c>
      <c r="G904" s="482" t="s">
        <v>2431</v>
      </c>
      <c r="H904" s="635" t="s">
        <v>744</v>
      </c>
      <c r="I904" s="635">
        <v>5400</v>
      </c>
      <c r="J904" s="635">
        <v>0</v>
      </c>
      <c r="K904" s="635">
        <v>75</v>
      </c>
      <c r="L904" s="842">
        <v>72</v>
      </c>
      <c r="M904" s="680">
        <v>46129</v>
      </c>
      <c r="N904" s="680">
        <v>46125</v>
      </c>
      <c r="O904" s="641"/>
      <c r="P904" s="482"/>
      <c r="Q904" s="647"/>
      <c r="R904" s="647" t="s">
        <v>2432</v>
      </c>
      <c r="S904" s="683" t="s">
        <v>66</v>
      </c>
      <c r="T904" s="683" t="s">
        <v>66</v>
      </c>
      <c r="U904" s="683"/>
      <c r="V904" s="508"/>
      <c r="W904" s="508" t="s">
        <v>2565</v>
      </c>
      <c r="X904" s="651" t="s">
        <v>821</v>
      </c>
      <c r="Y904" s="687">
        <v>359.3436</v>
      </c>
      <c r="Z904" s="688">
        <v>25872.7392</v>
      </c>
      <c r="AA904" s="482"/>
      <c r="AB904" s="568" t="s">
        <v>1378</v>
      </c>
      <c r="AC904" s="635" t="s">
        <v>76</v>
      </c>
      <c r="AD904" s="482"/>
      <c r="AE904" s="482"/>
      <c r="AF904" s="458"/>
      <c r="AG904" s="482"/>
      <c r="AH904" s="793">
        <f>AG904-I904</f>
        <v>-5400</v>
      </c>
      <c r="AI904" s="482"/>
      <c r="AJ904" s="482"/>
      <c r="AK904" s="656"/>
      <c r="AL904" s="656"/>
      <c r="AM904" s="656">
        <f>I904</f>
        <v>5400</v>
      </c>
      <c r="AN904" s="656"/>
      <c r="AO904" s="432"/>
      <c r="AP904" s="656"/>
      <c r="AQ904" s="656"/>
      <c r="AR904" s="656"/>
      <c r="AS904" s="656"/>
      <c r="AT904" s="656"/>
      <c r="AU904" s="662"/>
      <c r="AV904" s="432"/>
      <c r="AW904" s="432">
        <f>I904</f>
        <v>5400</v>
      </c>
      <c r="AX904" s="432">
        <f>I904</f>
        <v>5400</v>
      </c>
      <c r="AY904" s="432">
        <f>I904</f>
        <v>5400</v>
      </c>
      <c r="AZ904" s="656"/>
      <c r="BA904" s="656"/>
      <c r="BB904" s="432"/>
      <c r="BC904" s="432"/>
      <c r="BD904" s="656"/>
      <c r="BE904" s="656"/>
      <c r="BF904" s="432"/>
      <c r="BG904" s="568">
        <f>I904</f>
        <v>5400</v>
      </c>
      <c r="BH904" s="568">
        <f>I904/5</f>
        <v>1080</v>
      </c>
      <c r="BI904" s="432"/>
      <c r="BJ904" s="432"/>
      <c r="BK904" s="432"/>
      <c r="BL904" s="432"/>
      <c r="BM904" s="432"/>
      <c r="BN904" s="871"/>
      <c r="BO904" s="432"/>
      <c r="BP904" s="432"/>
      <c r="BQ904" s="432"/>
      <c r="BR904" s="432"/>
      <c r="BS904" s="432"/>
      <c r="BT904" s="432"/>
      <c r="BU904" s="432"/>
      <c r="BV904" s="432"/>
      <c r="BW904" s="432"/>
      <c r="BX904" s="432"/>
      <c r="BY904" s="432"/>
      <c r="BZ904" s="432"/>
      <c r="CA904" s="432"/>
      <c r="CB904" s="432"/>
      <c r="CC904" s="432"/>
      <c r="CD904" s="432"/>
      <c r="CE904" s="432"/>
      <c r="CF904" s="660"/>
      <c r="CG904" s="660"/>
      <c r="CH904" s="660"/>
      <c r="CI904" s="660"/>
      <c r="CJ904" s="660"/>
      <c r="CK904" s="432"/>
      <c r="CL904" s="432"/>
      <c r="CM904" s="432"/>
      <c r="CN904" s="660"/>
      <c r="CO904" s="660"/>
      <c r="CP904" s="660"/>
      <c r="CQ904" s="660"/>
      <c r="CR904" s="660"/>
      <c r="CS904" s="660"/>
    </row>
    <row r="905" s="424" customFormat="1" ht="31" hidden="1" customHeight="1" spans="1:97">
      <c r="A905" s="633">
        <v>46051</v>
      </c>
      <c r="B905" s="497" t="s">
        <v>1172</v>
      </c>
      <c r="C905" s="635" t="s">
        <v>90</v>
      </c>
      <c r="D905" s="432">
        <v>4500192264</v>
      </c>
      <c r="E905" s="635">
        <v>16000291</v>
      </c>
      <c r="F905" s="432" t="s">
        <v>3065</v>
      </c>
      <c r="G905" s="482" t="s">
        <v>93</v>
      </c>
      <c r="H905" s="635" t="s">
        <v>94</v>
      </c>
      <c r="I905" s="635">
        <v>1200</v>
      </c>
      <c r="J905" s="635">
        <v>0</v>
      </c>
      <c r="K905" s="635">
        <v>4</v>
      </c>
      <c r="L905" s="842">
        <f>I905/K905</f>
        <v>300</v>
      </c>
      <c r="M905" s="679">
        <v>46129</v>
      </c>
      <c r="N905" s="679">
        <v>46125</v>
      </c>
      <c r="O905" s="641"/>
      <c r="P905" s="482"/>
      <c r="Q905" s="647"/>
      <c r="R905" s="647" t="s">
        <v>3066</v>
      </c>
      <c r="S905" s="683" t="s">
        <v>96</v>
      </c>
      <c r="T905" s="647" t="s">
        <v>403</v>
      </c>
      <c r="U905" s="508"/>
      <c r="V905" s="508"/>
      <c r="W905" s="508" t="s">
        <v>3067</v>
      </c>
      <c r="X905" s="651" t="s">
        <v>1178</v>
      </c>
      <c r="Y905" s="687">
        <v>2.58</v>
      </c>
      <c r="Z905" s="688">
        <f>Y905*I905</f>
        <v>3096</v>
      </c>
      <c r="AA905" s="482"/>
      <c r="AB905" s="635" t="s">
        <v>93</v>
      </c>
      <c r="AC905" s="635" t="s">
        <v>76</v>
      </c>
      <c r="AD905" s="482"/>
      <c r="AE905" s="482"/>
      <c r="AF905" s="482"/>
      <c r="AG905" s="482"/>
      <c r="AH905" s="793">
        <f>AG905-I905</f>
        <v>-1200</v>
      </c>
      <c r="AI905" s="482"/>
      <c r="AJ905" s="482"/>
      <c r="AK905" s="656"/>
      <c r="AL905" s="656">
        <f>I905</f>
        <v>1200</v>
      </c>
      <c r="AM905" s="658"/>
      <c r="AN905" s="658"/>
      <c r="AO905" s="658"/>
      <c r="AP905" s="794">
        <f>I905</f>
        <v>1200</v>
      </c>
      <c r="AQ905" s="656"/>
      <c r="AR905" s="794">
        <f>I905</f>
        <v>1200</v>
      </c>
      <c r="AS905" s="656"/>
      <c r="AT905" s="656">
        <f>I905</f>
        <v>1200</v>
      </c>
      <c r="AU905" s="662"/>
      <c r="AV905" s="432"/>
      <c r="AW905" s="432"/>
      <c r="AX905" s="432"/>
      <c r="AY905" s="432"/>
      <c r="AZ905" s="656"/>
      <c r="BA905" s="656"/>
      <c r="BB905" s="432"/>
      <c r="BC905" s="432"/>
      <c r="BD905" s="656">
        <f>I905/4</f>
        <v>300</v>
      </c>
      <c r="BE905" s="656"/>
      <c r="BF905" s="432"/>
      <c r="BG905" s="432"/>
      <c r="BH905" s="432"/>
      <c r="BI905" s="432"/>
      <c r="BJ905" s="432"/>
      <c r="BK905" s="432"/>
      <c r="BL905" s="432"/>
      <c r="BM905" s="432"/>
      <c r="BN905" s="871"/>
      <c r="BO905" s="432"/>
      <c r="BP905" s="432"/>
      <c r="BQ905" s="432"/>
      <c r="BR905" s="432"/>
      <c r="BS905" s="432"/>
      <c r="BT905" s="432"/>
      <c r="BU905" s="432"/>
      <c r="BV905" s="432"/>
      <c r="BW905" s="432"/>
      <c r="BX905" s="432"/>
      <c r="BY905" s="432"/>
      <c r="BZ905" s="432"/>
      <c r="CA905" s="432"/>
      <c r="CB905" s="432"/>
      <c r="CC905" s="432"/>
      <c r="CD905" s="432"/>
      <c r="CE905" s="432"/>
      <c r="CF905" s="660"/>
      <c r="CG905" s="660"/>
      <c r="CH905" s="660"/>
      <c r="CI905" s="660"/>
      <c r="CJ905" s="660"/>
      <c r="CK905" s="432"/>
      <c r="CL905" s="432"/>
      <c r="CM905" s="432"/>
      <c r="CN905" s="660"/>
      <c r="CO905" s="660"/>
      <c r="CP905" s="660"/>
      <c r="CQ905" s="660"/>
      <c r="CR905" s="660"/>
      <c r="CS905" s="660"/>
    </row>
    <row r="906" s="424" customFormat="1" ht="31" hidden="1" customHeight="1" spans="1:97">
      <c r="A906" s="633">
        <v>45978</v>
      </c>
      <c r="B906" s="497" t="s">
        <v>1372</v>
      </c>
      <c r="C906" s="635" t="s">
        <v>90</v>
      </c>
      <c r="D906" s="432">
        <v>4500185970</v>
      </c>
      <c r="E906" s="894" t="s">
        <v>3068</v>
      </c>
      <c r="F906" s="432" t="s">
        <v>3069</v>
      </c>
      <c r="G906" s="482" t="s">
        <v>2431</v>
      </c>
      <c r="H906" s="635" t="s">
        <v>744</v>
      </c>
      <c r="I906" s="635">
        <v>5400</v>
      </c>
      <c r="J906" s="635">
        <v>0</v>
      </c>
      <c r="K906" s="635">
        <v>75</v>
      </c>
      <c r="L906" s="842">
        <v>72</v>
      </c>
      <c r="M906" s="680">
        <v>46135</v>
      </c>
      <c r="N906" s="680">
        <v>46132</v>
      </c>
      <c r="O906" s="641"/>
      <c r="P906" s="482"/>
      <c r="Q906" s="647"/>
      <c r="R906" s="647" t="s">
        <v>2432</v>
      </c>
      <c r="S906" s="683" t="s">
        <v>66</v>
      </c>
      <c r="T906" s="683" t="s">
        <v>66</v>
      </c>
      <c r="U906" s="683"/>
      <c r="V906" s="508"/>
      <c r="W906" s="508" t="s">
        <v>2565</v>
      </c>
      <c r="X906" s="651" t="s">
        <v>821</v>
      </c>
      <c r="Y906" s="687">
        <v>359.3436</v>
      </c>
      <c r="Z906" s="688">
        <v>25872.7392</v>
      </c>
      <c r="AA906" s="482"/>
      <c r="AB906" s="568" t="s">
        <v>1378</v>
      </c>
      <c r="AC906" s="635" t="s">
        <v>76</v>
      </c>
      <c r="AD906" s="482"/>
      <c r="AE906" s="482"/>
      <c r="AF906" s="458"/>
      <c r="AG906" s="482"/>
      <c r="AH906" s="793">
        <f t="shared" ref="AH906:AH911" si="312">AG906-I906</f>
        <v>-5400</v>
      </c>
      <c r="AI906" s="482"/>
      <c r="AJ906" s="482"/>
      <c r="AK906" s="656"/>
      <c r="AL906" s="656"/>
      <c r="AM906" s="656">
        <f>I906</f>
        <v>5400</v>
      </c>
      <c r="AN906" s="656"/>
      <c r="AO906" s="432"/>
      <c r="AP906" s="656"/>
      <c r="AQ906" s="656"/>
      <c r="AR906" s="656"/>
      <c r="AS906" s="656"/>
      <c r="AT906" s="656"/>
      <c r="AU906" s="662"/>
      <c r="AV906" s="432"/>
      <c r="AW906" s="432">
        <f>I906</f>
        <v>5400</v>
      </c>
      <c r="AX906" s="432">
        <f>I906</f>
        <v>5400</v>
      </c>
      <c r="AY906" s="432">
        <f>I906</f>
        <v>5400</v>
      </c>
      <c r="AZ906" s="656"/>
      <c r="BA906" s="656"/>
      <c r="BB906" s="432"/>
      <c r="BC906" s="432"/>
      <c r="BD906" s="656"/>
      <c r="BE906" s="656"/>
      <c r="BF906" s="432"/>
      <c r="BG906" s="568">
        <f>I906</f>
        <v>5400</v>
      </c>
      <c r="BH906" s="568">
        <f>I906/5</f>
        <v>1080</v>
      </c>
      <c r="BI906" s="432"/>
      <c r="BJ906" s="432"/>
      <c r="BK906" s="432"/>
      <c r="BL906" s="432"/>
      <c r="BM906" s="432"/>
      <c r="BN906" s="871"/>
      <c r="BO906" s="432"/>
      <c r="BP906" s="432"/>
      <c r="BQ906" s="432"/>
      <c r="BR906" s="432"/>
      <c r="BS906" s="432"/>
      <c r="BT906" s="432"/>
      <c r="BU906" s="432"/>
      <c r="BV906" s="432"/>
      <c r="BW906" s="432"/>
      <c r="BX906" s="432"/>
      <c r="BY906" s="432"/>
      <c r="BZ906" s="432"/>
      <c r="CA906" s="432"/>
      <c r="CB906" s="432"/>
      <c r="CC906" s="432"/>
      <c r="CD906" s="432"/>
      <c r="CE906" s="432"/>
      <c r="CF906" s="660"/>
      <c r="CG906" s="660"/>
      <c r="CH906" s="660"/>
      <c r="CI906" s="660"/>
      <c r="CJ906" s="660"/>
      <c r="CK906" s="432"/>
      <c r="CL906" s="432"/>
      <c r="CM906" s="432"/>
      <c r="CN906" s="660"/>
      <c r="CO906" s="660"/>
      <c r="CP906" s="660"/>
      <c r="CQ906" s="660"/>
      <c r="CR906" s="660"/>
      <c r="CS906" s="660"/>
    </row>
    <row r="907" s="424" customFormat="1" ht="31" hidden="1" customHeight="1" spans="1:97">
      <c r="A907" s="633">
        <v>45995</v>
      </c>
      <c r="B907" s="497" t="s">
        <v>2489</v>
      </c>
      <c r="C907" s="635" t="s">
        <v>90</v>
      </c>
      <c r="D907" s="432">
        <v>4500186354</v>
      </c>
      <c r="E907" s="635">
        <v>60260799</v>
      </c>
      <c r="F907" s="432" t="s">
        <v>3070</v>
      </c>
      <c r="G907" s="482" t="s">
        <v>2491</v>
      </c>
      <c r="H907" s="635" t="s">
        <v>2492</v>
      </c>
      <c r="I907" s="635">
        <v>1600</v>
      </c>
      <c r="J907" s="635">
        <v>0</v>
      </c>
      <c r="K907" s="635">
        <v>8</v>
      </c>
      <c r="L907" s="842">
        <f>I907/K907</f>
        <v>200</v>
      </c>
      <c r="M907" s="679">
        <v>46135</v>
      </c>
      <c r="N907" s="679">
        <v>46132</v>
      </c>
      <c r="O907" s="641"/>
      <c r="P907" s="482"/>
      <c r="Q907" s="647"/>
      <c r="R907" s="647">
        <v>45995</v>
      </c>
      <c r="S907" s="683" t="s">
        <v>66</v>
      </c>
      <c r="T907" s="647" t="s">
        <v>2493</v>
      </c>
      <c r="U907" s="683"/>
      <c r="V907" s="508"/>
      <c r="W907" s="571" t="s">
        <v>3071</v>
      </c>
      <c r="X907" s="651" t="s">
        <v>2441</v>
      </c>
      <c r="Y907" s="687">
        <v>4.0996</v>
      </c>
      <c r="Z907" s="688">
        <f>Y907*I907</f>
        <v>6559.36</v>
      </c>
      <c r="AA907" s="482"/>
      <c r="AB907" s="482" t="s">
        <v>2495</v>
      </c>
      <c r="AC907" s="635" t="s">
        <v>76</v>
      </c>
      <c r="AD907" s="482"/>
      <c r="AE907" s="482"/>
      <c r="AF907" s="458"/>
      <c r="AG907" s="482"/>
      <c r="AH907" s="793">
        <f t="shared" si="312"/>
        <v>-1600</v>
      </c>
      <c r="AI907" s="482"/>
      <c r="AJ907" s="482"/>
      <c r="AK907" s="656"/>
      <c r="AL907" s="656">
        <f>I907</f>
        <v>1600</v>
      </c>
      <c r="AM907" s="656"/>
      <c r="AN907" s="656"/>
      <c r="AO907" s="432"/>
      <c r="AP907" s="656">
        <f>I907</f>
        <v>1600</v>
      </c>
      <c r="AQ907" s="656"/>
      <c r="AR907" s="794">
        <f>I907</f>
        <v>1600</v>
      </c>
      <c r="AS907" s="656"/>
      <c r="AT907" s="656">
        <f>I907</f>
        <v>1600</v>
      </c>
      <c r="AU907" s="662"/>
      <c r="AV907" s="432"/>
      <c r="AW907" s="432"/>
      <c r="AX907" s="432"/>
      <c r="AY907" s="432"/>
      <c r="AZ907" s="656"/>
      <c r="BA907" s="656"/>
      <c r="BB907" s="432"/>
      <c r="BC907" s="432"/>
      <c r="BD907" s="656"/>
      <c r="BE907" s="656"/>
      <c r="BF907" s="432"/>
      <c r="BG907" s="656"/>
      <c r="BH907" s="656"/>
      <c r="BI907" s="432"/>
      <c r="BJ907" s="432">
        <f>I907</f>
        <v>1600</v>
      </c>
      <c r="BK907" s="432"/>
      <c r="BL907" s="432"/>
      <c r="BM907" s="432"/>
      <c r="BN907" s="871"/>
      <c r="BO907" s="432"/>
      <c r="BP907" s="432"/>
      <c r="BQ907" s="432"/>
      <c r="BR907" s="432"/>
      <c r="BS907" s="432"/>
      <c r="BT907" s="432"/>
      <c r="BU907" s="432"/>
      <c r="BV907" s="432"/>
      <c r="BW907" s="432"/>
      <c r="BX907" s="432"/>
      <c r="BY907" s="432"/>
      <c r="BZ907" s="432"/>
      <c r="CA907" s="432"/>
      <c r="CB907" s="432"/>
      <c r="CC907" s="432"/>
      <c r="CD907" s="432"/>
      <c r="CE907" s="432"/>
      <c r="CF907" s="660"/>
      <c r="CG907" s="660"/>
      <c r="CH907" s="660"/>
      <c r="CI907" s="660"/>
      <c r="CJ907" s="660"/>
      <c r="CK907" s="432"/>
      <c r="CL907" s="432"/>
      <c r="CM907" s="432"/>
      <c r="CN907" s="660"/>
      <c r="CO907" s="660"/>
      <c r="CP907" s="660"/>
      <c r="CQ907" s="660"/>
      <c r="CR907" s="660"/>
      <c r="CS907" s="660"/>
    </row>
    <row r="908" s="424" customFormat="1" ht="31" hidden="1" customHeight="1" spans="1:97">
      <c r="A908" s="633">
        <v>45978</v>
      </c>
      <c r="B908" s="497" t="s">
        <v>1372</v>
      </c>
      <c r="C908" s="635" t="s">
        <v>90</v>
      </c>
      <c r="D908" s="432">
        <v>4500185971</v>
      </c>
      <c r="E908" s="894" t="s">
        <v>3072</v>
      </c>
      <c r="F908" s="432" t="s">
        <v>3073</v>
      </c>
      <c r="G908" s="482" t="s">
        <v>2431</v>
      </c>
      <c r="H908" s="635" t="s">
        <v>744</v>
      </c>
      <c r="I908" s="635">
        <v>5400</v>
      </c>
      <c r="J908" s="635">
        <v>0</v>
      </c>
      <c r="K908" s="635">
        <v>75</v>
      </c>
      <c r="L908" s="842">
        <v>72</v>
      </c>
      <c r="M908" s="680">
        <v>46141</v>
      </c>
      <c r="N908" s="680">
        <v>46137</v>
      </c>
      <c r="O908" s="641"/>
      <c r="P908" s="482"/>
      <c r="Q908" s="647"/>
      <c r="R908" s="647" t="s">
        <v>2432</v>
      </c>
      <c r="S908" s="683" t="s">
        <v>66</v>
      </c>
      <c r="T908" s="683" t="s">
        <v>66</v>
      </c>
      <c r="U908" s="683"/>
      <c r="V908" s="508"/>
      <c r="W908" s="508" t="s">
        <v>2565</v>
      </c>
      <c r="X908" s="651" t="s">
        <v>821</v>
      </c>
      <c r="Y908" s="687">
        <v>359.3436</v>
      </c>
      <c r="Z908" s="688">
        <v>25872.7392</v>
      </c>
      <c r="AA908" s="482"/>
      <c r="AB908" s="568" t="s">
        <v>1378</v>
      </c>
      <c r="AC908" s="635" t="s">
        <v>76</v>
      </c>
      <c r="AD908" s="482"/>
      <c r="AE908" s="482"/>
      <c r="AF908" s="458"/>
      <c r="AG908" s="482"/>
      <c r="AH908" s="793">
        <f t="shared" si="312"/>
        <v>-5400</v>
      </c>
      <c r="AI908" s="482"/>
      <c r="AJ908" s="482"/>
      <c r="AK908" s="656"/>
      <c r="AL908" s="656"/>
      <c r="AM908" s="656">
        <f>I908</f>
        <v>5400</v>
      </c>
      <c r="AN908" s="656"/>
      <c r="AO908" s="432"/>
      <c r="AP908" s="656"/>
      <c r="AQ908" s="656"/>
      <c r="AR908" s="656"/>
      <c r="AS908" s="656"/>
      <c r="AT908" s="656"/>
      <c r="AU908" s="662"/>
      <c r="AV908" s="432"/>
      <c r="AW908" s="432">
        <f>I908</f>
        <v>5400</v>
      </c>
      <c r="AX908" s="432">
        <f>I908</f>
        <v>5400</v>
      </c>
      <c r="AY908" s="432">
        <f>I908</f>
        <v>5400</v>
      </c>
      <c r="AZ908" s="656"/>
      <c r="BA908" s="656"/>
      <c r="BB908" s="432"/>
      <c r="BC908" s="432"/>
      <c r="BD908" s="656"/>
      <c r="BE908" s="656"/>
      <c r="BF908" s="432"/>
      <c r="BG908" s="568">
        <f>I908</f>
        <v>5400</v>
      </c>
      <c r="BH908" s="568">
        <f>I908/5</f>
        <v>1080</v>
      </c>
      <c r="BI908" s="432"/>
      <c r="BJ908" s="432"/>
      <c r="BK908" s="432"/>
      <c r="BL908" s="432"/>
      <c r="BM908" s="432"/>
      <c r="BN908" s="871"/>
      <c r="BO908" s="432"/>
      <c r="BP908" s="432"/>
      <c r="BQ908" s="432"/>
      <c r="BR908" s="432"/>
      <c r="BS908" s="432"/>
      <c r="BT908" s="432"/>
      <c r="BU908" s="432"/>
      <c r="BV908" s="432"/>
      <c r="BW908" s="432"/>
      <c r="BX908" s="432"/>
      <c r="BY908" s="432"/>
      <c r="BZ908" s="432"/>
      <c r="CA908" s="432"/>
      <c r="CB908" s="432"/>
      <c r="CC908" s="432"/>
      <c r="CD908" s="432"/>
      <c r="CE908" s="432"/>
      <c r="CF908" s="660"/>
      <c r="CG908" s="660"/>
      <c r="CH908" s="660"/>
      <c r="CI908" s="660"/>
      <c r="CJ908" s="660"/>
      <c r="CK908" s="432"/>
      <c r="CL908" s="432"/>
      <c r="CM908" s="432"/>
      <c r="CN908" s="660"/>
      <c r="CO908" s="660"/>
      <c r="CP908" s="660"/>
      <c r="CQ908" s="660"/>
      <c r="CR908" s="660"/>
      <c r="CS908" s="660"/>
    </row>
    <row r="909" s="424" customFormat="1" ht="31" hidden="1" customHeight="1" spans="1:97">
      <c r="A909" s="633">
        <v>45978</v>
      </c>
      <c r="B909" s="497" t="s">
        <v>1372</v>
      </c>
      <c r="C909" s="635" t="s">
        <v>90</v>
      </c>
      <c r="D909" s="432">
        <v>4500185973</v>
      </c>
      <c r="E909" s="894" t="s">
        <v>3074</v>
      </c>
      <c r="F909" s="432" t="s">
        <v>3075</v>
      </c>
      <c r="G909" s="482" t="s">
        <v>2431</v>
      </c>
      <c r="H909" s="635" t="s">
        <v>744</v>
      </c>
      <c r="I909" s="635">
        <v>5400</v>
      </c>
      <c r="J909" s="635">
        <v>0</v>
      </c>
      <c r="K909" s="635">
        <v>75</v>
      </c>
      <c r="L909" s="842">
        <v>72</v>
      </c>
      <c r="M909" s="680">
        <v>46142</v>
      </c>
      <c r="N909" s="680">
        <v>46139</v>
      </c>
      <c r="O909" s="641"/>
      <c r="P909" s="482"/>
      <c r="Q909" s="647"/>
      <c r="R909" s="647" t="s">
        <v>2432</v>
      </c>
      <c r="S909" s="683" t="s">
        <v>66</v>
      </c>
      <c r="T909" s="683" t="s">
        <v>66</v>
      </c>
      <c r="U909" s="683"/>
      <c r="V909" s="508"/>
      <c r="W909" s="508" t="s">
        <v>2565</v>
      </c>
      <c r="X909" s="651" t="s">
        <v>821</v>
      </c>
      <c r="Y909" s="687">
        <v>359.3436</v>
      </c>
      <c r="Z909" s="688">
        <v>25872.7392</v>
      </c>
      <c r="AA909" s="482"/>
      <c r="AB909" s="568" t="s">
        <v>1378</v>
      </c>
      <c r="AC909" s="635" t="s">
        <v>76</v>
      </c>
      <c r="AD909" s="482"/>
      <c r="AE909" s="482"/>
      <c r="AF909" s="458"/>
      <c r="AG909" s="482"/>
      <c r="AH909" s="793">
        <f t="shared" si="312"/>
        <v>-5400</v>
      </c>
      <c r="AI909" s="482"/>
      <c r="AJ909" s="482"/>
      <c r="AK909" s="656"/>
      <c r="AL909" s="656"/>
      <c r="AM909" s="656">
        <f>I909</f>
        <v>5400</v>
      </c>
      <c r="AN909" s="656"/>
      <c r="AO909" s="432"/>
      <c r="AP909" s="656"/>
      <c r="AQ909" s="656"/>
      <c r="AR909" s="656"/>
      <c r="AS909" s="656"/>
      <c r="AT909" s="656"/>
      <c r="AU909" s="662"/>
      <c r="AV909" s="432"/>
      <c r="AW909" s="432">
        <f>I909</f>
        <v>5400</v>
      </c>
      <c r="AX909" s="432">
        <f>I909</f>
        <v>5400</v>
      </c>
      <c r="AY909" s="432">
        <f>I909</f>
        <v>5400</v>
      </c>
      <c r="AZ909" s="656"/>
      <c r="BA909" s="656"/>
      <c r="BB909" s="432"/>
      <c r="BC909" s="432"/>
      <c r="BD909" s="656"/>
      <c r="BE909" s="656"/>
      <c r="BF909" s="432"/>
      <c r="BG909" s="568">
        <f>I909</f>
        <v>5400</v>
      </c>
      <c r="BH909" s="568">
        <f>I909/5</f>
        <v>1080</v>
      </c>
      <c r="BI909" s="432"/>
      <c r="BJ909" s="432"/>
      <c r="BK909" s="432"/>
      <c r="BL909" s="432"/>
      <c r="BM909" s="432"/>
      <c r="BN909" s="871"/>
      <c r="BO909" s="432"/>
      <c r="BP909" s="432"/>
      <c r="BQ909" s="432"/>
      <c r="BR909" s="432"/>
      <c r="BS909" s="432"/>
      <c r="BT909" s="432"/>
      <c r="BU909" s="432"/>
      <c r="BV909" s="432"/>
      <c r="BW909" s="432"/>
      <c r="BX909" s="432"/>
      <c r="BY909" s="432"/>
      <c r="BZ909" s="432"/>
      <c r="CA909" s="432"/>
      <c r="CB909" s="432"/>
      <c r="CC909" s="432"/>
      <c r="CD909" s="432"/>
      <c r="CE909" s="432"/>
      <c r="CF909" s="660"/>
      <c r="CG909" s="660"/>
      <c r="CH909" s="660"/>
      <c r="CI909" s="660"/>
      <c r="CJ909" s="660"/>
      <c r="CK909" s="432"/>
      <c r="CL909" s="432"/>
      <c r="CM909" s="432"/>
      <c r="CN909" s="660"/>
      <c r="CO909" s="660"/>
      <c r="CP909" s="660"/>
      <c r="CQ909" s="660"/>
      <c r="CR909" s="660"/>
      <c r="CS909" s="660"/>
    </row>
    <row r="910" s="424" customFormat="1" ht="31" hidden="1" customHeight="1" spans="1:97">
      <c r="A910" s="633">
        <v>45995</v>
      </c>
      <c r="B910" s="497" t="s">
        <v>2489</v>
      </c>
      <c r="C910" s="635" t="s">
        <v>90</v>
      </c>
      <c r="D910" s="432">
        <v>4500186369</v>
      </c>
      <c r="E910" s="635">
        <v>60260844</v>
      </c>
      <c r="F910" s="432" t="s">
        <v>3076</v>
      </c>
      <c r="G910" s="482" t="s">
        <v>2491</v>
      </c>
      <c r="H910" s="635" t="s">
        <v>2492</v>
      </c>
      <c r="I910" s="635">
        <v>2000</v>
      </c>
      <c r="J910" s="635">
        <v>0</v>
      </c>
      <c r="K910" s="635">
        <v>8</v>
      </c>
      <c r="L910" s="842">
        <f>I910/K910</f>
        <v>250</v>
      </c>
      <c r="M910" s="679">
        <v>46150</v>
      </c>
      <c r="N910" s="679">
        <v>46146</v>
      </c>
      <c r="O910" s="641"/>
      <c r="P910" s="482"/>
      <c r="Q910" s="647"/>
      <c r="R910" s="647">
        <v>45995</v>
      </c>
      <c r="S910" s="683" t="s">
        <v>66</v>
      </c>
      <c r="T910" s="647" t="s">
        <v>2493</v>
      </c>
      <c r="U910" s="683"/>
      <c r="V910" s="508"/>
      <c r="W910" s="571" t="s">
        <v>3077</v>
      </c>
      <c r="X910" s="651" t="s">
        <v>2441</v>
      </c>
      <c r="Y910" s="687">
        <v>4.097</v>
      </c>
      <c r="Z910" s="688">
        <f>Y910*I910</f>
        <v>8194</v>
      </c>
      <c r="AA910" s="482"/>
      <c r="AB910" s="482" t="s">
        <v>2495</v>
      </c>
      <c r="AC910" s="635" t="s">
        <v>76</v>
      </c>
      <c r="AD910" s="482"/>
      <c r="AE910" s="482"/>
      <c r="AF910" s="458"/>
      <c r="AG910" s="482"/>
      <c r="AH910" s="793">
        <f t="shared" si="312"/>
        <v>-2000</v>
      </c>
      <c r="AI910" s="482"/>
      <c r="AJ910" s="482"/>
      <c r="AK910" s="656"/>
      <c r="AL910" s="656">
        <f>I910</f>
        <v>2000</v>
      </c>
      <c r="AM910" s="656"/>
      <c r="AN910" s="656"/>
      <c r="AO910" s="432"/>
      <c r="AP910" s="656">
        <f>I910</f>
        <v>2000</v>
      </c>
      <c r="AQ910" s="656"/>
      <c r="AR910" s="794">
        <f>I910</f>
        <v>2000</v>
      </c>
      <c r="AS910" s="656"/>
      <c r="AT910" s="656">
        <f>I910</f>
        <v>2000</v>
      </c>
      <c r="AU910" s="662"/>
      <c r="AV910" s="432"/>
      <c r="AW910" s="432"/>
      <c r="AX910" s="432"/>
      <c r="AY910" s="432"/>
      <c r="AZ910" s="656"/>
      <c r="BA910" s="656"/>
      <c r="BB910" s="432"/>
      <c r="BC910" s="432"/>
      <c r="BD910" s="656"/>
      <c r="BE910" s="656"/>
      <c r="BF910" s="432"/>
      <c r="BG910" s="656"/>
      <c r="BH910" s="656"/>
      <c r="BI910" s="432"/>
      <c r="BJ910" s="432">
        <f>I910</f>
        <v>2000</v>
      </c>
      <c r="BK910" s="432"/>
      <c r="BL910" s="432"/>
      <c r="BM910" s="432"/>
      <c r="BN910" s="871"/>
      <c r="BO910" s="432"/>
      <c r="BP910" s="432"/>
      <c r="BQ910" s="432"/>
      <c r="BR910" s="432"/>
      <c r="BS910" s="432"/>
      <c r="BT910" s="432"/>
      <c r="BU910" s="432"/>
      <c r="BV910" s="432"/>
      <c r="BW910" s="432"/>
      <c r="BX910" s="432"/>
      <c r="BY910" s="432"/>
      <c r="BZ910" s="432"/>
      <c r="CA910" s="432"/>
      <c r="CB910" s="432"/>
      <c r="CC910" s="432"/>
      <c r="CD910" s="432"/>
      <c r="CE910" s="432"/>
      <c r="CF910" s="660"/>
      <c r="CG910" s="660"/>
      <c r="CH910" s="660"/>
      <c r="CI910" s="660"/>
      <c r="CJ910" s="660"/>
      <c r="CK910" s="432"/>
      <c r="CL910" s="432"/>
      <c r="CM910" s="432"/>
      <c r="CN910" s="660"/>
      <c r="CO910" s="660"/>
      <c r="CP910" s="660"/>
      <c r="CQ910" s="660"/>
      <c r="CR910" s="660"/>
      <c r="CS910" s="660"/>
    </row>
    <row r="911" s="424" customFormat="1" ht="31" hidden="1" customHeight="1" spans="1:97">
      <c r="A911" s="633">
        <v>45995</v>
      </c>
      <c r="B911" s="497" t="s">
        <v>2489</v>
      </c>
      <c r="C911" s="635" t="s">
        <v>90</v>
      </c>
      <c r="D911" s="432">
        <v>4500186375</v>
      </c>
      <c r="E911" s="635">
        <v>60260879</v>
      </c>
      <c r="F911" s="432" t="s">
        <v>3078</v>
      </c>
      <c r="G911" s="482" t="s">
        <v>2491</v>
      </c>
      <c r="H911" s="635" t="s">
        <v>2492</v>
      </c>
      <c r="I911" s="635">
        <v>1600</v>
      </c>
      <c r="J911" s="635">
        <v>0</v>
      </c>
      <c r="K911" s="635">
        <v>8</v>
      </c>
      <c r="L911" s="842">
        <f>I911/K911</f>
        <v>200</v>
      </c>
      <c r="M911" s="679">
        <v>46164</v>
      </c>
      <c r="N911" s="679">
        <v>46160</v>
      </c>
      <c r="O911" s="641"/>
      <c r="P911" s="482"/>
      <c r="Q911" s="647"/>
      <c r="R911" s="647">
        <v>45995</v>
      </c>
      <c r="S911" s="683" t="s">
        <v>66</v>
      </c>
      <c r="T911" s="647" t="s">
        <v>2493</v>
      </c>
      <c r="U911" s="683"/>
      <c r="V911" s="508"/>
      <c r="W911" s="571" t="s">
        <v>2555</v>
      </c>
      <c r="X911" s="651" t="s">
        <v>2441</v>
      </c>
      <c r="Y911" s="687">
        <v>4.0996</v>
      </c>
      <c r="Z911" s="688">
        <f>Y911*I911</f>
        <v>6559.36</v>
      </c>
      <c r="AA911" s="482"/>
      <c r="AB911" s="482" t="s">
        <v>2495</v>
      </c>
      <c r="AC911" s="635" t="s">
        <v>76</v>
      </c>
      <c r="AD911" s="482"/>
      <c r="AE911" s="482"/>
      <c r="AF911" s="458"/>
      <c r="AG911" s="482"/>
      <c r="AH911" s="793">
        <f t="shared" si="312"/>
        <v>-1600</v>
      </c>
      <c r="AI911" s="482"/>
      <c r="AJ911" s="482"/>
      <c r="AK911" s="656"/>
      <c r="AL911" s="656">
        <f>I911</f>
        <v>1600</v>
      </c>
      <c r="AM911" s="656"/>
      <c r="AN911" s="656"/>
      <c r="AO911" s="432"/>
      <c r="AP911" s="656">
        <f>I911</f>
        <v>1600</v>
      </c>
      <c r="AQ911" s="656"/>
      <c r="AR911" s="794">
        <f>I911</f>
        <v>1600</v>
      </c>
      <c r="AS911" s="656"/>
      <c r="AT911" s="656">
        <f>I911</f>
        <v>1600</v>
      </c>
      <c r="AU911" s="662"/>
      <c r="AV911" s="432"/>
      <c r="AW911" s="432"/>
      <c r="AX911" s="432"/>
      <c r="AY911" s="432"/>
      <c r="AZ911" s="656"/>
      <c r="BA911" s="656"/>
      <c r="BB911" s="432"/>
      <c r="BC911" s="432"/>
      <c r="BD911" s="656"/>
      <c r="BE911" s="656"/>
      <c r="BF911" s="432"/>
      <c r="BG911" s="656"/>
      <c r="BH911" s="656"/>
      <c r="BI911" s="432"/>
      <c r="BJ911" s="432">
        <f>I911</f>
        <v>1600</v>
      </c>
      <c r="BK911" s="432"/>
      <c r="BL911" s="432"/>
      <c r="BM911" s="432"/>
      <c r="BN911" s="871"/>
      <c r="BO911" s="432"/>
      <c r="BP911" s="432"/>
      <c r="BQ911" s="432"/>
      <c r="BR911" s="432"/>
      <c r="BS911" s="432"/>
      <c r="BT911" s="432"/>
      <c r="BU911" s="432"/>
      <c r="BV911" s="432"/>
      <c r="BW911" s="432"/>
      <c r="BX911" s="432"/>
      <c r="BY911" s="432"/>
      <c r="BZ911" s="432"/>
      <c r="CA911" s="432"/>
      <c r="CB911" s="432"/>
      <c r="CC911" s="432"/>
      <c r="CD911" s="432"/>
      <c r="CE911" s="432"/>
      <c r="CF911" s="660"/>
      <c r="CG911" s="660"/>
      <c r="CH911" s="660"/>
      <c r="CI911" s="660"/>
      <c r="CJ911" s="660"/>
      <c r="CK911" s="432"/>
      <c r="CL911" s="432"/>
      <c r="CM911" s="432"/>
      <c r="CN911" s="660"/>
      <c r="CO911" s="660"/>
      <c r="CP911" s="660"/>
      <c r="CQ911" s="660"/>
      <c r="CR911" s="660"/>
      <c r="CS911" s="660"/>
    </row>
    <row r="912" s="656" customFormat="1" ht="31" hidden="1" customHeight="1" spans="1:64">
      <c r="A912" s="875"/>
      <c r="B912" s="497"/>
      <c r="C912" s="635"/>
      <c r="E912" s="635"/>
      <c r="G912" s="792"/>
      <c r="H912" s="635"/>
      <c r="I912" s="635"/>
      <c r="J912" s="635"/>
      <c r="K912" s="635"/>
      <c r="L912" s="842"/>
      <c r="M912" s="679"/>
      <c r="N912" s="679"/>
      <c r="O912" s="793"/>
      <c r="P912" s="793"/>
      <c r="Q912" s="635"/>
      <c r="R912" s="683"/>
      <c r="S912" s="683"/>
      <c r="T912" s="683"/>
      <c r="U912" s="683"/>
      <c r="V912" s="683"/>
      <c r="W912" s="497"/>
      <c r="X912" s="679"/>
      <c r="Y912" s="687"/>
      <c r="Z912" s="688"/>
      <c r="AA912" s="635"/>
      <c r="AB912" s="635"/>
      <c r="AC912" s="635"/>
      <c r="AD912" s="635"/>
      <c r="AE912" s="635"/>
      <c r="AF912" s="657"/>
      <c r="AG912" s="788"/>
      <c r="AH912" s="793"/>
      <c r="AI912" s="635"/>
      <c r="AJ912" s="635"/>
      <c r="AK912" s="635"/>
      <c r="AP912" s="794"/>
      <c r="BL912" s="882"/>
    </row>
    <row r="913" s="657" customFormat="1" ht="31" hidden="1" customHeight="1" spans="1:64">
      <c r="A913" s="875"/>
      <c r="B913" s="497"/>
      <c r="C913" s="635"/>
      <c r="E913" s="635"/>
      <c r="G913" s="792"/>
      <c r="H913" s="635"/>
      <c r="I913" s="635"/>
      <c r="J913" s="635"/>
      <c r="K913" s="635"/>
      <c r="L913" s="842"/>
      <c r="N913" s="679"/>
      <c r="O913" s="793"/>
      <c r="P913" s="793"/>
      <c r="Q913" s="635"/>
      <c r="R913" s="683"/>
      <c r="S913" s="683"/>
      <c r="T913" s="683"/>
      <c r="U913" s="683"/>
      <c r="V913" s="683"/>
      <c r="X913" s="679"/>
      <c r="Y913" s="687"/>
      <c r="Z913" s="688"/>
      <c r="AA913" s="635"/>
      <c r="AB913" s="635"/>
      <c r="AC913" s="635"/>
      <c r="AD913" s="635"/>
      <c r="AE913" s="635"/>
      <c r="AF913" s="693"/>
      <c r="AG913" s="788"/>
      <c r="AH913" s="793"/>
      <c r="AI913" s="635"/>
      <c r="AJ913" s="635"/>
      <c r="AK913" s="635"/>
      <c r="AT913" s="656"/>
      <c r="AZ913" s="693"/>
      <c r="BA913" s="693"/>
      <c r="BD913" s="656">
        <f>I913/4</f>
        <v>0</v>
      </c>
      <c r="BE913" s="693"/>
      <c r="BI913" s="693"/>
      <c r="BJ913" s="693"/>
      <c r="BL913" s="883"/>
    </row>
    <row r="914" s="656" customFormat="1" ht="27" hidden="1" customHeight="1" spans="1:64">
      <c r="A914" s="875"/>
      <c r="B914" s="497"/>
      <c r="C914" s="635"/>
      <c r="E914" s="635"/>
      <c r="G914" s="792"/>
      <c r="H914" s="635"/>
      <c r="I914" s="635"/>
      <c r="L914" s="842"/>
      <c r="M914" s="679"/>
      <c r="N914" s="679"/>
      <c r="O914" s="793"/>
      <c r="P914" s="793"/>
      <c r="Q914" s="635"/>
      <c r="R914" s="683"/>
      <c r="S914" s="683"/>
      <c r="T914" s="683"/>
      <c r="U914" s="683"/>
      <c r="V914" s="683"/>
      <c r="W914" s="497"/>
      <c r="X914" s="679"/>
      <c r="Y914" s="687"/>
      <c r="Z914" s="688"/>
      <c r="AA914" s="635"/>
      <c r="AB914" s="635"/>
      <c r="AC914" s="635"/>
      <c r="AD914" s="635"/>
      <c r="AE914" s="635"/>
      <c r="AF914" s="657"/>
      <c r="AG914" s="788"/>
      <c r="AH914" s="793"/>
      <c r="AI914" s="635"/>
      <c r="AJ914" s="635"/>
      <c r="AK914" s="635"/>
      <c r="BL914" s="882"/>
    </row>
    <row r="915" s="425" customFormat="1" ht="31" hidden="1" customHeight="1" spans="1:64">
      <c r="A915" s="746"/>
      <c r="B915" s="473"/>
      <c r="C915" s="458"/>
      <c r="E915" s="458"/>
      <c r="F915" s="458"/>
      <c r="G915" s="463"/>
      <c r="H915" s="458"/>
      <c r="I915" s="458"/>
      <c r="J915" s="635"/>
      <c r="K915" s="635"/>
      <c r="L915" s="462"/>
      <c r="M915" s="463"/>
      <c r="N915" s="463"/>
      <c r="O915" s="464"/>
      <c r="P915" s="464"/>
      <c r="Q915" s="458"/>
      <c r="R915" s="472"/>
      <c r="S915" s="472"/>
      <c r="T915" s="472"/>
      <c r="U915" s="472"/>
      <c r="V915" s="472"/>
      <c r="X915" s="463"/>
      <c r="Y915" s="752"/>
      <c r="Z915" s="480"/>
      <c r="AA915" s="458"/>
      <c r="AB915" s="458"/>
      <c r="AC915" s="458"/>
      <c r="AD915" s="458"/>
      <c r="AE915" s="458"/>
      <c r="AF915" s="657"/>
      <c r="AH915" s="641"/>
      <c r="AI915" s="458"/>
      <c r="AJ915" s="879"/>
      <c r="AK915" s="458"/>
      <c r="BL915" s="884"/>
    </row>
    <row r="916" s="425" customFormat="1" ht="24" hidden="1" customHeight="1" spans="1:64">
      <c r="A916" s="746"/>
      <c r="B916" s="473"/>
      <c r="C916" s="458"/>
      <c r="E916" s="458"/>
      <c r="F916" s="458"/>
      <c r="G916" s="463"/>
      <c r="H916" s="458"/>
      <c r="I916" s="458"/>
      <c r="J916" s="458"/>
      <c r="K916" s="458"/>
      <c r="L916" s="462"/>
      <c r="M916" s="463"/>
      <c r="N916" s="463"/>
      <c r="O916" s="464"/>
      <c r="P916" s="464"/>
      <c r="Q916" s="458"/>
      <c r="R916" s="472"/>
      <c r="S916" s="472"/>
      <c r="T916" s="472"/>
      <c r="U916" s="472"/>
      <c r="V916" s="472"/>
      <c r="X916" s="463"/>
      <c r="Y916" s="752"/>
      <c r="Z916" s="480"/>
      <c r="AA916" s="458"/>
      <c r="AB916" s="458"/>
      <c r="AC916" s="458"/>
      <c r="AD916" s="458"/>
      <c r="AE916" s="458"/>
      <c r="AF916" s="657"/>
      <c r="AG916" s="880"/>
      <c r="AH916" s="641"/>
      <c r="AI916" s="458"/>
      <c r="AJ916" s="879"/>
      <c r="AK916" s="458"/>
      <c r="BL916" s="884"/>
    </row>
    <row r="917" s="425" customFormat="1" ht="31" hidden="1" customHeight="1" spans="1:64">
      <c r="A917" s="746"/>
      <c r="B917" s="473"/>
      <c r="C917" s="458"/>
      <c r="E917" s="458"/>
      <c r="F917" s="458"/>
      <c r="G917" s="747"/>
      <c r="H917" s="458"/>
      <c r="I917" s="458"/>
      <c r="J917" s="458"/>
      <c r="K917" s="458"/>
      <c r="L917" s="462"/>
      <c r="M917" s="463"/>
      <c r="N917" s="463"/>
      <c r="O917" s="464"/>
      <c r="P917" s="464"/>
      <c r="Q917" s="458"/>
      <c r="R917" s="472"/>
      <c r="S917" s="472"/>
      <c r="T917" s="472"/>
      <c r="U917" s="472"/>
      <c r="V917" s="472"/>
      <c r="X917" s="463"/>
      <c r="Y917" s="752"/>
      <c r="Z917" s="480"/>
      <c r="AA917" s="458"/>
      <c r="AB917" s="458"/>
      <c r="AC917" s="458"/>
      <c r="AD917" s="458"/>
      <c r="AE917" s="458"/>
      <c r="AF917" s="458"/>
      <c r="AG917" s="880"/>
      <c r="AH917" s="641"/>
      <c r="AI917" s="458"/>
      <c r="AJ917" s="879"/>
      <c r="AK917" s="458"/>
      <c r="BL917" s="884"/>
    </row>
    <row r="918" s="425" customFormat="1" ht="31" hidden="1" customHeight="1" spans="1:64">
      <c r="A918" s="746"/>
      <c r="B918" s="473"/>
      <c r="C918" s="458"/>
      <c r="E918" s="458"/>
      <c r="F918" s="458"/>
      <c r="G918" s="747"/>
      <c r="H918" s="458"/>
      <c r="I918" s="458"/>
      <c r="J918" s="458"/>
      <c r="K918" s="458"/>
      <c r="L918" s="462"/>
      <c r="M918" s="463" t="s">
        <v>3079</v>
      </c>
      <c r="N918" s="463"/>
      <c r="O918" s="464"/>
      <c r="P918" s="464"/>
      <c r="Q918" s="458"/>
      <c r="R918" s="472"/>
      <c r="S918" s="472"/>
      <c r="T918" s="472"/>
      <c r="U918" s="472"/>
      <c r="V918" s="472"/>
      <c r="X918" s="463"/>
      <c r="Y918" s="752"/>
      <c r="Z918" s="480"/>
      <c r="AA918" s="458"/>
      <c r="AB918" s="458"/>
      <c r="AC918" s="458"/>
      <c r="AD918" s="458"/>
      <c r="AE918" s="458"/>
      <c r="AF918" s="657"/>
      <c r="AG918" s="880"/>
      <c r="AH918" s="641"/>
      <c r="AI918" s="458"/>
      <c r="AJ918" s="879"/>
      <c r="AK918" s="458"/>
      <c r="BL918" s="884"/>
    </row>
    <row r="919" s="425" customFormat="1" ht="31" customHeight="1" spans="1:64">
      <c r="A919" s="746"/>
      <c r="B919" s="473"/>
      <c r="C919" s="458"/>
      <c r="E919" s="458"/>
      <c r="F919" s="458"/>
      <c r="G919" s="463"/>
      <c r="H919" s="458"/>
      <c r="I919" s="458"/>
      <c r="J919" s="458"/>
      <c r="K919" s="458"/>
      <c r="L919" s="462"/>
      <c r="M919" s="463"/>
      <c r="N919" s="463"/>
      <c r="O919" s="464"/>
      <c r="P919" s="464"/>
      <c r="Q919" s="458"/>
      <c r="R919" s="472"/>
      <c r="S919" s="472"/>
      <c r="T919" s="472"/>
      <c r="U919" s="472"/>
      <c r="V919" s="472"/>
      <c r="X919" s="463"/>
      <c r="Y919" s="752"/>
      <c r="Z919" s="480"/>
      <c r="AA919" s="458"/>
      <c r="AB919" s="458"/>
      <c r="AC919" s="458"/>
      <c r="AD919" s="458"/>
      <c r="AE919" s="458"/>
      <c r="AF919" s="693"/>
      <c r="AG919" s="880"/>
      <c r="AH919" s="641"/>
      <c r="AI919" s="458"/>
      <c r="AJ919" s="879"/>
      <c r="AK919" s="458"/>
      <c r="BL919" s="884"/>
    </row>
    <row r="920" s="425" customFormat="1" ht="31" customHeight="1" spans="1:64">
      <c r="A920" s="746"/>
      <c r="B920" s="473"/>
      <c r="C920" s="458"/>
      <c r="E920" s="458"/>
      <c r="F920" s="458"/>
      <c r="G920" s="458"/>
      <c r="I920" s="458"/>
      <c r="J920" s="458"/>
      <c r="K920" s="458"/>
      <c r="L920" s="462"/>
      <c r="M920" s="463"/>
      <c r="N920" s="463"/>
      <c r="O920" s="464"/>
      <c r="P920" s="464"/>
      <c r="Q920" s="458"/>
      <c r="R920" s="472"/>
      <c r="S920" s="472"/>
      <c r="T920" s="472"/>
      <c r="U920" s="472"/>
      <c r="V920" s="472"/>
      <c r="X920" s="463"/>
      <c r="Y920" s="752"/>
      <c r="Z920" s="480"/>
      <c r="AA920" s="458"/>
      <c r="AB920" s="458"/>
      <c r="AC920" s="458"/>
      <c r="AD920" s="458"/>
      <c r="AE920" s="458"/>
      <c r="AF920" s="657"/>
      <c r="AG920" s="880"/>
      <c r="AH920" s="641"/>
      <c r="AI920" s="458"/>
      <c r="AJ920" s="879"/>
      <c r="AK920" s="458"/>
      <c r="BL920" s="884"/>
    </row>
    <row r="921" s="425" customFormat="1" ht="31" customHeight="1" spans="1:64">
      <c r="A921" s="746"/>
      <c r="B921" s="473"/>
      <c r="C921" s="458"/>
      <c r="E921" s="458"/>
      <c r="F921" s="458"/>
      <c r="G921" s="747"/>
      <c r="H921" s="458"/>
      <c r="I921" s="458"/>
      <c r="J921" s="458"/>
      <c r="K921" s="458"/>
      <c r="L921" s="462"/>
      <c r="M921" s="463"/>
      <c r="N921" s="463"/>
      <c r="O921" s="464"/>
      <c r="P921" s="464"/>
      <c r="Q921" s="458"/>
      <c r="R921" s="472"/>
      <c r="S921" s="472"/>
      <c r="T921" s="472"/>
      <c r="U921" s="472"/>
      <c r="V921" s="472"/>
      <c r="X921" s="463"/>
      <c r="Y921" s="754"/>
      <c r="Z921" s="480"/>
      <c r="AA921" s="458"/>
      <c r="AB921" s="458"/>
      <c r="AC921" s="458"/>
      <c r="AD921" s="458"/>
      <c r="AE921" s="458"/>
      <c r="AF921" s="657"/>
      <c r="AG921" s="880"/>
      <c r="AH921" s="641"/>
      <c r="AI921" s="458"/>
      <c r="AJ921" s="879"/>
      <c r="AK921" s="458"/>
      <c r="BL921" s="884"/>
    </row>
    <row r="922" s="425" customFormat="1" ht="31" customHeight="1" spans="1:64">
      <c r="A922" s="746"/>
      <c r="B922" s="473"/>
      <c r="C922" s="458"/>
      <c r="E922" s="458"/>
      <c r="F922" s="458"/>
      <c r="G922" s="463"/>
      <c r="H922" s="458"/>
      <c r="I922" s="458"/>
      <c r="J922" s="458"/>
      <c r="K922" s="458"/>
      <c r="L922" s="462"/>
      <c r="M922" s="463"/>
      <c r="N922" s="463"/>
      <c r="O922" s="464"/>
      <c r="P922" s="464"/>
      <c r="Q922" s="458"/>
      <c r="R922" s="472"/>
      <c r="S922" s="472"/>
      <c r="T922" s="472"/>
      <c r="U922" s="472"/>
      <c r="V922" s="472"/>
      <c r="X922" s="463"/>
      <c r="Y922" s="752"/>
      <c r="Z922" s="480"/>
      <c r="AA922" s="458"/>
      <c r="AB922" s="458"/>
      <c r="AC922" s="458"/>
      <c r="AD922" s="458"/>
      <c r="AE922" s="458"/>
      <c r="AF922" s="657"/>
      <c r="AG922" s="880"/>
      <c r="AH922" s="641"/>
      <c r="AI922" s="458"/>
      <c r="AJ922" s="879"/>
      <c r="AK922" s="458"/>
      <c r="BL922" s="884"/>
    </row>
    <row r="924" spans="3:72">
      <c r="C924" s="450"/>
      <c r="G924" s="693" t="s">
        <v>3080</v>
      </c>
      <c r="I924" s="693">
        <f>SUM(I2:I923)</f>
        <v>2282482</v>
      </c>
      <c r="J924" s="450"/>
      <c r="K924" s="450"/>
      <c r="L924" s="450"/>
      <c r="M924" s="450"/>
      <c r="N924" s="450"/>
      <c r="O924" s="450"/>
      <c r="P924" s="450"/>
      <c r="Q924" s="450"/>
      <c r="R924" s="450"/>
      <c r="S924" s="450"/>
      <c r="T924" s="450"/>
      <c r="U924" s="450"/>
      <c r="V924" s="450"/>
      <c r="Y924" s="755"/>
      <c r="Z924" s="759"/>
      <c r="AA924" s="444"/>
      <c r="AB924" s="444"/>
      <c r="AC924" s="444"/>
      <c r="AD924" s="444"/>
      <c r="AE924" s="450"/>
      <c r="AH924" s="445"/>
      <c r="AI924" s="763"/>
      <c r="AJ924" s="881" t="s">
        <v>2957</v>
      </c>
      <c r="AK924" s="763"/>
      <c r="AL924" s="693">
        <f t="shared" ref="AL924:AT924" si="313">SUM(AL2:AL923)</f>
        <v>1531838</v>
      </c>
      <c r="AM924" s="693">
        <f t="shared" si="313"/>
        <v>245400</v>
      </c>
      <c r="AN924" s="693">
        <f t="shared" si="313"/>
        <v>468060</v>
      </c>
      <c r="AO924" s="693">
        <f t="shared" si="313"/>
        <v>31950</v>
      </c>
      <c r="AP924" s="693">
        <f t="shared" si="313"/>
        <v>1092472</v>
      </c>
      <c r="AQ924" s="693">
        <f t="shared" si="313"/>
        <v>355998</v>
      </c>
      <c r="AR924" s="693">
        <f t="shared" si="313"/>
        <v>1332194</v>
      </c>
      <c r="AS924" s="693">
        <f t="shared" si="313"/>
        <v>125390</v>
      </c>
      <c r="AT924" s="693">
        <f t="shared" si="313"/>
        <v>1870453.33333333</v>
      </c>
      <c r="AU924" s="693"/>
      <c r="AV924" s="693"/>
      <c r="AW924" s="693">
        <f t="shared" ref="AW924:BT924" si="314">SUM(AW2:AW923)</f>
        <v>277350</v>
      </c>
      <c r="AX924" s="693">
        <f t="shared" si="314"/>
        <v>277350</v>
      </c>
      <c r="AY924" s="693">
        <f t="shared" si="314"/>
        <v>277350</v>
      </c>
      <c r="AZ924" s="693">
        <f t="shared" si="314"/>
        <v>85328</v>
      </c>
      <c r="BA924" s="693">
        <f t="shared" si="314"/>
        <v>85832</v>
      </c>
      <c r="BB924" s="693">
        <f t="shared" si="314"/>
        <v>468060</v>
      </c>
      <c r="BC924" s="693">
        <f t="shared" si="314"/>
        <v>468060</v>
      </c>
      <c r="BD924" s="693">
        <f t="shared" si="314"/>
        <v>293520</v>
      </c>
      <c r="BE924" s="693">
        <f t="shared" si="314"/>
        <v>41303</v>
      </c>
      <c r="BF924" s="693">
        <f t="shared" si="314"/>
        <v>1050</v>
      </c>
      <c r="BG924" s="693">
        <f t="shared" si="314"/>
        <v>267000</v>
      </c>
      <c r="BH924" s="693">
        <f t="shared" si="314"/>
        <v>53400</v>
      </c>
      <c r="BI924" s="769">
        <f t="shared" si="314"/>
        <v>11528</v>
      </c>
      <c r="BJ924" s="693">
        <f t="shared" si="314"/>
        <v>205598</v>
      </c>
      <c r="BK924" s="693">
        <f t="shared" si="314"/>
        <v>80</v>
      </c>
      <c r="BL924" s="693">
        <f t="shared" si="314"/>
        <v>0</v>
      </c>
      <c r="BM924" s="693">
        <f t="shared" si="314"/>
        <v>0</v>
      </c>
      <c r="BN924" s="693">
        <f t="shared" si="314"/>
        <v>0</v>
      </c>
      <c r="BO924" s="693">
        <f t="shared" si="314"/>
        <v>0</v>
      </c>
      <c r="BP924" s="693">
        <f t="shared" si="314"/>
        <v>0</v>
      </c>
      <c r="BQ924" s="693">
        <f t="shared" si="314"/>
        <v>0</v>
      </c>
      <c r="BR924" s="693">
        <f t="shared" si="314"/>
        <v>0</v>
      </c>
      <c r="BS924" s="693">
        <f t="shared" si="314"/>
        <v>0</v>
      </c>
      <c r="BT924" s="693">
        <f t="shared" si="314"/>
        <v>0</v>
      </c>
    </row>
  </sheetData>
  <sheetProtection selectLockedCells="1" autoFilter="0"/>
  <autoFilter xmlns:etc="http://www.wps.cn/officeDocument/2017/etCustomData" ref="A1:XFD918" etc:filterBottomFollowUsedRange="0">
    <filterColumn colId="3">
      <customFilters>
        <customFilter operator="equal" val="4500190626"/>
      </customFilters>
    </filterColumn>
    <extLst/>
  </autoFilter>
  <sortState ref="AF2:AH811">
    <sortCondition ref="AG785"/>
  </sortState>
  <mergeCells count="15">
    <mergeCell ref="W164:W165"/>
    <mergeCell ref="W178:W179"/>
    <mergeCell ref="W202:W203"/>
    <mergeCell ref="W204:W205"/>
    <mergeCell ref="W216:W217"/>
    <mergeCell ref="W363:W364"/>
    <mergeCell ref="W377:W378"/>
    <mergeCell ref="W379:W380"/>
    <mergeCell ref="W381:W382"/>
    <mergeCell ref="W390:W391"/>
    <mergeCell ref="W393:W394"/>
    <mergeCell ref="W397:W398"/>
    <mergeCell ref="W399:W400"/>
    <mergeCell ref="W401:W402"/>
    <mergeCell ref="W403:W404"/>
  </mergeCells>
  <conditionalFormatting sqref="R1:V1">
    <cfRule type="cellIs" dxfId="0" priority="7948" operator="equal">
      <formula>"欠"</formula>
    </cfRule>
  </conditionalFormatting>
  <conditionalFormatting sqref="AB1">
    <cfRule type="cellIs" dxfId="0" priority="6721" operator="equal">
      <formula>"未完成"</formula>
    </cfRule>
  </conditionalFormatting>
  <conditionalFormatting sqref="AC1:AD1">
    <cfRule type="cellIs" dxfId="0" priority="7915" operator="equal">
      <formula>"未完成"</formula>
    </cfRule>
  </conditionalFormatting>
  <conditionalFormatting sqref="AG1:AK1">
    <cfRule type="cellIs" dxfId="1" priority="7946" operator="equal">
      <formula>"未完成"</formula>
    </cfRule>
    <cfRule type="cellIs" dxfId="0" priority="7947" operator="equal">
      <formula>"未完成"</formula>
    </cfRule>
  </conditionalFormatting>
  <conditionalFormatting sqref="S2">
    <cfRule type="cellIs" dxfId="0" priority="7912" operator="equal">
      <formula>"欠"</formula>
    </cfRule>
  </conditionalFormatting>
  <conditionalFormatting sqref="AE2">
    <cfRule type="cellIs" dxfId="0" priority="6616" operator="equal">
      <formula>"未完成"</formula>
    </cfRule>
  </conditionalFormatting>
  <conditionalFormatting sqref="AF2">
    <cfRule type="cellIs" dxfId="0" priority="1590" operator="equal">
      <formula>"未完成"</formula>
    </cfRule>
  </conditionalFormatting>
  <conditionalFormatting sqref="S3">
    <cfRule type="cellIs" dxfId="0" priority="6567" operator="equal">
      <formula>"欠"</formula>
    </cfRule>
  </conditionalFormatting>
  <conditionalFormatting sqref="AE3">
    <cfRule type="cellIs" dxfId="0" priority="6555" operator="equal">
      <formula>"未完成"</formula>
    </cfRule>
  </conditionalFormatting>
  <conditionalFormatting sqref="AF3">
    <cfRule type="cellIs" dxfId="0" priority="1589" operator="equal">
      <formula>"未完成"</formula>
    </cfRule>
  </conditionalFormatting>
  <conditionalFormatting sqref="AJ3:AK3">
    <cfRule type="cellIs" dxfId="1" priority="6591" operator="equal">
      <formula>"未完成"</formula>
    </cfRule>
    <cfRule type="cellIs" dxfId="0" priority="6603" operator="equal">
      <formula>"未完成"</formula>
    </cfRule>
  </conditionalFormatting>
  <conditionalFormatting sqref="S4">
    <cfRule type="cellIs" dxfId="0" priority="6566" operator="equal">
      <formula>"欠"</formula>
    </cfRule>
  </conditionalFormatting>
  <conditionalFormatting sqref="AE4">
    <cfRule type="cellIs" dxfId="0" priority="6554" operator="equal">
      <formula>"未完成"</formula>
    </cfRule>
  </conditionalFormatting>
  <conditionalFormatting sqref="AF4">
    <cfRule type="cellIs" dxfId="0" priority="1588" operator="equal">
      <formula>"未完成"</formula>
    </cfRule>
  </conditionalFormatting>
  <conditionalFormatting sqref="AJ4:AK4">
    <cfRule type="cellIs" dxfId="1" priority="6590" operator="equal">
      <formula>"未完成"</formula>
    </cfRule>
    <cfRule type="cellIs" dxfId="0" priority="6602" operator="equal">
      <formula>"未完成"</formula>
    </cfRule>
  </conditionalFormatting>
  <conditionalFormatting sqref="S5">
    <cfRule type="cellIs" dxfId="0" priority="6565" operator="equal">
      <formula>"欠"</formula>
    </cfRule>
  </conditionalFormatting>
  <conditionalFormatting sqref="AE5">
    <cfRule type="cellIs" dxfId="0" priority="6553" operator="equal">
      <formula>"未完成"</formula>
    </cfRule>
  </conditionalFormatting>
  <conditionalFormatting sqref="AF5">
    <cfRule type="cellIs" dxfId="0" priority="1587" operator="equal">
      <formula>"未完成"</formula>
    </cfRule>
  </conditionalFormatting>
  <conditionalFormatting sqref="AJ5:AK5">
    <cfRule type="cellIs" dxfId="1" priority="6589" operator="equal">
      <formula>"未完成"</formula>
    </cfRule>
    <cfRule type="cellIs" dxfId="0" priority="6601" operator="equal">
      <formula>"未完成"</formula>
    </cfRule>
  </conditionalFormatting>
  <conditionalFormatting sqref="S6">
    <cfRule type="cellIs" dxfId="0" priority="6564" operator="equal">
      <formula>"欠"</formula>
    </cfRule>
  </conditionalFormatting>
  <conditionalFormatting sqref="AE6">
    <cfRule type="cellIs" dxfId="0" priority="6552" operator="equal">
      <formula>"未完成"</formula>
    </cfRule>
  </conditionalFormatting>
  <conditionalFormatting sqref="AF6">
    <cfRule type="cellIs" dxfId="0" priority="1586" operator="equal">
      <formula>"未完成"</formula>
    </cfRule>
  </conditionalFormatting>
  <conditionalFormatting sqref="AJ6:AK6">
    <cfRule type="cellIs" dxfId="1" priority="6588" operator="equal">
      <formula>"未完成"</formula>
    </cfRule>
    <cfRule type="cellIs" dxfId="0" priority="6600" operator="equal">
      <formula>"未完成"</formula>
    </cfRule>
  </conditionalFormatting>
  <conditionalFormatting sqref="S7">
    <cfRule type="cellIs" dxfId="0" priority="6563" operator="equal">
      <formula>"欠"</formula>
    </cfRule>
  </conditionalFormatting>
  <conditionalFormatting sqref="AE7">
    <cfRule type="cellIs" dxfId="0" priority="6551" operator="equal">
      <formula>"未完成"</formula>
    </cfRule>
  </conditionalFormatting>
  <conditionalFormatting sqref="AF7">
    <cfRule type="cellIs" dxfId="0" priority="1585" operator="equal">
      <formula>"未完成"</formula>
    </cfRule>
  </conditionalFormatting>
  <conditionalFormatting sqref="AJ7:AK7">
    <cfRule type="cellIs" dxfId="1" priority="6587" operator="equal">
      <formula>"未完成"</formula>
    </cfRule>
    <cfRule type="cellIs" dxfId="0" priority="6599" operator="equal">
      <formula>"未完成"</formula>
    </cfRule>
  </conditionalFormatting>
  <conditionalFormatting sqref="S8">
    <cfRule type="cellIs" dxfId="0" priority="6562" operator="equal">
      <formula>"欠"</formula>
    </cfRule>
  </conditionalFormatting>
  <conditionalFormatting sqref="AE8">
    <cfRule type="cellIs" dxfId="0" priority="6550" operator="equal">
      <formula>"未完成"</formula>
    </cfRule>
  </conditionalFormatting>
  <conditionalFormatting sqref="AF8">
    <cfRule type="cellIs" dxfId="0" priority="1584" operator="equal">
      <formula>"未完成"</formula>
    </cfRule>
  </conditionalFormatting>
  <conditionalFormatting sqref="AJ8:AK8">
    <cfRule type="cellIs" dxfId="1" priority="6586" operator="equal">
      <formula>"未完成"</formula>
    </cfRule>
    <cfRule type="cellIs" dxfId="0" priority="6598" operator="equal">
      <formula>"未完成"</formula>
    </cfRule>
  </conditionalFormatting>
  <conditionalFormatting sqref="S9">
    <cfRule type="cellIs" dxfId="0" priority="6561" operator="equal">
      <formula>"欠"</formula>
    </cfRule>
  </conditionalFormatting>
  <conditionalFormatting sqref="AE9">
    <cfRule type="cellIs" dxfId="0" priority="6549" operator="equal">
      <formula>"未完成"</formula>
    </cfRule>
  </conditionalFormatting>
  <conditionalFormatting sqref="AF9">
    <cfRule type="cellIs" dxfId="0" priority="1583" operator="equal">
      <formula>"未完成"</formula>
    </cfRule>
  </conditionalFormatting>
  <conditionalFormatting sqref="AJ9:AK9">
    <cfRule type="cellIs" dxfId="1" priority="6585" operator="equal">
      <formula>"未完成"</formula>
    </cfRule>
    <cfRule type="cellIs" dxfId="0" priority="6597" operator="equal">
      <formula>"未完成"</formula>
    </cfRule>
  </conditionalFormatting>
  <conditionalFormatting sqref="S10">
    <cfRule type="cellIs" dxfId="0" priority="6560" operator="equal">
      <formula>"欠"</formula>
    </cfRule>
  </conditionalFormatting>
  <conditionalFormatting sqref="AE10">
    <cfRule type="cellIs" dxfId="0" priority="6548" operator="equal">
      <formula>"未完成"</formula>
    </cfRule>
  </conditionalFormatting>
  <conditionalFormatting sqref="AF10">
    <cfRule type="cellIs" dxfId="0" priority="1582" operator="equal">
      <formula>"未完成"</formula>
    </cfRule>
  </conditionalFormatting>
  <conditionalFormatting sqref="AJ10:AK10">
    <cfRule type="cellIs" dxfId="1" priority="6584" operator="equal">
      <formula>"未完成"</formula>
    </cfRule>
    <cfRule type="cellIs" dxfId="0" priority="6596" operator="equal">
      <formula>"未完成"</formula>
    </cfRule>
  </conditionalFormatting>
  <conditionalFormatting sqref="S11">
    <cfRule type="cellIs" dxfId="0" priority="6559" operator="equal">
      <formula>"欠"</formula>
    </cfRule>
  </conditionalFormatting>
  <conditionalFormatting sqref="AE11">
    <cfRule type="cellIs" dxfId="0" priority="6547" operator="equal">
      <formula>"未完成"</formula>
    </cfRule>
  </conditionalFormatting>
  <conditionalFormatting sqref="AF11">
    <cfRule type="cellIs" dxfId="0" priority="1581" operator="equal">
      <formula>"未完成"</formula>
    </cfRule>
  </conditionalFormatting>
  <conditionalFormatting sqref="AJ11:AK11">
    <cfRule type="cellIs" dxfId="1" priority="6583" operator="equal">
      <formula>"未完成"</formula>
    </cfRule>
    <cfRule type="cellIs" dxfId="0" priority="6595" operator="equal">
      <formula>"未完成"</formula>
    </cfRule>
  </conditionalFormatting>
  <conditionalFormatting sqref="S12">
    <cfRule type="cellIs" dxfId="0" priority="6558" operator="equal">
      <formula>"欠"</formula>
    </cfRule>
  </conditionalFormatting>
  <conditionalFormatting sqref="AE12">
    <cfRule type="cellIs" dxfId="0" priority="6546" operator="equal">
      <formula>"未完成"</formula>
    </cfRule>
  </conditionalFormatting>
  <conditionalFormatting sqref="AF12">
    <cfRule type="cellIs" dxfId="0" priority="1580" operator="equal">
      <formula>"未完成"</formula>
    </cfRule>
  </conditionalFormatting>
  <conditionalFormatting sqref="AJ12:AK12">
    <cfRule type="cellIs" dxfId="1" priority="6582" operator="equal">
      <formula>"未完成"</formula>
    </cfRule>
    <cfRule type="cellIs" dxfId="0" priority="6594" operator="equal">
      <formula>"未完成"</formula>
    </cfRule>
  </conditionalFormatting>
  <conditionalFormatting sqref="S13">
    <cfRule type="cellIs" dxfId="0" priority="6557" operator="equal">
      <formula>"欠"</formula>
    </cfRule>
  </conditionalFormatting>
  <conditionalFormatting sqref="AE13">
    <cfRule type="cellIs" dxfId="0" priority="6545" operator="equal">
      <formula>"未完成"</formula>
    </cfRule>
  </conditionalFormatting>
  <conditionalFormatting sqref="AF13">
    <cfRule type="cellIs" dxfId="0" priority="1579" operator="equal">
      <formula>"未完成"</formula>
    </cfRule>
  </conditionalFormatting>
  <conditionalFormatting sqref="AJ13:AK13">
    <cfRule type="cellIs" dxfId="1" priority="6581" operator="equal">
      <formula>"未完成"</formula>
    </cfRule>
    <cfRule type="cellIs" dxfId="0" priority="6593" operator="equal">
      <formula>"未完成"</formula>
    </cfRule>
  </conditionalFormatting>
  <conditionalFormatting sqref="S14">
    <cfRule type="cellIs" dxfId="0" priority="6556" operator="equal">
      <formula>"欠"</formula>
    </cfRule>
  </conditionalFormatting>
  <conditionalFormatting sqref="AE14">
    <cfRule type="cellIs" dxfId="0" priority="6544" operator="equal">
      <formula>"未完成"</formula>
    </cfRule>
  </conditionalFormatting>
  <conditionalFormatting sqref="AF14">
    <cfRule type="cellIs" dxfId="0" priority="1578" operator="equal">
      <formula>"未完成"</formula>
    </cfRule>
  </conditionalFormatting>
  <conditionalFormatting sqref="AJ14:AK14">
    <cfRule type="cellIs" dxfId="1" priority="6580" operator="equal">
      <formula>"未完成"</formula>
    </cfRule>
    <cfRule type="cellIs" dxfId="0" priority="6592" operator="equal">
      <formula>"未完成"</formula>
    </cfRule>
  </conditionalFormatting>
  <conditionalFormatting sqref="S15">
    <cfRule type="cellIs" dxfId="0" priority="6523" operator="equal">
      <formula>"欠"</formula>
    </cfRule>
  </conditionalFormatting>
  <conditionalFormatting sqref="AE15">
    <cfRule type="cellIs" dxfId="0" priority="6519" operator="equal">
      <formula>"未完成"</formula>
    </cfRule>
  </conditionalFormatting>
  <conditionalFormatting sqref="AF15">
    <cfRule type="cellIs" dxfId="0" priority="1577" operator="equal">
      <formula>"未完成"</formula>
    </cfRule>
  </conditionalFormatting>
  <conditionalFormatting sqref="AJ15:AK15">
    <cfRule type="cellIs" dxfId="1" priority="6531" operator="equal">
      <formula>"未完成"</formula>
    </cfRule>
    <cfRule type="cellIs" dxfId="0" priority="6535" operator="equal">
      <formula>"未完成"</formula>
    </cfRule>
  </conditionalFormatting>
  <conditionalFormatting sqref="S16">
    <cfRule type="cellIs" dxfId="0" priority="6522" operator="equal">
      <formula>"欠"</formula>
    </cfRule>
  </conditionalFormatting>
  <conditionalFormatting sqref="AE16">
    <cfRule type="cellIs" dxfId="0" priority="6518" operator="equal">
      <formula>"未完成"</formula>
    </cfRule>
  </conditionalFormatting>
  <conditionalFormatting sqref="AF16">
    <cfRule type="cellIs" dxfId="0" priority="1576" operator="equal">
      <formula>"未完成"</formula>
    </cfRule>
  </conditionalFormatting>
  <conditionalFormatting sqref="AJ16:AK16">
    <cfRule type="cellIs" dxfId="1" priority="6530" operator="equal">
      <formula>"未完成"</formula>
    </cfRule>
    <cfRule type="cellIs" dxfId="0" priority="6534" operator="equal">
      <formula>"未完成"</formula>
    </cfRule>
  </conditionalFormatting>
  <conditionalFormatting sqref="S17">
    <cfRule type="cellIs" dxfId="0" priority="6521" operator="equal">
      <formula>"欠"</formula>
    </cfRule>
  </conditionalFormatting>
  <conditionalFormatting sqref="AE17">
    <cfRule type="cellIs" dxfId="0" priority="6517" operator="equal">
      <formula>"未完成"</formula>
    </cfRule>
  </conditionalFormatting>
  <conditionalFormatting sqref="AF17">
    <cfRule type="cellIs" dxfId="0" priority="1575" operator="equal">
      <formula>"未完成"</formula>
    </cfRule>
  </conditionalFormatting>
  <conditionalFormatting sqref="AJ17:AK17">
    <cfRule type="cellIs" dxfId="1" priority="6529" operator="equal">
      <formula>"未完成"</formula>
    </cfRule>
    <cfRule type="cellIs" dxfId="0" priority="6533" operator="equal">
      <formula>"未完成"</formula>
    </cfRule>
  </conditionalFormatting>
  <conditionalFormatting sqref="S18">
    <cfRule type="cellIs" dxfId="0" priority="6520" operator="equal">
      <formula>"欠"</formula>
    </cfRule>
  </conditionalFormatting>
  <conditionalFormatting sqref="AJ18:AK18">
    <cfRule type="cellIs" dxfId="1" priority="6528" operator="equal">
      <formula>"未完成"</formula>
    </cfRule>
    <cfRule type="cellIs" dxfId="0" priority="6532" operator="equal">
      <formula>"未完成"</formula>
    </cfRule>
  </conditionalFormatting>
  <conditionalFormatting sqref="S19">
    <cfRule type="cellIs" dxfId="0" priority="6208" operator="equal">
      <formula>"欠"</formula>
    </cfRule>
  </conditionalFormatting>
  <conditionalFormatting sqref="AJ19:AK19">
    <cfRule type="cellIs" dxfId="1" priority="6242" operator="equal">
      <formula>"未完成"</formula>
    </cfRule>
    <cfRule type="cellIs" dxfId="0" priority="6259" operator="equal">
      <formula>"未完成"</formula>
    </cfRule>
  </conditionalFormatting>
  <conditionalFormatting sqref="S20">
    <cfRule type="cellIs" dxfId="0" priority="6207" operator="equal">
      <formula>"欠"</formula>
    </cfRule>
  </conditionalFormatting>
  <conditionalFormatting sqref="AE20">
    <cfRule type="cellIs" dxfId="0" priority="6190" operator="equal">
      <formula>"未完成"</formula>
    </cfRule>
  </conditionalFormatting>
  <conditionalFormatting sqref="AF20">
    <cfRule type="cellIs" dxfId="0" priority="1571" operator="equal">
      <formula>"未完成"</formula>
    </cfRule>
  </conditionalFormatting>
  <conditionalFormatting sqref="AJ20:AK20">
    <cfRule type="cellIs" dxfId="1" priority="6241" operator="equal">
      <formula>"未完成"</formula>
    </cfRule>
    <cfRule type="cellIs" dxfId="0" priority="6258" operator="equal">
      <formula>"未完成"</formula>
    </cfRule>
  </conditionalFormatting>
  <conditionalFormatting sqref="S21">
    <cfRule type="cellIs" dxfId="0" priority="6206" operator="equal">
      <formula>"欠"</formula>
    </cfRule>
  </conditionalFormatting>
  <conditionalFormatting sqref="AJ21:AK21">
    <cfRule type="cellIs" dxfId="1" priority="6240" operator="equal">
      <formula>"未完成"</formula>
    </cfRule>
    <cfRule type="cellIs" dxfId="0" priority="6257" operator="equal">
      <formula>"未完成"</formula>
    </cfRule>
  </conditionalFormatting>
  <conditionalFormatting sqref="S22">
    <cfRule type="cellIs" dxfId="0" priority="6205" operator="equal">
      <formula>"欠"</formula>
    </cfRule>
  </conditionalFormatting>
  <conditionalFormatting sqref="AJ22:AK22">
    <cfRule type="cellIs" dxfId="1" priority="6239" operator="equal">
      <formula>"未完成"</formula>
    </cfRule>
    <cfRule type="cellIs" dxfId="0" priority="6256" operator="equal">
      <formula>"未完成"</formula>
    </cfRule>
  </conditionalFormatting>
  <conditionalFormatting sqref="S23">
    <cfRule type="cellIs" dxfId="0" priority="6204" operator="equal">
      <formula>"欠"</formula>
    </cfRule>
  </conditionalFormatting>
  <conditionalFormatting sqref="AJ23:AK23">
    <cfRule type="cellIs" dxfId="1" priority="6238" operator="equal">
      <formula>"未完成"</formula>
    </cfRule>
    <cfRule type="cellIs" dxfId="0" priority="6255" operator="equal">
      <formula>"未完成"</formula>
    </cfRule>
  </conditionalFormatting>
  <conditionalFormatting sqref="S24">
    <cfRule type="cellIs" dxfId="0" priority="6203" operator="equal">
      <formula>"欠"</formula>
    </cfRule>
  </conditionalFormatting>
  <conditionalFormatting sqref="AJ24:AK24">
    <cfRule type="cellIs" dxfId="1" priority="6237" operator="equal">
      <formula>"未完成"</formula>
    </cfRule>
    <cfRule type="cellIs" dxfId="0" priority="6254" operator="equal">
      <formula>"未完成"</formula>
    </cfRule>
  </conditionalFormatting>
  <conditionalFormatting sqref="S25">
    <cfRule type="cellIs" dxfId="0" priority="6202" operator="equal">
      <formula>"欠"</formula>
    </cfRule>
  </conditionalFormatting>
  <conditionalFormatting sqref="AJ25:AK25">
    <cfRule type="cellIs" dxfId="1" priority="6236" operator="equal">
      <formula>"未完成"</formula>
    </cfRule>
    <cfRule type="cellIs" dxfId="0" priority="6253" operator="equal">
      <formula>"未完成"</formula>
    </cfRule>
  </conditionalFormatting>
  <conditionalFormatting sqref="S26">
    <cfRule type="cellIs" dxfId="0" priority="6201" operator="equal">
      <formula>"欠"</formula>
    </cfRule>
  </conditionalFormatting>
  <conditionalFormatting sqref="AJ26:AK26">
    <cfRule type="cellIs" dxfId="1" priority="6235" operator="equal">
      <formula>"未完成"</formula>
    </cfRule>
    <cfRule type="cellIs" dxfId="0" priority="6252" operator="equal">
      <formula>"未完成"</formula>
    </cfRule>
  </conditionalFormatting>
  <conditionalFormatting sqref="S27">
    <cfRule type="cellIs" dxfId="0" priority="6200" operator="equal">
      <formula>"欠"</formula>
    </cfRule>
  </conditionalFormatting>
  <conditionalFormatting sqref="AJ27:AK27">
    <cfRule type="cellIs" dxfId="1" priority="6234" operator="equal">
      <formula>"未完成"</formula>
    </cfRule>
    <cfRule type="cellIs" dxfId="0" priority="6251" operator="equal">
      <formula>"未完成"</formula>
    </cfRule>
  </conditionalFormatting>
  <conditionalFormatting sqref="S28">
    <cfRule type="cellIs" dxfId="0" priority="6199" operator="equal">
      <formula>"欠"</formula>
    </cfRule>
  </conditionalFormatting>
  <conditionalFormatting sqref="AJ28:AK28">
    <cfRule type="cellIs" dxfId="1" priority="6233" operator="equal">
      <formula>"未完成"</formula>
    </cfRule>
    <cfRule type="cellIs" dxfId="0" priority="6250" operator="equal">
      <formula>"未完成"</formula>
    </cfRule>
  </conditionalFormatting>
  <conditionalFormatting sqref="S29">
    <cfRule type="cellIs" dxfId="0" priority="6198" operator="equal">
      <formula>"欠"</formula>
    </cfRule>
  </conditionalFormatting>
  <conditionalFormatting sqref="AJ29:AK29">
    <cfRule type="cellIs" dxfId="1" priority="6232" operator="equal">
      <formula>"未完成"</formula>
    </cfRule>
    <cfRule type="cellIs" dxfId="0" priority="6249" operator="equal">
      <formula>"未完成"</formula>
    </cfRule>
  </conditionalFormatting>
  <conditionalFormatting sqref="S30">
    <cfRule type="cellIs" dxfId="0" priority="6197" operator="equal">
      <formula>"欠"</formula>
    </cfRule>
  </conditionalFormatting>
  <conditionalFormatting sqref="AJ30:AK30">
    <cfRule type="cellIs" dxfId="1" priority="6231" operator="equal">
      <formula>"未完成"</formula>
    </cfRule>
    <cfRule type="cellIs" dxfId="0" priority="6248" operator="equal">
      <formula>"未完成"</formula>
    </cfRule>
  </conditionalFormatting>
  <conditionalFormatting sqref="S31">
    <cfRule type="cellIs" dxfId="0" priority="6196" operator="equal">
      <formula>"欠"</formula>
    </cfRule>
  </conditionalFormatting>
  <conditionalFormatting sqref="AJ31:AK31">
    <cfRule type="cellIs" dxfId="1" priority="6230" operator="equal">
      <formula>"未完成"</formula>
    </cfRule>
    <cfRule type="cellIs" dxfId="0" priority="6247" operator="equal">
      <formula>"未完成"</formula>
    </cfRule>
  </conditionalFormatting>
  <conditionalFormatting sqref="S32">
    <cfRule type="cellIs" dxfId="0" priority="6195" operator="equal">
      <formula>"欠"</formula>
    </cfRule>
  </conditionalFormatting>
  <conditionalFormatting sqref="AJ32:AK32">
    <cfRule type="cellIs" dxfId="1" priority="6229" operator="equal">
      <formula>"未完成"</formula>
    </cfRule>
    <cfRule type="cellIs" dxfId="0" priority="6246" operator="equal">
      <formula>"未完成"</formula>
    </cfRule>
  </conditionalFormatting>
  <conditionalFormatting sqref="S33">
    <cfRule type="cellIs" dxfId="0" priority="6194" operator="equal">
      <formula>"欠"</formula>
    </cfRule>
  </conditionalFormatting>
  <conditionalFormatting sqref="AJ33:AK33">
    <cfRule type="cellIs" dxfId="1" priority="6228" operator="equal">
      <formula>"未完成"</formula>
    </cfRule>
    <cfRule type="cellIs" dxfId="0" priority="6245" operator="equal">
      <formula>"未完成"</formula>
    </cfRule>
  </conditionalFormatting>
  <conditionalFormatting sqref="S34">
    <cfRule type="cellIs" dxfId="0" priority="6193" operator="equal">
      <formula>"欠"</formula>
    </cfRule>
  </conditionalFormatting>
  <conditionalFormatting sqref="AJ34:AK34">
    <cfRule type="cellIs" dxfId="1" priority="6227" operator="equal">
      <formula>"未完成"</formula>
    </cfRule>
    <cfRule type="cellIs" dxfId="0" priority="6244" operator="equal">
      <formula>"未完成"</formula>
    </cfRule>
  </conditionalFormatting>
  <conditionalFormatting sqref="S35">
    <cfRule type="cellIs" dxfId="0" priority="6192" operator="equal">
      <formula>"欠"</formula>
    </cfRule>
  </conditionalFormatting>
  <conditionalFormatting sqref="AJ35:AK35">
    <cfRule type="cellIs" dxfId="1" priority="6226" operator="equal">
      <formula>"未完成"</formula>
    </cfRule>
    <cfRule type="cellIs" dxfId="0" priority="6243" operator="equal">
      <formula>"未完成"</formula>
    </cfRule>
  </conditionalFormatting>
  <conditionalFormatting sqref="S36">
    <cfRule type="cellIs" dxfId="0" priority="6120" operator="equal">
      <formula>"欠"</formula>
    </cfRule>
  </conditionalFormatting>
  <conditionalFormatting sqref="AJ36:AK36">
    <cfRule type="cellIs" dxfId="1" priority="6156" operator="equal">
      <formula>"未完成"</formula>
    </cfRule>
    <cfRule type="cellIs" dxfId="0" priority="6174" operator="equal">
      <formula>"未完成"</formula>
    </cfRule>
  </conditionalFormatting>
  <conditionalFormatting sqref="S37">
    <cfRule type="cellIs" dxfId="0" priority="6119" operator="equal">
      <formula>"欠"</formula>
    </cfRule>
  </conditionalFormatting>
  <conditionalFormatting sqref="AJ37:AK37">
    <cfRule type="cellIs" dxfId="1" priority="6155" operator="equal">
      <formula>"未完成"</formula>
    </cfRule>
    <cfRule type="cellIs" dxfId="0" priority="6173" operator="equal">
      <formula>"未完成"</formula>
    </cfRule>
  </conditionalFormatting>
  <conditionalFormatting sqref="S38">
    <cfRule type="cellIs" dxfId="0" priority="6118" operator="equal">
      <formula>"欠"</formula>
    </cfRule>
  </conditionalFormatting>
  <conditionalFormatting sqref="AJ38:AK38">
    <cfRule type="cellIs" dxfId="1" priority="6154" operator="equal">
      <formula>"未完成"</formula>
    </cfRule>
    <cfRule type="cellIs" dxfId="0" priority="6172" operator="equal">
      <formula>"未完成"</formula>
    </cfRule>
  </conditionalFormatting>
  <conditionalFormatting sqref="S39">
    <cfRule type="cellIs" dxfId="0" priority="6117" operator="equal">
      <formula>"欠"</formula>
    </cfRule>
  </conditionalFormatting>
  <conditionalFormatting sqref="AJ39:AK39">
    <cfRule type="cellIs" dxfId="1" priority="6153" operator="equal">
      <formula>"未完成"</formula>
    </cfRule>
    <cfRule type="cellIs" dxfId="0" priority="6171" operator="equal">
      <formula>"未完成"</formula>
    </cfRule>
  </conditionalFormatting>
  <conditionalFormatting sqref="S40">
    <cfRule type="cellIs" dxfId="0" priority="6116" operator="equal">
      <formula>"欠"</formula>
    </cfRule>
  </conditionalFormatting>
  <conditionalFormatting sqref="AJ40:AK40">
    <cfRule type="cellIs" dxfId="1" priority="6152" operator="equal">
      <formula>"未完成"</formula>
    </cfRule>
    <cfRule type="cellIs" dxfId="0" priority="6170" operator="equal">
      <formula>"未完成"</formula>
    </cfRule>
  </conditionalFormatting>
  <conditionalFormatting sqref="S41">
    <cfRule type="cellIs" dxfId="0" priority="6115" operator="equal">
      <formula>"欠"</formula>
    </cfRule>
  </conditionalFormatting>
  <conditionalFormatting sqref="AJ41:AK41">
    <cfRule type="cellIs" dxfId="1" priority="6151" operator="equal">
      <formula>"未完成"</formula>
    </cfRule>
    <cfRule type="cellIs" dxfId="0" priority="6169" operator="equal">
      <formula>"未完成"</formula>
    </cfRule>
  </conditionalFormatting>
  <conditionalFormatting sqref="S42">
    <cfRule type="cellIs" dxfId="0" priority="6114" operator="equal">
      <formula>"欠"</formula>
    </cfRule>
  </conditionalFormatting>
  <conditionalFormatting sqref="AJ42:AK42">
    <cfRule type="cellIs" dxfId="1" priority="6150" operator="equal">
      <formula>"未完成"</formula>
    </cfRule>
    <cfRule type="cellIs" dxfId="0" priority="6168" operator="equal">
      <formula>"未完成"</formula>
    </cfRule>
  </conditionalFormatting>
  <conditionalFormatting sqref="S43">
    <cfRule type="cellIs" dxfId="0" priority="6113" operator="equal">
      <formula>"欠"</formula>
    </cfRule>
  </conditionalFormatting>
  <conditionalFormatting sqref="AJ43:AK43">
    <cfRule type="cellIs" dxfId="1" priority="6149" operator="equal">
      <formula>"未完成"</formula>
    </cfRule>
    <cfRule type="cellIs" dxfId="0" priority="6167" operator="equal">
      <formula>"未完成"</formula>
    </cfRule>
  </conditionalFormatting>
  <conditionalFormatting sqref="S44">
    <cfRule type="cellIs" dxfId="0" priority="6112" operator="equal">
      <formula>"欠"</formula>
    </cfRule>
  </conditionalFormatting>
  <conditionalFormatting sqref="AJ44:AK44">
    <cfRule type="cellIs" dxfId="1" priority="6148" operator="equal">
      <formula>"未完成"</formula>
    </cfRule>
    <cfRule type="cellIs" dxfId="0" priority="6166" operator="equal">
      <formula>"未完成"</formula>
    </cfRule>
  </conditionalFormatting>
  <conditionalFormatting sqref="S45">
    <cfRule type="cellIs" dxfId="0" priority="6111" operator="equal">
      <formula>"欠"</formula>
    </cfRule>
  </conditionalFormatting>
  <conditionalFormatting sqref="AJ45:AK45">
    <cfRule type="cellIs" dxfId="1" priority="6147" operator="equal">
      <formula>"未完成"</formula>
    </cfRule>
    <cfRule type="cellIs" dxfId="0" priority="6165" operator="equal">
      <formula>"未完成"</formula>
    </cfRule>
  </conditionalFormatting>
  <conditionalFormatting sqref="S46">
    <cfRule type="cellIs" dxfId="0" priority="6110" operator="equal">
      <formula>"欠"</formula>
    </cfRule>
  </conditionalFormatting>
  <conditionalFormatting sqref="AJ46:AK46">
    <cfRule type="cellIs" dxfId="1" priority="6146" operator="equal">
      <formula>"未完成"</formula>
    </cfRule>
    <cfRule type="cellIs" dxfId="0" priority="6164" operator="equal">
      <formula>"未完成"</formula>
    </cfRule>
  </conditionalFormatting>
  <conditionalFormatting sqref="S47">
    <cfRule type="cellIs" dxfId="0" priority="6109" operator="equal">
      <formula>"欠"</formula>
    </cfRule>
  </conditionalFormatting>
  <conditionalFormatting sqref="AJ47:AK47">
    <cfRule type="cellIs" dxfId="1" priority="6145" operator="equal">
      <formula>"未完成"</formula>
    </cfRule>
    <cfRule type="cellIs" dxfId="0" priority="6163" operator="equal">
      <formula>"未完成"</formula>
    </cfRule>
  </conditionalFormatting>
  <conditionalFormatting sqref="S48">
    <cfRule type="cellIs" dxfId="0" priority="6108" operator="equal">
      <formula>"欠"</formula>
    </cfRule>
  </conditionalFormatting>
  <conditionalFormatting sqref="AJ48:AK48">
    <cfRule type="cellIs" dxfId="1" priority="6144" operator="equal">
      <formula>"未完成"</formula>
    </cfRule>
    <cfRule type="cellIs" dxfId="0" priority="6162" operator="equal">
      <formula>"未完成"</formula>
    </cfRule>
  </conditionalFormatting>
  <conditionalFormatting sqref="S49">
    <cfRule type="cellIs" dxfId="0" priority="6107" operator="equal">
      <formula>"欠"</formula>
    </cfRule>
  </conditionalFormatting>
  <conditionalFormatting sqref="AJ49:AK49">
    <cfRule type="cellIs" dxfId="1" priority="6143" operator="equal">
      <formula>"未完成"</formula>
    </cfRule>
    <cfRule type="cellIs" dxfId="0" priority="6161" operator="equal">
      <formula>"未完成"</formula>
    </cfRule>
  </conditionalFormatting>
  <conditionalFormatting sqref="S50">
    <cfRule type="cellIs" dxfId="0" priority="6106" operator="equal">
      <formula>"欠"</formula>
    </cfRule>
  </conditionalFormatting>
  <conditionalFormatting sqref="AJ50:AK50">
    <cfRule type="cellIs" dxfId="1" priority="6142" operator="equal">
      <formula>"未完成"</formula>
    </cfRule>
    <cfRule type="cellIs" dxfId="0" priority="6160" operator="equal">
      <formula>"未完成"</formula>
    </cfRule>
  </conditionalFormatting>
  <conditionalFormatting sqref="S51">
    <cfRule type="cellIs" dxfId="0" priority="6105" operator="equal">
      <formula>"欠"</formula>
    </cfRule>
  </conditionalFormatting>
  <conditionalFormatting sqref="AJ51:AK51">
    <cfRule type="cellIs" dxfId="1" priority="6141" operator="equal">
      <formula>"未完成"</formula>
    </cfRule>
    <cfRule type="cellIs" dxfId="0" priority="6159" operator="equal">
      <formula>"未完成"</formula>
    </cfRule>
  </conditionalFormatting>
  <conditionalFormatting sqref="S52">
    <cfRule type="cellIs" dxfId="0" priority="6104" operator="equal">
      <formula>"欠"</formula>
    </cfRule>
  </conditionalFormatting>
  <conditionalFormatting sqref="AJ52:AK52">
    <cfRule type="cellIs" dxfId="1" priority="6140" operator="equal">
      <formula>"未完成"</formula>
    </cfRule>
    <cfRule type="cellIs" dxfId="0" priority="6158" operator="equal">
      <formula>"未完成"</formula>
    </cfRule>
  </conditionalFormatting>
  <conditionalFormatting sqref="S53">
    <cfRule type="cellIs" dxfId="0" priority="6103" operator="equal">
      <formula>"欠"</formula>
    </cfRule>
  </conditionalFormatting>
  <conditionalFormatting sqref="AJ53:AK53">
    <cfRule type="cellIs" dxfId="1" priority="6139" operator="equal">
      <formula>"未完成"</formula>
    </cfRule>
    <cfRule type="cellIs" dxfId="0" priority="6157" operator="equal">
      <formula>"未完成"</formula>
    </cfRule>
  </conditionalFormatting>
  <conditionalFormatting sqref="S54">
    <cfRule type="cellIs" dxfId="0" priority="6038" operator="equal">
      <formula>"欠"</formula>
    </cfRule>
  </conditionalFormatting>
  <conditionalFormatting sqref="AJ54:AK54">
    <cfRule type="cellIs" dxfId="1" priority="6048" operator="equal">
      <formula>"未完成"</formula>
    </cfRule>
    <cfRule type="cellIs" dxfId="0" priority="6053" operator="equal">
      <formula>"未完成"</formula>
    </cfRule>
  </conditionalFormatting>
  <conditionalFormatting sqref="S55">
    <cfRule type="cellIs" dxfId="0" priority="6037" operator="equal">
      <formula>"欠"</formula>
    </cfRule>
  </conditionalFormatting>
  <conditionalFormatting sqref="AJ55:AK55">
    <cfRule type="cellIs" dxfId="1" priority="6047" operator="equal">
      <formula>"未完成"</formula>
    </cfRule>
    <cfRule type="cellIs" dxfId="0" priority="6052" operator="equal">
      <formula>"未完成"</formula>
    </cfRule>
  </conditionalFormatting>
  <conditionalFormatting sqref="S56">
    <cfRule type="cellIs" dxfId="0" priority="6036" operator="equal">
      <formula>"欠"</formula>
    </cfRule>
  </conditionalFormatting>
  <conditionalFormatting sqref="AJ56:AK56">
    <cfRule type="cellIs" dxfId="1" priority="6046" operator="equal">
      <formula>"未完成"</formula>
    </cfRule>
    <cfRule type="cellIs" dxfId="0" priority="6051" operator="equal">
      <formula>"未完成"</formula>
    </cfRule>
  </conditionalFormatting>
  <conditionalFormatting sqref="S57">
    <cfRule type="cellIs" dxfId="0" priority="6035" operator="equal">
      <formula>"欠"</formula>
    </cfRule>
  </conditionalFormatting>
  <conditionalFormatting sqref="AJ57:AK57">
    <cfRule type="cellIs" dxfId="1" priority="6045" operator="equal">
      <formula>"未完成"</formula>
    </cfRule>
    <cfRule type="cellIs" dxfId="0" priority="6050" operator="equal">
      <formula>"未完成"</formula>
    </cfRule>
  </conditionalFormatting>
  <conditionalFormatting sqref="S58">
    <cfRule type="cellIs" dxfId="0" priority="6034" operator="equal">
      <formula>"欠"</formula>
    </cfRule>
  </conditionalFormatting>
  <conditionalFormatting sqref="AJ58:AK58">
    <cfRule type="cellIs" dxfId="1" priority="6044" operator="equal">
      <formula>"未完成"</formula>
    </cfRule>
    <cfRule type="cellIs" dxfId="0" priority="6049" operator="equal">
      <formula>"未完成"</formula>
    </cfRule>
  </conditionalFormatting>
  <conditionalFormatting sqref="S59">
    <cfRule type="cellIs" dxfId="0" priority="6022" operator="equal">
      <formula>"欠"</formula>
    </cfRule>
  </conditionalFormatting>
  <conditionalFormatting sqref="AJ59:AK59">
    <cfRule type="cellIs" dxfId="1" priority="6026" operator="equal">
      <formula>"未完成"</formula>
    </cfRule>
    <cfRule type="cellIs" dxfId="0" priority="6028" operator="equal">
      <formula>"未完成"</formula>
    </cfRule>
  </conditionalFormatting>
  <conditionalFormatting sqref="S60">
    <cfRule type="cellIs" dxfId="0" priority="6021" operator="equal">
      <formula>"欠"</formula>
    </cfRule>
  </conditionalFormatting>
  <conditionalFormatting sqref="AJ60:AK60">
    <cfRule type="cellIs" dxfId="1" priority="6025" operator="equal">
      <formula>"未完成"</formula>
    </cfRule>
    <cfRule type="cellIs" dxfId="0" priority="6027" operator="equal">
      <formula>"未完成"</formula>
    </cfRule>
  </conditionalFormatting>
  <conditionalFormatting sqref="S61">
    <cfRule type="cellIs" dxfId="0" priority="5828" operator="equal">
      <formula>"欠"</formula>
    </cfRule>
  </conditionalFormatting>
  <conditionalFormatting sqref="AJ61:AK61">
    <cfRule type="cellIs" dxfId="1" priority="5860" operator="equal">
      <formula>"未完成"</formula>
    </cfRule>
    <cfRule type="cellIs" dxfId="0" priority="5876" operator="equal">
      <formula>"未完成"</formula>
    </cfRule>
  </conditionalFormatting>
  <conditionalFormatting sqref="S62">
    <cfRule type="cellIs" dxfId="0" priority="5827" operator="equal">
      <formula>"欠"</formula>
    </cfRule>
  </conditionalFormatting>
  <conditionalFormatting sqref="AJ62:AK62">
    <cfRule type="cellIs" dxfId="1" priority="5859" operator="equal">
      <formula>"未完成"</formula>
    </cfRule>
    <cfRule type="cellIs" dxfId="0" priority="5875" operator="equal">
      <formula>"未完成"</formula>
    </cfRule>
  </conditionalFormatting>
  <conditionalFormatting sqref="S63">
    <cfRule type="cellIs" dxfId="0" priority="5826" operator="equal">
      <formula>"欠"</formula>
    </cfRule>
  </conditionalFormatting>
  <conditionalFormatting sqref="AJ63:AK63">
    <cfRule type="cellIs" dxfId="1" priority="5858" operator="equal">
      <formula>"未完成"</formula>
    </cfRule>
    <cfRule type="cellIs" dxfId="0" priority="5874" operator="equal">
      <formula>"未完成"</formula>
    </cfRule>
  </conditionalFormatting>
  <conditionalFormatting sqref="S64">
    <cfRule type="cellIs" dxfId="0" priority="5825" operator="equal">
      <formula>"欠"</formula>
    </cfRule>
  </conditionalFormatting>
  <conditionalFormatting sqref="AJ64:AK64">
    <cfRule type="cellIs" dxfId="1" priority="5857" operator="equal">
      <formula>"未完成"</formula>
    </cfRule>
    <cfRule type="cellIs" dxfId="0" priority="5873" operator="equal">
      <formula>"未完成"</formula>
    </cfRule>
  </conditionalFormatting>
  <conditionalFormatting sqref="S65">
    <cfRule type="cellIs" dxfId="0" priority="5824" operator="equal">
      <formula>"欠"</formula>
    </cfRule>
  </conditionalFormatting>
  <conditionalFormatting sqref="AJ65:AK65">
    <cfRule type="cellIs" dxfId="1" priority="5856" operator="equal">
      <formula>"未完成"</formula>
    </cfRule>
    <cfRule type="cellIs" dxfId="0" priority="5872" operator="equal">
      <formula>"未完成"</formula>
    </cfRule>
  </conditionalFormatting>
  <conditionalFormatting sqref="S66">
    <cfRule type="cellIs" dxfId="0" priority="5823" operator="equal">
      <formula>"欠"</formula>
    </cfRule>
  </conditionalFormatting>
  <conditionalFormatting sqref="AJ66:AK66">
    <cfRule type="cellIs" dxfId="1" priority="5855" operator="equal">
      <formula>"未完成"</formula>
    </cfRule>
    <cfRule type="cellIs" dxfId="0" priority="5871" operator="equal">
      <formula>"未完成"</formula>
    </cfRule>
  </conditionalFormatting>
  <conditionalFormatting sqref="S67">
    <cfRule type="cellIs" dxfId="0" priority="5822" operator="equal">
      <formula>"欠"</formula>
    </cfRule>
  </conditionalFormatting>
  <conditionalFormatting sqref="AJ67:AK67">
    <cfRule type="cellIs" dxfId="1" priority="5854" operator="equal">
      <formula>"未完成"</formula>
    </cfRule>
    <cfRule type="cellIs" dxfId="0" priority="5870" operator="equal">
      <formula>"未完成"</formula>
    </cfRule>
  </conditionalFormatting>
  <conditionalFormatting sqref="S68">
    <cfRule type="cellIs" dxfId="0" priority="5821" operator="equal">
      <formula>"欠"</formula>
    </cfRule>
  </conditionalFormatting>
  <conditionalFormatting sqref="AJ68:AK68">
    <cfRule type="cellIs" dxfId="1" priority="5853" operator="equal">
      <formula>"未完成"</formula>
    </cfRule>
    <cfRule type="cellIs" dxfId="0" priority="5869" operator="equal">
      <formula>"未完成"</formula>
    </cfRule>
  </conditionalFormatting>
  <conditionalFormatting sqref="S69">
    <cfRule type="cellIs" dxfId="0" priority="5820" operator="equal">
      <formula>"欠"</formula>
    </cfRule>
  </conditionalFormatting>
  <conditionalFormatting sqref="AJ69:AK69">
    <cfRule type="cellIs" dxfId="1" priority="5852" operator="equal">
      <formula>"未完成"</formula>
    </cfRule>
    <cfRule type="cellIs" dxfId="0" priority="5868" operator="equal">
      <formula>"未完成"</formula>
    </cfRule>
  </conditionalFormatting>
  <conditionalFormatting sqref="S70">
    <cfRule type="cellIs" dxfId="0" priority="5819" operator="equal">
      <formula>"欠"</formula>
    </cfRule>
  </conditionalFormatting>
  <conditionalFormatting sqref="AJ70:AK70">
    <cfRule type="cellIs" dxfId="1" priority="5851" operator="equal">
      <formula>"未完成"</formula>
    </cfRule>
    <cfRule type="cellIs" dxfId="0" priority="5867" operator="equal">
      <formula>"未完成"</formula>
    </cfRule>
  </conditionalFormatting>
  <conditionalFormatting sqref="S71">
    <cfRule type="cellIs" dxfId="0" priority="5818" operator="equal">
      <formula>"欠"</formula>
    </cfRule>
  </conditionalFormatting>
  <conditionalFormatting sqref="AJ71:AK71">
    <cfRule type="cellIs" dxfId="1" priority="5850" operator="equal">
      <formula>"未完成"</formula>
    </cfRule>
    <cfRule type="cellIs" dxfId="0" priority="5866" operator="equal">
      <formula>"未完成"</formula>
    </cfRule>
  </conditionalFormatting>
  <conditionalFormatting sqref="S72">
    <cfRule type="cellIs" dxfId="0" priority="5817" operator="equal">
      <formula>"欠"</formula>
    </cfRule>
  </conditionalFormatting>
  <conditionalFormatting sqref="AJ72:AK72">
    <cfRule type="cellIs" dxfId="1" priority="5849" operator="equal">
      <formula>"未完成"</formula>
    </cfRule>
    <cfRule type="cellIs" dxfId="0" priority="5865" operator="equal">
      <formula>"未完成"</formula>
    </cfRule>
  </conditionalFormatting>
  <conditionalFormatting sqref="S73">
    <cfRule type="cellIs" dxfId="0" priority="5816" operator="equal">
      <formula>"欠"</formula>
    </cfRule>
  </conditionalFormatting>
  <conditionalFormatting sqref="AJ73:AK73">
    <cfRule type="cellIs" dxfId="1" priority="5848" operator="equal">
      <formula>"未完成"</formula>
    </cfRule>
    <cfRule type="cellIs" dxfId="0" priority="5864" operator="equal">
      <formula>"未完成"</formula>
    </cfRule>
  </conditionalFormatting>
  <conditionalFormatting sqref="S74">
    <cfRule type="cellIs" dxfId="0" priority="5815" operator="equal">
      <formula>"欠"</formula>
    </cfRule>
  </conditionalFormatting>
  <conditionalFormatting sqref="AJ74:AK74">
    <cfRule type="cellIs" dxfId="1" priority="5847" operator="equal">
      <formula>"未完成"</formula>
    </cfRule>
    <cfRule type="cellIs" dxfId="0" priority="5863" operator="equal">
      <formula>"未完成"</formula>
    </cfRule>
  </conditionalFormatting>
  <conditionalFormatting sqref="S75">
    <cfRule type="cellIs" dxfId="0" priority="5814" operator="equal">
      <formula>"欠"</formula>
    </cfRule>
  </conditionalFormatting>
  <conditionalFormatting sqref="AJ75:AK75">
    <cfRule type="cellIs" dxfId="1" priority="5846" operator="equal">
      <formula>"未完成"</formula>
    </cfRule>
    <cfRule type="cellIs" dxfId="0" priority="5862" operator="equal">
      <formula>"未完成"</formula>
    </cfRule>
  </conditionalFormatting>
  <conditionalFormatting sqref="S76">
    <cfRule type="cellIs" dxfId="0" priority="5813" operator="equal">
      <formula>"欠"</formula>
    </cfRule>
  </conditionalFormatting>
  <conditionalFormatting sqref="AJ76:AK76">
    <cfRule type="cellIs" dxfId="1" priority="5845" operator="equal">
      <formula>"未完成"</formula>
    </cfRule>
    <cfRule type="cellIs" dxfId="0" priority="5861" operator="equal">
      <formula>"未完成"</formula>
    </cfRule>
  </conditionalFormatting>
  <conditionalFormatting sqref="S77">
    <cfRule type="cellIs" dxfId="0" priority="5752" operator="equal">
      <formula>"欠"</formula>
    </cfRule>
  </conditionalFormatting>
  <conditionalFormatting sqref="AJ77:AK77">
    <cfRule type="cellIs" dxfId="1" priority="5770" operator="equal">
      <formula>"未完成"</formula>
    </cfRule>
    <cfRule type="cellIs" dxfId="0" priority="5779" operator="equal">
      <formula>"未完成"</formula>
    </cfRule>
  </conditionalFormatting>
  <conditionalFormatting sqref="S78">
    <cfRule type="cellIs" dxfId="0" priority="5751" operator="equal">
      <formula>"欠"</formula>
    </cfRule>
  </conditionalFormatting>
  <conditionalFormatting sqref="AJ78:AK78">
    <cfRule type="cellIs" dxfId="1" priority="5769" operator="equal">
      <formula>"未完成"</formula>
    </cfRule>
    <cfRule type="cellIs" dxfId="0" priority="5778" operator="equal">
      <formula>"未完成"</formula>
    </cfRule>
  </conditionalFormatting>
  <conditionalFormatting sqref="S79">
    <cfRule type="cellIs" dxfId="0" priority="5750" operator="equal">
      <formula>"欠"</formula>
    </cfRule>
  </conditionalFormatting>
  <conditionalFormatting sqref="AJ79:AK79">
    <cfRule type="cellIs" dxfId="1" priority="5768" operator="equal">
      <formula>"未完成"</formula>
    </cfRule>
    <cfRule type="cellIs" dxfId="0" priority="5777" operator="equal">
      <formula>"未完成"</formula>
    </cfRule>
  </conditionalFormatting>
  <conditionalFormatting sqref="S80">
    <cfRule type="cellIs" dxfId="0" priority="5749" operator="equal">
      <formula>"欠"</formula>
    </cfRule>
  </conditionalFormatting>
  <conditionalFormatting sqref="AJ80:AK80">
    <cfRule type="cellIs" dxfId="1" priority="5767" operator="equal">
      <formula>"未完成"</formula>
    </cfRule>
    <cfRule type="cellIs" dxfId="0" priority="5776" operator="equal">
      <formula>"未完成"</formula>
    </cfRule>
  </conditionalFormatting>
  <conditionalFormatting sqref="S81">
    <cfRule type="cellIs" dxfId="0" priority="5748" operator="equal">
      <formula>"欠"</formula>
    </cfRule>
  </conditionalFormatting>
  <conditionalFormatting sqref="AJ81:AK81">
    <cfRule type="cellIs" dxfId="1" priority="5766" operator="equal">
      <formula>"未完成"</formula>
    </cfRule>
    <cfRule type="cellIs" dxfId="0" priority="5775" operator="equal">
      <formula>"未完成"</formula>
    </cfRule>
  </conditionalFormatting>
  <conditionalFormatting sqref="S82">
    <cfRule type="cellIs" dxfId="0" priority="5745" operator="equal">
      <formula>"欠"</formula>
    </cfRule>
  </conditionalFormatting>
  <conditionalFormatting sqref="AJ82:AK82">
    <cfRule type="cellIs" dxfId="1" priority="5763" operator="equal">
      <formula>"未完成"</formula>
    </cfRule>
    <cfRule type="cellIs" dxfId="0" priority="5772" operator="equal">
      <formula>"未完成"</formula>
    </cfRule>
  </conditionalFormatting>
  <conditionalFormatting sqref="S83">
    <cfRule type="cellIs" dxfId="0" priority="5744" operator="equal">
      <formula>"欠"</formula>
    </cfRule>
  </conditionalFormatting>
  <conditionalFormatting sqref="AJ83:AK83">
    <cfRule type="cellIs" dxfId="1" priority="5762" operator="equal">
      <formula>"未完成"</formula>
    </cfRule>
    <cfRule type="cellIs" dxfId="0" priority="5771" operator="equal">
      <formula>"未完成"</formula>
    </cfRule>
  </conditionalFormatting>
  <conditionalFormatting sqref="S84">
    <cfRule type="cellIs" dxfId="0" priority="5731" operator="equal">
      <formula>"欠"</formula>
    </cfRule>
  </conditionalFormatting>
  <conditionalFormatting sqref="AJ84:AK84">
    <cfRule type="cellIs" dxfId="1" priority="5733" operator="equal">
      <formula>"未完成"</formula>
    </cfRule>
    <cfRule type="cellIs" dxfId="0" priority="5734" operator="equal">
      <formula>"未完成"</formula>
    </cfRule>
  </conditionalFormatting>
  <conditionalFormatting sqref="S85">
    <cfRule type="cellIs" dxfId="0" priority="5685" operator="equal">
      <formula>"欠"</formula>
    </cfRule>
  </conditionalFormatting>
  <conditionalFormatting sqref="T85">
    <cfRule type="containsText" dxfId="2" priority="3348" operator="between" text="欠">
      <formula>NOT(ISERROR(SEARCH("欠",T85)))</formula>
    </cfRule>
    <cfRule type="containsText" dxfId="3" priority="3349" operator="between" text="欠">
      <formula>NOT(ISERROR(SEARCH("欠",T85)))</formula>
    </cfRule>
    <cfRule type="cellIs" dxfId="0" priority="3350" operator="equal">
      <formula>"欠"</formula>
    </cfRule>
  </conditionalFormatting>
  <conditionalFormatting sqref="AJ85:AK85">
    <cfRule type="cellIs" dxfId="1" priority="5687" operator="equal">
      <formula>"未完成"</formula>
    </cfRule>
    <cfRule type="cellIs" dxfId="0" priority="5688" operator="equal">
      <formula>"未完成"</formula>
    </cfRule>
  </conditionalFormatting>
  <conditionalFormatting sqref="S86">
    <cfRule type="cellIs" dxfId="0" priority="5665" operator="equal">
      <formula>"欠"</formula>
    </cfRule>
  </conditionalFormatting>
  <conditionalFormatting sqref="AJ86:AK86">
    <cfRule type="cellIs" dxfId="1" priority="5677" operator="equal">
      <formula>"未完成"</formula>
    </cfRule>
    <cfRule type="cellIs" dxfId="0" priority="5683" operator="equal">
      <formula>"未完成"</formula>
    </cfRule>
  </conditionalFormatting>
  <conditionalFormatting sqref="S87">
    <cfRule type="cellIs" dxfId="0" priority="5664" operator="equal">
      <formula>"欠"</formula>
    </cfRule>
  </conditionalFormatting>
  <conditionalFormatting sqref="AJ87:AK87">
    <cfRule type="cellIs" dxfId="1" priority="5676" operator="equal">
      <formula>"未完成"</formula>
    </cfRule>
    <cfRule type="cellIs" dxfId="0" priority="5682" operator="equal">
      <formula>"未完成"</formula>
    </cfRule>
  </conditionalFormatting>
  <conditionalFormatting sqref="S88">
    <cfRule type="cellIs" dxfId="0" priority="5663" operator="equal">
      <formula>"欠"</formula>
    </cfRule>
  </conditionalFormatting>
  <conditionalFormatting sqref="AE88">
    <cfRule type="cellIs" dxfId="0" priority="5657" operator="equal">
      <formula>"未完成"</formula>
    </cfRule>
  </conditionalFormatting>
  <conditionalFormatting sqref="AF88">
    <cfRule type="cellIs" dxfId="0" priority="1570" operator="equal">
      <formula>"未完成"</formula>
    </cfRule>
  </conditionalFormatting>
  <conditionalFormatting sqref="AJ88:AK88">
    <cfRule type="cellIs" dxfId="1" priority="5675" operator="equal">
      <formula>"未完成"</formula>
    </cfRule>
    <cfRule type="cellIs" dxfId="0" priority="5681" operator="equal">
      <formula>"未完成"</formula>
    </cfRule>
  </conditionalFormatting>
  <conditionalFormatting sqref="S89">
    <cfRule type="cellIs" dxfId="0" priority="5662" operator="equal">
      <formula>"欠"</formula>
    </cfRule>
  </conditionalFormatting>
  <conditionalFormatting sqref="AE89">
    <cfRule type="cellIs" dxfId="0" priority="5656" operator="equal">
      <formula>"未完成"</formula>
    </cfRule>
  </conditionalFormatting>
  <conditionalFormatting sqref="AF89">
    <cfRule type="cellIs" dxfId="0" priority="1569" operator="equal">
      <formula>"未完成"</formula>
    </cfRule>
  </conditionalFormatting>
  <conditionalFormatting sqref="AJ89:AK89">
    <cfRule type="cellIs" dxfId="1" priority="5674" operator="equal">
      <formula>"未完成"</formula>
    </cfRule>
    <cfRule type="cellIs" dxfId="0" priority="5680" operator="equal">
      <formula>"未完成"</formula>
    </cfRule>
  </conditionalFormatting>
  <conditionalFormatting sqref="S90">
    <cfRule type="cellIs" dxfId="0" priority="5661" operator="equal">
      <formula>"欠"</formula>
    </cfRule>
  </conditionalFormatting>
  <conditionalFormatting sqref="AE90">
    <cfRule type="cellIs" dxfId="0" priority="5655" operator="equal">
      <formula>"未完成"</formula>
    </cfRule>
  </conditionalFormatting>
  <conditionalFormatting sqref="AF90">
    <cfRule type="cellIs" dxfId="0" priority="1568" operator="equal">
      <formula>"未完成"</formula>
    </cfRule>
  </conditionalFormatting>
  <conditionalFormatting sqref="AJ90:AK90">
    <cfRule type="cellIs" dxfId="1" priority="5673" operator="equal">
      <formula>"未完成"</formula>
    </cfRule>
    <cfRule type="cellIs" dxfId="0" priority="5679" operator="equal">
      <formula>"未完成"</formula>
    </cfRule>
  </conditionalFormatting>
  <conditionalFormatting sqref="S91">
    <cfRule type="cellIs" dxfId="0" priority="5660" operator="equal">
      <formula>"欠"</formula>
    </cfRule>
  </conditionalFormatting>
  <conditionalFormatting sqref="AE91">
    <cfRule type="cellIs" dxfId="0" priority="5654" operator="equal">
      <formula>"未完成"</formula>
    </cfRule>
  </conditionalFormatting>
  <conditionalFormatting sqref="AF91">
    <cfRule type="cellIs" dxfId="0" priority="1567" operator="equal">
      <formula>"未完成"</formula>
    </cfRule>
  </conditionalFormatting>
  <conditionalFormatting sqref="AJ91:AK91">
    <cfRule type="cellIs" dxfId="1" priority="5672" operator="equal">
      <formula>"未完成"</formula>
    </cfRule>
    <cfRule type="cellIs" dxfId="0" priority="5678" operator="equal">
      <formula>"未完成"</formula>
    </cfRule>
  </conditionalFormatting>
  <conditionalFormatting sqref="S92">
    <cfRule type="cellIs" dxfId="0" priority="5650" operator="equal">
      <formula>"欠"</formula>
    </cfRule>
  </conditionalFormatting>
  <conditionalFormatting sqref="AE92">
    <cfRule type="cellIs" dxfId="0" priority="5649" operator="equal">
      <formula>"未完成"</formula>
    </cfRule>
  </conditionalFormatting>
  <conditionalFormatting sqref="AF92">
    <cfRule type="cellIs" dxfId="0" priority="1566" operator="equal">
      <formula>"未完成"</formula>
    </cfRule>
  </conditionalFormatting>
  <conditionalFormatting sqref="AJ92:AK92">
    <cfRule type="cellIs" dxfId="1" priority="5652" operator="equal">
      <formula>"未完成"</formula>
    </cfRule>
    <cfRule type="cellIs" dxfId="0" priority="5653" operator="equal">
      <formula>"未完成"</formula>
    </cfRule>
  </conditionalFormatting>
  <conditionalFormatting sqref="S93">
    <cfRule type="cellIs" dxfId="0" priority="4950" operator="equal">
      <formula>"欠"</formula>
    </cfRule>
  </conditionalFormatting>
  <conditionalFormatting sqref="AE93">
    <cfRule type="cellIs" dxfId="0" priority="4948" operator="equal">
      <formula>"未完成"</formula>
    </cfRule>
  </conditionalFormatting>
  <conditionalFormatting sqref="AF93">
    <cfRule type="cellIs" dxfId="0" priority="1509" operator="equal">
      <formula>"未完成"</formula>
    </cfRule>
  </conditionalFormatting>
  <conditionalFormatting sqref="AJ93:AK93">
    <cfRule type="cellIs" dxfId="1" priority="4954" operator="equal">
      <formula>"未完成"</formula>
    </cfRule>
    <cfRule type="cellIs" dxfId="0" priority="4956" operator="equal">
      <formula>"未完成"</formula>
    </cfRule>
  </conditionalFormatting>
  <conditionalFormatting sqref="S94">
    <cfRule type="cellIs" dxfId="0" priority="4949" operator="equal">
      <formula>"欠"</formula>
    </cfRule>
  </conditionalFormatting>
  <conditionalFormatting sqref="AE94">
    <cfRule type="cellIs" dxfId="0" priority="4947" operator="equal">
      <formula>"未完成"</formula>
    </cfRule>
  </conditionalFormatting>
  <conditionalFormatting sqref="AF94">
    <cfRule type="cellIs" dxfId="0" priority="1508" operator="equal">
      <formula>"未完成"</formula>
    </cfRule>
  </conditionalFormatting>
  <conditionalFormatting sqref="AJ94:AK94">
    <cfRule type="cellIs" dxfId="1" priority="4953" operator="equal">
      <formula>"未完成"</formula>
    </cfRule>
    <cfRule type="cellIs" dxfId="0" priority="4955" operator="equal">
      <formula>"未完成"</formula>
    </cfRule>
  </conditionalFormatting>
  <conditionalFormatting sqref="S95">
    <cfRule type="cellIs" dxfId="0" priority="5645" operator="equal">
      <formula>"欠"</formula>
    </cfRule>
  </conditionalFormatting>
  <conditionalFormatting sqref="AJ95:AK95">
    <cfRule type="cellIs" dxfId="1" priority="5647" operator="equal">
      <formula>"未完成"</formula>
    </cfRule>
    <cfRule type="cellIs" dxfId="0" priority="5648" operator="equal">
      <formula>"未完成"</formula>
    </cfRule>
  </conditionalFormatting>
  <conditionalFormatting sqref="S96">
    <cfRule type="cellIs" dxfId="0" priority="5631" operator="equal">
      <formula>"欠"</formula>
    </cfRule>
  </conditionalFormatting>
  <conditionalFormatting sqref="AJ96:AK96">
    <cfRule type="cellIs" dxfId="1" priority="5633" operator="equal">
      <formula>"未完成"</formula>
    </cfRule>
    <cfRule type="cellIs" dxfId="0" priority="5634" operator="equal">
      <formula>"未完成"</formula>
    </cfRule>
  </conditionalFormatting>
  <conditionalFormatting sqref="S97">
    <cfRule type="cellIs" dxfId="0" priority="5506" operator="equal">
      <formula>"欠"</formula>
    </cfRule>
  </conditionalFormatting>
  <conditionalFormatting sqref="AJ97:AK97">
    <cfRule type="cellIs" dxfId="1" priority="5560" operator="equal">
      <formula>"未完成"</formula>
    </cfRule>
    <cfRule type="cellIs" dxfId="0" priority="5587" operator="equal">
      <formula>"未完成"</formula>
    </cfRule>
  </conditionalFormatting>
  <conditionalFormatting sqref="S98">
    <cfRule type="cellIs" dxfId="0" priority="5505" operator="equal">
      <formula>"欠"</formula>
    </cfRule>
  </conditionalFormatting>
  <conditionalFormatting sqref="AE98">
    <cfRule type="cellIs" dxfId="0" priority="5613" operator="equal">
      <formula>"未完成"</formula>
    </cfRule>
  </conditionalFormatting>
  <conditionalFormatting sqref="AF98">
    <cfRule type="cellIs" dxfId="0" priority="1565" operator="equal">
      <formula>"未完成"</formula>
    </cfRule>
  </conditionalFormatting>
  <conditionalFormatting sqref="AJ98:AK98">
    <cfRule type="cellIs" dxfId="1" priority="5559" operator="equal">
      <formula>"未完成"</formula>
    </cfRule>
    <cfRule type="cellIs" dxfId="0" priority="5586" operator="equal">
      <formula>"未完成"</formula>
    </cfRule>
  </conditionalFormatting>
  <conditionalFormatting sqref="S99">
    <cfRule type="cellIs" dxfId="0" priority="5504" operator="equal">
      <formula>"欠"</formula>
    </cfRule>
  </conditionalFormatting>
  <conditionalFormatting sqref="AE99">
    <cfRule type="cellIs" dxfId="0" priority="5612" operator="equal">
      <formula>"未完成"</formula>
    </cfRule>
  </conditionalFormatting>
  <conditionalFormatting sqref="AF99">
    <cfRule type="cellIs" dxfId="0" priority="1564" operator="equal">
      <formula>"未完成"</formula>
    </cfRule>
  </conditionalFormatting>
  <conditionalFormatting sqref="AJ99:AK99">
    <cfRule type="cellIs" dxfId="1" priority="5558" operator="equal">
      <formula>"未完成"</formula>
    </cfRule>
    <cfRule type="cellIs" dxfId="0" priority="5585" operator="equal">
      <formula>"未完成"</formula>
    </cfRule>
  </conditionalFormatting>
  <conditionalFormatting sqref="S100">
    <cfRule type="cellIs" dxfId="0" priority="5503" operator="equal">
      <formula>"欠"</formula>
    </cfRule>
  </conditionalFormatting>
  <conditionalFormatting sqref="AE100">
    <cfRule type="cellIs" dxfId="0" priority="5611" operator="equal">
      <formula>"未完成"</formula>
    </cfRule>
  </conditionalFormatting>
  <conditionalFormatting sqref="AF100">
    <cfRule type="cellIs" dxfId="0" priority="1563" operator="equal">
      <formula>"未完成"</formula>
    </cfRule>
  </conditionalFormatting>
  <conditionalFormatting sqref="AJ100:AK100">
    <cfRule type="cellIs" dxfId="1" priority="5557" operator="equal">
      <formula>"未完成"</formula>
    </cfRule>
    <cfRule type="cellIs" dxfId="0" priority="5584" operator="equal">
      <formula>"未完成"</formula>
    </cfRule>
  </conditionalFormatting>
  <conditionalFormatting sqref="S101">
    <cfRule type="cellIs" dxfId="0" priority="5502" operator="equal">
      <formula>"欠"</formula>
    </cfRule>
  </conditionalFormatting>
  <conditionalFormatting sqref="AE101">
    <cfRule type="cellIs" dxfId="0" priority="5610" operator="equal">
      <formula>"未完成"</formula>
    </cfRule>
  </conditionalFormatting>
  <conditionalFormatting sqref="AF101">
    <cfRule type="cellIs" dxfId="0" priority="1562" operator="equal">
      <formula>"未完成"</formula>
    </cfRule>
  </conditionalFormatting>
  <conditionalFormatting sqref="AJ101:AK101">
    <cfRule type="cellIs" dxfId="1" priority="5556" operator="equal">
      <formula>"未完成"</formula>
    </cfRule>
    <cfRule type="cellIs" dxfId="0" priority="5583" operator="equal">
      <formula>"未完成"</formula>
    </cfRule>
  </conditionalFormatting>
  <conditionalFormatting sqref="S102">
    <cfRule type="cellIs" dxfId="0" priority="5501" operator="equal">
      <formula>"欠"</formula>
    </cfRule>
  </conditionalFormatting>
  <conditionalFormatting sqref="AE102">
    <cfRule type="cellIs" dxfId="0" priority="5609" operator="equal">
      <formula>"未完成"</formula>
    </cfRule>
  </conditionalFormatting>
  <conditionalFormatting sqref="AF102">
    <cfRule type="cellIs" dxfId="0" priority="1561" operator="equal">
      <formula>"未完成"</formula>
    </cfRule>
  </conditionalFormatting>
  <conditionalFormatting sqref="AJ102:AK102">
    <cfRule type="cellIs" dxfId="1" priority="5555" operator="equal">
      <formula>"未完成"</formula>
    </cfRule>
    <cfRule type="cellIs" dxfId="0" priority="5582" operator="equal">
      <formula>"未完成"</formula>
    </cfRule>
  </conditionalFormatting>
  <conditionalFormatting sqref="S103">
    <cfRule type="cellIs" dxfId="0" priority="5500" operator="equal">
      <formula>"欠"</formula>
    </cfRule>
  </conditionalFormatting>
  <conditionalFormatting sqref="AE103">
    <cfRule type="cellIs" dxfId="0" priority="5608" operator="equal">
      <formula>"未完成"</formula>
    </cfRule>
  </conditionalFormatting>
  <conditionalFormatting sqref="AF103">
    <cfRule type="cellIs" dxfId="0" priority="1560" operator="equal">
      <formula>"未完成"</formula>
    </cfRule>
  </conditionalFormatting>
  <conditionalFormatting sqref="AJ103:AK103">
    <cfRule type="cellIs" dxfId="1" priority="5554" operator="equal">
      <formula>"未完成"</formula>
    </cfRule>
    <cfRule type="cellIs" dxfId="0" priority="5581" operator="equal">
      <formula>"未完成"</formula>
    </cfRule>
  </conditionalFormatting>
  <conditionalFormatting sqref="S104">
    <cfRule type="cellIs" dxfId="0" priority="5499" operator="equal">
      <formula>"欠"</formula>
    </cfRule>
  </conditionalFormatting>
  <conditionalFormatting sqref="AE104">
    <cfRule type="cellIs" dxfId="0" priority="5607" operator="equal">
      <formula>"未完成"</formula>
    </cfRule>
  </conditionalFormatting>
  <conditionalFormatting sqref="AF104">
    <cfRule type="cellIs" dxfId="0" priority="1559" operator="equal">
      <formula>"未完成"</formula>
    </cfRule>
  </conditionalFormatting>
  <conditionalFormatting sqref="AJ104:AK104">
    <cfRule type="cellIs" dxfId="1" priority="5553" operator="equal">
      <formula>"未完成"</formula>
    </cfRule>
    <cfRule type="cellIs" dxfId="0" priority="5580" operator="equal">
      <formula>"未完成"</formula>
    </cfRule>
  </conditionalFormatting>
  <conditionalFormatting sqref="S105">
    <cfRule type="cellIs" dxfId="0" priority="5498" operator="equal">
      <formula>"欠"</formula>
    </cfRule>
  </conditionalFormatting>
  <conditionalFormatting sqref="AE105">
    <cfRule type="cellIs" dxfId="0" priority="5606" operator="equal">
      <formula>"未完成"</formula>
    </cfRule>
  </conditionalFormatting>
  <conditionalFormatting sqref="AF105">
    <cfRule type="cellIs" dxfId="0" priority="1558" operator="equal">
      <formula>"未完成"</formula>
    </cfRule>
  </conditionalFormatting>
  <conditionalFormatting sqref="AJ105:AK105">
    <cfRule type="cellIs" dxfId="1" priority="5552" operator="equal">
      <formula>"未完成"</formula>
    </cfRule>
    <cfRule type="cellIs" dxfId="0" priority="5579" operator="equal">
      <formula>"未完成"</formula>
    </cfRule>
  </conditionalFormatting>
  <conditionalFormatting sqref="S106">
    <cfRule type="cellIs" dxfId="0" priority="5497" operator="equal">
      <formula>"欠"</formula>
    </cfRule>
  </conditionalFormatting>
  <conditionalFormatting sqref="AE106">
    <cfRule type="cellIs" dxfId="0" priority="5605" operator="equal">
      <formula>"未完成"</formula>
    </cfRule>
  </conditionalFormatting>
  <conditionalFormatting sqref="AF106">
    <cfRule type="cellIs" dxfId="0" priority="1557" operator="equal">
      <formula>"未完成"</formula>
    </cfRule>
  </conditionalFormatting>
  <conditionalFormatting sqref="AJ106:AK106">
    <cfRule type="cellIs" dxfId="1" priority="5551" operator="equal">
      <formula>"未完成"</formula>
    </cfRule>
    <cfRule type="cellIs" dxfId="0" priority="5578" operator="equal">
      <formula>"未完成"</formula>
    </cfRule>
  </conditionalFormatting>
  <conditionalFormatting sqref="S107">
    <cfRule type="cellIs" dxfId="0" priority="5495" operator="equal">
      <formula>"欠"</formula>
    </cfRule>
  </conditionalFormatting>
  <conditionalFormatting sqref="AE107">
    <cfRule type="cellIs" dxfId="0" priority="5603" operator="equal">
      <formula>"未完成"</formula>
    </cfRule>
  </conditionalFormatting>
  <conditionalFormatting sqref="AF107">
    <cfRule type="cellIs" dxfId="0" priority="1555" operator="equal">
      <formula>"未完成"</formula>
    </cfRule>
  </conditionalFormatting>
  <conditionalFormatting sqref="AJ107:AK107">
    <cfRule type="cellIs" dxfId="1" priority="5549" operator="equal">
      <formula>"未完成"</formula>
    </cfRule>
    <cfRule type="cellIs" dxfId="0" priority="5576" operator="equal">
      <formula>"未完成"</formula>
    </cfRule>
  </conditionalFormatting>
  <conditionalFormatting sqref="S108">
    <cfRule type="cellIs" dxfId="0" priority="5494" operator="equal">
      <formula>"欠"</formula>
    </cfRule>
  </conditionalFormatting>
  <conditionalFormatting sqref="AE108">
    <cfRule type="cellIs" dxfId="0" priority="5602" operator="equal">
      <formula>"未完成"</formula>
    </cfRule>
  </conditionalFormatting>
  <conditionalFormatting sqref="AF108">
    <cfRule type="cellIs" dxfId="0" priority="1554" operator="equal">
      <formula>"未完成"</formula>
    </cfRule>
  </conditionalFormatting>
  <conditionalFormatting sqref="AJ108:AK108">
    <cfRule type="cellIs" dxfId="1" priority="5548" operator="equal">
      <formula>"未完成"</formula>
    </cfRule>
    <cfRule type="cellIs" dxfId="0" priority="5575" operator="equal">
      <formula>"未完成"</formula>
    </cfRule>
  </conditionalFormatting>
  <conditionalFormatting sqref="S109">
    <cfRule type="cellIs" dxfId="0" priority="5493" operator="equal">
      <formula>"欠"</formula>
    </cfRule>
  </conditionalFormatting>
  <conditionalFormatting sqref="AE109">
    <cfRule type="cellIs" dxfId="0" priority="5601" operator="equal">
      <formula>"未完成"</formula>
    </cfRule>
  </conditionalFormatting>
  <conditionalFormatting sqref="AF109">
    <cfRule type="cellIs" dxfId="0" priority="1553" operator="equal">
      <formula>"未完成"</formula>
    </cfRule>
  </conditionalFormatting>
  <conditionalFormatting sqref="AJ109:AK109">
    <cfRule type="cellIs" dxfId="1" priority="5547" operator="equal">
      <formula>"未完成"</formula>
    </cfRule>
    <cfRule type="cellIs" dxfId="0" priority="5574" operator="equal">
      <formula>"未完成"</formula>
    </cfRule>
  </conditionalFormatting>
  <conditionalFormatting sqref="S110">
    <cfRule type="cellIs" dxfId="0" priority="5492" operator="equal">
      <formula>"欠"</formula>
    </cfRule>
  </conditionalFormatting>
  <conditionalFormatting sqref="AE110">
    <cfRule type="cellIs" dxfId="0" priority="5600" operator="equal">
      <formula>"未完成"</formula>
    </cfRule>
  </conditionalFormatting>
  <conditionalFormatting sqref="AF110">
    <cfRule type="cellIs" dxfId="0" priority="1552" operator="equal">
      <formula>"未完成"</formula>
    </cfRule>
  </conditionalFormatting>
  <conditionalFormatting sqref="AJ110:AK110">
    <cfRule type="cellIs" dxfId="1" priority="5546" operator="equal">
      <formula>"未完成"</formula>
    </cfRule>
    <cfRule type="cellIs" dxfId="0" priority="5573" operator="equal">
      <formula>"未完成"</formula>
    </cfRule>
  </conditionalFormatting>
  <conditionalFormatting sqref="S111">
    <cfRule type="cellIs" dxfId="0" priority="5491" operator="equal">
      <formula>"欠"</formula>
    </cfRule>
  </conditionalFormatting>
  <conditionalFormatting sqref="AE111">
    <cfRule type="cellIs" dxfId="0" priority="5599" operator="equal">
      <formula>"未完成"</formula>
    </cfRule>
  </conditionalFormatting>
  <conditionalFormatting sqref="AF111">
    <cfRule type="cellIs" dxfId="0" priority="1551" operator="equal">
      <formula>"未完成"</formula>
    </cfRule>
  </conditionalFormatting>
  <conditionalFormatting sqref="AJ111:AK111">
    <cfRule type="cellIs" dxfId="1" priority="5545" operator="equal">
      <formula>"未完成"</formula>
    </cfRule>
    <cfRule type="cellIs" dxfId="0" priority="5572" operator="equal">
      <formula>"未完成"</formula>
    </cfRule>
  </conditionalFormatting>
  <conditionalFormatting sqref="S112">
    <cfRule type="cellIs" dxfId="0" priority="5490" operator="equal">
      <formula>"欠"</formula>
    </cfRule>
  </conditionalFormatting>
  <conditionalFormatting sqref="AE112">
    <cfRule type="cellIs" dxfId="0" priority="5598" operator="equal">
      <formula>"未完成"</formula>
    </cfRule>
  </conditionalFormatting>
  <conditionalFormatting sqref="AF112">
    <cfRule type="cellIs" dxfId="0" priority="1550" operator="equal">
      <formula>"未完成"</formula>
    </cfRule>
  </conditionalFormatting>
  <conditionalFormatting sqref="AJ112:AK112">
    <cfRule type="cellIs" dxfId="1" priority="5544" operator="equal">
      <formula>"未完成"</formula>
    </cfRule>
    <cfRule type="cellIs" dxfId="0" priority="5571" operator="equal">
      <formula>"未完成"</formula>
    </cfRule>
  </conditionalFormatting>
  <conditionalFormatting sqref="S113">
    <cfRule type="cellIs" dxfId="0" priority="5489" operator="equal">
      <formula>"欠"</formula>
    </cfRule>
  </conditionalFormatting>
  <conditionalFormatting sqref="AE113">
    <cfRule type="cellIs" dxfId="0" priority="5597" operator="equal">
      <formula>"未完成"</formula>
    </cfRule>
  </conditionalFormatting>
  <conditionalFormatting sqref="AF113">
    <cfRule type="cellIs" dxfId="0" priority="1549" operator="equal">
      <formula>"未完成"</formula>
    </cfRule>
  </conditionalFormatting>
  <conditionalFormatting sqref="AJ113:AK113">
    <cfRule type="cellIs" dxfId="1" priority="5543" operator="equal">
      <formula>"未完成"</formula>
    </cfRule>
    <cfRule type="cellIs" dxfId="0" priority="5570" operator="equal">
      <formula>"未完成"</formula>
    </cfRule>
  </conditionalFormatting>
  <conditionalFormatting sqref="S114">
    <cfRule type="cellIs" dxfId="0" priority="5488" operator="equal">
      <formula>"欠"</formula>
    </cfRule>
  </conditionalFormatting>
  <conditionalFormatting sqref="AE114">
    <cfRule type="cellIs" dxfId="0" priority="5596" operator="equal">
      <formula>"未完成"</formula>
    </cfRule>
  </conditionalFormatting>
  <conditionalFormatting sqref="AF114">
    <cfRule type="cellIs" dxfId="0" priority="1548" operator="equal">
      <formula>"未完成"</formula>
    </cfRule>
  </conditionalFormatting>
  <conditionalFormatting sqref="AJ114:AK114">
    <cfRule type="cellIs" dxfId="1" priority="5542" operator="equal">
      <formula>"未完成"</formula>
    </cfRule>
    <cfRule type="cellIs" dxfId="0" priority="5569" operator="equal">
      <formula>"未完成"</formula>
    </cfRule>
  </conditionalFormatting>
  <conditionalFormatting sqref="S115">
    <cfRule type="cellIs" dxfId="0" priority="5487" operator="equal">
      <formula>"欠"</formula>
    </cfRule>
  </conditionalFormatting>
  <conditionalFormatting sqref="AE115">
    <cfRule type="cellIs" dxfId="0" priority="5595" operator="equal">
      <formula>"未完成"</formula>
    </cfRule>
  </conditionalFormatting>
  <conditionalFormatting sqref="AF115">
    <cfRule type="cellIs" dxfId="0" priority="1547" operator="equal">
      <formula>"未完成"</formula>
    </cfRule>
  </conditionalFormatting>
  <conditionalFormatting sqref="AJ115:AK115">
    <cfRule type="cellIs" dxfId="1" priority="5541" operator="equal">
      <formula>"未完成"</formula>
    </cfRule>
    <cfRule type="cellIs" dxfId="0" priority="5568" operator="equal">
      <formula>"未完成"</formula>
    </cfRule>
  </conditionalFormatting>
  <conditionalFormatting sqref="S116">
    <cfRule type="cellIs" dxfId="0" priority="5486" operator="equal">
      <formula>"欠"</formula>
    </cfRule>
  </conditionalFormatting>
  <conditionalFormatting sqref="AE116">
    <cfRule type="cellIs" dxfId="0" priority="5594" operator="equal">
      <formula>"未完成"</formula>
    </cfRule>
  </conditionalFormatting>
  <conditionalFormatting sqref="AF116">
    <cfRule type="cellIs" dxfId="0" priority="1546" operator="equal">
      <formula>"未完成"</formula>
    </cfRule>
  </conditionalFormatting>
  <conditionalFormatting sqref="AJ116:AK116">
    <cfRule type="cellIs" dxfId="1" priority="5540" operator="equal">
      <formula>"未完成"</formula>
    </cfRule>
    <cfRule type="cellIs" dxfId="0" priority="5567" operator="equal">
      <formula>"未完成"</formula>
    </cfRule>
  </conditionalFormatting>
  <conditionalFormatting sqref="S117">
    <cfRule type="cellIs" dxfId="0" priority="5485" operator="equal">
      <formula>"欠"</formula>
    </cfRule>
  </conditionalFormatting>
  <conditionalFormatting sqref="AE117">
    <cfRule type="cellIs" dxfId="0" priority="5593" operator="equal">
      <formula>"未完成"</formula>
    </cfRule>
  </conditionalFormatting>
  <conditionalFormatting sqref="AF117">
    <cfRule type="cellIs" dxfId="0" priority="1545" operator="equal">
      <formula>"未完成"</formula>
    </cfRule>
  </conditionalFormatting>
  <conditionalFormatting sqref="AJ117:AK117">
    <cfRule type="cellIs" dxfId="1" priority="5539" operator="equal">
      <formula>"未完成"</formula>
    </cfRule>
    <cfRule type="cellIs" dxfId="0" priority="5566" operator="equal">
      <formula>"未完成"</formula>
    </cfRule>
  </conditionalFormatting>
  <conditionalFormatting sqref="S118">
    <cfRule type="cellIs" dxfId="0" priority="5484" operator="equal">
      <formula>"欠"</formula>
    </cfRule>
  </conditionalFormatting>
  <conditionalFormatting sqref="AE118">
    <cfRule type="cellIs" dxfId="0" priority="5592" operator="equal">
      <formula>"未完成"</formula>
    </cfRule>
  </conditionalFormatting>
  <conditionalFormatting sqref="AF118">
    <cfRule type="cellIs" dxfId="0" priority="1544" operator="equal">
      <formula>"未完成"</formula>
    </cfRule>
  </conditionalFormatting>
  <conditionalFormatting sqref="AJ118:AK118">
    <cfRule type="cellIs" dxfId="1" priority="5538" operator="equal">
      <formula>"未完成"</formula>
    </cfRule>
    <cfRule type="cellIs" dxfId="0" priority="5565" operator="equal">
      <formula>"未完成"</formula>
    </cfRule>
  </conditionalFormatting>
  <conditionalFormatting sqref="S119">
    <cfRule type="cellIs" dxfId="0" priority="5496" operator="equal">
      <formula>"欠"</formula>
    </cfRule>
  </conditionalFormatting>
  <conditionalFormatting sqref="AE119">
    <cfRule type="cellIs" dxfId="0" priority="5604" operator="equal">
      <formula>"未完成"</formula>
    </cfRule>
  </conditionalFormatting>
  <conditionalFormatting sqref="AF119">
    <cfRule type="cellIs" dxfId="0" priority="1556" operator="equal">
      <formula>"未完成"</formula>
    </cfRule>
  </conditionalFormatting>
  <conditionalFormatting sqref="AJ119:AK119">
    <cfRule type="cellIs" dxfId="1" priority="5550" operator="equal">
      <formula>"未完成"</formula>
    </cfRule>
    <cfRule type="cellIs" dxfId="0" priority="5577" operator="equal">
      <formula>"未完成"</formula>
    </cfRule>
  </conditionalFormatting>
  <conditionalFormatting sqref="S120">
    <cfRule type="cellIs" dxfId="0" priority="5483" operator="equal">
      <formula>"欠"</formula>
    </cfRule>
  </conditionalFormatting>
  <conditionalFormatting sqref="AE120">
    <cfRule type="cellIs" dxfId="0" priority="5591" operator="equal">
      <formula>"未完成"</formula>
    </cfRule>
  </conditionalFormatting>
  <conditionalFormatting sqref="AF120">
    <cfRule type="cellIs" dxfId="0" priority="1543" operator="equal">
      <formula>"未完成"</formula>
    </cfRule>
  </conditionalFormatting>
  <conditionalFormatting sqref="AJ120:AK120">
    <cfRule type="cellIs" dxfId="1" priority="5537" operator="equal">
      <formula>"未完成"</formula>
    </cfRule>
    <cfRule type="cellIs" dxfId="0" priority="5564" operator="equal">
      <formula>"未完成"</formula>
    </cfRule>
  </conditionalFormatting>
  <conditionalFormatting sqref="S121">
    <cfRule type="cellIs" dxfId="0" priority="5482" operator="equal">
      <formula>"欠"</formula>
    </cfRule>
  </conditionalFormatting>
  <conditionalFormatting sqref="AE121">
    <cfRule type="cellIs" dxfId="0" priority="5590" operator="equal">
      <formula>"未完成"</formula>
    </cfRule>
  </conditionalFormatting>
  <conditionalFormatting sqref="AF121">
    <cfRule type="cellIs" dxfId="0" priority="1542" operator="equal">
      <formula>"未完成"</formula>
    </cfRule>
  </conditionalFormatting>
  <conditionalFormatting sqref="AJ121:AK121">
    <cfRule type="cellIs" dxfId="1" priority="5536" operator="equal">
      <formula>"未完成"</formula>
    </cfRule>
    <cfRule type="cellIs" dxfId="0" priority="5563" operator="equal">
      <formula>"未完成"</formula>
    </cfRule>
  </conditionalFormatting>
  <conditionalFormatting sqref="S122">
    <cfRule type="cellIs" dxfId="0" priority="5481" operator="equal">
      <formula>"欠"</formula>
    </cfRule>
  </conditionalFormatting>
  <conditionalFormatting sqref="AE122">
    <cfRule type="cellIs" dxfId="0" priority="5589" operator="equal">
      <formula>"未完成"</formula>
    </cfRule>
  </conditionalFormatting>
  <conditionalFormatting sqref="AF122">
    <cfRule type="cellIs" dxfId="0" priority="1541" operator="equal">
      <formula>"未完成"</formula>
    </cfRule>
  </conditionalFormatting>
  <conditionalFormatting sqref="AJ122:AK122">
    <cfRule type="cellIs" dxfId="1" priority="5535" operator="equal">
      <formula>"未完成"</formula>
    </cfRule>
    <cfRule type="cellIs" dxfId="0" priority="5562" operator="equal">
      <formula>"未完成"</formula>
    </cfRule>
  </conditionalFormatting>
  <conditionalFormatting sqref="S123">
    <cfRule type="cellIs" dxfId="0" priority="5480" operator="equal">
      <formula>"欠"</formula>
    </cfRule>
  </conditionalFormatting>
  <conditionalFormatting sqref="AJ123:AK123">
    <cfRule type="cellIs" dxfId="1" priority="5534" operator="equal">
      <formula>"未完成"</formula>
    </cfRule>
    <cfRule type="cellIs" dxfId="0" priority="5561" operator="equal">
      <formula>"未完成"</formula>
    </cfRule>
  </conditionalFormatting>
  <conditionalFormatting sqref="S124">
    <cfRule type="cellIs" dxfId="0" priority="5426" operator="equal">
      <formula>"欠"</formula>
    </cfRule>
  </conditionalFormatting>
  <conditionalFormatting sqref="AJ124:AK124">
    <cfRule type="cellIs" dxfId="1" priority="5428" operator="equal">
      <formula>"未完成"</formula>
    </cfRule>
    <cfRule type="cellIs" dxfId="0" priority="5429" operator="equal">
      <formula>"未完成"</formula>
    </cfRule>
  </conditionalFormatting>
  <conditionalFormatting sqref="S125">
    <cfRule type="cellIs" dxfId="0" priority="5393" operator="equal">
      <formula>"欠"</formula>
    </cfRule>
  </conditionalFormatting>
  <conditionalFormatting sqref="AJ125:AK125">
    <cfRule type="cellIs" dxfId="1" priority="5409" operator="equal">
      <formula>"未完成"</formula>
    </cfRule>
    <cfRule type="cellIs" dxfId="0" priority="5417" operator="equal">
      <formula>"未完成"</formula>
    </cfRule>
  </conditionalFormatting>
  <conditionalFormatting sqref="S126">
    <cfRule type="cellIs" dxfId="0" priority="5392" operator="equal">
      <formula>"欠"</formula>
    </cfRule>
  </conditionalFormatting>
  <conditionalFormatting sqref="AJ126:AK126">
    <cfRule type="cellIs" dxfId="1" priority="5408" operator="equal">
      <formula>"未完成"</formula>
    </cfRule>
    <cfRule type="cellIs" dxfId="0" priority="5416" operator="equal">
      <formula>"未完成"</formula>
    </cfRule>
  </conditionalFormatting>
  <conditionalFormatting sqref="S127">
    <cfRule type="cellIs" dxfId="0" priority="5391" operator="equal">
      <formula>"欠"</formula>
    </cfRule>
  </conditionalFormatting>
  <conditionalFormatting sqref="AJ127:AK127">
    <cfRule type="cellIs" dxfId="1" priority="5407" operator="equal">
      <formula>"未完成"</formula>
    </cfRule>
    <cfRule type="cellIs" dxfId="0" priority="5415" operator="equal">
      <formula>"未完成"</formula>
    </cfRule>
  </conditionalFormatting>
  <conditionalFormatting sqref="S128">
    <cfRule type="cellIs" dxfId="0" priority="5390" operator="equal">
      <formula>"欠"</formula>
    </cfRule>
  </conditionalFormatting>
  <conditionalFormatting sqref="AJ128:AK128">
    <cfRule type="cellIs" dxfId="1" priority="5406" operator="equal">
      <formula>"未完成"</formula>
    </cfRule>
    <cfRule type="cellIs" dxfId="0" priority="5414" operator="equal">
      <formula>"未完成"</formula>
    </cfRule>
  </conditionalFormatting>
  <conditionalFormatting sqref="S129">
    <cfRule type="cellIs" dxfId="0" priority="5389" operator="equal">
      <formula>"欠"</formula>
    </cfRule>
  </conditionalFormatting>
  <conditionalFormatting sqref="AJ129:AK129">
    <cfRule type="cellIs" dxfId="1" priority="5405" operator="equal">
      <formula>"未完成"</formula>
    </cfRule>
    <cfRule type="cellIs" dxfId="0" priority="5413" operator="equal">
      <formula>"未完成"</formula>
    </cfRule>
  </conditionalFormatting>
  <conditionalFormatting sqref="S130">
    <cfRule type="cellIs" dxfId="0" priority="5388" operator="equal">
      <formula>"欠"</formula>
    </cfRule>
  </conditionalFormatting>
  <conditionalFormatting sqref="AJ130:AK130">
    <cfRule type="cellIs" dxfId="1" priority="5404" operator="equal">
      <formula>"未完成"</formula>
    </cfRule>
    <cfRule type="cellIs" dxfId="0" priority="5412" operator="equal">
      <formula>"未完成"</formula>
    </cfRule>
  </conditionalFormatting>
  <conditionalFormatting sqref="S131">
    <cfRule type="cellIs" dxfId="0" priority="5387" operator="equal">
      <formula>"欠"</formula>
    </cfRule>
  </conditionalFormatting>
  <conditionalFormatting sqref="AJ131:AK131">
    <cfRule type="cellIs" dxfId="1" priority="5403" operator="equal">
      <formula>"未完成"</formula>
    </cfRule>
    <cfRule type="cellIs" dxfId="0" priority="5411" operator="equal">
      <formula>"未完成"</formula>
    </cfRule>
  </conditionalFormatting>
  <conditionalFormatting sqref="S132">
    <cfRule type="cellIs" dxfId="0" priority="5386" operator="equal">
      <formula>"欠"</formula>
    </cfRule>
  </conditionalFormatting>
  <conditionalFormatting sqref="AJ132:AK132">
    <cfRule type="cellIs" dxfId="1" priority="5402" operator="equal">
      <formula>"未完成"</formula>
    </cfRule>
    <cfRule type="cellIs" dxfId="0" priority="5410" operator="equal">
      <formula>"未完成"</formula>
    </cfRule>
  </conditionalFormatting>
  <conditionalFormatting sqref="S133">
    <cfRule type="cellIs" dxfId="0" priority="5231" operator="equal">
      <formula>"欠"</formula>
    </cfRule>
  </conditionalFormatting>
  <conditionalFormatting sqref="AJ133:AK133">
    <cfRule type="cellIs" dxfId="1" priority="5261" operator="equal">
      <formula>"未完成"</formula>
    </cfRule>
    <cfRule type="cellIs" dxfId="0" priority="5276" operator="equal">
      <formula>"未完成"</formula>
    </cfRule>
  </conditionalFormatting>
  <conditionalFormatting sqref="S134">
    <cfRule type="cellIs" dxfId="0" priority="5230" operator="equal">
      <formula>"欠"</formula>
    </cfRule>
  </conditionalFormatting>
  <conditionalFormatting sqref="AJ134:AK134">
    <cfRule type="cellIs" dxfId="1" priority="5260" operator="equal">
      <formula>"未完成"</formula>
    </cfRule>
    <cfRule type="cellIs" dxfId="0" priority="5275" operator="equal">
      <formula>"未完成"</formula>
    </cfRule>
  </conditionalFormatting>
  <conditionalFormatting sqref="S135">
    <cfRule type="cellIs" dxfId="0" priority="5229" operator="equal">
      <formula>"欠"</formula>
    </cfRule>
  </conditionalFormatting>
  <conditionalFormatting sqref="AJ135:AK135">
    <cfRule type="cellIs" dxfId="1" priority="5259" operator="equal">
      <formula>"未完成"</formula>
    </cfRule>
    <cfRule type="cellIs" dxfId="0" priority="5274" operator="equal">
      <formula>"未完成"</formula>
    </cfRule>
  </conditionalFormatting>
  <conditionalFormatting sqref="S136">
    <cfRule type="cellIs" dxfId="0" priority="5228" operator="equal">
      <formula>"欠"</formula>
    </cfRule>
  </conditionalFormatting>
  <conditionalFormatting sqref="AJ136:AK136">
    <cfRule type="cellIs" dxfId="1" priority="5258" operator="equal">
      <formula>"未完成"</formula>
    </cfRule>
    <cfRule type="cellIs" dxfId="0" priority="5273" operator="equal">
      <formula>"未完成"</formula>
    </cfRule>
  </conditionalFormatting>
  <conditionalFormatting sqref="S137">
    <cfRule type="cellIs" dxfId="0" priority="5227" operator="equal">
      <formula>"欠"</formula>
    </cfRule>
  </conditionalFormatting>
  <conditionalFormatting sqref="AJ137:AK137">
    <cfRule type="cellIs" dxfId="1" priority="5257" operator="equal">
      <formula>"未完成"</formula>
    </cfRule>
    <cfRule type="cellIs" dxfId="0" priority="5272" operator="equal">
      <formula>"未完成"</formula>
    </cfRule>
  </conditionalFormatting>
  <conditionalFormatting sqref="S138">
    <cfRule type="cellIs" dxfId="0" priority="5226" operator="equal">
      <formula>"欠"</formula>
    </cfRule>
  </conditionalFormatting>
  <conditionalFormatting sqref="AJ138:AK138">
    <cfRule type="cellIs" dxfId="1" priority="5256" operator="equal">
      <formula>"未完成"</formula>
    </cfRule>
    <cfRule type="cellIs" dxfId="0" priority="5271" operator="equal">
      <formula>"未完成"</formula>
    </cfRule>
  </conditionalFormatting>
  <conditionalFormatting sqref="S139">
    <cfRule type="cellIs" dxfId="0" priority="5225" operator="equal">
      <formula>"欠"</formula>
    </cfRule>
  </conditionalFormatting>
  <conditionalFormatting sqref="AJ139:AK139">
    <cfRule type="cellIs" dxfId="1" priority="5255" operator="equal">
      <formula>"未完成"</formula>
    </cfRule>
    <cfRule type="cellIs" dxfId="0" priority="5270" operator="equal">
      <formula>"未完成"</formula>
    </cfRule>
  </conditionalFormatting>
  <conditionalFormatting sqref="S140">
    <cfRule type="cellIs" dxfId="0" priority="5224" operator="equal">
      <formula>"欠"</formula>
    </cfRule>
  </conditionalFormatting>
  <conditionalFormatting sqref="AJ140:AK140">
    <cfRule type="cellIs" dxfId="1" priority="5254" operator="equal">
      <formula>"未完成"</formula>
    </cfRule>
    <cfRule type="cellIs" dxfId="0" priority="5269" operator="equal">
      <formula>"未完成"</formula>
    </cfRule>
  </conditionalFormatting>
  <conditionalFormatting sqref="S141">
    <cfRule type="cellIs" dxfId="0" priority="5223" operator="equal">
      <formula>"欠"</formula>
    </cfRule>
  </conditionalFormatting>
  <conditionalFormatting sqref="AJ141:AK141">
    <cfRule type="cellIs" dxfId="1" priority="5253" operator="equal">
      <formula>"未完成"</formula>
    </cfRule>
    <cfRule type="cellIs" dxfId="0" priority="5268" operator="equal">
      <formula>"未完成"</formula>
    </cfRule>
  </conditionalFormatting>
  <conditionalFormatting sqref="S142">
    <cfRule type="cellIs" dxfId="0" priority="5222" operator="equal">
      <formula>"欠"</formula>
    </cfRule>
  </conditionalFormatting>
  <conditionalFormatting sqref="AJ142:AK142">
    <cfRule type="cellIs" dxfId="1" priority="5252" operator="equal">
      <formula>"未完成"</formula>
    </cfRule>
    <cfRule type="cellIs" dxfId="0" priority="5267" operator="equal">
      <formula>"未完成"</formula>
    </cfRule>
  </conditionalFormatting>
  <conditionalFormatting sqref="S143">
    <cfRule type="cellIs" dxfId="0" priority="5221" operator="equal">
      <formula>"欠"</formula>
    </cfRule>
  </conditionalFormatting>
  <conditionalFormatting sqref="AJ143:AK143">
    <cfRule type="cellIs" dxfId="1" priority="5251" operator="equal">
      <formula>"未完成"</formula>
    </cfRule>
    <cfRule type="cellIs" dxfId="0" priority="5266" operator="equal">
      <formula>"未完成"</formula>
    </cfRule>
  </conditionalFormatting>
  <conditionalFormatting sqref="S144">
    <cfRule type="cellIs" dxfId="0" priority="5220" operator="equal">
      <formula>"欠"</formula>
    </cfRule>
  </conditionalFormatting>
  <conditionalFormatting sqref="AJ144:AK144">
    <cfRule type="cellIs" dxfId="1" priority="5250" operator="equal">
      <formula>"未完成"</formula>
    </cfRule>
    <cfRule type="cellIs" dxfId="0" priority="5265" operator="equal">
      <formula>"未完成"</formula>
    </cfRule>
  </conditionalFormatting>
  <conditionalFormatting sqref="S145">
    <cfRule type="cellIs" dxfId="0" priority="5219" operator="equal">
      <formula>"欠"</formula>
    </cfRule>
  </conditionalFormatting>
  <conditionalFormatting sqref="AJ145:AK145">
    <cfRule type="cellIs" dxfId="1" priority="5249" operator="equal">
      <formula>"未完成"</formula>
    </cfRule>
    <cfRule type="cellIs" dxfId="0" priority="5264" operator="equal">
      <formula>"未完成"</formula>
    </cfRule>
  </conditionalFormatting>
  <conditionalFormatting sqref="AJ146:AK146">
    <cfRule type="cellIs" dxfId="1" priority="5248" operator="equal">
      <formula>"未完成"</formula>
    </cfRule>
    <cfRule type="cellIs" dxfId="0" priority="5263" operator="equal">
      <formula>"未完成"</formula>
    </cfRule>
  </conditionalFormatting>
  <conditionalFormatting sqref="AJ147:AK147">
    <cfRule type="cellIs" dxfId="1" priority="5247" operator="equal">
      <formula>"未完成"</formula>
    </cfRule>
    <cfRule type="cellIs" dxfId="0" priority="5262" operator="equal">
      <formula>"未完成"</formula>
    </cfRule>
  </conditionalFormatting>
  <conditionalFormatting sqref="S148">
    <cfRule type="cellIs" dxfId="0" priority="5147" operator="equal">
      <formula>"欠"</formula>
    </cfRule>
  </conditionalFormatting>
  <conditionalFormatting sqref="AE148">
    <cfRule type="cellIs" dxfId="0" priority="5203" operator="equal">
      <formula>"未完成"</formula>
    </cfRule>
  </conditionalFormatting>
  <conditionalFormatting sqref="AF148">
    <cfRule type="cellIs" dxfId="0" priority="1537" operator="equal">
      <formula>"未完成"</formula>
    </cfRule>
  </conditionalFormatting>
  <conditionalFormatting sqref="AJ148:AK148">
    <cfRule type="cellIs" dxfId="1" priority="5175" operator="equal">
      <formula>"未完成"</formula>
    </cfRule>
    <cfRule type="cellIs" dxfId="0" priority="5189" operator="equal">
      <formula>"未完成"</formula>
    </cfRule>
  </conditionalFormatting>
  <conditionalFormatting sqref="S149">
    <cfRule type="cellIs" dxfId="0" priority="5146" operator="equal">
      <formula>"欠"</formula>
    </cfRule>
  </conditionalFormatting>
  <conditionalFormatting sqref="AE149">
    <cfRule type="cellIs" dxfId="0" priority="5202" operator="equal">
      <formula>"未完成"</formula>
    </cfRule>
  </conditionalFormatting>
  <conditionalFormatting sqref="AF149">
    <cfRule type="cellIs" dxfId="0" priority="1536" operator="equal">
      <formula>"未完成"</formula>
    </cfRule>
  </conditionalFormatting>
  <conditionalFormatting sqref="AJ149:AK149">
    <cfRule type="cellIs" dxfId="1" priority="5174" operator="equal">
      <formula>"未完成"</formula>
    </cfRule>
    <cfRule type="cellIs" dxfId="0" priority="5188" operator="equal">
      <formula>"未完成"</formula>
    </cfRule>
  </conditionalFormatting>
  <conditionalFormatting sqref="S150">
    <cfRule type="cellIs" dxfId="0" priority="5145" operator="equal">
      <formula>"欠"</formula>
    </cfRule>
  </conditionalFormatting>
  <conditionalFormatting sqref="AE150">
    <cfRule type="cellIs" dxfId="0" priority="5201" operator="equal">
      <formula>"未完成"</formula>
    </cfRule>
  </conditionalFormatting>
  <conditionalFormatting sqref="AF150">
    <cfRule type="cellIs" dxfId="0" priority="1535" operator="equal">
      <formula>"未完成"</formula>
    </cfRule>
  </conditionalFormatting>
  <conditionalFormatting sqref="AJ150:AK150">
    <cfRule type="cellIs" dxfId="1" priority="5173" operator="equal">
      <formula>"未完成"</formula>
    </cfRule>
    <cfRule type="cellIs" dxfId="0" priority="5187" operator="equal">
      <formula>"未完成"</formula>
    </cfRule>
  </conditionalFormatting>
  <conditionalFormatting sqref="S151">
    <cfRule type="cellIs" dxfId="0" priority="5144" operator="equal">
      <formula>"欠"</formula>
    </cfRule>
  </conditionalFormatting>
  <conditionalFormatting sqref="AE151">
    <cfRule type="cellIs" dxfId="0" priority="5200" operator="equal">
      <formula>"未完成"</formula>
    </cfRule>
  </conditionalFormatting>
  <conditionalFormatting sqref="AF151">
    <cfRule type="cellIs" dxfId="0" priority="1534" operator="equal">
      <formula>"未完成"</formula>
    </cfRule>
  </conditionalFormatting>
  <conditionalFormatting sqref="AJ151:AK151">
    <cfRule type="cellIs" dxfId="1" priority="5172" operator="equal">
      <formula>"未完成"</formula>
    </cfRule>
    <cfRule type="cellIs" dxfId="0" priority="5186" operator="equal">
      <formula>"未完成"</formula>
    </cfRule>
  </conditionalFormatting>
  <conditionalFormatting sqref="S152">
    <cfRule type="cellIs" dxfId="0" priority="5143" operator="equal">
      <formula>"欠"</formula>
    </cfRule>
  </conditionalFormatting>
  <conditionalFormatting sqref="AE152">
    <cfRule type="cellIs" dxfId="0" priority="5199" operator="equal">
      <formula>"未完成"</formula>
    </cfRule>
  </conditionalFormatting>
  <conditionalFormatting sqref="AF152">
    <cfRule type="cellIs" dxfId="0" priority="1533" operator="equal">
      <formula>"未完成"</formula>
    </cfRule>
  </conditionalFormatting>
  <conditionalFormatting sqref="AJ152:AK152">
    <cfRule type="cellIs" dxfId="1" priority="5171" operator="equal">
      <formula>"未完成"</formula>
    </cfRule>
    <cfRule type="cellIs" dxfId="0" priority="5185" operator="equal">
      <formula>"未完成"</formula>
    </cfRule>
  </conditionalFormatting>
  <conditionalFormatting sqref="S153">
    <cfRule type="cellIs" dxfId="0" priority="5142" operator="equal">
      <formula>"欠"</formula>
    </cfRule>
  </conditionalFormatting>
  <conditionalFormatting sqref="AE153">
    <cfRule type="cellIs" dxfId="0" priority="5198" operator="equal">
      <formula>"未完成"</formula>
    </cfRule>
  </conditionalFormatting>
  <conditionalFormatting sqref="AF153">
    <cfRule type="cellIs" dxfId="0" priority="1532" operator="equal">
      <formula>"未完成"</formula>
    </cfRule>
  </conditionalFormatting>
  <conditionalFormatting sqref="AJ153:AK153">
    <cfRule type="cellIs" dxfId="1" priority="5170" operator="equal">
      <formula>"未完成"</formula>
    </cfRule>
    <cfRule type="cellIs" dxfId="0" priority="5184" operator="equal">
      <formula>"未完成"</formula>
    </cfRule>
  </conditionalFormatting>
  <conditionalFormatting sqref="S154">
    <cfRule type="cellIs" dxfId="0" priority="5141" operator="equal">
      <formula>"欠"</formula>
    </cfRule>
  </conditionalFormatting>
  <conditionalFormatting sqref="AE154">
    <cfRule type="cellIs" dxfId="0" priority="5197" operator="equal">
      <formula>"未完成"</formula>
    </cfRule>
  </conditionalFormatting>
  <conditionalFormatting sqref="AF154">
    <cfRule type="cellIs" dxfId="0" priority="1531" operator="equal">
      <formula>"未完成"</formula>
    </cfRule>
  </conditionalFormatting>
  <conditionalFormatting sqref="AJ154:AK154">
    <cfRule type="cellIs" dxfId="1" priority="5169" operator="equal">
      <formula>"未完成"</formula>
    </cfRule>
    <cfRule type="cellIs" dxfId="0" priority="5183" operator="equal">
      <formula>"未完成"</formula>
    </cfRule>
  </conditionalFormatting>
  <conditionalFormatting sqref="S155">
    <cfRule type="cellIs" dxfId="0" priority="5140" operator="equal">
      <formula>"欠"</formula>
    </cfRule>
  </conditionalFormatting>
  <conditionalFormatting sqref="AE155">
    <cfRule type="cellIs" dxfId="0" priority="5196" operator="equal">
      <formula>"未完成"</formula>
    </cfRule>
  </conditionalFormatting>
  <conditionalFormatting sqref="AF155">
    <cfRule type="cellIs" dxfId="0" priority="1530" operator="equal">
      <formula>"未完成"</formula>
    </cfRule>
  </conditionalFormatting>
  <conditionalFormatting sqref="AJ155:AK155">
    <cfRule type="cellIs" dxfId="1" priority="5168" operator="equal">
      <formula>"未完成"</formula>
    </cfRule>
    <cfRule type="cellIs" dxfId="0" priority="5182" operator="equal">
      <formula>"未完成"</formula>
    </cfRule>
  </conditionalFormatting>
  <conditionalFormatting sqref="S156">
    <cfRule type="cellIs" dxfId="0" priority="5139" operator="equal">
      <formula>"欠"</formula>
    </cfRule>
  </conditionalFormatting>
  <conditionalFormatting sqref="AE156">
    <cfRule type="cellIs" dxfId="0" priority="5195" operator="equal">
      <formula>"未完成"</formula>
    </cfRule>
  </conditionalFormatting>
  <conditionalFormatting sqref="AF156">
    <cfRule type="cellIs" dxfId="0" priority="1529" operator="equal">
      <formula>"未完成"</formula>
    </cfRule>
  </conditionalFormatting>
  <conditionalFormatting sqref="AJ156:AK156">
    <cfRule type="cellIs" dxfId="1" priority="5167" operator="equal">
      <formula>"未完成"</formula>
    </cfRule>
    <cfRule type="cellIs" dxfId="0" priority="5181" operator="equal">
      <formula>"未完成"</formula>
    </cfRule>
  </conditionalFormatting>
  <conditionalFormatting sqref="S157">
    <cfRule type="cellIs" dxfId="0" priority="5138" operator="equal">
      <formula>"欠"</formula>
    </cfRule>
  </conditionalFormatting>
  <conditionalFormatting sqref="AE157">
    <cfRule type="cellIs" dxfId="0" priority="5194" operator="equal">
      <formula>"未完成"</formula>
    </cfRule>
  </conditionalFormatting>
  <conditionalFormatting sqref="AF157">
    <cfRule type="cellIs" dxfId="0" priority="1528" operator="equal">
      <formula>"未完成"</formula>
    </cfRule>
  </conditionalFormatting>
  <conditionalFormatting sqref="AJ157:AK157">
    <cfRule type="cellIs" dxfId="1" priority="5166" operator="equal">
      <formula>"未完成"</formula>
    </cfRule>
    <cfRule type="cellIs" dxfId="0" priority="5180" operator="equal">
      <formula>"未完成"</formula>
    </cfRule>
  </conditionalFormatting>
  <conditionalFormatting sqref="S158">
    <cfRule type="cellIs" dxfId="0" priority="5137" operator="equal">
      <formula>"欠"</formula>
    </cfRule>
  </conditionalFormatting>
  <conditionalFormatting sqref="AE158">
    <cfRule type="cellIs" dxfId="0" priority="5193" operator="equal">
      <formula>"未完成"</formula>
    </cfRule>
  </conditionalFormatting>
  <conditionalFormatting sqref="AF158">
    <cfRule type="cellIs" dxfId="0" priority="1527" operator="equal">
      <formula>"未完成"</formula>
    </cfRule>
  </conditionalFormatting>
  <conditionalFormatting sqref="AJ158:AK158">
    <cfRule type="cellIs" dxfId="1" priority="5165" operator="equal">
      <formula>"未完成"</formula>
    </cfRule>
    <cfRule type="cellIs" dxfId="0" priority="5179" operator="equal">
      <formula>"未完成"</formula>
    </cfRule>
  </conditionalFormatting>
  <conditionalFormatting sqref="S159">
    <cfRule type="cellIs" dxfId="0" priority="5136" operator="equal">
      <formula>"欠"</formula>
    </cfRule>
  </conditionalFormatting>
  <conditionalFormatting sqref="AE159">
    <cfRule type="cellIs" dxfId="0" priority="5192" operator="equal">
      <formula>"未完成"</formula>
    </cfRule>
  </conditionalFormatting>
  <conditionalFormatting sqref="AF159">
    <cfRule type="cellIs" dxfId="0" priority="1526" operator="equal">
      <formula>"未完成"</formula>
    </cfRule>
  </conditionalFormatting>
  <conditionalFormatting sqref="AJ159:AK159">
    <cfRule type="cellIs" dxfId="1" priority="5164" operator="equal">
      <formula>"未完成"</formula>
    </cfRule>
    <cfRule type="cellIs" dxfId="0" priority="5178" operator="equal">
      <formula>"未完成"</formula>
    </cfRule>
  </conditionalFormatting>
  <conditionalFormatting sqref="S160">
    <cfRule type="cellIs" dxfId="0" priority="5135" operator="equal">
      <formula>"欠"</formula>
    </cfRule>
  </conditionalFormatting>
  <conditionalFormatting sqref="AE160">
    <cfRule type="cellIs" dxfId="0" priority="5191" operator="equal">
      <formula>"未完成"</formula>
    </cfRule>
  </conditionalFormatting>
  <conditionalFormatting sqref="AF160">
    <cfRule type="cellIs" dxfId="0" priority="1525" operator="equal">
      <formula>"未完成"</formula>
    </cfRule>
  </conditionalFormatting>
  <conditionalFormatting sqref="AJ160:AK160">
    <cfRule type="cellIs" dxfId="1" priority="5163" operator="equal">
      <formula>"未完成"</formula>
    </cfRule>
    <cfRule type="cellIs" dxfId="0" priority="5177" operator="equal">
      <formula>"未完成"</formula>
    </cfRule>
  </conditionalFormatting>
  <conditionalFormatting sqref="S161">
    <cfRule type="cellIs" dxfId="0" priority="5134" operator="equal">
      <formula>"欠"</formula>
    </cfRule>
  </conditionalFormatting>
  <conditionalFormatting sqref="AE161">
    <cfRule type="cellIs" dxfId="0" priority="5190" operator="equal">
      <formula>"未完成"</formula>
    </cfRule>
  </conditionalFormatting>
  <conditionalFormatting sqref="AF161">
    <cfRule type="cellIs" dxfId="0" priority="1524" operator="equal">
      <formula>"未完成"</formula>
    </cfRule>
  </conditionalFormatting>
  <conditionalFormatting sqref="AJ161:AK161">
    <cfRule type="cellIs" dxfId="1" priority="5162" operator="equal">
      <formula>"未完成"</formula>
    </cfRule>
    <cfRule type="cellIs" dxfId="0" priority="5176" operator="equal">
      <formula>"未完成"</formula>
    </cfRule>
  </conditionalFormatting>
  <conditionalFormatting sqref="S162">
    <cfRule type="cellIs" dxfId="0" priority="5125" operator="equal">
      <formula>"欠"</formula>
    </cfRule>
  </conditionalFormatting>
  <conditionalFormatting sqref="AE162">
    <cfRule type="cellIs" dxfId="0" priority="5133" operator="equal">
      <formula>"未完成"</formula>
    </cfRule>
  </conditionalFormatting>
  <conditionalFormatting sqref="AF162">
    <cfRule type="cellIs" dxfId="0" priority="1523" operator="equal">
      <formula>"未完成"</formula>
    </cfRule>
  </conditionalFormatting>
  <conditionalFormatting sqref="AJ162:AK162">
    <cfRule type="cellIs" dxfId="1" priority="5129" operator="equal">
      <formula>"未完成"</formula>
    </cfRule>
    <cfRule type="cellIs" dxfId="0" priority="5131" operator="equal">
      <formula>"未完成"</formula>
    </cfRule>
  </conditionalFormatting>
  <conditionalFormatting sqref="S163">
    <cfRule type="cellIs" dxfId="0" priority="5124" operator="equal">
      <formula>"欠"</formula>
    </cfRule>
  </conditionalFormatting>
  <conditionalFormatting sqref="AE163">
    <cfRule type="cellIs" dxfId="0" priority="5132" operator="equal">
      <formula>"未完成"</formula>
    </cfRule>
  </conditionalFormatting>
  <conditionalFormatting sqref="AF163">
    <cfRule type="cellIs" dxfId="0" priority="1522" operator="equal">
      <formula>"未完成"</formula>
    </cfRule>
  </conditionalFormatting>
  <conditionalFormatting sqref="AJ163:AK163">
    <cfRule type="cellIs" dxfId="1" priority="5128" operator="equal">
      <formula>"未完成"</formula>
    </cfRule>
    <cfRule type="cellIs" dxfId="0" priority="5130" operator="equal">
      <formula>"未完成"</formula>
    </cfRule>
  </conditionalFormatting>
  <conditionalFormatting sqref="S164">
    <cfRule type="cellIs" dxfId="0" priority="5115" operator="equal">
      <formula>"欠"</formula>
    </cfRule>
  </conditionalFormatting>
  <conditionalFormatting sqref="AE164">
    <cfRule type="cellIs" dxfId="0" priority="5123" operator="equal">
      <formula>"未完成"</formula>
    </cfRule>
  </conditionalFormatting>
  <conditionalFormatting sqref="AF164">
    <cfRule type="cellIs" dxfId="0" priority="1521" operator="equal">
      <formula>"未完成"</formula>
    </cfRule>
  </conditionalFormatting>
  <conditionalFormatting sqref="AJ164:AK164">
    <cfRule type="cellIs" dxfId="1" priority="5119" operator="equal">
      <formula>"未完成"</formula>
    </cfRule>
    <cfRule type="cellIs" dxfId="0" priority="5121" operator="equal">
      <formula>"未完成"</formula>
    </cfRule>
  </conditionalFormatting>
  <conditionalFormatting sqref="S165">
    <cfRule type="cellIs" dxfId="0" priority="5114" operator="equal">
      <formula>"欠"</formula>
    </cfRule>
  </conditionalFormatting>
  <conditionalFormatting sqref="AE165">
    <cfRule type="cellIs" dxfId="0" priority="5122" operator="equal">
      <formula>"未完成"</formula>
    </cfRule>
  </conditionalFormatting>
  <conditionalFormatting sqref="AF165">
    <cfRule type="cellIs" dxfId="0" priority="1520" operator="equal">
      <formula>"未完成"</formula>
    </cfRule>
  </conditionalFormatting>
  <conditionalFormatting sqref="AJ165:AK165">
    <cfRule type="cellIs" dxfId="1" priority="5118" operator="equal">
      <formula>"未完成"</formula>
    </cfRule>
    <cfRule type="cellIs" dxfId="0" priority="5120" operator="equal">
      <formula>"未完成"</formula>
    </cfRule>
  </conditionalFormatting>
  <conditionalFormatting sqref="S166">
    <cfRule type="cellIs" dxfId="0" priority="5010" operator="equal">
      <formula>"欠"</formula>
    </cfRule>
  </conditionalFormatting>
  <conditionalFormatting sqref="AE166">
    <cfRule type="cellIs" dxfId="0" priority="5042" operator="equal">
      <formula>"未完成"</formula>
    </cfRule>
  </conditionalFormatting>
  <conditionalFormatting sqref="AF166">
    <cfRule type="cellIs" dxfId="0" priority="1519" operator="equal">
      <formula>"未完成"</formula>
    </cfRule>
  </conditionalFormatting>
  <conditionalFormatting sqref="AJ166:AK166">
    <cfRule type="cellIs" dxfId="1" priority="5026" operator="equal">
      <formula>"未完成"</formula>
    </cfRule>
    <cfRule type="cellIs" dxfId="0" priority="5034" operator="equal">
      <formula>"未完成"</formula>
    </cfRule>
  </conditionalFormatting>
  <conditionalFormatting sqref="S167">
    <cfRule type="cellIs" dxfId="0" priority="5009" operator="equal">
      <formula>"欠"</formula>
    </cfRule>
  </conditionalFormatting>
  <conditionalFormatting sqref="AE167">
    <cfRule type="cellIs" dxfId="0" priority="5041" operator="equal">
      <formula>"未完成"</formula>
    </cfRule>
  </conditionalFormatting>
  <conditionalFormatting sqref="AF167">
    <cfRule type="cellIs" dxfId="0" priority="1518" operator="equal">
      <formula>"未完成"</formula>
    </cfRule>
  </conditionalFormatting>
  <conditionalFormatting sqref="AJ167:AK167">
    <cfRule type="cellIs" dxfId="1" priority="5025" operator="equal">
      <formula>"未完成"</formula>
    </cfRule>
    <cfRule type="cellIs" dxfId="0" priority="5033" operator="equal">
      <formula>"未完成"</formula>
    </cfRule>
  </conditionalFormatting>
  <conditionalFormatting sqref="S168">
    <cfRule type="cellIs" dxfId="0" priority="5008" operator="equal">
      <formula>"欠"</formula>
    </cfRule>
  </conditionalFormatting>
  <conditionalFormatting sqref="AE168">
    <cfRule type="cellIs" dxfId="0" priority="5040" operator="equal">
      <formula>"未完成"</formula>
    </cfRule>
  </conditionalFormatting>
  <conditionalFormatting sqref="AF168">
    <cfRule type="cellIs" dxfId="0" priority="1517" operator="equal">
      <formula>"未完成"</formula>
    </cfRule>
  </conditionalFormatting>
  <conditionalFormatting sqref="AJ168:AK168">
    <cfRule type="cellIs" dxfId="1" priority="5024" operator="equal">
      <formula>"未完成"</formula>
    </cfRule>
    <cfRule type="cellIs" dxfId="0" priority="5032" operator="equal">
      <formula>"未完成"</formula>
    </cfRule>
  </conditionalFormatting>
  <conditionalFormatting sqref="S169">
    <cfRule type="cellIs" dxfId="0" priority="5007" operator="equal">
      <formula>"欠"</formula>
    </cfRule>
  </conditionalFormatting>
  <conditionalFormatting sqref="AE169">
    <cfRule type="cellIs" dxfId="0" priority="5039" operator="equal">
      <formula>"未完成"</formula>
    </cfRule>
  </conditionalFormatting>
  <conditionalFormatting sqref="AF169">
    <cfRule type="cellIs" dxfId="0" priority="1516" operator="equal">
      <formula>"未完成"</formula>
    </cfRule>
  </conditionalFormatting>
  <conditionalFormatting sqref="AJ169:AK169">
    <cfRule type="cellIs" dxfId="1" priority="5023" operator="equal">
      <formula>"未完成"</formula>
    </cfRule>
    <cfRule type="cellIs" dxfId="0" priority="5031" operator="equal">
      <formula>"未完成"</formula>
    </cfRule>
  </conditionalFormatting>
  <conditionalFormatting sqref="S170">
    <cfRule type="cellIs" dxfId="0" priority="5006" operator="equal">
      <formula>"欠"</formula>
    </cfRule>
  </conditionalFormatting>
  <conditionalFormatting sqref="AE170">
    <cfRule type="cellIs" dxfId="0" priority="5038" operator="equal">
      <formula>"未完成"</formula>
    </cfRule>
  </conditionalFormatting>
  <conditionalFormatting sqref="AF170">
    <cfRule type="cellIs" dxfId="0" priority="1515" operator="equal">
      <formula>"未完成"</formula>
    </cfRule>
  </conditionalFormatting>
  <conditionalFormatting sqref="AJ170:AK170">
    <cfRule type="cellIs" dxfId="1" priority="5022" operator="equal">
      <formula>"未完成"</formula>
    </cfRule>
    <cfRule type="cellIs" dxfId="0" priority="5030" operator="equal">
      <formula>"未完成"</formula>
    </cfRule>
  </conditionalFormatting>
  <conditionalFormatting sqref="S171">
    <cfRule type="cellIs" dxfId="0" priority="5005" operator="equal">
      <formula>"欠"</formula>
    </cfRule>
  </conditionalFormatting>
  <conditionalFormatting sqref="AE171">
    <cfRule type="cellIs" dxfId="0" priority="5037" operator="equal">
      <formula>"未完成"</formula>
    </cfRule>
  </conditionalFormatting>
  <conditionalFormatting sqref="AF171">
    <cfRule type="cellIs" dxfId="0" priority="1514" operator="equal">
      <formula>"未完成"</formula>
    </cfRule>
  </conditionalFormatting>
  <conditionalFormatting sqref="AJ171:AK171">
    <cfRule type="cellIs" dxfId="1" priority="5021" operator="equal">
      <formula>"未完成"</formula>
    </cfRule>
    <cfRule type="cellIs" dxfId="0" priority="5029" operator="equal">
      <formula>"未完成"</formula>
    </cfRule>
  </conditionalFormatting>
  <conditionalFormatting sqref="S172">
    <cfRule type="cellIs" dxfId="0" priority="5004" operator="equal">
      <formula>"欠"</formula>
    </cfRule>
  </conditionalFormatting>
  <conditionalFormatting sqref="AE172">
    <cfRule type="cellIs" dxfId="0" priority="5036" operator="equal">
      <formula>"未完成"</formula>
    </cfRule>
  </conditionalFormatting>
  <conditionalFormatting sqref="AF172">
    <cfRule type="cellIs" dxfId="0" priority="1513" operator="equal">
      <formula>"未完成"</formula>
    </cfRule>
  </conditionalFormatting>
  <conditionalFormatting sqref="AJ172:AK172">
    <cfRule type="cellIs" dxfId="1" priority="5020" operator="equal">
      <formula>"未完成"</formula>
    </cfRule>
    <cfRule type="cellIs" dxfId="0" priority="5028" operator="equal">
      <formula>"未完成"</formula>
    </cfRule>
  </conditionalFormatting>
  <conditionalFormatting sqref="S173">
    <cfRule type="cellIs" dxfId="0" priority="5003" operator="equal">
      <formula>"欠"</formula>
    </cfRule>
  </conditionalFormatting>
  <conditionalFormatting sqref="AE173">
    <cfRule type="cellIs" dxfId="0" priority="5035" operator="equal">
      <formula>"未完成"</formula>
    </cfRule>
  </conditionalFormatting>
  <conditionalFormatting sqref="AF173">
    <cfRule type="cellIs" dxfId="0" priority="1512" operator="equal">
      <formula>"未完成"</formula>
    </cfRule>
  </conditionalFormatting>
  <conditionalFormatting sqref="AJ173:AK173">
    <cfRule type="cellIs" dxfId="1" priority="5019" operator="equal">
      <formula>"未完成"</formula>
    </cfRule>
    <cfRule type="cellIs" dxfId="0" priority="5027" operator="equal">
      <formula>"未完成"</formula>
    </cfRule>
  </conditionalFormatting>
  <conditionalFormatting sqref="S174">
    <cfRule type="cellIs" dxfId="0" priority="4833" operator="equal">
      <formula>"欠"</formula>
    </cfRule>
  </conditionalFormatting>
  <conditionalFormatting sqref="AE174">
    <cfRule type="cellIs" dxfId="0" priority="4941" operator="equal">
      <formula>"未完成"</formula>
    </cfRule>
  </conditionalFormatting>
  <conditionalFormatting sqref="AF174">
    <cfRule type="cellIs" dxfId="0" priority="1507" operator="equal">
      <formula>"未完成"</formula>
    </cfRule>
  </conditionalFormatting>
  <conditionalFormatting sqref="AJ174:AK174">
    <cfRule type="cellIs" dxfId="1" priority="4887" operator="equal">
      <formula>"未完成"</formula>
    </cfRule>
    <cfRule type="cellIs" dxfId="0" priority="4914" operator="equal">
      <formula>"未完成"</formula>
    </cfRule>
  </conditionalFormatting>
  <conditionalFormatting sqref="S175">
    <cfRule type="cellIs" dxfId="0" priority="4832" operator="equal">
      <formula>"欠"</formula>
    </cfRule>
  </conditionalFormatting>
  <conditionalFormatting sqref="AE175">
    <cfRule type="cellIs" dxfId="0" priority="4940" operator="equal">
      <formula>"未完成"</formula>
    </cfRule>
  </conditionalFormatting>
  <conditionalFormatting sqref="AF175">
    <cfRule type="cellIs" dxfId="0" priority="1506" operator="equal">
      <formula>"未完成"</formula>
    </cfRule>
  </conditionalFormatting>
  <conditionalFormatting sqref="AJ175:AK175">
    <cfRule type="cellIs" dxfId="1" priority="4886" operator="equal">
      <formula>"未完成"</formula>
    </cfRule>
    <cfRule type="cellIs" dxfId="0" priority="4913" operator="equal">
      <formula>"未完成"</formula>
    </cfRule>
  </conditionalFormatting>
  <conditionalFormatting sqref="S176">
    <cfRule type="cellIs" dxfId="0" priority="4831" operator="equal">
      <formula>"欠"</formula>
    </cfRule>
  </conditionalFormatting>
  <conditionalFormatting sqref="AJ176:AK176">
    <cfRule type="cellIs" dxfId="1" priority="4885" operator="equal">
      <formula>"未完成"</formula>
    </cfRule>
    <cfRule type="cellIs" dxfId="0" priority="4912" operator="equal">
      <formula>"未完成"</formula>
    </cfRule>
  </conditionalFormatting>
  <conditionalFormatting sqref="S177">
    <cfRule type="cellIs" dxfId="0" priority="4830" operator="equal">
      <formula>"欠"</formula>
    </cfRule>
  </conditionalFormatting>
  <conditionalFormatting sqref="AJ177:AK177">
    <cfRule type="cellIs" dxfId="1" priority="4884" operator="equal">
      <formula>"未完成"</formula>
    </cfRule>
    <cfRule type="cellIs" dxfId="0" priority="4911" operator="equal">
      <formula>"未完成"</formula>
    </cfRule>
  </conditionalFormatting>
  <conditionalFormatting sqref="S178">
    <cfRule type="cellIs" dxfId="0" priority="4829" operator="equal">
      <formula>"欠"</formula>
    </cfRule>
  </conditionalFormatting>
  <conditionalFormatting sqref="AJ178:AK178">
    <cfRule type="cellIs" dxfId="1" priority="4883" operator="equal">
      <formula>"未完成"</formula>
    </cfRule>
    <cfRule type="cellIs" dxfId="0" priority="4910" operator="equal">
      <formula>"未完成"</formula>
    </cfRule>
  </conditionalFormatting>
  <conditionalFormatting sqref="S179">
    <cfRule type="cellIs" dxfId="0" priority="4828" operator="equal">
      <formula>"欠"</formula>
    </cfRule>
  </conditionalFormatting>
  <conditionalFormatting sqref="AJ179:AK179">
    <cfRule type="cellIs" dxfId="1" priority="4882" operator="equal">
      <formula>"未完成"</formula>
    </cfRule>
    <cfRule type="cellIs" dxfId="0" priority="4909" operator="equal">
      <formula>"未完成"</formula>
    </cfRule>
  </conditionalFormatting>
  <conditionalFormatting sqref="S180">
    <cfRule type="cellIs" dxfId="0" priority="4827" operator="equal">
      <formula>"欠"</formula>
    </cfRule>
  </conditionalFormatting>
  <conditionalFormatting sqref="AJ180:AK180">
    <cfRule type="cellIs" dxfId="1" priority="4881" operator="equal">
      <formula>"未完成"</formula>
    </cfRule>
    <cfRule type="cellIs" dxfId="0" priority="4908" operator="equal">
      <formula>"未完成"</formula>
    </cfRule>
  </conditionalFormatting>
  <conditionalFormatting sqref="S181">
    <cfRule type="cellIs" dxfId="0" priority="4826" operator="equal">
      <formula>"欠"</formula>
    </cfRule>
  </conditionalFormatting>
  <conditionalFormatting sqref="AJ181:AK181">
    <cfRule type="cellIs" dxfId="1" priority="4880" operator="equal">
      <formula>"未完成"</formula>
    </cfRule>
    <cfRule type="cellIs" dxfId="0" priority="4907" operator="equal">
      <formula>"未完成"</formula>
    </cfRule>
  </conditionalFormatting>
  <conditionalFormatting sqref="S182">
    <cfRule type="cellIs" dxfId="0" priority="4825" operator="equal">
      <formula>"欠"</formula>
    </cfRule>
  </conditionalFormatting>
  <conditionalFormatting sqref="AJ182:AK182">
    <cfRule type="cellIs" dxfId="1" priority="4879" operator="equal">
      <formula>"未完成"</formula>
    </cfRule>
    <cfRule type="cellIs" dxfId="0" priority="4906" operator="equal">
      <formula>"未完成"</formula>
    </cfRule>
  </conditionalFormatting>
  <conditionalFormatting sqref="S183">
    <cfRule type="cellIs" dxfId="0" priority="4824" operator="equal">
      <formula>"欠"</formula>
    </cfRule>
  </conditionalFormatting>
  <conditionalFormatting sqref="AJ183:AK183">
    <cfRule type="cellIs" dxfId="1" priority="4878" operator="equal">
      <formula>"未完成"</formula>
    </cfRule>
    <cfRule type="cellIs" dxfId="0" priority="4905" operator="equal">
      <formula>"未完成"</formula>
    </cfRule>
  </conditionalFormatting>
  <conditionalFormatting sqref="S184">
    <cfRule type="cellIs" dxfId="0" priority="4823" operator="equal">
      <formula>"欠"</formula>
    </cfRule>
  </conditionalFormatting>
  <conditionalFormatting sqref="AJ184:AK184">
    <cfRule type="cellIs" dxfId="1" priority="4877" operator="equal">
      <formula>"未完成"</formula>
    </cfRule>
    <cfRule type="cellIs" dxfId="0" priority="4904" operator="equal">
      <formula>"未完成"</formula>
    </cfRule>
  </conditionalFormatting>
  <conditionalFormatting sqref="S185">
    <cfRule type="cellIs" dxfId="0" priority="4822" operator="equal">
      <formula>"欠"</formula>
    </cfRule>
  </conditionalFormatting>
  <conditionalFormatting sqref="AJ185:AK185">
    <cfRule type="cellIs" dxfId="1" priority="4876" operator="equal">
      <formula>"未完成"</formula>
    </cfRule>
    <cfRule type="cellIs" dxfId="0" priority="4903" operator="equal">
      <formula>"未完成"</formula>
    </cfRule>
  </conditionalFormatting>
  <conditionalFormatting sqref="S186">
    <cfRule type="cellIs" dxfId="0" priority="4821" operator="equal">
      <formula>"欠"</formula>
    </cfRule>
  </conditionalFormatting>
  <conditionalFormatting sqref="AJ186:AK186">
    <cfRule type="cellIs" dxfId="1" priority="4875" operator="equal">
      <formula>"未完成"</formula>
    </cfRule>
    <cfRule type="cellIs" dxfId="0" priority="4902" operator="equal">
      <formula>"未完成"</formula>
    </cfRule>
  </conditionalFormatting>
  <conditionalFormatting sqref="S187">
    <cfRule type="cellIs" dxfId="0" priority="4820" operator="equal">
      <formula>"欠"</formula>
    </cfRule>
  </conditionalFormatting>
  <conditionalFormatting sqref="AJ187:AK187">
    <cfRule type="cellIs" dxfId="1" priority="4874" operator="equal">
      <formula>"未完成"</formula>
    </cfRule>
    <cfRule type="cellIs" dxfId="0" priority="4901" operator="equal">
      <formula>"未完成"</formula>
    </cfRule>
  </conditionalFormatting>
  <conditionalFormatting sqref="S188">
    <cfRule type="cellIs" dxfId="0" priority="4819" operator="equal">
      <formula>"欠"</formula>
    </cfRule>
  </conditionalFormatting>
  <conditionalFormatting sqref="AJ188:AK188">
    <cfRule type="cellIs" dxfId="1" priority="4873" operator="equal">
      <formula>"未完成"</formula>
    </cfRule>
    <cfRule type="cellIs" dxfId="0" priority="4900" operator="equal">
      <formula>"未完成"</formula>
    </cfRule>
  </conditionalFormatting>
  <conditionalFormatting sqref="S189">
    <cfRule type="cellIs" dxfId="0" priority="4818" operator="equal">
      <formula>"欠"</formula>
    </cfRule>
  </conditionalFormatting>
  <conditionalFormatting sqref="AJ189:AK189">
    <cfRule type="cellIs" dxfId="1" priority="4872" operator="equal">
      <formula>"未完成"</formula>
    </cfRule>
    <cfRule type="cellIs" dxfId="0" priority="4899" operator="equal">
      <formula>"未完成"</formula>
    </cfRule>
  </conditionalFormatting>
  <conditionalFormatting sqref="S190">
    <cfRule type="cellIs" dxfId="0" priority="4817" operator="equal">
      <formula>"欠"</formula>
    </cfRule>
  </conditionalFormatting>
  <conditionalFormatting sqref="AJ190:AK190">
    <cfRule type="cellIs" dxfId="1" priority="4871" operator="equal">
      <formula>"未完成"</formula>
    </cfRule>
    <cfRule type="cellIs" dxfId="0" priority="4898" operator="equal">
      <formula>"未完成"</formula>
    </cfRule>
  </conditionalFormatting>
  <conditionalFormatting sqref="S191">
    <cfRule type="cellIs" dxfId="0" priority="4816" operator="equal">
      <formula>"欠"</formula>
    </cfRule>
  </conditionalFormatting>
  <conditionalFormatting sqref="AJ191:AK191">
    <cfRule type="cellIs" dxfId="1" priority="4870" operator="equal">
      <formula>"未完成"</formula>
    </cfRule>
    <cfRule type="cellIs" dxfId="0" priority="4897" operator="equal">
      <formula>"未完成"</formula>
    </cfRule>
  </conditionalFormatting>
  <conditionalFormatting sqref="S192">
    <cfRule type="cellIs" dxfId="0" priority="4815" operator="equal">
      <formula>"欠"</formula>
    </cfRule>
  </conditionalFormatting>
  <conditionalFormatting sqref="AJ192:AK192">
    <cfRule type="cellIs" dxfId="1" priority="4869" operator="equal">
      <formula>"未完成"</formula>
    </cfRule>
    <cfRule type="cellIs" dxfId="0" priority="4896" operator="equal">
      <formula>"未完成"</formula>
    </cfRule>
  </conditionalFormatting>
  <conditionalFormatting sqref="S193">
    <cfRule type="cellIs" dxfId="0" priority="4814" operator="equal">
      <formula>"欠"</formula>
    </cfRule>
  </conditionalFormatting>
  <conditionalFormatting sqref="AJ193:AK193">
    <cfRule type="cellIs" dxfId="1" priority="4868" operator="equal">
      <formula>"未完成"</formula>
    </cfRule>
    <cfRule type="cellIs" dxfId="0" priority="4895" operator="equal">
      <formula>"未完成"</formula>
    </cfRule>
  </conditionalFormatting>
  <conditionalFormatting sqref="S194">
    <cfRule type="cellIs" dxfId="0" priority="4813" operator="equal">
      <formula>"欠"</formula>
    </cfRule>
  </conditionalFormatting>
  <conditionalFormatting sqref="AJ194:AK194">
    <cfRule type="cellIs" dxfId="1" priority="4867" operator="equal">
      <formula>"未完成"</formula>
    </cfRule>
    <cfRule type="cellIs" dxfId="0" priority="4894" operator="equal">
      <formula>"未完成"</formula>
    </cfRule>
  </conditionalFormatting>
  <conditionalFormatting sqref="S195">
    <cfRule type="cellIs" dxfId="0" priority="4812" operator="equal">
      <formula>"欠"</formula>
    </cfRule>
  </conditionalFormatting>
  <conditionalFormatting sqref="AJ195:AK195">
    <cfRule type="cellIs" dxfId="1" priority="4866" operator="equal">
      <formula>"未完成"</formula>
    </cfRule>
    <cfRule type="cellIs" dxfId="0" priority="4893" operator="equal">
      <formula>"未完成"</formula>
    </cfRule>
  </conditionalFormatting>
  <conditionalFormatting sqref="S196">
    <cfRule type="cellIs" dxfId="0" priority="4811" operator="equal">
      <formula>"欠"</formula>
    </cfRule>
  </conditionalFormatting>
  <conditionalFormatting sqref="AJ196:AK196">
    <cfRule type="cellIs" dxfId="1" priority="4865" operator="equal">
      <formula>"未完成"</formula>
    </cfRule>
    <cfRule type="cellIs" dxfId="0" priority="4892" operator="equal">
      <formula>"未完成"</formula>
    </cfRule>
  </conditionalFormatting>
  <conditionalFormatting sqref="S197">
    <cfRule type="cellIs" dxfId="0" priority="4810" operator="equal">
      <formula>"欠"</formula>
    </cfRule>
  </conditionalFormatting>
  <conditionalFormatting sqref="AJ197:AK197">
    <cfRule type="cellIs" dxfId="1" priority="4864" operator="equal">
      <formula>"未完成"</formula>
    </cfRule>
    <cfRule type="cellIs" dxfId="0" priority="4891" operator="equal">
      <formula>"未完成"</formula>
    </cfRule>
  </conditionalFormatting>
  <conditionalFormatting sqref="S198">
    <cfRule type="cellIs" dxfId="0" priority="4809" operator="equal">
      <formula>"欠"</formula>
    </cfRule>
  </conditionalFormatting>
  <conditionalFormatting sqref="AJ198:AK198">
    <cfRule type="cellIs" dxfId="1" priority="4863" operator="equal">
      <formula>"未完成"</formula>
    </cfRule>
    <cfRule type="cellIs" dxfId="0" priority="4890" operator="equal">
      <formula>"未完成"</formula>
    </cfRule>
  </conditionalFormatting>
  <conditionalFormatting sqref="S199">
    <cfRule type="cellIs" dxfId="0" priority="4808" operator="equal">
      <formula>"欠"</formula>
    </cfRule>
  </conditionalFormatting>
  <conditionalFormatting sqref="AJ199:AK199">
    <cfRule type="cellIs" dxfId="1" priority="4862" operator="equal">
      <formula>"未完成"</formula>
    </cfRule>
    <cfRule type="cellIs" dxfId="0" priority="4889" operator="equal">
      <formula>"未完成"</formula>
    </cfRule>
  </conditionalFormatting>
  <conditionalFormatting sqref="S200">
    <cfRule type="cellIs" dxfId="0" priority="4807" operator="equal">
      <formula>"欠"</formula>
    </cfRule>
  </conditionalFormatting>
  <conditionalFormatting sqref="AJ200:AK200">
    <cfRule type="cellIs" dxfId="1" priority="4861" operator="equal">
      <formula>"未完成"</formula>
    </cfRule>
    <cfRule type="cellIs" dxfId="0" priority="4888" operator="equal">
      <formula>"未完成"</formula>
    </cfRule>
  </conditionalFormatting>
  <conditionalFormatting sqref="S201">
    <cfRule type="cellIs" dxfId="0" priority="4802" operator="equal">
      <formula>"欠"</formula>
    </cfRule>
  </conditionalFormatting>
  <conditionalFormatting sqref="AJ201:AK201">
    <cfRule type="cellIs" dxfId="1" priority="4804" operator="equal">
      <formula>"未完成"</formula>
    </cfRule>
    <cfRule type="cellIs" dxfId="0" priority="4805" operator="equal">
      <formula>"未完成"</formula>
    </cfRule>
  </conditionalFormatting>
  <conditionalFormatting sqref="S202">
    <cfRule type="cellIs" dxfId="0" priority="4725" operator="equal">
      <formula>"欠"</formula>
    </cfRule>
  </conditionalFormatting>
  <conditionalFormatting sqref="AE202">
    <cfRule type="cellIs" dxfId="0" priority="4789" operator="equal">
      <formula>"未完成"</formula>
    </cfRule>
  </conditionalFormatting>
  <conditionalFormatting sqref="AF202">
    <cfRule type="cellIs" dxfId="0" priority="1503" operator="equal">
      <formula>"未完成"</formula>
    </cfRule>
  </conditionalFormatting>
  <conditionalFormatting sqref="AJ202:AK202">
    <cfRule type="cellIs" dxfId="1" priority="4757" operator="equal">
      <formula>"未完成"</formula>
    </cfRule>
    <cfRule type="cellIs" dxfId="0" priority="4773" operator="equal">
      <formula>"未完成"</formula>
    </cfRule>
  </conditionalFormatting>
  <conditionalFormatting sqref="S203">
    <cfRule type="cellIs" dxfId="0" priority="4724" operator="equal">
      <formula>"欠"</formula>
    </cfRule>
  </conditionalFormatting>
  <conditionalFormatting sqref="AE203">
    <cfRule type="cellIs" dxfId="0" priority="4788" operator="equal">
      <formula>"未完成"</formula>
    </cfRule>
  </conditionalFormatting>
  <conditionalFormatting sqref="AF203">
    <cfRule type="cellIs" dxfId="0" priority="1502" operator="equal">
      <formula>"未完成"</formula>
    </cfRule>
  </conditionalFormatting>
  <conditionalFormatting sqref="AJ203:AK203">
    <cfRule type="cellIs" dxfId="1" priority="4756" operator="equal">
      <formula>"未完成"</formula>
    </cfRule>
    <cfRule type="cellIs" dxfId="0" priority="4772" operator="equal">
      <formula>"未完成"</formula>
    </cfRule>
  </conditionalFormatting>
  <conditionalFormatting sqref="S204">
    <cfRule type="cellIs" dxfId="0" priority="4723" operator="equal">
      <formula>"欠"</formula>
    </cfRule>
  </conditionalFormatting>
  <conditionalFormatting sqref="AJ204:AK204">
    <cfRule type="cellIs" dxfId="1" priority="4755" operator="equal">
      <formula>"未完成"</formula>
    </cfRule>
    <cfRule type="cellIs" dxfId="0" priority="4771" operator="equal">
      <formula>"未完成"</formula>
    </cfRule>
  </conditionalFormatting>
  <conditionalFormatting sqref="S205">
    <cfRule type="cellIs" dxfId="0" priority="4722" operator="equal">
      <formula>"欠"</formula>
    </cfRule>
  </conditionalFormatting>
  <conditionalFormatting sqref="AJ205:AK205">
    <cfRule type="cellIs" dxfId="1" priority="4754" operator="equal">
      <formula>"未完成"</formula>
    </cfRule>
    <cfRule type="cellIs" dxfId="0" priority="4770" operator="equal">
      <formula>"未完成"</formula>
    </cfRule>
  </conditionalFormatting>
  <conditionalFormatting sqref="S206">
    <cfRule type="cellIs" dxfId="0" priority="4721" operator="equal">
      <formula>"欠"</formula>
    </cfRule>
  </conditionalFormatting>
  <conditionalFormatting sqref="AJ206:AK206">
    <cfRule type="cellIs" dxfId="1" priority="4753" operator="equal">
      <formula>"未完成"</formula>
    </cfRule>
    <cfRule type="cellIs" dxfId="0" priority="4769" operator="equal">
      <formula>"未完成"</formula>
    </cfRule>
  </conditionalFormatting>
  <conditionalFormatting sqref="S207">
    <cfRule type="cellIs" dxfId="0" priority="4720" operator="equal">
      <formula>"欠"</formula>
    </cfRule>
  </conditionalFormatting>
  <conditionalFormatting sqref="AJ207:AK207">
    <cfRule type="cellIs" dxfId="1" priority="4752" operator="equal">
      <formula>"未完成"</formula>
    </cfRule>
    <cfRule type="cellIs" dxfId="0" priority="4768" operator="equal">
      <formula>"未完成"</formula>
    </cfRule>
  </conditionalFormatting>
  <conditionalFormatting sqref="S208">
    <cfRule type="cellIs" dxfId="0" priority="4719" operator="equal">
      <formula>"欠"</formula>
    </cfRule>
  </conditionalFormatting>
  <conditionalFormatting sqref="AJ208:AK208">
    <cfRule type="cellIs" dxfId="1" priority="4751" operator="equal">
      <formula>"未完成"</formula>
    </cfRule>
    <cfRule type="cellIs" dxfId="0" priority="4767" operator="equal">
      <formula>"未完成"</formula>
    </cfRule>
  </conditionalFormatting>
  <conditionalFormatting sqref="S209">
    <cfRule type="cellIs" dxfId="0" priority="4718" operator="equal">
      <formula>"欠"</formula>
    </cfRule>
  </conditionalFormatting>
  <conditionalFormatting sqref="AJ209:AK209">
    <cfRule type="cellIs" dxfId="1" priority="4750" operator="equal">
      <formula>"未完成"</formula>
    </cfRule>
    <cfRule type="cellIs" dxfId="0" priority="4766" operator="equal">
      <formula>"未完成"</formula>
    </cfRule>
  </conditionalFormatting>
  <conditionalFormatting sqref="S210">
    <cfRule type="cellIs" dxfId="0" priority="4717" operator="equal">
      <formula>"欠"</formula>
    </cfRule>
  </conditionalFormatting>
  <conditionalFormatting sqref="AJ210:AK210">
    <cfRule type="cellIs" dxfId="1" priority="4749" operator="equal">
      <formula>"未完成"</formula>
    </cfRule>
    <cfRule type="cellIs" dxfId="0" priority="4765" operator="equal">
      <formula>"未完成"</formula>
    </cfRule>
  </conditionalFormatting>
  <conditionalFormatting sqref="S211">
    <cfRule type="cellIs" dxfId="0" priority="4716" operator="equal">
      <formula>"欠"</formula>
    </cfRule>
  </conditionalFormatting>
  <conditionalFormatting sqref="AJ211:AK211">
    <cfRule type="cellIs" dxfId="1" priority="4748" operator="equal">
      <formula>"未完成"</formula>
    </cfRule>
    <cfRule type="cellIs" dxfId="0" priority="4764" operator="equal">
      <formula>"未完成"</formula>
    </cfRule>
  </conditionalFormatting>
  <conditionalFormatting sqref="S212">
    <cfRule type="cellIs" dxfId="0" priority="4715" operator="equal">
      <formula>"欠"</formula>
    </cfRule>
  </conditionalFormatting>
  <conditionalFormatting sqref="AJ212:AK212">
    <cfRule type="cellIs" dxfId="1" priority="4747" operator="equal">
      <formula>"未完成"</formula>
    </cfRule>
    <cfRule type="cellIs" dxfId="0" priority="4763" operator="equal">
      <formula>"未完成"</formula>
    </cfRule>
  </conditionalFormatting>
  <conditionalFormatting sqref="S213">
    <cfRule type="cellIs" dxfId="0" priority="4714" operator="equal">
      <formula>"欠"</formula>
    </cfRule>
  </conditionalFormatting>
  <conditionalFormatting sqref="AJ213:AK213">
    <cfRule type="cellIs" dxfId="1" priority="4746" operator="equal">
      <formula>"未完成"</formula>
    </cfRule>
    <cfRule type="cellIs" dxfId="0" priority="4762" operator="equal">
      <formula>"未完成"</formula>
    </cfRule>
  </conditionalFormatting>
  <conditionalFormatting sqref="S214">
    <cfRule type="cellIs" dxfId="0" priority="4713" operator="equal">
      <formula>"欠"</formula>
    </cfRule>
  </conditionalFormatting>
  <conditionalFormatting sqref="AJ214:AK214">
    <cfRule type="cellIs" dxfId="1" priority="4745" operator="equal">
      <formula>"未完成"</formula>
    </cfRule>
    <cfRule type="cellIs" dxfId="0" priority="4761" operator="equal">
      <formula>"未完成"</formula>
    </cfRule>
  </conditionalFormatting>
  <conditionalFormatting sqref="S215">
    <cfRule type="cellIs" dxfId="0" priority="4712" operator="equal">
      <formula>"欠"</formula>
    </cfRule>
  </conditionalFormatting>
  <conditionalFormatting sqref="AJ215:AK215">
    <cfRule type="cellIs" dxfId="1" priority="4744" operator="equal">
      <formula>"未完成"</formula>
    </cfRule>
    <cfRule type="cellIs" dxfId="0" priority="4760" operator="equal">
      <formula>"未完成"</formula>
    </cfRule>
  </conditionalFormatting>
  <conditionalFormatting sqref="S216">
    <cfRule type="cellIs" dxfId="0" priority="4711" operator="equal">
      <formula>"欠"</formula>
    </cfRule>
  </conditionalFormatting>
  <conditionalFormatting sqref="AJ216:AK216">
    <cfRule type="cellIs" dxfId="1" priority="4743" operator="equal">
      <formula>"未完成"</formula>
    </cfRule>
    <cfRule type="cellIs" dxfId="0" priority="4759" operator="equal">
      <formula>"未完成"</formula>
    </cfRule>
  </conditionalFormatting>
  <conditionalFormatting sqref="S217">
    <cfRule type="cellIs" dxfId="0" priority="4710" operator="equal">
      <formula>"欠"</formula>
    </cfRule>
  </conditionalFormatting>
  <conditionalFormatting sqref="AJ217:AK217">
    <cfRule type="cellIs" dxfId="1" priority="4742" operator="equal">
      <formula>"未完成"</formula>
    </cfRule>
    <cfRule type="cellIs" dxfId="0" priority="4758" operator="equal">
      <formula>"未完成"</formula>
    </cfRule>
  </conditionalFormatting>
  <conditionalFormatting sqref="S218">
    <cfRule type="cellIs" dxfId="0" priority="4689" operator="equal">
      <formula>"欠"</formula>
    </cfRule>
  </conditionalFormatting>
  <conditionalFormatting sqref="AJ218:AK218">
    <cfRule type="cellIs" dxfId="1" priority="4699" operator="equal">
      <formula>"未完成"</formula>
    </cfRule>
    <cfRule type="cellIs" dxfId="0" priority="4704" operator="equal">
      <formula>"未完成"</formula>
    </cfRule>
  </conditionalFormatting>
  <conditionalFormatting sqref="S219">
    <cfRule type="cellIs" dxfId="0" priority="4688" operator="equal">
      <formula>"欠"</formula>
    </cfRule>
  </conditionalFormatting>
  <conditionalFormatting sqref="AJ219:AK219">
    <cfRule type="cellIs" dxfId="1" priority="4698" operator="equal">
      <formula>"未完成"</formula>
    </cfRule>
    <cfRule type="cellIs" dxfId="0" priority="4703" operator="equal">
      <formula>"未完成"</formula>
    </cfRule>
  </conditionalFormatting>
  <conditionalFormatting sqref="S220">
    <cfRule type="cellIs" dxfId="0" priority="4687" operator="equal">
      <formula>"欠"</formula>
    </cfRule>
  </conditionalFormatting>
  <conditionalFormatting sqref="AJ220:AK220">
    <cfRule type="cellIs" dxfId="1" priority="4697" operator="equal">
      <formula>"未完成"</formula>
    </cfRule>
    <cfRule type="cellIs" dxfId="0" priority="4702" operator="equal">
      <formula>"未完成"</formula>
    </cfRule>
  </conditionalFormatting>
  <conditionalFormatting sqref="S221">
    <cfRule type="cellIs" dxfId="0" priority="4686" operator="equal">
      <formula>"欠"</formula>
    </cfRule>
  </conditionalFormatting>
  <conditionalFormatting sqref="AJ221:AK221">
    <cfRule type="cellIs" dxfId="1" priority="4696" operator="equal">
      <formula>"未完成"</formula>
    </cfRule>
    <cfRule type="cellIs" dxfId="0" priority="4701" operator="equal">
      <formula>"未完成"</formula>
    </cfRule>
  </conditionalFormatting>
  <conditionalFormatting sqref="S222">
    <cfRule type="cellIs" dxfId="0" priority="4685" operator="equal">
      <formula>"欠"</formula>
    </cfRule>
  </conditionalFormatting>
  <conditionalFormatting sqref="AJ222:AK222">
    <cfRule type="cellIs" dxfId="1" priority="4695" operator="equal">
      <formula>"未完成"</formula>
    </cfRule>
    <cfRule type="cellIs" dxfId="0" priority="4700" operator="equal">
      <formula>"未完成"</formula>
    </cfRule>
  </conditionalFormatting>
  <conditionalFormatting sqref="S223">
    <cfRule type="cellIs" dxfId="0" priority="4680" operator="equal">
      <formula>"欠"</formula>
    </cfRule>
  </conditionalFormatting>
  <conditionalFormatting sqref="AJ223:AK223">
    <cfRule type="cellIs" dxfId="1" priority="4682" operator="equal">
      <formula>"未完成"</formula>
    </cfRule>
    <cfRule type="cellIs" dxfId="0" priority="4683" operator="equal">
      <formula>"未完成"</formula>
    </cfRule>
  </conditionalFormatting>
  <conditionalFormatting sqref="S224">
    <cfRule type="cellIs" dxfId="0" priority="4652" operator="equal">
      <formula>"欠"</formula>
    </cfRule>
  </conditionalFormatting>
  <conditionalFormatting sqref="T224">
    <cfRule type="containsText" dxfId="3" priority="4646" operator="between" text="欠">
      <formula>NOT(ISERROR(SEARCH("欠",T224)))</formula>
    </cfRule>
  </conditionalFormatting>
  <conditionalFormatting sqref="AJ224:AK224">
    <cfRule type="cellIs" dxfId="1" priority="4664" operator="equal">
      <formula>"未完成"</formula>
    </cfRule>
    <cfRule type="cellIs" dxfId="0" priority="4670" operator="equal">
      <formula>"未完成"</formula>
    </cfRule>
  </conditionalFormatting>
  <conditionalFormatting sqref="S225">
    <cfRule type="cellIs" dxfId="0" priority="4651" operator="equal">
      <formula>"欠"</formula>
    </cfRule>
  </conditionalFormatting>
  <conditionalFormatting sqref="T225">
    <cfRule type="containsText" dxfId="3" priority="4645" operator="between" text="欠">
      <formula>NOT(ISERROR(SEARCH("欠",T225)))</formula>
    </cfRule>
  </conditionalFormatting>
  <conditionalFormatting sqref="AJ225:AK225">
    <cfRule type="cellIs" dxfId="1" priority="4663" operator="equal">
      <formula>"未完成"</formula>
    </cfRule>
    <cfRule type="cellIs" dxfId="0" priority="4669" operator="equal">
      <formula>"未完成"</formula>
    </cfRule>
  </conditionalFormatting>
  <conditionalFormatting sqref="S226">
    <cfRule type="cellIs" dxfId="0" priority="4650" operator="equal">
      <formula>"欠"</formula>
    </cfRule>
  </conditionalFormatting>
  <conditionalFormatting sqref="T226">
    <cfRule type="containsText" dxfId="3" priority="4644" operator="between" text="欠">
      <formula>NOT(ISERROR(SEARCH("欠",T226)))</formula>
    </cfRule>
  </conditionalFormatting>
  <conditionalFormatting sqref="AJ226:AK226">
    <cfRule type="cellIs" dxfId="1" priority="4662" operator="equal">
      <formula>"未完成"</formula>
    </cfRule>
    <cfRule type="cellIs" dxfId="0" priority="4668" operator="equal">
      <formula>"未完成"</formula>
    </cfRule>
  </conditionalFormatting>
  <conditionalFormatting sqref="S227">
    <cfRule type="cellIs" dxfId="0" priority="4648" operator="equal">
      <formula>"欠"</formula>
    </cfRule>
  </conditionalFormatting>
  <conditionalFormatting sqref="T227">
    <cfRule type="containsText" dxfId="3" priority="4642" operator="between" text="欠">
      <formula>NOT(ISERROR(SEARCH("欠",T227)))</formula>
    </cfRule>
  </conditionalFormatting>
  <conditionalFormatting sqref="AJ227:AK227">
    <cfRule type="cellIs" dxfId="1" priority="4660" operator="equal">
      <formula>"未完成"</formula>
    </cfRule>
    <cfRule type="cellIs" dxfId="0" priority="4666" operator="equal">
      <formula>"未完成"</formula>
    </cfRule>
  </conditionalFormatting>
  <conditionalFormatting sqref="S228">
    <cfRule type="cellIs" dxfId="0" priority="4647" operator="equal">
      <formula>"欠"</formula>
    </cfRule>
  </conditionalFormatting>
  <conditionalFormatting sqref="T228">
    <cfRule type="containsText" dxfId="3" priority="4641" operator="between" text="欠">
      <formula>NOT(ISERROR(SEARCH("欠",T228)))</formula>
    </cfRule>
  </conditionalFormatting>
  <conditionalFormatting sqref="AJ228:AK228">
    <cfRule type="cellIs" dxfId="1" priority="4659" operator="equal">
      <formula>"未完成"</formula>
    </cfRule>
    <cfRule type="cellIs" dxfId="0" priority="4665" operator="equal">
      <formula>"未完成"</formula>
    </cfRule>
  </conditionalFormatting>
  <conditionalFormatting sqref="S229">
    <cfRule type="cellIs" dxfId="0" priority="4649" operator="equal">
      <formula>"欠"</formula>
    </cfRule>
  </conditionalFormatting>
  <conditionalFormatting sqref="T229">
    <cfRule type="containsText" dxfId="3" priority="4643" operator="between" text="欠">
      <formula>NOT(ISERROR(SEARCH("欠",T229)))</formula>
    </cfRule>
  </conditionalFormatting>
  <conditionalFormatting sqref="AJ229:AK229">
    <cfRule type="cellIs" dxfId="1" priority="4661" operator="equal">
      <formula>"未完成"</formula>
    </cfRule>
    <cfRule type="cellIs" dxfId="0" priority="4667" operator="equal">
      <formula>"未完成"</formula>
    </cfRule>
  </conditionalFormatting>
  <conditionalFormatting sqref="S230">
    <cfRule type="cellIs" dxfId="0" priority="4535" operator="equal">
      <formula>"欠"</formula>
    </cfRule>
  </conditionalFormatting>
  <conditionalFormatting sqref="T230">
    <cfRule type="containsText" dxfId="3" priority="4521" operator="between" text="欠">
      <formula>NOT(ISERROR(SEARCH("欠",T230)))</formula>
    </cfRule>
  </conditionalFormatting>
  <conditionalFormatting sqref="AJ230:AK230">
    <cfRule type="cellIs" dxfId="1" priority="4563" operator="equal">
      <formula>"未完成"</formula>
    </cfRule>
    <cfRule type="cellIs" dxfId="0" priority="4577" operator="equal">
      <formula>"未完成"</formula>
    </cfRule>
  </conditionalFormatting>
  <conditionalFormatting sqref="S231">
    <cfRule type="cellIs" dxfId="0" priority="4534" operator="equal">
      <formula>"欠"</formula>
    </cfRule>
  </conditionalFormatting>
  <conditionalFormatting sqref="T231">
    <cfRule type="containsText" dxfId="3" priority="4520" operator="between" text="欠">
      <formula>NOT(ISERROR(SEARCH("欠",T231)))</formula>
    </cfRule>
  </conditionalFormatting>
  <conditionalFormatting sqref="AJ231:AK231">
    <cfRule type="cellIs" dxfId="1" priority="4562" operator="equal">
      <formula>"未完成"</formula>
    </cfRule>
    <cfRule type="cellIs" dxfId="0" priority="4576" operator="equal">
      <formula>"未完成"</formula>
    </cfRule>
  </conditionalFormatting>
  <conditionalFormatting sqref="S232">
    <cfRule type="cellIs" dxfId="0" priority="4533" operator="equal">
      <formula>"欠"</formula>
    </cfRule>
  </conditionalFormatting>
  <conditionalFormatting sqref="T232">
    <cfRule type="containsText" dxfId="3" priority="4519" operator="between" text="欠">
      <formula>NOT(ISERROR(SEARCH("欠",T232)))</formula>
    </cfRule>
  </conditionalFormatting>
  <conditionalFormatting sqref="AJ232:AK232">
    <cfRule type="cellIs" dxfId="1" priority="4561" operator="equal">
      <formula>"未完成"</formula>
    </cfRule>
    <cfRule type="cellIs" dxfId="0" priority="4575" operator="equal">
      <formula>"未完成"</formula>
    </cfRule>
  </conditionalFormatting>
  <conditionalFormatting sqref="S233">
    <cfRule type="cellIs" dxfId="0" priority="4532" operator="equal">
      <formula>"欠"</formula>
    </cfRule>
  </conditionalFormatting>
  <conditionalFormatting sqref="T233">
    <cfRule type="containsText" dxfId="3" priority="4518" operator="between" text="欠">
      <formula>NOT(ISERROR(SEARCH("欠",T233)))</formula>
    </cfRule>
  </conditionalFormatting>
  <conditionalFormatting sqref="AJ233:AK233">
    <cfRule type="cellIs" dxfId="1" priority="4560" operator="equal">
      <formula>"未完成"</formula>
    </cfRule>
    <cfRule type="cellIs" dxfId="0" priority="4574" operator="equal">
      <formula>"未完成"</formula>
    </cfRule>
  </conditionalFormatting>
  <conditionalFormatting sqref="S234">
    <cfRule type="cellIs" dxfId="0" priority="4531" operator="equal">
      <formula>"欠"</formula>
    </cfRule>
  </conditionalFormatting>
  <conditionalFormatting sqref="T234">
    <cfRule type="containsText" dxfId="3" priority="4517" operator="between" text="欠">
      <formula>NOT(ISERROR(SEARCH("欠",T234)))</formula>
    </cfRule>
  </conditionalFormatting>
  <conditionalFormatting sqref="AJ234:AK234">
    <cfRule type="cellIs" dxfId="1" priority="4559" operator="equal">
      <formula>"未完成"</formula>
    </cfRule>
    <cfRule type="cellIs" dxfId="0" priority="4573" operator="equal">
      <formula>"未完成"</formula>
    </cfRule>
  </conditionalFormatting>
  <conditionalFormatting sqref="S235">
    <cfRule type="cellIs" dxfId="0" priority="4530" operator="equal">
      <formula>"欠"</formula>
    </cfRule>
  </conditionalFormatting>
  <conditionalFormatting sqref="T235">
    <cfRule type="containsText" dxfId="3" priority="4516" operator="between" text="欠">
      <formula>NOT(ISERROR(SEARCH("欠",T235)))</formula>
    </cfRule>
  </conditionalFormatting>
  <conditionalFormatting sqref="AJ235:AK235">
    <cfRule type="cellIs" dxfId="1" priority="4558" operator="equal">
      <formula>"未完成"</formula>
    </cfRule>
    <cfRule type="cellIs" dxfId="0" priority="4572" operator="equal">
      <formula>"未完成"</formula>
    </cfRule>
  </conditionalFormatting>
  <conditionalFormatting sqref="S236">
    <cfRule type="cellIs" dxfId="0" priority="4529" operator="equal">
      <formula>"欠"</formula>
    </cfRule>
  </conditionalFormatting>
  <conditionalFormatting sqref="T236">
    <cfRule type="containsText" dxfId="3" priority="4515" operator="between" text="欠">
      <formula>NOT(ISERROR(SEARCH("欠",T236)))</formula>
    </cfRule>
  </conditionalFormatting>
  <conditionalFormatting sqref="AJ236:AK236">
    <cfRule type="cellIs" dxfId="1" priority="4557" operator="equal">
      <formula>"未完成"</formula>
    </cfRule>
    <cfRule type="cellIs" dxfId="0" priority="4571" operator="equal">
      <formula>"未完成"</formula>
    </cfRule>
  </conditionalFormatting>
  <conditionalFormatting sqref="S237">
    <cfRule type="cellIs" dxfId="0" priority="4528" operator="equal">
      <formula>"欠"</formula>
    </cfRule>
  </conditionalFormatting>
  <conditionalFormatting sqref="T237">
    <cfRule type="containsText" dxfId="3" priority="4514" operator="between" text="欠">
      <formula>NOT(ISERROR(SEARCH("欠",T237)))</formula>
    </cfRule>
  </conditionalFormatting>
  <conditionalFormatting sqref="AJ237:AK237">
    <cfRule type="cellIs" dxfId="1" priority="4556" operator="equal">
      <formula>"未完成"</formula>
    </cfRule>
    <cfRule type="cellIs" dxfId="0" priority="4570" operator="equal">
      <formula>"未完成"</formula>
    </cfRule>
  </conditionalFormatting>
  <conditionalFormatting sqref="S238">
    <cfRule type="cellIs" dxfId="0" priority="4527" operator="equal">
      <formula>"欠"</formula>
    </cfRule>
  </conditionalFormatting>
  <conditionalFormatting sqref="T238">
    <cfRule type="containsText" dxfId="3" priority="4513" operator="between" text="欠">
      <formula>NOT(ISERROR(SEARCH("欠",T238)))</formula>
    </cfRule>
  </conditionalFormatting>
  <conditionalFormatting sqref="AJ238:AK238">
    <cfRule type="cellIs" dxfId="1" priority="4555" operator="equal">
      <formula>"未完成"</formula>
    </cfRule>
    <cfRule type="cellIs" dxfId="0" priority="4569" operator="equal">
      <formula>"未完成"</formula>
    </cfRule>
  </conditionalFormatting>
  <conditionalFormatting sqref="S239">
    <cfRule type="cellIs" dxfId="0" priority="4526" operator="equal">
      <formula>"欠"</formula>
    </cfRule>
  </conditionalFormatting>
  <conditionalFormatting sqref="T239">
    <cfRule type="containsText" dxfId="3" priority="4512" operator="between" text="欠">
      <formula>NOT(ISERROR(SEARCH("欠",T239)))</formula>
    </cfRule>
  </conditionalFormatting>
  <conditionalFormatting sqref="AJ239:AK239">
    <cfRule type="cellIs" dxfId="1" priority="4554" operator="equal">
      <formula>"未完成"</formula>
    </cfRule>
    <cfRule type="cellIs" dxfId="0" priority="4568" operator="equal">
      <formula>"未完成"</formula>
    </cfRule>
  </conditionalFormatting>
  <conditionalFormatting sqref="S240">
    <cfRule type="cellIs" dxfId="0" priority="4525" operator="equal">
      <formula>"欠"</formula>
    </cfRule>
  </conditionalFormatting>
  <conditionalFormatting sqref="T240">
    <cfRule type="containsText" dxfId="3" priority="4511" operator="between" text="欠">
      <formula>NOT(ISERROR(SEARCH("欠",T240)))</formula>
    </cfRule>
  </conditionalFormatting>
  <conditionalFormatting sqref="AJ240:AK240">
    <cfRule type="cellIs" dxfId="1" priority="4553" operator="equal">
      <formula>"未完成"</formula>
    </cfRule>
    <cfRule type="cellIs" dxfId="0" priority="4567" operator="equal">
      <formula>"未完成"</formula>
    </cfRule>
  </conditionalFormatting>
  <conditionalFormatting sqref="S241">
    <cfRule type="cellIs" dxfId="0" priority="4524" operator="equal">
      <formula>"欠"</formula>
    </cfRule>
  </conditionalFormatting>
  <conditionalFormatting sqref="T241">
    <cfRule type="containsText" dxfId="3" priority="4510" operator="between" text="欠">
      <formula>NOT(ISERROR(SEARCH("欠",T241)))</formula>
    </cfRule>
  </conditionalFormatting>
  <conditionalFormatting sqref="AJ241:AK241">
    <cfRule type="cellIs" dxfId="1" priority="4552" operator="equal">
      <formula>"未完成"</formula>
    </cfRule>
    <cfRule type="cellIs" dxfId="0" priority="4566" operator="equal">
      <formula>"未完成"</formula>
    </cfRule>
  </conditionalFormatting>
  <conditionalFormatting sqref="S242">
    <cfRule type="cellIs" dxfId="0" priority="4523" operator="equal">
      <formula>"欠"</formula>
    </cfRule>
  </conditionalFormatting>
  <conditionalFormatting sqref="T242">
    <cfRule type="containsText" dxfId="3" priority="4509" operator="between" text="欠">
      <formula>NOT(ISERROR(SEARCH("欠",T242)))</formula>
    </cfRule>
  </conditionalFormatting>
  <conditionalFormatting sqref="AJ242:AK242">
    <cfRule type="cellIs" dxfId="1" priority="4551" operator="equal">
      <formula>"未完成"</formula>
    </cfRule>
    <cfRule type="cellIs" dxfId="0" priority="4565" operator="equal">
      <formula>"未完成"</formula>
    </cfRule>
  </conditionalFormatting>
  <conditionalFormatting sqref="S243">
    <cfRule type="cellIs" dxfId="0" priority="4522" operator="equal">
      <formula>"欠"</formula>
    </cfRule>
  </conditionalFormatting>
  <conditionalFormatting sqref="T243">
    <cfRule type="containsText" dxfId="3" priority="4508" operator="between" text="欠">
      <formula>NOT(ISERROR(SEARCH("欠",T243)))</formula>
    </cfRule>
  </conditionalFormatting>
  <conditionalFormatting sqref="AJ243:AK243">
    <cfRule type="cellIs" dxfId="1" priority="4550" operator="equal">
      <formula>"未完成"</formula>
    </cfRule>
    <cfRule type="cellIs" dxfId="0" priority="4564" operator="equal">
      <formula>"未完成"</formula>
    </cfRule>
  </conditionalFormatting>
  <conditionalFormatting sqref="S244">
    <cfRule type="cellIs" dxfId="0" priority="4483" operator="equal">
      <formula>"欠"</formula>
    </cfRule>
  </conditionalFormatting>
  <conditionalFormatting sqref="T244">
    <cfRule type="containsText" dxfId="3" priority="4477" operator="between" text="欠">
      <formula>NOT(ISERROR(SEARCH("欠",T244)))</formula>
    </cfRule>
  </conditionalFormatting>
  <conditionalFormatting sqref="AJ244:AK244">
    <cfRule type="cellIs" dxfId="1" priority="4495" operator="equal">
      <formula>"未完成"</formula>
    </cfRule>
    <cfRule type="cellIs" dxfId="0" priority="4501" operator="equal">
      <formula>"未完成"</formula>
    </cfRule>
  </conditionalFormatting>
  <conditionalFormatting sqref="S245">
    <cfRule type="cellIs" dxfId="0" priority="4482" operator="equal">
      <formula>"欠"</formula>
    </cfRule>
  </conditionalFormatting>
  <conditionalFormatting sqref="T245">
    <cfRule type="containsText" dxfId="3" priority="4476" operator="between" text="欠">
      <formula>NOT(ISERROR(SEARCH("欠",T245)))</formula>
    </cfRule>
  </conditionalFormatting>
  <conditionalFormatting sqref="AJ245:AK245">
    <cfRule type="cellIs" dxfId="1" priority="4494" operator="equal">
      <formula>"未完成"</formula>
    </cfRule>
    <cfRule type="cellIs" dxfId="0" priority="4500" operator="equal">
      <formula>"未完成"</formula>
    </cfRule>
  </conditionalFormatting>
  <conditionalFormatting sqref="S246">
    <cfRule type="cellIs" dxfId="0" priority="4481" operator="equal">
      <formula>"欠"</formula>
    </cfRule>
  </conditionalFormatting>
  <conditionalFormatting sqref="T246">
    <cfRule type="containsText" dxfId="3" priority="4475" operator="between" text="欠">
      <formula>NOT(ISERROR(SEARCH("欠",T246)))</formula>
    </cfRule>
  </conditionalFormatting>
  <conditionalFormatting sqref="AJ246:AK246">
    <cfRule type="cellIs" dxfId="1" priority="4493" operator="equal">
      <formula>"未完成"</formula>
    </cfRule>
    <cfRule type="cellIs" dxfId="0" priority="4499" operator="equal">
      <formula>"未完成"</formula>
    </cfRule>
  </conditionalFormatting>
  <conditionalFormatting sqref="S247">
    <cfRule type="cellIs" dxfId="0" priority="4480" operator="equal">
      <formula>"欠"</formula>
    </cfRule>
  </conditionalFormatting>
  <conditionalFormatting sqref="T247">
    <cfRule type="containsText" dxfId="3" priority="4474" operator="between" text="欠">
      <formula>NOT(ISERROR(SEARCH("欠",T247)))</formula>
    </cfRule>
  </conditionalFormatting>
  <conditionalFormatting sqref="AJ247:AK247">
    <cfRule type="cellIs" dxfId="1" priority="4492" operator="equal">
      <formula>"未完成"</formula>
    </cfRule>
    <cfRule type="cellIs" dxfId="0" priority="4498" operator="equal">
      <formula>"未完成"</formula>
    </cfRule>
  </conditionalFormatting>
  <conditionalFormatting sqref="S248">
    <cfRule type="cellIs" dxfId="0" priority="4479" operator="equal">
      <formula>"欠"</formula>
    </cfRule>
  </conditionalFormatting>
  <conditionalFormatting sqref="T248">
    <cfRule type="containsText" dxfId="3" priority="4473" operator="between" text="欠">
      <formula>NOT(ISERROR(SEARCH("欠",T248)))</formula>
    </cfRule>
  </conditionalFormatting>
  <conditionalFormatting sqref="AJ248:AK248">
    <cfRule type="cellIs" dxfId="1" priority="4491" operator="equal">
      <formula>"未完成"</formula>
    </cfRule>
    <cfRule type="cellIs" dxfId="0" priority="4497" operator="equal">
      <formula>"未完成"</formula>
    </cfRule>
  </conditionalFormatting>
  <conditionalFormatting sqref="S249">
    <cfRule type="cellIs" dxfId="0" priority="4478" operator="equal">
      <formula>"欠"</formula>
    </cfRule>
  </conditionalFormatting>
  <conditionalFormatting sqref="T249">
    <cfRule type="containsText" dxfId="3" priority="4472" operator="between" text="欠">
      <formula>NOT(ISERROR(SEARCH("欠",T249)))</formula>
    </cfRule>
  </conditionalFormatting>
  <conditionalFormatting sqref="AJ249:AK249">
    <cfRule type="cellIs" dxfId="1" priority="4490" operator="equal">
      <formula>"未完成"</formula>
    </cfRule>
    <cfRule type="cellIs" dxfId="0" priority="4496" operator="equal">
      <formula>"未完成"</formula>
    </cfRule>
  </conditionalFormatting>
  <conditionalFormatting sqref="S250">
    <cfRule type="cellIs" dxfId="0" priority="4442" operator="equal">
      <formula>"欠"</formula>
    </cfRule>
  </conditionalFormatting>
  <conditionalFormatting sqref="T250">
    <cfRule type="containsText" dxfId="3" priority="4435" operator="between" text="欠">
      <formula>NOT(ISERROR(SEARCH("欠",T250)))</formula>
    </cfRule>
  </conditionalFormatting>
  <conditionalFormatting sqref="AE250">
    <cfRule type="cellIs" dxfId="0" priority="4470" operator="equal">
      <formula>"未完成"</formula>
    </cfRule>
  </conditionalFormatting>
  <conditionalFormatting sqref="AF250">
    <cfRule type="cellIs" dxfId="0" priority="1500" operator="equal">
      <formula>"未完成"</formula>
    </cfRule>
  </conditionalFormatting>
  <conditionalFormatting sqref="AJ250:AK250">
    <cfRule type="cellIs" dxfId="1" priority="4456" operator="equal">
      <formula>"未完成"</formula>
    </cfRule>
    <cfRule type="cellIs" dxfId="0" priority="4463" operator="equal">
      <formula>"未完成"</formula>
    </cfRule>
  </conditionalFormatting>
  <conditionalFormatting sqref="S251">
    <cfRule type="cellIs" dxfId="0" priority="4441" operator="equal">
      <formula>"欠"</formula>
    </cfRule>
  </conditionalFormatting>
  <conditionalFormatting sqref="T251">
    <cfRule type="containsText" dxfId="3" priority="4434" operator="between" text="欠">
      <formula>NOT(ISERROR(SEARCH("欠",T251)))</formula>
    </cfRule>
  </conditionalFormatting>
  <conditionalFormatting sqref="AE251">
    <cfRule type="cellIs" dxfId="0" priority="4469" operator="equal">
      <formula>"未完成"</formula>
    </cfRule>
  </conditionalFormatting>
  <conditionalFormatting sqref="AF251">
    <cfRule type="cellIs" dxfId="0" priority="1499" operator="equal">
      <formula>"未完成"</formula>
    </cfRule>
  </conditionalFormatting>
  <conditionalFormatting sqref="AJ251:AK251">
    <cfRule type="cellIs" dxfId="1" priority="4455" operator="equal">
      <formula>"未完成"</formula>
    </cfRule>
    <cfRule type="cellIs" dxfId="0" priority="4462" operator="equal">
      <formula>"未完成"</formula>
    </cfRule>
  </conditionalFormatting>
  <conditionalFormatting sqref="S252">
    <cfRule type="cellIs" dxfId="0" priority="4440" operator="equal">
      <formula>"欠"</formula>
    </cfRule>
  </conditionalFormatting>
  <conditionalFormatting sqref="T252">
    <cfRule type="containsText" dxfId="3" priority="4433" operator="between" text="欠">
      <formula>NOT(ISERROR(SEARCH("欠",T252)))</formula>
    </cfRule>
  </conditionalFormatting>
  <conditionalFormatting sqref="AE252">
    <cfRule type="cellIs" dxfId="0" priority="4468" operator="equal">
      <formula>"未完成"</formula>
    </cfRule>
  </conditionalFormatting>
  <conditionalFormatting sqref="AF252">
    <cfRule type="cellIs" dxfId="0" priority="1498" operator="equal">
      <formula>"未完成"</formula>
    </cfRule>
  </conditionalFormatting>
  <conditionalFormatting sqref="AJ252:AK252">
    <cfRule type="cellIs" dxfId="1" priority="4454" operator="equal">
      <formula>"未完成"</formula>
    </cfRule>
    <cfRule type="cellIs" dxfId="0" priority="4461" operator="equal">
      <formula>"未完成"</formula>
    </cfRule>
  </conditionalFormatting>
  <conditionalFormatting sqref="S253">
    <cfRule type="cellIs" dxfId="0" priority="4439" operator="equal">
      <formula>"欠"</formula>
    </cfRule>
  </conditionalFormatting>
  <conditionalFormatting sqref="T253">
    <cfRule type="containsText" dxfId="3" priority="4432" operator="between" text="欠">
      <formula>NOT(ISERROR(SEARCH("欠",T253)))</formula>
    </cfRule>
  </conditionalFormatting>
  <conditionalFormatting sqref="AE253">
    <cfRule type="cellIs" dxfId="0" priority="4467" operator="equal">
      <formula>"未完成"</formula>
    </cfRule>
  </conditionalFormatting>
  <conditionalFormatting sqref="AF253">
    <cfRule type="cellIs" dxfId="0" priority="1497" operator="equal">
      <formula>"未完成"</formula>
    </cfRule>
  </conditionalFormatting>
  <conditionalFormatting sqref="AJ253:AK253">
    <cfRule type="cellIs" dxfId="1" priority="4453" operator="equal">
      <formula>"未完成"</formula>
    </cfRule>
    <cfRule type="cellIs" dxfId="0" priority="4460" operator="equal">
      <formula>"未完成"</formula>
    </cfRule>
  </conditionalFormatting>
  <conditionalFormatting sqref="S254">
    <cfRule type="cellIs" dxfId="0" priority="4438" operator="equal">
      <formula>"欠"</formula>
    </cfRule>
  </conditionalFormatting>
  <conditionalFormatting sqref="T254">
    <cfRule type="containsText" dxfId="3" priority="4431" operator="between" text="欠">
      <formula>NOT(ISERROR(SEARCH("欠",T254)))</formula>
    </cfRule>
  </conditionalFormatting>
  <conditionalFormatting sqref="AE254">
    <cfRule type="cellIs" dxfId="0" priority="4466" operator="equal">
      <formula>"未完成"</formula>
    </cfRule>
  </conditionalFormatting>
  <conditionalFormatting sqref="AF254">
    <cfRule type="cellIs" dxfId="0" priority="1496" operator="equal">
      <formula>"未完成"</formula>
    </cfRule>
  </conditionalFormatting>
  <conditionalFormatting sqref="AJ254:AK254">
    <cfRule type="cellIs" dxfId="1" priority="4452" operator="equal">
      <formula>"未完成"</formula>
    </cfRule>
    <cfRule type="cellIs" dxfId="0" priority="4459" operator="equal">
      <formula>"未完成"</formula>
    </cfRule>
  </conditionalFormatting>
  <conditionalFormatting sqref="S255">
    <cfRule type="cellIs" dxfId="0" priority="4437" operator="equal">
      <formula>"欠"</formula>
    </cfRule>
  </conditionalFormatting>
  <conditionalFormatting sqref="T255">
    <cfRule type="containsText" dxfId="3" priority="4430" operator="between" text="欠">
      <formula>NOT(ISERROR(SEARCH("欠",T255)))</formula>
    </cfRule>
  </conditionalFormatting>
  <conditionalFormatting sqref="AE255">
    <cfRule type="cellIs" dxfId="0" priority="4465" operator="equal">
      <formula>"未完成"</formula>
    </cfRule>
  </conditionalFormatting>
  <conditionalFormatting sqref="AF255">
    <cfRule type="cellIs" dxfId="0" priority="1495" operator="equal">
      <formula>"未完成"</formula>
    </cfRule>
  </conditionalFormatting>
  <conditionalFormatting sqref="AJ255:AK255">
    <cfRule type="cellIs" dxfId="1" priority="4451" operator="equal">
      <formula>"未完成"</formula>
    </cfRule>
    <cfRule type="cellIs" dxfId="0" priority="4458" operator="equal">
      <formula>"未完成"</formula>
    </cfRule>
  </conditionalFormatting>
  <conditionalFormatting sqref="S256">
    <cfRule type="cellIs" dxfId="0" priority="4436" operator="equal">
      <formula>"欠"</formula>
    </cfRule>
  </conditionalFormatting>
  <conditionalFormatting sqref="T256">
    <cfRule type="containsText" dxfId="3" priority="4429" operator="between" text="欠">
      <formula>NOT(ISERROR(SEARCH("欠",T256)))</formula>
    </cfRule>
  </conditionalFormatting>
  <conditionalFormatting sqref="AE256">
    <cfRule type="cellIs" dxfId="0" priority="4464" operator="equal">
      <formula>"未完成"</formula>
    </cfRule>
  </conditionalFormatting>
  <conditionalFormatting sqref="AF256">
    <cfRule type="cellIs" dxfId="0" priority="1494" operator="equal">
      <formula>"未完成"</formula>
    </cfRule>
  </conditionalFormatting>
  <conditionalFormatting sqref="AJ256:AK256">
    <cfRule type="cellIs" dxfId="1" priority="4450" operator="equal">
      <formula>"未完成"</formula>
    </cfRule>
    <cfRule type="cellIs" dxfId="0" priority="4457" operator="equal">
      <formula>"未完成"</formula>
    </cfRule>
  </conditionalFormatting>
  <conditionalFormatting sqref="S257">
    <cfRule type="cellIs" dxfId="0" priority="4349" operator="equal">
      <formula>"欠"</formula>
    </cfRule>
  </conditionalFormatting>
  <conditionalFormatting sqref="T257">
    <cfRule type="containsText" dxfId="3" priority="4336" operator="between" text="欠">
      <formula>NOT(ISERROR(SEARCH("欠",T257)))</formula>
    </cfRule>
  </conditionalFormatting>
  <conditionalFormatting sqref="AE257">
    <cfRule type="cellIs" dxfId="0" priority="4401" operator="equal">
      <formula>"未完成"</formula>
    </cfRule>
  </conditionalFormatting>
  <conditionalFormatting sqref="AF257">
    <cfRule type="cellIs" dxfId="0" priority="1492" operator="equal">
      <formula>"未完成"</formula>
    </cfRule>
  </conditionalFormatting>
  <conditionalFormatting sqref="AJ257:AK257">
    <cfRule type="cellIs" dxfId="1" priority="4375" operator="equal">
      <formula>"未完成"</formula>
    </cfRule>
    <cfRule type="cellIs" dxfId="0" priority="4388" operator="equal">
      <formula>"未完成"</formula>
    </cfRule>
  </conditionalFormatting>
  <conditionalFormatting sqref="S258">
    <cfRule type="cellIs" dxfId="0" priority="4348" operator="equal">
      <formula>"欠"</formula>
    </cfRule>
  </conditionalFormatting>
  <conditionalFormatting sqref="T258">
    <cfRule type="containsText" dxfId="3" priority="4335" operator="between" text="欠">
      <formula>NOT(ISERROR(SEARCH("欠",T258)))</formula>
    </cfRule>
  </conditionalFormatting>
  <conditionalFormatting sqref="AE258">
    <cfRule type="cellIs" dxfId="0" priority="4400" operator="equal">
      <formula>"未完成"</formula>
    </cfRule>
  </conditionalFormatting>
  <conditionalFormatting sqref="AF258">
    <cfRule type="cellIs" dxfId="0" priority="1491" operator="equal">
      <formula>"未完成"</formula>
    </cfRule>
  </conditionalFormatting>
  <conditionalFormatting sqref="AJ258:AK258">
    <cfRule type="cellIs" dxfId="1" priority="4374" operator="equal">
      <formula>"未完成"</formula>
    </cfRule>
    <cfRule type="cellIs" dxfId="0" priority="4387" operator="equal">
      <formula>"未完成"</formula>
    </cfRule>
  </conditionalFormatting>
  <conditionalFormatting sqref="S259">
    <cfRule type="cellIs" dxfId="0" priority="4347" operator="equal">
      <formula>"欠"</formula>
    </cfRule>
  </conditionalFormatting>
  <conditionalFormatting sqref="T259">
    <cfRule type="containsText" dxfId="3" priority="4334" operator="between" text="欠">
      <formula>NOT(ISERROR(SEARCH("欠",T259)))</formula>
    </cfRule>
  </conditionalFormatting>
  <conditionalFormatting sqref="AJ259:AK259">
    <cfRule type="cellIs" dxfId="1" priority="4373" operator="equal">
      <formula>"未完成"</formula>
    </cfRule>
    <cfRule type="cellIs" dxfId="0" priority="4386" operator="equal">
      <formula>"未完成"</formula>
    </cfRule>
  </conditionalFormatting>
  <conditionalFormatting sqref="S260">
    <cfRule type="cellIs" dxfId="0" priority="4346" operator="equal">
      <formula>"欠"</formula>
    </cfRule>
  </conditionalFormatting>
  <conditionalFormatting sqref="T260">
    <cfRule type="containsText" dxfId="3" priority="4333" operator="between" text="欠">
      <formula>NOT(ISERROR(SEARCH("欠",T260)))</formula>
    </cfRule>
  </conditionalFormatting>
  <conditionalFormatting sqref="AE260">
    <cfRule type="cellIs" dxfId="0" priority="4398" operator="equal">
      <formula>"未完成"</formula>
    </cfRule>
  </conditionalFormatting>
  <conditionalFormatting sqref="AF260">
    <cfRule type="cellIs" dxfId="0" priority="1490" operator="equal">
      <formula>"未完成"</formula>
    </cfRule>
  </conditionalFormatting>
  <conditionalFormatting sqref="AJ260:AK260">
    <cfRule type="cellIs" dxfId="1" priority="4372" operator="equal">
      <formula>"未完成"</formula>
    </cfRule>
    <cfRule type="cellIs" dxfId="0" priority="4385" operator="equal">
      <formula>"未完成"</formula>
    </cfRule>
  </conditionalFormatting>
  <conditionalFormatting sqref="S261">
    <cfRule type="cellIs" dxfId="0" priority="4345" operator="equal">
      <formula>"欠"</formula>
    </cfRule>
  </conditionalFormatting>
  <conditionalFormatting sqref="T261">
    <cfRule type="containsText" dxfId="3" priority="4332" operator="between" text="欠">
      <formula>NOT(ISERROR(SEARCH("欠",T261)))</formula>
    </cfRule>
  </conditionalFormatting>
  <conditionalFormatting sqref="AE261">
    <cfRule type="cellIs" dxfId="0" priority="4397" operator="equal">
      <formula>"未完成"</formula>
    </cfRule>
  </conditionalFormatting>
  <conditionalFormatting sqref="AF261">
    <cfRule type="cellIs" dxfId="0" priority="1489" operator="equal">
      <formula>"未完成"</formula>
    </cfRule>
  </conditionalFormatting>
  <conditionalFormatting sqref="AJ261:AK261">
    <cfRule type="cellIs" dxfId="1" priority="4371" operator="equal">
      <formula>"未完成"</formula>
    </cfRule>
    <cfRule type="cellIs" dxfId="0" priority="4384" operator="equal">
      <formula>"未完成"</formula>
    </cfRule>
  </conditionalFormatting>
  <conditionalFormatting sqref="S262">
    <cfRule type="cellIs" dxfId="0" priority="4344" operator="equal">
      <formula>"欠"</formula>
    </cfRule>
  </conditionalFormatting>
  <conditionalFormatting sqref="T262">
    <cfRule type="containsText" dxfId="3" priority="4331" operator="between" text="欠">
      <formula>NOT(ISERROR(SEARCH("欠",T262)))</formula>
    </cfRule>
  </conditionalFormatting>
  <conditionalFormatting sqref="AE262">
    <cfRule type="cellIs" dxfId="0" priority="4396" operator="equal">
      <formula>"未完成"</formula>
    </cfRule>
  </conditionalFormatting>
  <conditionalFormatting sqref="AF262">
    <cfRule type="cellIs" dxfId="0" priority="1488" operator="equal">
      <formula>"未完成"</formula>
    </cfRule>
  </conditionalFormatting>
  <conditionalFormatting sqref="AJ262:AK262">
    <cfRule type="cellIs" dxfId="1" priority="4370" operator="equal">
      <formula>"未完成"</formula>
    </cfRule>
    <cfRule type="cellIs" dxfId="0" priority="4383" operator="equal">
      <formula>"未完成"</formula>
    </cfRule>
  </conditionalFormatting>
  <conditionalFormatting sqref="S263">
    <cfRule type="cellIs" dxfId="0" priority="4343" operator="equal">
      <formula>"欠"</formula>
    </cfRule>
  </conditionalFormatting>
  <conditionalFormatting sqref="T263">
    <cfRule type="containsText" dxfId="3" priority="4330" operator="between" text="欠">
      <formula>NOT(ISERROR(SEARCH("欠",T263)))</formula>
    </cfRule>
  </conditionalFormatting>
  <conditionalFormatting sqref="AE263">
    <cfRule type="cellIs" dxfId="0" priority="4395" operator="equal">
      <formula>"未完成"</formula>
    </cfRule>
  </conditionalFormatting>
  <conditionalFormatting sqref="AF263">
    <cfRule type="cellIs" dxfId="0" priority="1487" operator="equal">
      <formula>"未完成"</formula>
    </cfRule>
  </conditionalFormatting>
  <conditionalFormatting sqref="AJ263:AK263">
    <cfRule type="cellIs" dxfId="1" priority="4369" operator="equal">
      <formula>"未完成"</formula>
    </cfRule>
    <cfRule type="cellIs" dxfId="0" priority="4382" operator="equal">
      <formula>"未完成"</formula>
    </cfRule>
  </conditionalFormatting>
  <conditionalFormatting sqref="S264">
    <cfRule type="cellIs" dxfId="0" priority="4342" operator="equal">
      <formula>"欠"</formula>
    </cfRule>
  </conditionalFormatting>
  <conditionalFormatting sqref="T264">
    <cfRule type="containsText" dxfId="3" priority="4329" operator="between" text="欠">
      <formula>NOT(ISERROR(SEARCH("欠",T264)))</formula>
    </cfRule>
  </conditionalFormatting>
  <conditionalFormatting sqref="AE264">
    <cfRule type="cellIs" dxfId="0" priority="4394" operator="equal">
      <formula>"未完成"</formula>
    </cfRule>
  </conditionalFormatting>
  <conditionalFormatting sqref="AF264">
    <cfRule type="cellIs" dxfId="0" priority="1486" operator="equal">
      <formula>"未完成"</formula>
    </cfRule>
  </conditionalFormatting>
  <conditionalFormatting sqref="AJ264:AK264">
    <cfRule type="cellIs" dxfId="1" priority="4368" operator="equal">
      <formula>"未完成"</formula>
    </cfRule>
    <cfRule type="cellIs" dxfId="0" priority="4381" operator="equal">
      <formula>"未完成"</formula>
    </cfRule>
  </conditionalFormatting>
  <conditionalFormatting sqref="S265">
    <cfRule type="cellIs" dxfId="0" priority="4341" operator="equal">
      <formula>"欠"</formula>
    </cfRule>
  </conditionalFormatting>
  <conditionalFormatting sqref="T265">
    <cfRule type="containsText" dxfId="3" priority="4328" operator="between" text="欠">
      <formula>NOT(ISERROR(SEARCH("欠",T265)))</formula>
    </cfRule>
  </conditionalFormatting>
  <conditionalFormatting sqref="AE265">
    <cfRule type="cellIs" dxfId="0" priority="4393" operator="equal">
      <formula>"未完成"</formula>
    </cfRule>
  </conditionalFormatting>
  <conditionalFormatting sqref="AF265">
    <cfRule type="cellIs" dxfId="0" priority="1485" operator="equal">
      <formula>"未完成"</formula>
    </cfRule>
  </conditionalFormatting>
  <conditionalFormatting sqref="AJ265:AK265">
    <cfRule type="cellIs" dxfId="1" priority="4367" operator="equal">
      <formula>"未完成"</formula>
    </cfRule>
    <cfRule type="cellIs" dxfId="0" priority="4380" operator="equal">
      <formula>"未完成"</formula>
    </cfRule>
  </conditionalFormatting>
  <conditionalFormatting sqref="S266">
    <cfRule type="cellIs" dxfId="0" priority="4340" operator="equal">
      <formula>"欠"</formula>
    </cfRule>
  </conditionalFormatting>
  <conditionalFormatting sqref="T266">
    <cfRule type="containsText" dxfId="3" priority="4327" operator="between" text="欠">
      <formula>NOT(ISERROR(SEARCH("欠",T266)))</formula>
    </cfRule>
  </conditionalFormatting>
  <conditionalFormatting sqref="AE266">
    <cfRule type="cellIs" dxfId="0" priority="4392" operator="equal">
      <formula>"未完成"</formula>
    </cfRule>
  </conditionalFormatting>
  <conditionalFormatting sqref="AF266">
    <cfRule type="cellIs" dxfId="0" priority="1484" operator="equal">
      <formula>"未完成"</formula>
    </cfRule>
  </conditionalFormatting>
  <conditionalFormatting sqref="AJ266:AK266">
    <cfRule type="cellIs" dxfId="1" priority="4366" operator="equal">
      <formula>"未完成"</formula>
    </cfRule>
    <cfRule type="cellIs" dxfId="0" priority="4379" operator="equal">
      <formula>"未完成"</formula>
    </cfRule>
  </conditionalFormatting>
  <conditionalFormatting sqref="S267">
    <cfRule type="cellIs" dxfId="0" priority="4339" operator="equal">
      <formula>"欠"</formula>
    </cfRule>
  </conditionalFormatting>
  <conditionalFormatting sqref="T267">
    <cfRule type="containsText" dxfId="3" priority="4326" operator="between" text="欠">
      <formula>NOT(ISERROR(SEARCH("欠",T267)))</formula>
    </cfRule>
  </conditionalFormatting>
  <conditionalFormatting sqref="AE267">
    <cfRule type="cellIs" dxfId="0" priority="4391" operator="equal">
      <formula>"未完成"</formula>
    </cfRule>
  </conditionalFormatting>
  <conditionalFormatting sqref="AF267">
    <cfRule type="cellIs" dxfId="0" priority="1483" operator="equal">
      <formula>"未完成"</formula>
    </cfRule>
  </conditionalFormatting>
  <conditionalFormatting sqref="AJ267:AK267">
    <cfRule type="cellIs" dxfId="1" priority="4365" operator="equal">
      <formula>"未完成"</formula>
    </cfRule>
    <cfRule type="cellIs" dxfId="0" priority="4378" operator="equal">
      <formula>"未完成"</formula>
    </cfRule>
  </conditionalFormatting>
  <conditionalFormatting sqref="S268">
    <cfRule type="cellIs" dxfId="0" priority="4338" operator="equal">
      <formula>"欠"</formula>
    </cfRule>
  </conditionalFormatting>
  <conditionalFormatting sqref="T268">
    <cfRule type="containsText" dxfId="3" priority="4325" operator="between" text="欠">
      <formula>NOT(ISERROR(SEARCH("欠",T268)))</formula>
    </cfRule>
  </conditionalFormatting>
  <conditionalFormatting sqref="AJ268:AK268">
    <cfRule type="cellIs" dxfId="1" priority="4364" operator="equal">
      <formula>"未完成"</formula>
    </cfRule>
    <cfRule type="cellIs" dxfId="0" priority="4377" operator="equal">
      <formula>"未完成"</formula>
    </cfRule>
  </conditionalFormatting>
  <conditionalFormatting sqref="S269">
    <cfRule type="cellIs" dxfId="0" priority="4337" operator="equal">
      <formula>"欠"</formula>
    </cfRule>
  </conditionalFormatting>
  <conditionalFormatting sqref="T269">
    <cfRule type="containsText" dxfId="3" priority="4324" operator="between" text="欠">
      <formula>NOT(ISERROR(SEARCH("欠",T269)))</formula>
    </cfRule>
  </conditionalFormatting>
  <conditionalFormatting sqref="AE269">
    <cfRule type="cellIs" dxfId="0" priority="4389" operator="equal">
      <formula>"未完成"</formula>
    </cfRule>
  </conditionalFormatting>
  <conditionalFormatting sqref="AF269">
    <cfRule type="cellIs" dxfId="0" priority="1482" operator="equal">
      <formula>"未完成"</formula>
    </cfRule>
  </conditionalFormatting>
  <conditionalFormatting sqref="AJ269:AK269">
    <cfRule type="cellIs" dxfId="1" priority="4363" operator="equal">
      <formula>"未完成"</formula>
    </cfRule>
    <cfRule type="cellIs" dxfId="0" priority="4376" operator="equal">
      <formula>"未完成"</formula>
    </cfRule>
  </conditionalFormatting>
  <conditionalFormatting sqref="S270">
    <cfRule type="cellIs" dxfId="0" priority="4192" operator="equal">
      <formula>"欠"</formula>
    </cfRule>
  </conditionalFormatting>
  <conditionalFormatting sqref="T270">
    <cfRule type="containsText" dxfId="3" priority="4166" operator="between" text="欠">
      <formula>NOT(ISERROR(SEARCH("欠",T270)))</formula>
    </cfRule>
  </conditionalFormatting>
  <conditionalFormatting sqref="AE270">
    <cfRule type="cellIs" dxfId="0" priority="4296" operator="equal">
      <formula>"未完成"</formula>
    </cfRule>
  </conditionalFormatting>
  <conditionalFormatting sqref="AF270">
    <cfRule type="cellIs" dxfId="0" priority="1479" operator="equal">
      <formula>"未完成"</formula>
    </cfRule>
  </conditionalFormatting>
  <conditionalFormatting sqref="AJ270:AK270">
    <cfRule type="cellIs" dxfId="1" priority="4244" operator="equal">
      <formula>"未完成"</formula>
    </cfRule>
    <cfRule type="cellIs" dxfId="0" priority="4270" operator="equal">
      <formula>"未完成"</formula>
    </cfRule>
  </conditionalFormatting>
  <conditionalFormatting sqref="S271">
    <cfRule type="cellIs" dxfId="0" priority="4191" operator="equal">
      <formula>"欠"</formula>
    </cfRule>
  </conditionalFormatting>
  <conditionalFormatting sqref="T271">
    <cfRule type="containsText" dxfId="3" priority="4165" operator="between" text="欠">
      <formula>NOT(ISERROR(SEARCH("欠",T271)))</formula>
    </cfRule>
  </conditionalFormatting>
  <conditionalFormatting sqref="AE271">
    <cfRule type="cellIs" dxfId="0" priority="4295" operator="equal">
      <formula>"未完成"</formula>
    </cfRule>
  </conditionalFormatting>
  <conditionalFormatting sqref="AF271">
    <cfRule type="cellIs" dxfId="0" priority="1478" operator="equal">
      <formula>"未完成"</formula>
    </cfRule>
  </conditionalFormatting>
  <conditionalFormatting sqref="AJ271:AK271">
    <cfRule type="cellIs" dxfId="1" priority="4243" operator="equal">
      <formula>"未完成"</formula>
    </cfRule>
    <cfRule type="cellIs" dxfId="0" priority="4269" operator="equal">
      <formula>"未完成"</formula>
    </cfRule>
  </conditionalFormatting>
  <conditionalFormatting sqref="S272">
    <cfRule type="cellIs" dxfId="0" priority="4190" operator="equal">
      <formula>"欠"</formula>
    </cfRule>
  </conditionalFormatting>
  <conditionalFormatting sqref="T272">
    <cfRule type="containsText" dxfId="3" priority="4164" operator="between" text="欠">
      <formula>NOT(ISERROR(SEARCH("欠",T272)))</formula>
    </cfRule>
  </conditionalFormatting>
  <conditionalFormatting sqref="AE272">
    <cfRule type="cellIs" dxfId="0" priority="4294" operator="equal">
      <formula>"未完成"</formula>
    </cfRule>
  </conditionalFormatting>
  <conditionalFormatting sqref="AF272">
    <cfRule type="cellIs" dxfId="0" priority="1477" operator="equal">
      <formula>"未完成"</formula>
    </cfRule>
  </conditionalFormatting>
  <conditionalFormatting sqref="AJ272:AK272">
    <cfRule type="cellIs" dxfId="1" priority="4242" operator="equal">
      <formula>"未完成"</formula>
    </cfRule>
    <cfRule type="cellIs" dxfId="0" priority="4268" operator="equal">
      <formula>"未完成"</formula>
    </cfRule>
  </conditionalFormatting>
  <conditionalFormatting sqref="S273">
    <cfRule type="cellIs" dxfId="0" priority="4189" operator="equal">
      <formula>"欠"</formula>
    </cfRule>
  </conditionalFormatting>
  <conditionalFormatting sqref="T273">
    <cfRule type="containsText" dxfId="3" priority="4163" operator="between" text="欠">
      <formula>NOT(ISERROR(SEARCH("欠",T273)))</formula>
    </cfRule>
  </conditionalFormatting>
  <conditionalFormatting sqref="AE273">
    <cfRule type="cellIs" dxfId="0" priority="4293" operator="equal">
      <formula>"未完成"</formula>
    </cfRule>
  </conditionalFormatting>
  <conditionalFormatting sqref="AF273">
    <cfRule type="cellIs" dxfId="0" priority="1476" operator="equal">
      <formula>"未完成"</formula>
    </cfRule>
  </conditionalFormatting>
  <conditionalFormatting sqref="AJ273:AK273">
    <cfRule type="cellIs" dxfId="1" priority="4241" operator="equal">
      <formula>"未完成"</formula>
    </cfRule>
    <cfRule type="cellIs" dxfId="0" priority="4267" operator="equal">
      <formula>"未完成"</formula>
    </cfRule>
  </conditionalFormatting>
  <conditionalFormatting sqref="S274">
    <cfRule type="cellIs" dxfId="0" priority="4188" operator="equal">
      <formula>"欠"</formula>
    </cfRule>
  </conditionalFormatting>
  <conditionalFormatting sqref="T274">
    <cfRule type="containsText" dxfId="3" priority="4162" operator="between" text="欠">
      <formula>NOT(ISERROR(SEARCH("欠",T274)))</formula>
    </cfRule>
  </conditionalFormatting>
  <conditionalFormatting sqref="AE274">
    <cfRule type="cellIs" dxfId="0" priority="4292" operator="equal">
      <formula>"未完成"</formula>
    </cfRule>
  </conditionalFormatting>
  <conditionalFormatting sqref="AF274">
    <cfRule type="cellIs" dxfId="0" priority="1475" operator="equal">
      <formula>"未完成"</formula>
    </cfRule>
  </conditionalFormatting>
  <conditionalFormatting sqref="AJ274:AK274">
    <cfRule type="cellIs" dxfId="1" priority="4240" operator="equal">
      <formula>"未完成"</formula>
    </cfRule>
    <cfRule type="cellIs" dxfId="0" priority="4266" operator="equal">
      <formula>"未完成"</formula>
    </cfRule>
  </conditionalFormatting>
  <conditionalFormatting sqref="S275">
    <cfRule type="cellIs" dxfId="0" priority="4187" operator="equal">
      <formula>"欠"</formula>
    </cfRule>
  </conditionalFormatting>
  <conditionalFormatting sqref="T275">
    <cfRule type="containsText" dxfId="3" priority="4161" operator="between" text="欠">
      <formula>NOT(ISERROR(SEARCH("欠",T275)))</formula>
    </cfRule>
  </conditionalFormatting>
  <conditionalFormatting sqref="AE275">
    <cfRule type="cellIs" dxfId="0" priority="4291" operator="equal">
      <formula>"未完成"</formula>
    </cfRule>
  </conditionalFormatting>
  <conditionalFormatting sqref="AF275">
    <cfRule type="cellIs" dxfId="0" priority="1474" operator="equal">
      <formula>"未完成"</formula>
    </cfRule>
  </conditionalFormatting>
  <conditionalFormatting sqref="AJ275:AK275">
    <cfRule type="cellIs" dxfId="1" priority="4239" operator="equal">
      <formula>"未完成"</formula>
    </cfRule>
    <cfRule type="cellIs" dxfId="0" priority="4265" operator="equal">
      <formula>"未完成"</formula>
    </cfRule>
  </conditionalFormatting>
  <conditionalFormatting sqref="S276">
    <cfRule type="cellIs" dxfId="0" priority="4186" operator="equal">
      <formula>"欠"</formula>
    </cfRule>
  </conditionalFormatting>
  <conditionalFormatting sqref="T276">
    <cfRule type="containsText" dxfId="3" priority="4160" operator="between" text="欠">
      <formula>NOT(ISERROR(SEARCH("欠",T276)))</formula>
    </cfRule>
  </conditionalFormatting>
  <conditionalFormatting sqref="AE276">
    <cfRule type="cellIs" dxfId="0" priority="4290" operator="equal">
      <formula>"未完成"</formula>
    </cfRule>
  </conditionalFormatting>
  <conditionalFormatting sqref="AF276">
    <cfRule type="cellIs" dxfId="0" priority="1473" operator="equal">
      <formula>"未完成"</formula>
    </cfRule>
  </conditionalFormatting>
  <conditionalFormatting sqref="AJ276:AK276">
    <cfRule type="cellIs" dxfId="1" priority="4238" operator="equal">
      <formula>"未完成"</formula>
    </cfRule>
    <cfRule type="cellIs" dxfId="0" priority="4264" operator="equal">
      <formula>"未完成"</formula>
    </cfRule>
  </conditionalFormatting>
  <conditionalFormatting sqref="S277">
    <cfRule type="cellIs" dxfId="0" priority="4185" operator="equal">
      <formula>"欠"</formula>
    </cfRule>
  </conditionalFormatting>
  <conditionalFormatting sqref="T277">
    <cfRule type="containsText" dxfId="3" priority="4159" operator="between" text="欠">
      <formula>NOT(ISERROR(SEARCH("欠",T277)))</formula>
    </cfRule>
  </conditionalFormatting>
  <conditionalFormatting sqref="AE277">
    <cfRule type="cellIs" dxfId="0" priority="4289" operator="equal">
      <formula>"未完成"</formula>
    </cfRule>
  </conditionalFormatting>
  <conditionalFormatting sqref="AF277">
    <cfRule type="cellIs" dxfId="0" priority="1472" operator="equal">
      <formula>"未完成"</formula>
    </cfRule>
  </conditionalFormatting>
  <conditionalFormatting sqref="AJ277:AK277">
    <cfRule type="cellIs" dxfId="1" priority="4237" operator="equal">
      <formula>"未完成"</formula>
    </cfRule>
    <cfRule type="cellIs" dxfId="0" priority="4263" operator="equal">
      <formula>"未完成"</formula>
    </cfRule>
  </conditionalFormatting>
  <conditionalFormatting sqref="S278">
    <cfRule type="cellIs" dxfId="0" priority="4184" operator="equal">
      <formula>"欠"</formula>
    </cfRule>
  </conditionalFormatting>
  <conditionalFormatting sqref="T278">
    <cfRule type="containsText" dxfId="3" priority="4158" operator="between" text="欠">
      <formula>NOT(ISERROR(SEARCH("欠",T278)))</formula>
    </cfRule>
  </conditionalFormatting>
  <conditionalFormatting sqref="AE278">
    <cfRule type="cellIs" dxfId="0" priority="4288" operator="equal">
      <formula>"未完成"</formula>
    </cfRule>
  </conditionalFormatting>
  <conditionalFormatting sqref="AF278">
    <cfRule type="cellIs" dxfId="0" priority="1471" operator="equal">
      <formula>"未完成"</formula>
    </cfRule>
  </conditionalFormatting>
  <conditionalFormatting sqref="AJ278:AK278">
    <cfRule type="cellIs" dxfId="1" priority="4236" operator="equal">
      <formula>"未完成"</formula>
    </cfRule>
    <cfRule type="cellIs" dxfId="0" priority="4262" operator="equal">
      <formula>"未完成"</formula>
    </cfRule>
  </conditionalFormatting>
  <conditionalFormatting sqref="S279">
    <cfRule type="cellIs" dxfId="0" priority="4183" operator="equal">
      <formula>"欠"</formula>
    </cfRule>
  </conditionalFormatting>
  <conditionalFormatting sqref="T279">
    <cfRule type="containsText" dxfId="3" priority="4157" operator="between" text="欠">
      <formula>NOT(ISERROR(SEARCH("欠",T279)))</formula>
    </cfRule>
  </conditionalFormatting>
  <conditionalFormatting sqref="AE279">
    <cfRule type="cellIs" dxfId="0" priority="4287" operator="equal">
      <formula>"未完成"</formula>
    </cfRule>
  </conditionalFormatting>
  <conditionalFormatting sqref="AF279">
    <cfRule type="cellIs" dxfId="0" priority="1470" operator="equal">
      <formula>"未完成"</formula>
    </cfRule>
  </conditionalFormatting>
  <conditionalFormatting sqref="AJ279:AK279">
    <cfRule type="cellIs" dxfId="1" priority="4235" operator="equal">
      <formula>"未完成"</formula>
    </cfRule>
    <cfRule type="cellIs" dxfId="0" priority="4261" operator="equal">
      <formula>"未完成"</formula>
    </cfRule>
  </conditionalFormatting>
  <conditionalFormatting sqref="S280">
    <cfRule type="cellIs" dxfId="0" priority="4182" operator="equal">
      <formula>"欠"</formula>
    </cfRule>
  </conditionalFormatting>
  <conditionalFormatting sqref="T280">
    <cfRule type="containsText" dxfId="3" priority="4156" operator="between" text="欠">
      <formula>NOT(ISERROR(SEARCH("欠",T280)))</formula>
    </cfRule>
  </conditionalFormatting>
  <conditionalFormatting sqref="AE280">
    <cfRule type="cellIs" dxfId="0" priority="4286" operator="equal">
      <formula>"未完成"</formula>
    </cfRule>
  </conditionalFormatting>
  <conditionalFormatting sqref="AF280">
    <cfRule type="cellIs" dxfId="0" priority="1469" operator="equal">
      <formula>"未完成"</formula>
    </cfRule>
  </conditionalFormatting>
  <conditionalFormatting sqref="AJ280:AK280">
    <cfRule type="cellIs" dxfId="1" priority="4234" operator="equal">
      <formula>"未完成"</formula>
    </cfRule>
    <cfRule type="cellIs" dxfId="0" priority="4260" operator="equal">
      <formula>"未完成"</formula>
    </cfRule>
  </conditionalFormatting>
  <conditionalFormatting sqref="S281">
    <cfRule type="cellIs" dxfId="0" priority="4181" operator="equal">
      <formula>"欠"</formula>
    </cfRule>
  </conditionalFormatting>
  <conditionalFormatting sqref="T281">
    <cfRule type="containsText" dxfId="3" priority="4155" operator="between" text="欠">
      <formula>NOT(ISERROR(SEARCH("欠",T281)))</formula>
    </cfRule>
  </conditionalFormatting>
  <conditionalFormatting sqref="AE281">
    <cfRule type="cellIs" dxfId="0" priority="4285" operator="equal">
      <formula>"未完成"</formula>
    </cfRule>
  </conditionalFormatting>
  <conditionalFormatting sqref="AF281">
    <cfRule type="cellIs" dxfId="0" priority="1468" operator="equal">
      <formula>"未完成"</formula>
    </cfRule>
  </conditionalFormatting>
  <conditionalFormatting sqref="AJ281:AK281">
    <cfRule type="cellIs" dxfId="1" priority="4233" operator="equal">
      <formula>"未完成"</formula>
    </cfRule>
    <cfRule type="cellIs" dxfId="0" priority="4259" operator="equal">
      <formula>"未完成"</formula>
    </cfRule>
  </conditionalFormatting>
  <conditionalFormatting sqref="S282">
    <cfRule type="cellIs" dxfId="0" priority="4180" operator="equal">
      <formula>"欠"</formula>
    </cfRule>
  </conditionalFormatting>
  <conditionalFormatting sqref="T282">
    <cfRule type="containsText" dxfId="3" priority="4154" operator="between" text="欠">
      <formula>NOT(ISERROR(SEARCH("欠",T282)))</formula>
    </cfRule>
  </conditionalFormatting>
  <conditionalFormatting sqref="AE282">
    <cfRule type="cellIs" dxfId="0" priority="4284" operator="equal">
      <formula>"未完成"</formula>
    </cfRule>
  </conditionalFormatting>
  <conditionalFormatting sqref="AF282">
    <cfRule type="cellIs" dxfId="0" priority="1467" operator="equal">
      <formula>"未完成"</formula>
    </cfRule>
  </conditionalFormatting>
  <conditionalFormatting sqref="AJ282:AK282">
    <cfRule type="cellIs" dxfId="1" priority="4232" operator="equal">
      <formula>"未完成"</formula>
    </cfRule>
    <cfRule type="cellIs" dxfId="0" priority="4258" operator="equal">
      <formula>"未完成"</formula>
    </cfRule>
  </conditionalFormatting>
  <conditionalFormatting sqref="S283">
    <cfRule type="cellIs" dxfId="0" priority="4179" operator="equal">
      <formula>"欠"</formula>
    </cfRule>
  </conditionalFormatting>
  <conditionalFormatting sqref="T283">
    <cfRule type="containsText" dxfId="3" priority="4153" operator="between" text="欠">
      <formula>NOT(ISERROR(SEARCH("欠",T283)))</formula>
    </cfRule>
  </conditionalFormatting>
  <conditionalFormatting sqref="AE283">
    <cfRule type="cellIs" dxfId="0" priority="4283" operator="equal">
      <formula>"未完成"</formula>
    </cfRule>
  </conditionalFormatting>
  <conditionalFormatting sqref="AF283">
    <cfRule type="cellIs" dxfId="0" priority="1466" operator="equal">
      <formula>"未完成"</formula>
    </cfRule>
  </conditionalFormatting>
  <conditionalFormatting sqref="AJ283:AK283">
    <cfRule type="cellIs" dxfId="1" priority="4231" operator="equal">
      <formula>"未完成"</formula>
    </cfRule>
    <cfRule type="cellIs" dxfId="0" priority="4257" operator="equal">
      <formula>"未完成"</formula>
    </cfRule>
  </conditionalFormatting>
  <conditionalFormatting sqref="S284">
    <cfRule type="cellIs" dxfId="0" priority="4178" operator="equal">
      <formula>"欠"</formula>
    </cfRule>
  </conditionalFormatting>
  <conditionalFormatting sqref="T284">
    <cfRule type="containsText" dxfId="3" priority="4152" operator="between" text="欠">
      <formula>NOT(ISERROR(SEARCH("欠",T284)))</formula>
    </cfRule>
  </conditionalFormatting>
  <conditionalFormatting sqref="AE284">
    <cfRule type="cellIs" dxfId="0" priority="4282" operator="equal">
      <formula>"未完成"</formula>
    </cfRule>
  </conditionalFormatting>
  <conditionalFormatting sqref="AF284">
    <cfRule type="cellIs" dxfId="0" priority="1465" operator="equal">
      <formula>"未完成"</formula>
    </cfRule>
  </conditionalFormatting>
  <conditionalFormatting sqref="AJ284:AK284">
    <cfRule type="cellIs" dxfId="1" priority="4230" operator="equal">
      <formula>"未完成"</formula>
    </cfRule>
    <cfRule type="cellIs" dxfId="0" priority="4256" operator="equal">
      <formula>"未完成"</formula>
    </cfRule>
  </conditionalFormatting>
  <conditionalFormatting sqref="S285">
    <cfRule type="cellIs" dxfId="0" priority="4177" operator="equal">
      <formula>"欠"</formula>
    </cfRule>
  </conditionalFormatting>
  <conditionalFormatting sqref="T285">
    <cfRule type="containsText" dxfId="3" priority="4151" operator="between" text="欠">
      <formula>NOT(ISERROR(SEARCH("欠",T285)))</formula>
    </cfRule>
  </conditionalFormatting>
  <conditionalFormatting sqref="AE285">
    <cfRule type="cellIs" dxfId="0" priority="4281" operator="equal">
      <formula>"未完成"</formula>
    </cfRule>
  </conditionalFormatting>
  <conditionalFormatting sqref="AF285">
    <cfRule type="cellIs" dxfId="0" priority="1464" operator="equal">
      <formula>"未完成"</formula>
    </cfRule>
  </conditionalFormatting>
  <conditionalFormatting sqref="AJ285:AK285">
    <cfRule type="cellIs" dxfId="1" priority="4229" operator="equal">
      <formula>"未完成"</formula>
    </cfRule>
    <cfRule type="cellIs" dxfId="0" priority="4255" operator="equal">
      <formula>"未完成"</formula>
    </cfRule>
  </conditionalFormatting>
  <conditionalFormatting sqref="S286">
    <cfRule type="cellIs" dxfId="0" priority="4176" operator="equal">
      <formula>"欠"</formula>
    </cfRule>
  </conditionalFormatting>
  <conditionalFormatting sqref="T286">
    <cfRule type="containsText" dxfId="3" priority="4150" operator="between" text="欠">
      <formula>NOT(ISERROR(SEARCH("欠",T286)))</formula>
    </cfRule>
  </conditionalFormatting>
  <conditionalFormatting sqref="AE286">
    <cfRule type="cellIs" dxfId="0" priority="4280" operator="equal">
      <formula>"未完成"</formula>
    </cfRule>
  </conditionalFormatting>
  <conditionalFormatting sqref="AF286">
    <cfRule type="cellIs" dxfId="0" priority="1463" operator="equal">
      <formula>"未完成"</formula>
    </cfRule>
  </conditionalFormatting>
  <conditionalFormatting sqref="AJ286:AK286">
    <cfRule type="cellIs" dxfId="1" priority="4228" operator="equal">
      <formula>"未完成"</formula>
    </cfRule>
    <cfRule type="cellIs" dxfId="0" priority="4254" operator="equal">
      <formula>"未完成"</formula>
    </cfRule>
  </conditionalFormatting>
  <conditionalFormatting sqref="S287">
    <cfRule type="cellIs" dxfId="0" priority="4175" operator="equal">
      <formula>"欠"</formula>
    </cfRule>
  </conditionalFormatting>
  <conditionalFormatting sqref="T287">
    <cfRule type="containsText" dxfId="3" priority="4149" operator="between" text="欠">
      <formula>NOT(ISERROR(SEARCH("欠",T287)))</formula>
    </cfRule>
  </conditionalFormatting>
  <conditionalFormatting sqref="AE287">
    <cfRule type="cellIs" dxfId="0" priority="4279" operator="equal">
      <formula>"未完成"</formula>
    </cfRule>
  </conditionalFormatting>
  <conditionalFormatting sqref="AF287">
    <cfRule type="cellIs" dxfId="0" priority="1462" operator="equal">
      <formula>"未完成"</formula>
    </cfRule>
  </conditionalFormatting>
  <conditionalFormatting sqref="AJ287:AK287">
    <cfRule type="cellIs" dxfId="1" priority="4227" operator="equal">
      <formula>"未完成"</formula>
    </cfRule>
    <cfRule type="cellIs" dxfId="0" priority="4253" operator="equal">
      <formula>"未完成"</formula>
    </cfRule>
  </conditionalFormatting>
  <conditionalFormatting sqref="S288">
    <cfRule type="cellIs" dxfId="0" priority="4174" operator="equal">
      <formula>"欠"</formula>
    </cfRule>
  </conditionalFormatting>
  <conditionalFormatting sqref="T288">
    <cfRule type="containsText" dxfId="3" priority="4148" operator="between" text="欠">
      <formula>NOT(ISERROR(SEARCH("欠",T288)))</formula>
    </cfRule>
  </conditionalFormatting>
  <conditionalFormatting sqref="AE288">
    <cfRule type="cellIs" dxfId="0" priority="4278" operator="equal">
      <formula>"未完成"</formula>
    </cfRule>
  </conditionalFormatting>
  <conditionalFormatting sqref="AF288">
    <cfRule type="cellIs" dxfId="0" priority="1461" operator="equal">
      <formula>"未完成"</formula>
    </cfRule>
  </conditionalFormatting>
  <conditionalFormatting sqref="AJ288:AK288">
    <cfRule type="cellIs" dxfId="1" priority="4226" operator="equal">
      <formula>"未完成"</formula>
    </cfRule>
    <cfRule type="cellIs" dxfId="0" priority="4252" operator="equal">
      <formula>"未完成"</formula>
    </cfRule>
  </conditionalFormatting>
  <conditionalFormatting sqref="S289">
    <cfRule type="cellIs" dxfId="0" priority="4173" operator="equal">
      <formula>"欠"</formula>
    </cfRule>
  </conditionalFormatting>
  <conditionalFormatting sqref="T289">
    <cfRule type="containsText" dxfId="3" priority="4147" operator="between" text="欠">
      <formula>NOT(ISERROR(SEARCH("欠",T289)))</formula>
    </cfRule>
  </conditionalFormatting>
  <conditionalFormatting sqref="AE289">
    <cfRule type="cellIs" dxfId="0" priority="4277" operator="equal">
      <formula>"未完成"</formula>
    </cfRule>
  </conditionalFormatting>
  <conditionalFormatting sqref="AF289">
    <cfRule type="cellIs" dxfId="0" priority="1460" operator="equal">
      <formula>"未完成"</formula>
    </cfRule>
  </conditionalFormatting>
  <conditionalFormatting sqref="AJ289:AK289">
    <cfRule type="cellIs" dxfId="1" priority="4225" operator="equal">
      <formula>"未完成"</formula>
    </cfRule>
    <cfRule type="cellIs" dxfId="0" priority="4251" operator="equal">
      <formula>"未完成"</formula>
    </cfRule>
  </conditionalFormatting>
  <conditionalFormatting sqref="S290">
    <cfRule type="cellIs" dxfId="0" priority="4172" operator="equal">
      <formula>"欠"</formula>
    </cfRule>
  </conditionalFormatting>
  <conditionalFormatting sqref="T290">
    <cfRule type="containsText" dxfId="3" priority="4146" operator="between" text="欠">
      <formula>NOT(ISERROR(SEARCH("欠",T290)))</formula>
    </cfRule>
  </conditionalFormatting>
  <conditionalFormatting sqref="AE290">
    <cfRule type="cellIs" dxfId="0" priority="4276" operator="equal">
      <formula>"未完成"</formula>
    </cfRule>
  </conditionalFormatting>
  <conditionalFormatting sqref="AF290">
    <cfRule type="cellIs" dxfId="0" priority="1459" operator="equal">
      <formula>"未完成"</formula>
    </cfRule>
  </conditionalFormatting>
  <conditionalFormatting sqref="AJ290:AK290">
    <cfRule type="cellIs" dxfId="1" priority="4224" operator="equal">
      <formula>"未完成"</formula>
    </cfRule>
    <cfRule type="cellIs" dxfId="0" priority="4250" operator="equal">
      <formula>"未完成"</formula>
    </cfRule>
  </conditionalFormatting>
  <conditionalFormatting sqref="AE291">
    <cfRule type="cellIs" dxfId="0" priority="4275" operator="equal">
      <formula>"未完成"</formula>
    </cfRule>
  </conditionalFormatting>
  <conditionalFormatting sqref="AF291">
    <cfRule type="cellIs" dxfId="0" priority="1458" operator="equal">
      <formula>"未完成"</formula>
    </cfRule>
  </conditionalFormatting>
  <conditionalFormatting sqref="AJ291:AK291">
    <cfRule type="cellIs" dxfId="1" priority="4223" operator="equal">
      <formula>"未完成"</formula>
    </cfRule>
    <cfRule type="cellIs" dxfId="0" priority="4249" operator="equal">
      <formula>"未完成"</formula>
    </cfRule>
  </conditionalFormatting>
  <conditionalFormatting sqref="S292">
    <cfRule type="cellIs" dxfId="0" priority="4170" operator="equal">
      <formula>"欠"</formula>
    </cfRule>
  </conditionalFormatting>
  <conditionalFormatting sqref="T292">
    <cfRule type="containsText" dxfId="3" priority="4144" operator="between" text="欠">
      <formula>NOT(ISERROR(SEARCH("欠",T292)))</formula>
    </cfRule>
  </conditionalFormatting>
  <conditionalFormatting sqref="AE292">
    <cfRule type="cellIs" dxfId="0" priority="4274" operator="equal">
      <formula>"未完成"</formula>
    </cfRule>
  </conditionalFormatting>
  <conditionalFormatting sqref="AF292">
    <cfRule type="cellIs" dxfId="0" priority="1457" operator="equal">
      <formula>"未完成"</formula>
    </cfRule>
  </conditionalFormatting>
  <conditionalFormatting sqref="AJ292:AK292">
    <cfRule type="cellIs" dxfId="1" priority="4222" operator="equal">
      <formula>"未完成"</formula>
    </cfRule>
    <cfRule type="cellIs" dxfId="0" priority="4248" operator="equal">
      <formula>"未完成"</formula>
    </cfRule>
  </conditionalFormatting>
  <conditionalFormatting sqref="T293">
    <cfRule type="containsText" dxfId="3" priority="4143" operator="between" text="欠">
      <formula>NOT(ISERROR(SEARCH("欠",T293)))</formula>
    </cfRule>
  </conditionalFormatting>
  <conditionalFormatting sqref="AE293">
    <cfRule type="cellIs" dxfId="0" priority="4273" operator="equal">
      <formula>"未完成"</formula>
    </cfRule>
  </conditionalFormatting>
  <conditionalFormatting sqref="AF293">
    <cfRule type="cellIs" dxfId="0" priority="1456" operator="equal">
      <formula>"未完成"</formula>
    </cfRule>
  </conditionalFormatting>
  <conditionalFormatting sqref="AJ293:AK293">
    <cfRule type="cellIs" dxfId="1" priority="4221" operator="equal">
      <formula>"未完成"</formula>
    </cfRule>
    <cfRule type="cellIs" dxfId="0" priority="4247" operator="equal">
      <formula>"未完成"</formula>
    </cfRule>
  </conditionalFormatting>
  <conditionalFormatting sqref="S294">
    <cfRule type="cellIs" dxfId="0" priority="4168" operator="equal">
      <formula>"欠"</formula>
    </cfRule>
  </conditionalFormatting>
  <conditionalFormatting sqref="T294">
    <cfRule type="containsText" dxfId="3" priority="4142" operator="between" text="欠">
      <formula>NOT(ISERROR(SEARCH("欠",T294)))</formula>
    </cfRule>
  </conditionalFormatting>
  <conditionalFormatting sqref="AE294">
    <cfRule type="cellIs" dxfId="0" priority="4272" operator="equal">
      <formula>"未完成"</formula>
    </cfRule>
  </conditionalFormatting>
  <conditionalFormatting sqref="AF294">
    <cfRule type="cellIs" dxfId="0" priority="1455" operator="equal">
      <formula>"未完成"</formula>
    </cfRule>
  </conditionalFormatting>
  <conditionalFormatting sqref="AJ294:AK294">
    <cfRule type="cellIs" dxfId="1" priority="4220" operator="equal">
      <formula>"未完成"</formula>
    </cfRule>
    <cfRule type="cellIs" dxfId="0" priority="4246" operator="equal">
      <formula>"未完成"</formula>
    </cfRule>
  </conditionalFormatting>
  <conditionalFormatting sqref="S295">
    <cfRule type="cellIs" dxfId="0" priority="4167" operator="equal">
      <formula>"欠"</formula>
    </cfRule>
  </conditionalFormatting>
  <conditionalFormatting sqref="T295">
    <cfRule type="containsText" dxfId="3" priority="4141" operator="between" text="欠">
      <formula>NOT(ISERROR(SEARCH("欠",T295)))</formula>
    </cfRule>
  </conditionalFormatting>
  <conditionalFormatting sqref="AE295">
    <cfRule type="cellIs" dxfId="0" priority="4271" operator="equal">
      <formula>"未完成"</formula>
    </cfRule>
  </conditionalFormatting>
  <conditionalFormatting sqref="AF295">
    <cfRule type="cellIs" dxfId="0" priority="1454" operator="equal">
      <formula>"未完成"</formula>
    </cfRule>
  </conditionalFormatting>
  <conditionalFormatting sqref="AJ295:AK295">
    <cfRule type="cellIs" dxfId="1" priority="4219" operator="equal">
      <formula>"未完成"</formula>
    </cfRule>
    <cfRule type="cellIs" dxfId="0" priority="4245" operator="equal">
      <formula>"未完成"</formula>
    </cfRule>
  </conditionalFormatting>
  <conditionalFormatting sqref="S296">
    <cfRule type="cellIs" dxfId="0" priority="4079" operator="equal">
      <formula>"欠"</formula>
    </cfRule>
  </conditionalFormatting>
  <conditionalFormatting sqref="T296">
    <cfRule type="containsText" dxfId="3" priority="4066" operator="between" text="欠">
      <formula>NOT(ISERROR(SEARCH("欠",T296)))</formula>
    </cfRule>
  </conditionalFormatting>
  <conditionalFormatting sqref="AE296">
    <cfRule type="cellIs" dxfId="0" priority="4131" operator="equal">
      <formula>"未完成"</formula>
    </cfRule>
  </conditionalFormatting>
  <conditionalFormatting sqref="AF296">
    <cfRule type="cellIs" dxfId="0" priority="1453" operator="equal">
      <formula>"未完成"</formula>
    </cfRule>
  </conditionalFormatting>
  <conditionalFormatting sqref="AJ296:AK296">
    <cfRule type="cellIs" dxfId="1" priority="4105" operator="equal">
      <formula>"未完成"</formula>
    </cfRule>
    <cfRule type="cellIs" dxfId="0" priority="4118" operator="equal">
      <formula>"未完成"</formula>
    </cfRule>
  </conditionalFormatting>
  <conditionalFormatting sqref="S297">
    <cfRule type="cellIs" dxfId="0" priority="4078" operator="equal">
      <formula>"欠"</formula>
    </cfRule>
  </conditionalFormatting>
  <conditionalFormatting sqref="T297">
    <cfRule type="containsText" dxfId="3" priority="4065" operator="between" text="欠">
      <formula>NOT(ISERROR(SEARCH("欠",T297)))</formula>
    </cfRule>
  </conditionalFormatting>
  <conditionalFormatting sqref="AE297">
    <cfRule type="cellIs" dxfId="0" priority="4130" operator="equal">
      <formula>"未完成"</formula>
    </cfRule>
  </conditionalFormatting>
  <conditionalFormatting sqref="AF297">
    <cfRule type="cellIs" dxfId="0" priority="1452" operator="equal">
      <formula>"未完成"</formula>
    </cfRule>
  </conditionalFormatting>
  <conditionalFormatting sqref="AJ297:AK297">
    <cfRule type="cellIs" dxfId="1" priority="4104" operator="equal">
      <formula>"未完成"</formula>
    </cfRule>
    <cfRule type="cellIs" dxfId="0" priority="4117" operator="equal">
      <formula>"未完成"</formula>
    </cfRule>
  </conditionalFormatting>
  <conditionalFormatting sqref="S298">
    <cfRule type="cellIs" dxfId="0" priority="4077" operator="equal">
      <formula>"欠"</formula>
    </cfRule>
  </conditionalFormatting>
  <conditionalFormatting sqref="T298">
    <cfRule type="containsText" dxfId="3" priority="4064" operator="between" text="欠">
      <formula>NOT(ISERROR(SEARCH("欠",T298)))</formula>
    </cfRule>
  </conditionalFormatting>
  <conditionalFormatting sqref="AE298">
    <cfRule type="cellIs" dxfId="0" priority="4129" operator="equal">
      <formula>"未完成"</formula>
    </cfRule>
  </conditionalFormatting>
  <conditionalFormatting sqref="AF298">
    <cfRule type="cellIs" dxfId="0" priority="1451" operator="equal">
      <formula>"未完成"</formula>
    </cfRule>
  </conditionalFormatting>
  <conditionalFormatting sqref="AJ298:AK298">
    <cfRule type="cellIs" dxfId="1" priority="4103" operator="equal">
      <formula>"未完成"</formula>
    </cfRule>
    <cfRule type="cellIs" dxfId="0" priority="4116" operator="equal">
      <formula>"未完成"</formula>
    </cfRule>
  </conditionalFormatting>
  <conditionalFormatting sqref="S299">
    <cfRule type="cellIs" dxfId="0" priority="4076" operator="equal">
      <formula>"欠"</formula>
    </cfRule>
  </conditionalFormatting>
  <conditionalFormatting sqref="T299">
    <cfRule type="containsText" dxfId="3" priority="4063" operator="between" text="欠">
      <formula>NOT(ISERROR(SEARCH("欠",T299)))</formula>
    </cfRule>
  </conditionalFormatting>
  <conditionalFormatting sqref="AE299">
    <cfRule type="cellIs" dxfId="0" priority="4128" operator="equal">
      <formula>"未完成"</formula>
    </cfRule>
  </conditionalFormatting>
  <conditionalFormatting sqref="AF299">
    <cfRule type="cellIs" dxfId="0" priority="1450" operator="equal">
      <formula>"未完成"</formula>
    </cfRule>
  </conditionalFormatting>
  <conditionalFormatting sqref="AJ299:AK299">
    <cfRule type="cellIs" dxfId="1" priority="4102" operator="equal">
      <formula>"未完成"</formula>
    </cfRule>
    <cfRule type="cellIs" dxfId="0" priority="4115" operator="equal">
      <formula>"未完成"</formula>
    </cfRule>
  </conditionalFormatting>
  <conditionalFormatting sqref="S300">
    <cfRule type="cellIs" dxfId="0" priority="4075" operator="equal">
      <formula>"欠"</formula>
    </cfRule>
  </conditionalFormatting>
  <conditionalFormatting sqref="T300">
    <cfRule type="containsText" dxfId="3" priority="4062" operator="between" text="欠">
      <formula>NOT(ISERROR(SEARCH("欠",T300)))</formula>
    </cfRule>
  </conditionalFormatting>
  <conditionalFormatting sqref="AE300">
    <cfRule type="cellIs" dxfId="0" priority="4127" operator="equal">
      <formula>"未完成"</formula>
    </cfRule>
  </conditionalFormatting>
  <conditionalFormatting sqref="AF300">
    <cfRule type="cellIs" dxfId="0" priority="1449" operator="equal">
      <formula>"未完成"</formula>
    </cfRule>
  </conditionalFormatting>
  <conditionalFormatting sqref="AJ300:AK300">
    <cfRule type="cellIs" dxfId="1" priority="4101" operator="equal">
      <formula>"未完成"</formula>
    </cfRule>
    <cfRule type="cellIs" dxfId="0" priority="4114" operator="equal">
      <formula>"未完成"</formula>
    </cfRule>
  </conditionalFormatting>
  <conditionalFormatting sqref="S301">
    <cfRule type="cellIs" dxfId="0" priority="4074" operator="equal">
      <formula>"欠"</formula>
    </cfRule>
  </conditionalFormatting>
  <conditionalFormatting sqref="T301">
    <cfRule type="containsText" dxfId="3" priority="4061" operator="between" text="欠">
      <formula>NOT(ISERROR(SEARCH("欠",T301)))</formula>
    </cfRule>
  </conditionalFormatting>
  <conditionalFormatting sqref="AE301">
    <cfRule type="cellIs" dxfId="0" priority="4126" operator="equal">
      <formula>"未完成"</formula>
    </cfRule>
  </conditionalFormatting>
  <conditionalFormatting sqref="AF301">
    <cfRule type="cellIs" dxfId="0" priority="1448" operator="equal">
      <formula>"未完成"</formula>
    </cfRule>
  </conditionalFormatting>
  <conditionalFormatting sqref="AJ301:AK301">
    <cfRule type="cellIs" dxfId="1" priority="4100" operator="equal">
      <formula>"未完成"</formula>
    </cfRule>
    <cfRule type="cellIs" dxfId="0" priority="4113" operator="equal">
      <formula>"未完成"</formula>
    </cfRule>
  </conditionalFormatting>
  <conditionalFormatting sqref="S302">
    <cfRule type="cellIs" dxfId="0" priority="4073" operator="equal">
      <formula>"欠"</formula>
    </cfRule>
  </conditionalFormatting>
  <conditionalFormatting sqref="T302">
    <cfRule type="containsText" dxfId="3" priority="4060" operator="between" text="欠">
      <formula>NOT(ISERROR(SEARCH("欠",T302)))</formula>
    </cfRule>
  </conditionalFormatting>
  <conditionalFormatting sqref="AE302">
    <cfRule type="cellIs" dxfId="0" priority="4125" operator="equal">
      <formula>"未完成"</formula>
    </cfRule>
  </conditionalFormatting>
  <conditionalFormatting sqref="AF302">
    <cfRule type="cellIs" dxfId="0" priority="1447" operator="equal">
      <formula>"未完成"</formula>
    </cfRule>
  </conditionalFormatting>
  <conditionalFormatting sqref="AJ302:AK302">
    <cfRule type="cellIs" dxfId="1" priority="4099" operator="equal">
      <formula>"未完成"</formula>
    </cfRule>
    <cfRule type="cellIs" dxfId="0" priority="4112" operator="equal">
      <formula>"未完成"</formula>
    </cfRule>
  </conditionalFormatting>
  <conditionalFormatting sqref="S303">
    <cfRule type="cellIs" dxfId="0" priority="4072" operator="equal">
      <formula>"欠"</formula>
    </cfRule>
  </conditionalFormatting>
  <conditionalFormatting sqref="T303">
    <cfRule type="containsText" dxfId="3" priority="4059" operator="between" text="欠">
      <formula>NOT(ISERROR(SEARCH("欠",T303)))</formula>
    </cfRule>
  </conditionalFormatting>
  <conditionalFormatting sqref="AE303">
    <cfRule type="cellIs" dxfId="0" priority="4124" operator="equal">
      <formula>"未完成"</formula>
    </cfRule>
  </conditionalFormatting>
  <conditionalFormatting sqref="AF303">
    <cfRule type="cellIs" dxfId="0" priority="1446" operator="equal">
      <formula>"未完成"</formula>
    </cfRule>
  </conditionalFormatting>
  <conditionalFormatting sqref="AJ303:AK303">
    <cfRule type="cellIs" dxfId="1" priority="4098" operator="equal">
      <formula>"未完成"</formula>
    </cfRule>
    <cfRule type="cellIs" dxfId="0" priority="4111" operator="equal">
      <formula>"未完成"</formula>
    </cfRule>
  </conditionalFormatting>
  <conditionalFormatting sqref="S304">
    <cfRule type="cellIs" dxfId="0" priority="4071" operator="equal">
      <formula>"欠"</formula>
    </cfRule>
  </conditionalFormatting>
  <conditionalFormatting sqref="T304">
    <cfRule type="containsText" dxfId="3" priority="4058" operator="between" text="欠">
      <formula>NOT(ISERROR(SEARCH("欠",T304)))</formula>
    </cfRule>
  </conditionalFormatting>
  <conditionalFormatting sqref="AE304">
    <cfRule type="cellIs" dxfId="0" priority="4123" operator="equal">
      <formula>"未完成"</formula>
    </cfRule>
  </conditionalFormatting>
  <conditionalFormatting sqref="AF304">
    <cfRule type="cellIs" dxfId="0" priority="1445" operator="equal">
      <formula>"未完成"</formula>
    </cfRule>
  </conditionalFormatting>
  <conditionalFormatting sqref="AJ304:AK304">
    <cfRule type="cellIs" dxfId="1" priority="4097" operator="equal">
      <formula>"未完成"</formula>
    </cfRule>
    <cfRule type="cellIs" dxfId="0" priority="4110" operator="equal">
      <formula>"未完成"</formula>
    </cfRule>
  </conditionalFormatting>
  <conditionalFormatting sqref="S305">
    <cfRule type="cellIs" dxfId="0" priority="4070" operator="equal">
      <formula>"欠"</formula>
    </cfRule>
  </conditionalFormatting>
  <conditionalFormatting sqref="T305">
    <cfRule type="containsText" dxfId="3" priority="4057" operator="between" text="欠">
      <formula>NOT(ISERROR(SEARCH("欠",T305)))</formula>
    </cfRule>
  </conditionalFormatting>
  <conditionalFormatting sqref="AE305">
    <cfRule type="cellIs" dxfId="0" priority="4122" operator="equal">
      <formula>"未完成"</formula>
    </cfRule>
  </conditionalFormatting>
  <conditionalFormatting sqref="AF305">
    <cfRule type="cellIs" dxfId="0" priority="1444" operator="equal">
      <formula>"未完成"</formula>
    </cfRule>
  </conditionalFormatting>
  <conditionalFormatting sqref="AJ305:AK305">
    <cfRule type="cellIs" dxfId="1" priority="4096" operator="equal">
      <formula>"未完成"</formula>
    </cfRule>
    <cfRule type="cellIs" dxfId="0" priority="4109" operator="equal">
      <formula>"未完成"</formula>
    </cfRule>
  </conditionalFormatting>
  <conditionalFormatting sqref="S306">
    <cfRule type="cellIs" dxfId="0" priority="4069" operator="equal">
      <formula>"欠"</formula>
    </cfRule>
  </conditionalFormatting>
  <conditionalFormatting sqref="T306">
    <cfRule type="containsText" dxfId="3" priority="4056" operator="between" text="欠">
      <formula>NOT(ISERROR(SEARCH("欠",T306)))</formula>
    </cfRule>
  </conditionalFormatting>
  <conditionalFormatting sqref="AE306">
    <cfRule type="cellIs" dxfId="0" priority="4121" operator="equal">
      <formula>"未完成"</formula>
    </cfRule>
  </conditionalFormatting>
  <conditionalFormatting sqref="AF306">
    <cfRule type="cellIs" dxfId="0" priority="1443" operator="equal">
      <formula>"未完成"</formula>
    </cfRule>
  </conditionalFormatting>
  <conditionalFormatting sqref="AJ306:AK306">
    <cfRule type="cellIs" dxfId="1" priority="4095" operator="equal">
      <formula>"未完成"</formula>
    </cfRule>
    <cfRule type="cellIs" dxfId="0" priority="4108" operator="equal">
      <formula>"未完成"</formula>
    </cfRule>
  </conditionalFormatting>
  <conditionalFormatting sqref="S307">
    <cfRule type="cellIs" dxfId="0" priority="4068" operator="equal">
      <formula>"欠"</formula>
    </cfRule>
  </conditionalFormatting>
  <conditionalFormatting sqref="T307">
    <cfRule type="containsText" dxfId="3" priority="4055" operator="between" text="欠">
      <formula>NOT(ISERROR(SEARCH("欠",T307)))</formula>
    </cfRule>
  </conditionalFormatting>
  <conditionalFormatting sqref="AE307">
    <cfRule type="cellIs" dxfId="0" priority="4120" operator="equal">
      <formula>"未完成"</formula>
    </cfRule>
  </conditionalFormatting>
  <conditionalFormatting sqref="AF307">
    <cfRule type="cellIs" dxfId="0" priority="1442" operator="equal">
      <formula>"未完成"</formula>
    </cfRule>
  </conditionalFormatting>
  <conditionalFormatting sqref="AJ307:AK307">
    <cfRule type="cellIs" dxfId="1" priority="4094" operator="equal">
      <formula>"未完成"</formula>
    </cfRule>
    <cfRule type="cellIs" dxfId="0" priority="4107" operator="equal">
      <formula>"未完成"</formula>
    </cfRule>
  </conditionalFormatting>
  <conditionalFormatting sqref="S308">
    <cfRule type="cellIs" dxfId="0" priority="4067" operator="equal">
      <formula>"欠"</formula>
    </cfRule>
  </conditionalFormatting>
  <conditionalFormatting sqref="T308">
    <cfRule type="containsText" dxfId="3" priority="4054" operator="between" text="欠">
      <formula>NOT(ISERROR(SEARCH("欠",T308)))</formula>
    </cfRule>
  </conditionalFormatting>
  <conditionalFormatting sqref="AE308">
    <cfRule type="cellIs" dxfId="0" priority="4119" operator="equal">
      <formula>"未完成"</formula>
    </cfRule>
  </conditionalFormatting>
  <conditionalFormatting sqref="AF308">
    <cfRule type="cellIs" dxfId="0" priority="1441" operator="equal">
      <formula>"未完成"</formula>
    </cfRule>
  </conditionalFormatting>
  <conditionalFormatting sqref="AJ308:AK308">
    <cfRule type="cellIs" dxfId="1" priority="4093" operator="equal">
      <formula>"未完成"</formula>
    </cfRule>
    <cfRule type="cellIs" dxfId="0" priority="4106" operator="equal">
      <formula>"未完成"</formula>
    </cfRule>
  </conditionalFormatting>
  <conditionalFormatting sqref="S309">
    <cfRule type="cellIs" dxfId="0" priority="3900" operator="equal">
      <formula>"欠"</formula>
    </cfRule>
  </conditionalFormatting>
  <conditionalFormatting sqref="T309">
    <cfRule type="containsText" dxfId="3" priority="3885" operator="between" text="欠">
      <formula>NOT(ISERROR(SEARCH("欠",T309)))</formula>
    </cfRule>
  </conditionalFormatting>
  <conditionalFormatting sqref="AE309">
    <cfRule type="cellIs" dxfId="0" priority="3960" operator="equal">
      <formula>"未完成"</formula>
    </cfRule>
  </conditionalFormatting>
  <conditionalFormatting sqref="AF309">
    <cfRule type="cellIs" dxfId="0" priority="1438" operator="equal">
      <formula>"未完成"</formula>
    </cfRule>
  </conditionalFormatting>
  <conditionalFormatting sqref="AJ309:AK309">
    <cfRule type="cellIs" dxfId="1" priority="3930" operator="equal">
      <formula>"未完成"</formula>
    </cfRule>
    <cfRule type="cellIs" dxfId="0" priority="3945" operator="equal">
      <formula>"未完成"</formula>
    </cfRule>
  </conditionalFormatting>
  <conditionalFormatting sqref="S310">
    <cfRule type="cellIs" dxfId="0" priority="3899" operator="equal">
      <formula>"欠"</formula>
    </cfRule>
  </conditionalFormatting>
  <conditionalFormatting sqref="T310">
    <cfRule type="containsText" dxfId="3" priority="3884" operator="between" text="欠">
      <formula>NOT(ISERROR(SEARCH("欠",T310)))</formula>
    </cfRule>
  </conditionalFormatting>
  <conditionalFormatting sqref="AE310">
    <cfRule type="cellIs" dxfId="0" priority="3959" operator="equal">
      <formula>"未完成"</formula>
    </cfRule>
  </conditionalFormatting>
  <conditionalFormatting sqref="AF310">
    <cfRule type="cellIs" dxfId="0" priority="1437" operator="equal">
      <formula>"未完成"</formula>
    </cfRule>
  </conditionalFormatting>
  <conditionalFormatting sqref="AJ310:AK310">
    <cfRule type="cellIs" dxfId="1" priority="3929" operator="equal">
      <formula>"未完成"</formula>
    </cfRule>
    <cfRule type="cellIs" dxfId="0" priority="3944" operator="equal">
      <formula>"未完成"</formula>
    </cfRule>
  </conditionalFormatting>
  <conditionalFormatting sqref="S311">
    <cfRule type="cellIs" dxfId="0" priority="3898" operator="equal">
      <formula>"欠"</formula>
    </cfRule>
  </conditionalFormatting>
  <conditionalFormatting sqref="T311">
    <cfRule type="containsText" dxfId="3" priority="3883" operator="between" text="欠">
      <formula>NOT(ISERROR(SEARCH("欠",T311)))</formula>
    </cfRule>
  </conditionalFormatting>
  <conditionalFormatting sqref="AE311">
    <cfRule type="cellIs" dxfId="0" priority="3958" operator="equal">
      <formula>"未完成"</formula>
    </cfRule>
  </conditionalFormatting>
  <conditionalFormatting sqref="AF311">
    <cfRule type="cellIs" dxfId="0" priority="1436" operator="equal">
      <formula>"未完成"</formula>
    </cfRule>
  </conditionalFormatting>
  <conditionalFormatting sqref="AJ311:AK311">
    <cfRule type="cellIs" dxfId="1" priority="3928" operator="equal">
      <formula>"未完成"</formula>
    </cfRule>
    <cfRule type="cellIs" dxfId="0" priority="3943" operator="equal">
      <formula>"未完成"</formula>
    </cfRule>
  </conditionalFormatting>
  <conditionalFormatting sqref="S312">
    <cfRule type="cellIs" dxfId="0" priority="3897" operator="equal">
      <formula>"欠"</formula>
    </cfRule>
  </conditionalFormatting>
  <conditionalFormatting sqref="T312">
    <cfRule type="containsText" dxfId="3" priority="3882" operator="between" text="欠">
      <formula>NOT(ISERROR(SEARCH("欠",T312)))</formula>
    </cfRule>
  </conditionalFormatting>
  <conditionalFormatting sqref="AE312">
    <cfRule type="cellIs" dxfId="0" priority="3957" operator="equal">
      <formula>"未完成"</formula>
    </cfRule>
  </conditionalFormatting>
  <conditionalFormatting sqref="AF312">
    <cfRule type="cellIs" dxfId="0" priority="1435" operator="equal">
      <formula>"未完成"</formula>
    </cfRule>
  </conditionalFormatting>
  <conditionalFormatting sqref="AJ312:AK312">
    <cfRule type="cellIs" dxfId="1" priority="3927" operator="equal">
      <formula>"未完成"</formula>
    </cfRule>
    <cfRule type="cellIs" dxfId="0" priority="3942" operator="equal">
      <formula>"未完成"</formula>
    </cfRule>
  </conditionalFormatting>
  <conditionalFormatting sqref="S313">
    <cfRule type="cellIs" dxfId="0" priority="3896" operator="equal">
      <formula>"欠"</formula>
    </cfRule>
  </conditionalFormatting>
  <conditionalFormatting sqref="T313">
    <cfRule type="containsText" dxfId="3" priority="3881" operator="between" text="欠">
      <formula>NOT(ISERROR(SEARCH("欠",T313)))</formula>
    </cfRule>
  </conditionalFormatting>
  <conditionalFormatting sqref="AE313">
    <cfRule type="cellIs" dxfId="0" priority="3956" operator="equal">
      <formula>"未完成"</formula>
    </cfRule>
  </conditionalFormatting>
  <conditionalFormatting sqref="AF313">
    <cfRule type="cellIs" dxfId="0" priority="1434" operator="equal">
      <formula>"未完成"</formula>
    </cfRule>
  </conditionalFormatting>
  <conditionalFormatting sqref="AJ313:AK313">
    <cfRule type="cellIs" dxfId="1" priority="3926" operator="equal">
      <formula>"未完成"</formula>
    </cfRule>
    <cfRule type="cellIs" dxfId="0" priority="3941" operator="equal">
      <formula>"未完成"</formula>
    </cfRule>
  </conditionalFormatting>
  <conditionalFormatting sqref="AE314">
    <cfRule type="cellIs" dxfId="0" priority="3955" operator="equal">
      <formula>"未完成"</formula>
    </cfRule>
  </conditionalFormatting>
  <conditionalFormatting sqref="AF314">
    <cfRule type="cellIs" dxfId="0" priority="1433" operator="equal">
      <formula>"未完成"</formula>
    </cfRule>
  </conditionalFormatting>
  <conditionalFormatting sqref="AJ314:AK314">
    <cfRule type="cellIs" dxfId="1" priority="3925" operator="equal">
      <formula>"未完成"</formula>
    </cfRule>
    <cfRule type="cellIs" dxfId="0" priority="3940" operator="equal">
      <formula>"未完成"</formula>
    </cfRule>
  </conditionalFormatting>
  <conditionalFormatting sqref="S315">
    <cfRule type="cellIs" dxfId="0" priority="3894" operator="equal">
      <formula>"欠"</formula>
    </cfRule>
  </conditionalFormatting>
  <conditionalFormatting sqref="T315">
    <cfRule type="containsText" dxfId="3" priority="3879" operator="between" text="欠">
      <formula>NOT(ISERROR(SEARCH("欠",T315)))</formula>
    </cfRule>
  </conditionalFormatting>
  <conditionalFormatting sqref="AE315">
    <cfRule type="cellIs" dxfId="0" priority="3954" operator="equal">
      <formula>"未完成"</formula>
    </cfRule>
  </conditionalFormatting>
  <conditionalFormatting sqref="AF315">
    <cfRule type="cellIs" dxfId="0" priority="1432" operator="equal">
      <formula>"未完成"</formula>
    </cfRule>
  </conditionalFormatting>
  <conditionalFormatting sqref="AJ315:AK315">
    <cfRule type="cellIs" dxfId="1" priority="3924" operator="equal">
      <formula>"未完成"</formula>
    </cfRule>
    <cfRule type="cellIs" dxfId="0" priority="3939" operator="equal">
      <formula>"未完成"</formula>
    </cfRule>
  </conditionalFormatting>
  <conditionalFormatting sqref="S316">
    <cfRule type="cellIs" dxfId="0" priority="3893" operator="equal">
      <formula>"欠"</formula>
    </cfRule>
  </conditionalFormatting>
  <conditionalFormatting sqref="T316">
    <cfRule type="containsText" dxfId="3" priority="3878" operator="between" text="欠">
      <formula>NOT(ISERROR(SEARCH("欠",T316)))</formula>
    </cfRule>
  </conditionalFormatting>
  <conditionalFormatting sqref="AE316">
    <cfRule type="cellIs" dxfId="0" priority="3953" operator="equal">
      <formula>"未完成"</formula>
    </cfRule>
  </conditionalFormatting>
  <conditionalFormatting sqref="AF316">
    <cfRule type="cellIs" dxfId="0" priority="1431" operator="equal">
      <formula>"未完成"</formula>
    </cfRule>
  </conditionalFormatting>
  <conditionalFormatting sqref="AJ316:AK316">
    <cfRule type="cellIs" dxfId="1" priority="3923" operator="equal">
      <formula>"未完成"</formula>
    </cfRule>
    <cfRule type="cellIs" dxfId="0" priority="3938" operator="equal">
      <formula>"未完成"</formula>
    </cfRule>
  </conditionalFormatting>
  <conditionalFormatting sqref="S317">
    <cfRule type="cellIs" dxfId="0" priority="3892" operator="equal">
      <formula>"欠"</formula>
    </cfRule>
  </conditionalFormatting>
  <conditionalFormatting sqref="T317">
    <cfRule type="containsText" dxfId="3" priority="3877" operator="between" text="欠">
      <formula>NOT(ISERROR(SEARCH("欠",T317)))</formula>
    </cfRule>
  </conditionalFormatting>
  <conditionalFormatting sqref="AE317">
    <cfRule type="cellIs" dxfId="0" priority="3952" operator="equal">
      <formula>"未完成"</formula>
    </cfRule>
  </conditionalFormatting>
  <conditionalFormatting sqref="AF317">
    <cfRule type="cellIs" dxfId="0" priority="1430" operator="equal">
      <formula>"未完成"</formula>
    </cfRule>
  </conditionalFormatting>
  <conditionalFormatting sqref="AJ317:AK317">
    <cfRule type="cellIs" dxfId="1" priority="3922" operator="equal">
      <formula>"未完成"</formula>
    </cfRule>
    <cfRule type="cellIs" dxfId="0" priority="3937" operator="equal">
      <formula>"未完成"</formula>
    </cfRule>
  </conditionalFormatting>
  <conditionalFormatting sqref="S318">
    <cfRule type="cellIs" dxfId="0" priority="3891" operator="equal">
      <formula>"欠"</formula>
    </cfRule>
  </conditionalFormatting>
  <conditionalFormatting sqref="T318">
    <cfRule type="containsText" dxfId="3" priority="3876" operator="between" text="欠">
      <formula>NOT(ISERROR(SEARCH("欠",T318)))</formula>
    </cfRule>
  </conditionalFormatting>
  <conditionalFormatting sqref="AE318">
    <cfRule type="cellIs" dxfId="0" priority="3951" operator="equal">
      <formula>"未完成"</formula>
    </cfRule>
  </conditionalFormatting>
  <conditionalFormatting sqref="AF318">
    <cfRule type="cellIs" dxfId="0" priority="1429" operator="equal">
      <formula>"未完成"</formula>
    </cfRule>
  </conditionalFormatting>
  <conditionalFormatting sqref="AJ318:AK318">
    <cfRule type="cellIs" dxfId="1" priority="3921" operator="equal">
      <formula>"未完成"</formula>
    </cfRule>
    <cfRule type="cellIs" dxfId="0" priority="3936" operator="equal">
      <formula>"未完成"</formula>
    </cfRule>
  </conditionalFormatting>
  <conditionalFormatting sqref="S319">
    <cfRule type="cellIs" dxfId="0" priority="3890" operator="equal">
      <formula>"欠"</formula>
    </cfRule>
  </conditionalFormatting>
  <conditionalFormatting sqref="T319">
    <cfRule type="containsText" dxfId="3" priority="3875" operator="between" text="欠">
      <formula>NOT(ISERROR(SEARCH("欠",T319)))</formula>
    </cfRule>
  </conditionalFormatting>
  <conditionalFormatting sqref="AE319">
    <cfRule type="cellIs" dxfId="0" priority="3950" operator="equal">
      <formula>"未完成"</formula>
    </cfRule>
  </conditionalFormatting>
  <conditionalFormatting sqref="AF319">
    <cfRule type="cellIs" dxfId="0" priority="1428" operator="equal">
      <formula>"未完成"</formula>
    </cfRule>
  </conditionalFormatting>
  <conditionalFormatting sqref="AJ319:AK319">
    <cfRule type="cellIs" dxfId="1" priority="3920" operator="equal">
      <formula>"未完成"</formula>
    </cfRule>
    <cfRule type="cellIs" dxfId="0" priority="3935" operator="equal">
      <formula>"未完成"</formula>
    </cfRule>
  </conditionalFormatting>
  <conditionalFormatting sqref="S320">
    <cfRule type="cellIs" dxfId="0" priority="3889" operator="equal">
      <formula>"欠"</formula>
    </cfRule>
  </conditionalFormatting>
  <conditionalFormatting sqref="T320">
    <cfRule type="containsText" dxfId="3" priority="3874" operator="between" text="欠">
      <formula>NOT(ISERROR(SEARCH("欠",T320)))</formula>
    </cfRule>
  </conditionalFormatting>
  <conditionalFormatting sqref="AE320">
    <cfRule type="cellIs" dxfId="0" priority="3949" operator="equal">
      <formula>"未完成"</formula>
    </cfRule>
  </conditionalFormatting>
  <conditionalFormatting sqref="AF320">
    <cfRule type="cellIs" dxfId="0" priority="1427" operator="equal">
      <formula>"未完成"</formula>
    </cfRule>
  </conditionalFormatting>
  <conditionalFormatting sqref="AJ320:AK320">
    <cfRule type="cellIs" dxfId="1" priority="3919" operator="equal">
      <formula>"未完成"</formula>
    </cfRule>
    <cfRule type="cellIs" dxfId="0" priority="3934" operator="equal">
      <formula>"未完成"</formula>
    </cfRule>
  </conditionalFormatting>
  <conditionalFormatting sqref="S321">
    <cfRule type="cellIs" dxfId="0" priority="3888" operator="equal">
      <formula>"欠"</formula>
    </cfRule>
  </conditionalFormatting>
  <conditionalFormatting sqref="T321">
    <cfRule type="containsText" dxfId="3" priority="3873" operator="between" text="欠">
      <formula>NOT(ISERROR(SEARCH("欠",T321)))</formula>
    </cfRule>
  </conditionalFormatting>
  <conditionalFormatting sqref="AE321">
    <cfRule type="cellIs" dxfId="0" priority="3948" operator="equal">
      <formula>"未完成"</formula>
    </cfRule>
  </conditionalFormatting>
  <conditionalFormatting sqref="AF321">
    <cfRule type="cellIs" dxfId="0" priority="1426" operator="equal">
      <formula>"未完成"</formula>
    </cfRule>
  </conditionalFormatting>
  <conditionalFormatting sqref="AJ321:AK321">
    <cfRule type="cellIs" dxfId="1" priority="3918" operator="equal">
      <formula>"未完成"</formula>
    </cfRule>
    <cfRule type="cellIs" dxfId="0" priority="3933" operator="equal">
      <formula>"未完成"</formula>
    </cfRule>
  </conditionalFormatting>
  <conditionalFormatting sqref="S322">
    <cfRule type="cellIs" dxfId="0" priority="3887" operator="equal">
      <formula>"欠"</formula>
    </cfRule>
  </conditionalFormatting>
  <conditionalFormatting sqref="T322">
    <cfRule type="containsText" dxfId="3" priority="3872" operator="between" text="欠">
      <formula>NOT(ISERROR(SEARCH("欠",T322)))</formula>
    </cfRule>
  </conditionalFormatting>
  <conditionalFormatting sqref="AE322">
    <cfRule type="cellIs" dxfId="0" priority="3947" operator="equal">
      <formula>"未完成"</formula>
    </cfRule>
  </conditionalFormatting>
  <conditionalFormatting sqref="AF322">
    <cfRule type="cellIs" dxfId="0" priority="1425" operator="equal">
      <formula>"未完成"</formula>
    </cfRule>
  </conditionalFormatting>
  <conditionalFormatting sqref="AJ322:AK322">
    <cfRule type="cellIs" dxfId="1" priority="3917" operator="equal">
      <formula>"未完成"</formula>
    </cfRule>
    <cfRule type="cellIs" dxfId="0" priority="3932" operator="equal">
      <formula>"未完成"</formula>
    </cfRule>
  </conditionalFormatting>
  <conditionalFormatting sqref="S323">
    <cfRule type="cellIs" dxfId="0" priority="3886" operator="equal">
      <formula>"欠"</formula>
    </cfRule>
  </conditionalFormatting>
  <conditionalFormatting sqref="T323">
    <cfRule type="containsText" dxfId="3" priority="3871" operator="between" text="欠">
      <formula>NOT(ISERROR(SEARCH("欠",T323)))</formula>
    </cfRule>
  </conditionalFormatting>
  <conditionalFormatting sqref="AE323">
    <cfRule type="cellIs" dxfId="0" priority="3946" operator="equal">
      <formula>"未完成"</formula>
    </cfRule>
  </conditionalFormatting>
  <conditionalFormatting sqref="AF323">
    <cfRule type="cellIs" dxfId="0" priority="1424" operator="equal">
      <formula>"未完成"</formula>
    </cfRule>
  </conditionalFormatting>
  <conditionalFormatting sqref="AJ323:AK323">
    <cfRule type="cellIs" dxfId="1" priority="3916" operator="equal">
      <formula>"未完成"</formula>
    </cfRule>
    <cfRule type="cellIs" dxfId="0" priority="3931" operator="equal">
      <formula>"未完成"</formula>
    </cfRule>
  </conditionalFormatting>
  <conditionalFormatting sqref="S324">
    <cfRule type="cellIs" dxfId="0" priority="3866" operator="equal">
      <formula>"欠"</formula>
    </cfRule>
  </conditionalFormatting>
  <conditionalFormatting sqref="T324">
    <cfRule type="containsText" dxfId="3" priority="3865" operator="between" text="欠">
      <formula>NOT(ISERROR(SEARCH("欠",T324)))</formula>
    </cfRule>
  </conditionalFormatting>
  <conditionalFormatting sqref="AE324">
    <cfRule type="cellIs" dxfId="0" priority="3870" operator="equal">
      <formula>"未完成"</formula>
    </cfRule>
  </conditionalFormatting>
  <conditionalFormatting sqref="AF324">
    <cfRule type="cellIs" dxfId="0" priority="1423" operator="equal">
      <formula>"未完成"</formula>
    </cfRule>
  </conditionalFormatting>
  <conditionalFormatting sqref="AJ324:AK324">
    <cfRule type="cellIs" dxfId="1" priority="3868" operator="equal">
      <formula>"未完成"</formula>
    </cfRule>
    <cfRule type="cellIs" dxfId="0" priority="3869" operator="equal">
      <formula>"未完成"</formula>
    </cfRule>
  </conditionalFormatting>
  <conditionalFormatting sqref="S325">
    <cfRule type="cellIs" dxfId="0" priority="3856" operator="equal">
      <formula>"欠"</formula>
    </cfRule>
  </conditionalFormatting>
  <conditionalFormatting sqref="T325">
    <cfRule type="containsText" dxfId="3" priority="3854" operator="between" text="欠">
      <formula>NOT(ISERROR(SEARCH("欠",T325)))</formula>
    </cfRule>
  </conditionalFormatting>
  <conditionalFormatting sqref="AE325">
    <cfRule type="cellIs" dxfId="0" priority="3864" operator="equal">
      <formula>"未完成"</formula>
    </cfRule>
  </conditionalFormatting>
  <conditionalFormatting sqref="AF325">
    <cfRule type="cellIs" dxfId="0" priority="1422" operator="equal">
      <formula>"未完成"</formula>
    </cfRule>
  </conditionalFormatting>
  <conditionalFormatting sqref="AJ325:AK325">
    <cfRule type="cellIs" dxfId="1" priority="3860" operator="equal">
      <formula>"未完成"</formula>
    </cfRule>
    <cfRule type="cellIs" dxfId="0" priority="3862" operator="equal">
      <formula>"未完成"</formula>
    </cfRule>
  </conditionalFormatting>
  <conditionalFormatting sqref="S326">
    <cfRule type="cellIs" dxfId="0" priority="3855" operator="equal">
      <formula>"欠"</formula>
    </cfRule>
  </conditionalFormatting>
  <conditionalFormatting sqref="T326">
    <cfRule type="containsText" dxfId="3" priority="3853" operator="between" text="欠">
      <formula>NOT(ISERROR(SEARCH("欠",T326)))</formula>
    </cfRule>
  </conditionalFormatting>
  <conditionalFormatting sqref="AE326">
    <cfRule type="cellIs" dxfId="0" priority="3863" operator="equal">
      <formula>"未完成"</formula>
    </cfRule>
  </conditionalFormatting>
  <conditionalFormatting sqref="AF326">
    <cfRule type="cellIs" dxfId="0" priority="1421" operator="equal">
      <formula>"未完成"</formula>
    </cfRule>
  </conditionalFormatting>
  <conditionalFormatting sqref="AJ326:AK326">
    <cfRule type="cellIs" dxfId="1" priority="3859" operator="equal">
      <formula>"未完成"</formula>
    </cfRule>
    <cfRule type="cellIs" dxfId="0" priority="3861" operator="equal">
      <formula>"未完成"</formula>
    </cfRule>
  </conditionalFormatting>
  <conditionalFormatting sqref="S327">
    <cfRule type="cellIs" dxfId="0" priority="3701" operator="equal">
      <formula>"欠"</formula>
    </cfRule>
  </conditionalFormatting>
  <conditionalFormatting sqref="T327">
    <cfRule type="containsText" dxfId="2" priority="3649" operator="between" text="欠">
      <formula>NOT(ISERROR(SEARCH("欠",T327)))</formula>
    </cfRule>
    <cfRule type="containsText" dxfId="3" priority="3675" operator="between" text="欠">
      <formula>NOT(ISERROR(SEARCH("欠",T327)))</formula>
    </cfRule>
  </conditionalFormatting>
  <conditionalFormatting sqref="AE327">
    <cfRule type="cellIs" dxfId="0" priority="3805" operator="equal">
      <formula>"未完成"</formula>
    </cfRule>
  </conditionalFormatting>
  <conditionalFormatting sqref="AF327">
    <cfRule type="cellIs" dxfId="0" priority="1420" operator="equal">
      <formula>"未完成"</formula>
    </cfRule>
  </conditionalFormatting>
  <conditionalFormatting sqref="AJ327:AK327">
    <cfRule type="cellIs" dxfId="1" priority="3753" operator="equal">
      <formula>"未完成"</formula>
    </cfRule>
    <cfRule type="cellIs" dxfId="0" priority="3779" operator="equal">
      <formula>"未完成"</formula>
    </cfRule>
  </conditionalFormatting>
  <conditionalFormatting sqref="S328">
    <cfRule type="cellIs" dxfId="0" priority="3700" operator="equal">
      <formula>"欠"</formula>
    </cfRule>
  </conditionalFormatting>
  <conditionalFormatting sqref="T328">
    <cfRule type="containsText" dxfId="2" priority="3648" operator="between" text="欠">
      <formula>NOT(ISERROR(SEARCH("欠",T328)))</formula>
    </cfRule>
    <cfRule type="containsText" dxfId="3" priority="3674" operator="between" text="欠">
      <formula>NOT(ISERROR(SEARCH("欠",T328)))</formula>
    </cfRule>
  </conditionalFormatting>
  <conditionalFormatting sqref="AE328">
    <cfRule type="cellIs" dxfId="0" priority="3804" operator="equal">
      <formula>"未完成"</formula>
    </cfRule>
  </conditionalFormatting>
  <conditionalFormatting sqref="AF328">
    <cfRule type="cellIs" dxfId="0" priority="1419" operator="equal">
      <formula>"未完成"</formula>
    </cfRule>
  </conditionalFormatting>
  <conditionalFormatting sqref="AJ328:AK328">
    <cfRule type="cellIs" dxfId="1" priority="3752" operator="equal">
      <formula>"未完成"</formula>
    </cfRule>
    <cfRule type="cellIs" dxfId="0" priority="3778" operator="equal">
      <formula>"未完成"</formula>
    </cfRule>
  </conditionalFormatting>
  <conditionalFormatting sqref="S329">
    <cfRule type="cellIs" dxfId="0" priority="3699" operator="equal">
      <formula>"欠"</formula>
    </cfRule>
  </conditionalFormatting>
  <conditionalFormatting sqref="T329">
    <cfRule type="containsText" dxfId="2" priority="3647" operator="between" text="欠">
      <formula>NOT(ISERROR(SEARCH("欠",T329)))</formula>
    </cfRule>
    <cfRule type="containsText" dxfId="3" priority="3673" operator="between" text="欠">
      <formula>NOT(ISERROR(SEARCH("欠",T329)))</formula>
    </cfRule>
  </conditionalFormatting>
  <conditionalFormatting sqref="AE329">
    <cfRule type="cellIs" dxfId="0" priority="3803" operator="equal">
      <formula>"未完成"</formula>
    </cfRule>
  </conditionalFormatting>
  <conditionalFormatting sqref="AF329">
    <cfRule type="cellIs" dxfId="0" priority="1418" operator="equal">
      <formula>"未完成"</formula>
    </cfRule>
  </conditionalFormatting>
  <conditionalFormatting sqref="AJ329:AK329">
    <cfRule type="cellIs" dxfId="1" priority="3751" operator="equal">
      <formula>"未完成"</formula>
    </cfRule>
    <cfRule type="cellIs" dxfId="0" priority="3777" operator="equal">
      <formula>"未完成"</formula>
    </cfRule>
  </conditionalFormatting>
  <conditionalFormatting sqref="S330">
    <cfRule type="cellIs" dxfId="0" priority="3698" operator="equal">
      <formula>"欠"</formula>
    </cfRule>
  </conditionalFormatting>
  <conditionalFormatting sqref="T330">
    <cfRule type="containsText" dxfId="2" priority="3646" operator="between" text="欠">
      <formula>NOT(ISERROR(SEARCH("欠",T330)))</formula>
    </cfRule>
    <cfRule type="containsText" dxfId="3" priority="3672" operator="between" text="欠">
      <formula>NOT(ISERROR(SEARCH("欠",T330)))</formula>
    </cfRule>
  </conditionalFormatting>
  <conditionalFormatting sqref="AE330">
    <cfRule type="cellIs" dxfId="0" priority="3802" operator="equal">
      <formula>"未完成"</formula>
    </cfRule>
  </conditionalFormatting>
  <conditionalFormatting sqref="AF330">
    <cfRule type="cellIs" dxfId="0" priority="1417" operator="equal">
      <formula>"未完成"</formula>
    </cfRule>
  </conditionalFormatting>
  <conditionalFormatting sqref="AJ330:AK330">
    <cfRule type="cellIs" dxfId="1" priority="3750" operator="equal">
      <formula>"未完成"</formula>
    </cfRule>
    <cfRule type="cellIs" dxfId="0" priority="3776" operator="equal">
      <formula>"未完成"</formula>
    </cfRule>
  </conditionalFormatting>
  <conditionalFormatting sqref="S331">
    <cfRule type="cellIs" dxfId="0" priority="3697" operator="equal">
      <formula>"欠"</formula>
    </cfRule>
  </conditionalFormatting>
  <conditionalFormatting sqref="T331">
    <cfRule type="containsText" dxfId="2" priority="3645" operator="between" text="欠">
      <formula>NOT(ISERROR(SEARCH("欠",T331)))</formula>
    </cfRule>
    <cfRule type="containsText" dxfId="3" priority="3671" operator="between" text="欠">
      <formula>NOT(ISERROR(SEARCH("欠",T331)))</formula>
    </cfRule>
  </conditionalFormatting>
  <conditionalFormatting sqref="AE331">
    <cfRule type="cellIs" dxfId="0" priority="3801" operator="equal">
      <formula>"未完成"</formula>
    </cfRule>
  </conditionalFormatting>
  <conditionalFormatting sqref="AF331">
    <cfRule type="cellIs" dxfId="0" priority="1416" operator="equal">
      <formula>"未完成"</formula>
    </cfRule>
  </conditionalFormatting>
  <conditionalFormatting sqref="AJ331:AK331">
    <cfRule type="cellIs" dxfId="1" priority="3749" operator="equal">
      <formula>"未完成"</formula>
    </cfRule>
    <cfRule type="cellIs" dxfId="0" priority="3775" operator="equal">
      <formula>"未完成"</formula>
    </cfRule>
  </conditionalFormatting>
  <conditionalFormatting sqref="AE332">
    <cfRule type="cellIs" dxfId="0" priority="3800" operator="equal">
      <formula>"未完成"</formula>
    </cfRule>
  </conditionalFormatting>
  <conditionalFormatting sqref="AF332">
    <cfRule type="cellIs" dxfId="0" priority="1415" operator="equal">
      <formula>"未完成"</formula>
    </cfRule>
  </conditionalFormatting>
  <conditionalFormatting sqref="AJ332:AK332">
    <cfRule type="cellIs" dxfId="1" priority="3748" operator="equal">
      <formula>"未完成"</formula>
    </cfRule>
    <cfRule type="cellIs" dxfId="0" priority="3774" operator="equal">
      <formula>"未完成"</formula>
    </cfRule>
  </conditionalFormatting>
  <conditionalFormatting sqref="S333">
    <cfRule type="cellIs" dxfId="0" priority="3695" operator="equal">
      <formula>"欠"</formula>
    </cfRule>
  </conditionalFormatting>
  <conditionalFormatting sqref="T333">
    <cfRule type="containsText" dxfId="2" priority="3643" operator="between" text="欠">
      <formula>NOT(ISERROR(SEARCH("欠",T333)))</formula>
    </cfRule>
    <cfRule type="containsText" dxfId="3" priority="3669" operator="between" text="欠">
      <formula>NOT(ISERROR(SEARCH("欠",T333)))</formula>
    </cfRule>
  </conditionalFormatting>
  <conditionalFormatting sqref="AE333">
    <cfRule type="cellIs" dxfId="0" priority="3799" operator="equal">
      <formula>"未完成"</formula>
    </cfRule>
  </conditionalFormatting>
  <conditionalFormatting sqref="AF333">
    <cfRule type="cellIs" dxfId="0" priority="1414" operator="equal">
      <formula>"未完成"</formula>
    </cfRule>
  </conditionalFormatting>
  <conditionalFormatting sqref="AJ333:AK333">
    <cfRule type="cellIs" dxfId="1" priority="3747" operator="equal">
      <formula>"未完成"</formula>
    </cfRule>
    <cfRule type="cellIs" dxfId="0" priority="3773" operator="equal">
      <formula>"未完成"</formula>
    </cfRule>
  </conditionalFormatting>
  <conditionalFormatting sqref="S334">
    <cfRule type="cellIs" dxfId="0" priority="3694" operator="equal">
      <formula>"欠"</formula>
    </cfRule>
  </conditionalFormatting>
  <conditionalFormatting sqref="T334">
    <cfRule type="containsText" dxfId="2" priority="3642" operator="between" text="欠">
      <formula>NOT(ISERROR(SEARCH("欠",T334)))</formula>
    </cfRule>
    <cfRule type="containsText" dxfId="3" priority="3668" operator="between" text="欠">
      <formula>NOT(ISERROR(SEARCH("欠",T334)))</formula>
    </cfRule>
  </conditionalFormatting>
  <conditionalFormatting sqref="AE334">
    <cfRule type="cellIs" dxfId="0" priority="3798" operator="equal">
      <formula>"未完成"</formula>
    </cfRule>
  </conditionalFormatting>
  <conditionalFormatting sqref="AF334">
    <cfRule type="cellIs" dxfId="0" priority="1413" operator="equal">
      <formula>"未完成"</formula>
    </cfRule>
  </conditionalFormatting>
  <conditionalFormatting sqref="AJ334:AK334">
    <cfRule type="cellIs" dxfId="1" priority="3746" operator="equal">
      <formula>"未完成"</formula>
    </cfRule>
    <cfRule type="cellIs" dxfId="0" priority="3772" operator="equal">
      <formula>"未完成"</formula>
    </cfRule>
  </conditionalFormatting>
  <conditionalFormatting sqref="S335">
    <cfRule type="cellIs" dxfId="0" priority="3693" operator="equal">
      <formula>"欠"</formula>
    </cfRule>
  </conditionalFormatting>
  <conditionalFormatting sqref="T335">
    <cfRule type="containsText" dxfId="2" priority="3641" operator="between" text="欠">
      <formula>NOT(ISERROR(SEARCH("欠",T335)))</formula>
    </cfRule>
    <cfRule type="containsText" dxfId="3" priority="3667" operator="between" text="欠">
      <formula>NOT(ISERROR(SEARCH("欠",T335)))</formula>
    </cfRule>
  </conditionalFormatting>
  <conditionalFormatting sqref="AE335">
    <cfRule type="cellIs" dxfId="0" priority="3797" operator="equal">
      <formula>"未完成"</formula>
    </cfRule>
  </conditionalFormatting>
  <conditionalFormatting sqref="AF335">
    <cfRule type="cellIs" dxfId="0" priority="1412" operator="equal">
      <formula>"未完成"</formula>
    </cfRule>
  </conditionalFormatting>
  <conditionalFormatting sqref="AJ335:AK335">
    <cfRule type="cellIs" dxfId="1" priority="3745" operator="equal">
      <formula>"未完成"</formula>
    </cfRule>
    <cfRule type="cellIs" dxfId="0" priority="3771" operator="equal">
      <formula>"未完成"</formula>
    </cfRule>
  </conditionalFormatting>
  <conditionalFormatting sqref="S336">
    <cfRule type="cellIs" dxfId="0" priority="3692" operator="equal">
      <formula>"欠"</formula>
    </cfRule>
  </conditionalFormatting>
  <conditionalFormatting sqref="T336">
    <cfRule type="containsText" dxfId="2" priority="3640" operator="between" text="欠">
      <formula>NOT(ISERROR(SEARCH("欠",T336)))</formula>
    </cfRule>
    <cfRule type="containsText" dxfId="3" priority="3666" operator="between" text="欠">
      <formula>NOT(ISERROR(SEARCH("欠",T336)))</formula>
    </cfRule>
  </conditionalFormatting>
  <conditionalFormatting sqref="AE336">
    <cfRule type="cellIs" dxfId="0" priority="3796" operator="equal">
      <formula>"未完成"</formula>
    </cfRule>
  </conditionalFormatting>
  <conditionalFormatting sqref="AF336">
    <cfRule type="cellIs" dxfId="0" priority="1411" operator="equal">
      <formula>"未完成"</formula>
    </cfRule>
  </conditionalFormatting>
  <conditionalFormatting sqref="AJ336:AK336">
    <cfRule type="cellIs" dxfId="1" priority="3744" operator="equal">
      <formula>"未完成"</formula>
    </cfRule>
    <cfRule type="cellIs" dxfId="0" priority="3770" operator="equal">
      <formula>"未完成"</formula>
    </cfRule>
  </conditionalFormatting>
  <conditionalFormatting sqref="S337">
    <cfRule type="cellIs" dxfId="0" priority="3691" operator="equal">
      <formula>"欠"</formula>
    </cfRule>
  </conditionalFormatting>
  <conditionalFormatting sqref="T337">
    <cfRule type="containsText" dxfId="2" priority="3639" operator="between" text="欠">
      <formula>NOT(ISERROR(SEARCH("欠",T337)))</formula>
    </cfRule>
    <cfRule type="containsText" dxfId="3" priority="3665" operator="between" text="欠">
      <formula>NOT(ISERROR(SEARCH("欠",T337)))</formula>
    </cfRule>
  </conditionalFormatting>
  <conditionalFormatting sqref="AE337">
    <cfRule type="cellIs" dxfId="0" priority="3795" operator="equal">
      <formula>"未完成"</formula>
    </cfRule>
  </conditionalFormatting>
  <conditionalFormatting sqref="AF337">
    <cfRule type="cellIs" dxfId="0" priority="1410" operator="equal">
      <formula>"未完成"</formula>
    </cfRule>
  </conditionalFormatting>
  <conditionalFormatting sqref="AJ337:AK337">
    <cfRule type="cellIs" dxfId="1" priority="3743" operator="equal">
      <formula>"未完成"</formula>
    </cfRule>
    <cfRule type="cellIs" dxfId="0" priority="3769" operator="equal">
      <formula>"未完成"</formula>
    </cfRule>
  </conditionalFormatting>
  <conditionalFormatting sqref="S338">
    <cfRule type="cellIs" dxfId="0" priority="3690" operator="equal">
      <formula>"欠"</formula>
    </cfRule>
  </conditionalFormatting>
  <conditionalFormatting sqref="T338">
    <cfRule type="containsText" dxfId="2" priority="3638" operator="between" text="欠">
      <formula>NOT(ISERROR(SEARCH("欠",T338)))</formula>
    </cfRule>
    <cfRule type="containsText" dxfId="3" priority="3664" operator="between" text="欠">
      <formula>NOT(ISERROR(SEARCH("欠",T338)))</formula>
    </cfRule>
  </conditionalFormatting>
  <conditionalFormatting sqref="AE338">
    <cfRule type="cellIs" dxfId="0" priority="3794" operator="equal">
      <formula>"未完成"</formula>
    </cfRule>
  </conditionalFormatting>
  <conditionalFormatting sqref="AF338">
    <cfRule type="cellIs" dxfId="0" priority="1409" operator="equal">
      <formula>"未完成"</formula>
    </cfRule>
  </conditionalFormatting>
  <conditionalFormatting sqref="AJ338:AK338">
    <cfRule type="cellIs" dxfId="1" priority="3742" operator="equal">
      <formula>"未完成"</formula>
    </cfRule>
    <cfRule type="cellIs" dxfId="0" priority="3768" operator="equal">
      <formula>"未完成"</formula>
    </cfRule>
  </conditionalFormatting>
  <conditionalFormatting sqref="S339">
    <cfRule type="cellIs" dxfId="0" priority="3689" operator="equal">
      <formula>"欠"</formula>
    </cfRule>
  </conditionalFormatting>
  <conditionalFormatting sqref="T339">
    <cfRule type="containsText" dxfId="2" priority="3637" operator="between" text="欠">
      <formula>NOT(ISERROR(SEARCH("欠",T339)))</formula>
    </cfRule>
    <cfRule type="containsText" dxfId="3" priority="3663" operator="between" text="欠">
      <formula>NOT(ISERROR(SEARCH("欠",T339)))</formula>
    </cfRule>
  </conditionalFormatting>
  <conditionalFormatting sqref="AE339">
    <cfRule type="cellIs" dxfId="0" priority="3793" operator="equal">
      <formula>"未完成"</formula>
    </cfRule>
  </conditionalFormatting>
  <conditionalFormatting sqref="AF339">
    <cfRule type="cellIs" dxfId="0" priority="1408" operator="equal">
      <formula>"未完成"</formula>
    </cfRule>
  </conditionalFormatting>
  <conditionalFormatting sqref="AJ339:AK339">
    <cfRule type="cellIs" dxfId="1" priority="3741" operator="equal">
      <formula>"未完成"</formula>
    </cfRule>
    <cfRule type="cellIs" dxfId="0" priority="3767" operator="equal">
      <formula>"未完成"</formula>
    </cfRule>
  </conditionalFormatting>
  <conditionalFormatting sqref="S340">
    <cfRule type="cellIs" dxfId="0" priority="3688" operator="equal">
      <formula>"欠"</formula>
    </cfRule>
  </conditionalFormatting>
  <conditionalFormatting sqref="T340">
    <cfRule type="containsText" dxfId="2" priority="3636" operator="between" text="欠">
      <formula>NOT(ISERROR(SEARCH("欠",T340)))</formula>
    </cfRule>
    <cfRule type="containsText" dxfId="3" priority="3662" operator="between" text="欠">
      <formula>NOT(ISERROR(SEARCH("欠",T340)))</formula>
    </cfRule>
  </conditionalFormatting>
  <conditionalFormatting sqref="AE340">
    <cfRule type="cellIs" dxfId="0" priority="3792" operator="equal">
      <formula>"未完成"</formula>
    </cfRule>
  </conditionalFormatting>
  <conditionalFormatting sqref="AF340">
    <cfRule type="cellIs" dxfId="0" priority="1407" operator="equal">
      <formula>"未完成"</formula>
    </cfRule>
  </conditionalFormatting>
  <conditionalFormatting sqref="AJ340:AK340">
    <cfRule type="cellIs" dxfId="1" priority="3740" operator="equal">
      <formula>"未完成"</formula>
    </cfRule>
    <cfRule type="cellIs" dxfId="0" priority="3766" operator="equal">
      <formula>"未完成"</formula>
    </cfRule>
  </conditionalFormatting>
  <conditionalFormatting sqref="S341">
    <cfRule type="cellIs" dxfId="0" priority="3687" operator="equal">
      <formula>"欠"</formula>
    </cfRule>
  </conditionalFormatting>
  <conditionalFormatting sqref="T341">
    <cfRule type="containsText" dxfId="2" priority="3635" operator="between" text="欠">
      <formula>NOT(ISERROR(SEARCH("欠",T341)))</formula>
    </cfRule>
    <cfRule type="containsText" dxfId="3" priority="3661" operator="between" text="欠">
      <formula>NOT(ISERROR(SEARCH("欠",T341)))</formula>
    </cfRule>
  </conditionalFormatting>
  <conditionalFormatting sqref="AE341">
    <cfRule type="cellIs" dxfId="0" priority="3791" operator="equal">
      <formula>"未完成"</formula>
    </cfRule>
  </conditionalFormatting>
  <conditionalFormatting sqref="AF341">
    <cfRule type="cellIs" dxfId="0" priority="1406" operator="equal">
      <formula>"未完成"</formula>
    </cfRule>
  </conditionalFormatting>
  <conditionalFormatting sqref="AJ341:AK341">
    <cfRule type="cellIs" dxfId="1" priority="3739" operator="equal">
      <formula>"未完成"</formula>
    </cfRule>
    <cfRule type="cellIs" dxfId="0" priority="3765" operator="equal">
      <formula>"未完成"</formula>
    </cfRule>
  </conditionalFormatting>
  <conditionalFormatting sqref="S342">
    <cfRule type="cellIs" dxfId="0" priority="3686" operator="equal">
      <formula>"欠"</formula>
    </cfRule>
  </conditionalFormatting>
  <conditionalFormatting sqref="T342">
    <cfRule type="containsText" dxfId="2" priority="3634" operator="between" text="欠">
      <formula>NOT(ISERROR(SEARCH("欠",T342)))</formula>
    </cfRule>
    <cfRule type="containsText" dxfId="3" priority="3660" operator="between" text="欠">
      <formula>NOT(ISERROR(SEARCH("欠",T342)))</formula>
    </cfRule>
  </conditionalFormatting>
  <conditionalFormatting sqref="AE342">
    <cfRule type="cellIs" dxfId="0" priority="3790" operator="equal">
      <formula>"未完成"</formula>
    </cfRule>
  </conditionalFormatting>
  <conditionalFormatting sqref="AF342">
    <cfRule type="cellIs" dxfId="0" priority="1405" operator="equal">
      <formula>"未完成"</formula>
    </cfRule>
  </conditionalFormatting>
  <conditionalFormatting sqref="AJ342:AK342">
    <cfRule type="cellIs" dxfId="1" priority="3738" operator="equal">
      <formula>"未完成"</formula>
    </cfRule>
    <cfRule type="cellIs" dxfId="0" priority="3764" operator="equal">
      <formula>"未完成"</formula>
    </cfRule>
  </conditionalFormatting>
  <conditionalFormatting sqref="S343">
    <cfRule type="cellIs" dxfId="0" priority="3685" operator="equal">
      <formula>"欠"</formula>
    </cfRule>
  </conditionalFormatting>
  <conditionalFormatting sqref="T343">
    <cfRule type="containsText" dxfId="2" priority="3633" operator="between" text="欠">
      <formula>NOT(ISERROR(SEARCH("欠",T343)))</formula>
    </cfRule>
    <cfRule type="containsText" dxfId="3" priority="3659" operator="between" text="欠">
      <formula>NOT(ISERROR(SEARCH("欠",T343)))</formula>
    </cfRule>
  </conditionalFormatting>
  <conditionalFormatting sqref="AE343">
    <cfRule type="cellIs" dxfId="0" priority="3789" operator="equal">
      <formula>"未完成"</formula>
    </cfRule>
  </conditionalFormatting>
  <conditionalFormatting sqref="AF343">
    <cfRule type="cellIs" dxfId="0" priority="1404" operator="equal">
      <formula>"未完成"</formula>
    </cfRule>
  </conditionalFormatting>
  <conditionalFormatting sqref="AJ343:AK343">
    <cfRule type="cellIs" dxfId="1" priority="3737" operator="equal">
      <formula>"未完成"</formula>
    </cfRule>
    <cfRule type="cellIs" dxfId="0" priority="3763" operator="equal">
      <formula>"未完成"</formula>
    </cfRule>
  </conditionalFormatting>
  <conditionalFormatting sqref="S344">
    <cfRule type="cellIs" dxfId="0" priority="3684" operator="equal">
      <formula>"欠"</formula>
    </cfRule>
  </conditionalFormatting>
  <conditionalFormatting sqref="T344">
    <cfRule type="containsText" dxfId="2" priority="3632" operator="between" text="欠">
      <formula>NOT(ISERROR(SEARCH("欠",T344)))</formula>
    </cfRule>
    <cfRule type="containsText" dxfId="3" priority="3658" operator="between" text="欠">
      <formula>NOT(ISERROR(SEARCH("欠",T344)))</formula>
    </cfRule>
  </conditionalFormatting>
  <conditionalFormatting sqref="AE344">
    <cfRule type="cellIs" dxfId="0" priority="3788" operator="equal">
      <formula>"未完成"</formula>
    </cfRule>
  </conditionalFormatting>
  <conditionalFormatting sqref="AF344">
    <cfRule type="cellIs" dxfId="0" priority="1403" operator="equal">
      <formula>"未完成"</formula>
    </cfRule>
  </conditionalFormatting>
  <conditionalFormatting sqref="AJ344:AK344">
    <cfRule type="cellIs" dxfId="1" priority="3736" operator="equal">
      <formula>"未完成"</formula>
    </cfRule>
    <cfRule type="cellIs" dxfId="0" priority="3762" operator="equal">
      <formula>"未完成"</formula>
    </cfRule>
  </conditionalFormatting>
  <conditionalFormatting sqref="S345">
    <cfRule type="cellIs" dxfId="0" priority="3683" operator="equal">
      <formula>"欠"</formula>
    </cfRule>
  </conditionalFormatting>
  <conditionalFormatting sqref="T345">
    <cfRule type="containsText" dxfId="2" priority="3631" operator="between" text="欠">
      <formula>NOT(ISERROR(SEARCH("欠",T345)))</formula>
    </cfRule>
    <cfRule type="containsText" dxfId="3" priority="3657" operator="between" text="欠">
      <formula>NOT(ISERROR(SEARCH("欠",T345)))</formula>
    </cfRule>
  </conditionalFormatting>
  <conditionalFormatting sqref="AE345">
    <cfRule type="cellIs" dxfId="0" priority="3787" operator="equal">
      <formula>"未完成"</formula>
    </cfRule>
  </conditionalFormatting>
  <conditionalFormatting sqref="AF345">
    <cfRule type="cellIs" dxfId="0" priority="1402" operator="equal">
      <formula>"未完成"</formula>
    </cfRule>
  </conditionalFormatting>
  <conditionalFormatting sqref="AJ345:AK345">
    <cfRule type="cellIs" dxfId="1" priority="3735" operator="equal">
      <formula>"未完成"</formula>
    </cfRule>
    <cfRule type="cellIs" dxfId="0" priority="3761" operator="equal">
      <formula>"未完成"</formula>
    </cfRule>
  </conditionalFormatting>
  <conditionalFormatting sqref="S346">
    <cfRule type="cellIs" dxfId="0" priority="3682" operator="equal">
      <formula>"欠"</formula>
    </cfRule>
  </conditionalFormatting>
  <conditionalFormatting sqref="T346">
    <cfRule type="containsText" dxfId="2" priority="3630" operator="between" text="欠">
      <formula>NOT(ISERROR(SEARCH("欠",T346)))</formula>
    </cfRule>
    <cfRule type="containsText" dxfId="3" priority="3656" operator="between" text="欠">
      <formula>NOT(ISERROR(SEARCH("欠",T346)))</formula>
    </cfRule>
  </conditionalFormatting>
  <conditionalFormatting sqref="AE346">
    <cfRule type="cellIs" dxfId="0" priority="3786" operator="equal">
      <formula>"未完成"</formula>
    </cfRule>
  </conditionalFormatting>
  <conditionalFormatting sqref="AF346">
    <cfRule type="cellIs" dxfId="0" priority="1401" operator="equal">
      <formula>"未完成"</formula>
    </cfRule>
  </conditionalFormatting>
  <conditionalFormatting sqref="AJ346:AK346">
    <cfRule type="cellIs" dxfId="1" priority="3734" operator="equal">
      <formula>"未完成"</formula>
    </cfRule>
    <cfRule type="cellIs" dxfId="0" priority="3760" operator="equal">
      <formula>"未完成"</formula>
    </cfRule>
  </conditionalFormatting>
  <conditionalFormatting sqref="S347">
    <cfRule type="cellIs" dxfId="0" priority="3681" operator="equal">
      <formula>"欠"</formula>
    </cfRule>
  </conditionalFormatting>
  <conditionalFormatting sqref="T347">
    <cfRule type="containsText" dxfId="2" priority="3629" operator="between" text="欠">
      <formula>NOT(ISERROR(SEARCH("欠",T347)))</formula>
    </cfRule>
    <cfRule type="containsText" dxfId="3" priority="3655" operator="between" text="欠">
      <formula>NOT(ISERROR(SEARCH("欠",T347)))</formula>
    </cfRule>
  </conditionalFormatting>
  <conditionalFormatting sqref="AE347">
    <cfRule type="cellIs" dxfId="0" priority="3785" operator="equal">
      <formula>"未完成"</formula>
    </cfRule>
  </conditionalFormatting>
  <conditionalFormatting sqref="AF347">
    <cfRule type="cellIs" dxfId="0" priority="1400" operator="equal">
      <formula>"未完成"</formula>
    </cfRule>
  </conditionalFormatting>
  <conditionalFormatting sqref="AJ347:AK347">
    <cfRule type="cellIs" dxfId="1" priority="3733" operator="equal">
      <formula>"未完成"</formula>
    </cfRule>
    <cfRule type="cellIs" dxfId="0" priority="3759" operator="equal">
      <formula>"未完成"</formula>
    </cfRule>
  </conditionalFormatting>
  <conditionalFormatting sqref="S348">
    <cfRule type="cellIs" dxfId="0" priority="3680" operator="equal">
      <formula>"欠"</formula>
    </cfRule>
  </conditionalFormatting>
  <conditionalFormatting sqref="T348">
    <cfRule type="containsText" dxfId="2" priority="3628" operator="between" text="欠">
      <formula>NOT(ISERROR(SEARCH("欠",T348)))</formula>
    </cfRule>
    <cfRule type="containsText" dxfId="3" priority="3654" operator="between" text="欠">
      <formula>NOT(ISERROR(SEARCH("欠",T348)))</formula>
    </cfRule>
  </conditionalFormatting>
  <conditionalFormatting sqref="AE348">
    <cfRule type="cellIs" dxfId="0" priority="3784" operator="equal">
      <formula>"未完成"</formula>
    </cfRule>
  </conditionalFormatting>
  <conditionalFormatting sqref="AF348">
    <cfRule type="cellIs" dxfId="0" priority="1399" operator="equal">
      <formula>"未完成"</formula>
    </cfRule>
  </conditionalFormatting>
  <conditionalFormatting sqref="AJ348:AK348">
    <cfRule type="cellIs" dxfId="1" priority="3732" operator="equal">
      <formula>"未完成"</formula>
    </cfRule>
    <cfRule type="cellIs" dxfId="0" priority="3758" operator="equal">
      <formula>"未完成"</formula>
    </cfRule>
  </conditionalFormatting>
  <conditionalFormatting sqref="S349">
    <cfRule type="cellIs" dxfId="0" priority="3679" operator="equal">
      <formula>"欠"</formula>
    </cfRule>
  </conditionalFormatting>
  <conditionalFormatting sqref="T349">
    <cfRule type="containsText" dxfId="2" priority="3627" operator="between" text="欠">
      <formula>NOT(ISERROR(SEARCH("欠",T349)))</formula>
    </cfRule>
    <cfRule type="containsText" dxfId="3" priority="3653" operator="between" text="欠">
      <formula>NOT(ISERROR(SEARCH("欠",T349)))</formula>
    </cfRule>
  </conditionalFormatting>
  <conditionalFormatting sqref="AE349">
    <cfRule type="cellIs" dxfId="0" priority="3783" operator="equal">
      <formula>"未完成"</formula>
    </cfRule>
  </conditionalFormatting>
  <conditionalFormatting sqref="AF349">
    <cfRule type="cellIs" dxfId="0" priority="1398" operator="equal">
      <formula>"未完成"</formula>
    </cfRule>
  </conditionalFormatting>
  <conditionalFormatting sqref="AJ349:AK349">
    <cfRule type="cellIs" dxfId="1" priority="3731" operator="equal">
      <formula>"未完成"</formula>
    </cfRule>
    <cfRule type="cellIs" dxfId="0" priority="3757" operator="equal">
      <formula>"未完成"</formula>
    </cfRule>
  </conditionalFormatting>
  <conditionalFormatting sqref="S350">
    <cfRule type="cellIs" dxfId="0" priority="3678" operator="equal">
      <formula>"欠"</formula>
    </cfRule>
  </conditionalFormatting>
  <conditionalFormatting sqref="T350">
    <cfRule type="containsText" dxfId="2" priority="3626" operator="between" text="欠">
      <formula>NOT(ISERROR(SEARCH("欠",T350)))</formula>
    </cfRule>
    <cfRule type="containsText" dxfId="3" priority="3652" operator="between" text="欠">
      <formula>NOT(ISERROR(SEARCH("欠",T350)))</formula>
    </cfRule>
  </conditionalFormatting>
  <conditionalFormatting sqref="AE350">
    <cfRule type="cellIs" dxfId="0" priority="3782" operator="equal">
      <formula>"未完成"</formula>
    </cfRule>
  </conditionalFormatting>
  <conditionalFormatting sqref="AF350">
    <cfRule type="cellIs" dxfId="0" priority="1397" operator="equal">
      <formula>"未完成"</formula>
    </cfRule>
  </conditionalFormatting>
  <conditionalFormatting sqref="AJ350:AK350">
    <cfRule type="cellIs" dxfId="1" priority="3730" operator="equal">
      <formula>"未完成"</formula>
    </cfRule>
    <cfRule type="cellIs" dxfId="0" priority="3756" operator="equal">
      <formula>"未完成"</formula>
    </cfRule>
  </conditionalFormatting>
  <conditionalFormatting sqref="S351">
    <cfRule type="cellIs" dxfId="0" priority="3677" operator="equal">
      <formula>"欠"</formula>
    </cfRule>
  </conditionalFormatting>
  <conditionalFormatting sqref="T351">
    <cfRule type="containsText" dxfId="2" priority="3625" operator="between" text="欠">
      <formula>NOT(ISERROR(SEARCH("欠",T351)))</formula>
    </cfRule>
    <cfRule type="containsText" dxfId="3" priority="3651" operator="between" text="欠">
      <formula>NOT(ISERROR(SEARCH("欠",T351)))</formula>
    </cfRule>
  </conditionalFormatting>
  <conditionalFormatting sqref="AE351">
    <cfRule type="cellIs" dxfId="0" priority="3781" operator="equal">
      <formula>"未完成"</formula>
    </cfRule>
  </conditionalFormatting>
  <conditionalFormatting sqref="AF351">
    <cfRule type="cellIs" dxfId="0" priority="1396" operator="equal">
      <formula>"未完成"</formula>
    </cfRule>
  </conditionalFormatting>
  <conditionalFormatting sqref="AJ351:AK351">
    <cfRule type="cellIs" dxfId="1" priority="3729" operator="equal">
      <formula>"未完成"</formula>
    </cfRule>
    <cfRule type="cellIs" dxfId="0" priority="3755" operator="equal">
      <formula>"未完成"</formula>
    </cfRule>
  </conditionalFormatting>
  <conditionalFormatting sqref="S352">
    <cfRule type="cellIs" dxfId="0" priority="3676" operator="equal">
      <formula>"欠"</formula>
    </cfRule>
  </conditionalFormatting>
  <conditionalFormatting sqref="T352">
    <cfRule type="containsText" dxfId="2" priority="3624" operator="between" text="欠">
      <formula>NOT(ISERROR(SEARCH("欠",T352)))</formula>
    </cfRule>
    <cfRule type="containsText" dxfId="3" priority="3650" operator="between" text="欠">
      <formula>NOT(ISERROR(SEARCH("欠",T352)))</formula>
    </cfRule>
  </conditionalFormatting>
  <conditionalFormatting sqref="AE352">
    <cfRule type="cellIs" dxfId="0" priority="3780" operator="equal">
      <formula>"未完成"</formula>
    </cfRule>
  </conditionalFormatting>
  <conditionalFormatting sqref="AF352">
    <cfRule type="cellIs" dxfId="0" priority="1395" operator="equal">
      <formula>"未完成"</formula>
    </cfRule>
  </conditionalFormatting>
  <conditionalFormatting sqref="AJ352:AK352">
    <cfRule type="cellIs" dxfId="1" priority="3728" operator="equal">
      <formula>"未完成"</formula>
    </cfRule>
    <cfRule type="cellIs" dxfId="0" priority="3754" operator="equal">
      <formula>"未完成"</formula>
    </cfRule>
  </conditionalFormatting>
  <conditionalFormatting sqref="S353">
    <cfRule type="cellIs" dxfId="0" priority="3609" operator="equal">
      <formula>"欠"</formula>
    </cfRule>
  </conditionalFormatting>
  <conditionalFormatting sqref="T353">
    <cfRule type="containsText" dxfId="2" priority="3605" operator="between" text="欠">
      <formula>NOT(ISERROR(SEARCH("欠",T353)))</formula>
    </cfRule>
    <cfRule type="containsText" dxfId="3" priority="3607" operator="between" text="欠">
      <formula>NOT(ISERROR(SEARCH("欠",T353)))</formula>
    </cfRule>
  </conditionalFormatting>
  <conditionalFormatting sqref="AE353">
    <cfRule type="cellIs" dxfId="0" priority="3617" operator="equal">
      <formula>"未完成"</formula>
    </cfRule>
  </conditionalFormatting>
  <conditionalFormatting sqref="AF353">
    <cfRule type="cellIs" dxfId="0" priority="1394" operator="equal">
      <formula>"未完成"</formula>
    </cfRule>
  </conditionalFormatting>
  <conditionalFormatting sqref="AJ353:AK353">
    <cfRule type="cellIs" dxfId="1" priority="3613" operator="equal">
      <formula>"未完成"</formula>
    </cfRule>
    <cfRule type="cellIs" dxfId="0" priority="3615" operator="equal">
      <formula>"未完成"</formula>
    </cfRule>
  </conditionalFormatting>
  <conditionalFormatting sqref="S354">
    <cfRule type="cellIs" dxfId="0" priority="3608" operator="equal">
      <formula>"欠"</formula>
    </cfRule>
  </conditionalFormatting>
  <conditionalFormatting sqref="T354">
    <cfRule type="containsText" dxfId="2" priority="3604" operator="between" text="欠">
      <formula>NOT(ISERROR(SEARCH("欠",T354)))</formula>
    </cfRule>
    <cfRule type="containsText" dxfId="3" priority="3606" operator="between" text="欠">
      <formula>NOT(ISERROR(SEARCH("欠",T354)))</formula>
    </cfRule>
  </conditionalFormatting>
  <conditionalFormatting sqref="AE354">
    <cfRule type="cellIs" dxfId="0" priority="3616" operator="equal">
      <formula>"未完成"</formula>
    </cfRule>
  </conditionalFormatting>
  <conditionalFormatting sqref="AF354">
    <cfRule type="cellIs" dxfId="0" priority="1393" operator="equal">
      <formula>"未完成"</formula>
    </cfRule>
  </conditionalFormatting>
  <conditionalFormatting sqref="AJ354:AK354">
    <cfRule type="cellIs" dxfId="1" priority="3612" operator="equal">
      <formula>"未完成"</formula>
    </cfRule>
    <cfRule type="cellIs" dxfId="0" priority="3614" operator="equal">
      <formula>"未完成"</formula>
    </cfRule>
  </conditionalFormatting>
  <conditionalFormatting sqref="S355">
    <cfRule type="cellIs" dxfId="0" priority="3498" operator="equal">
      <formula>"欠"</formula>
    </cfRule>
  </conditionalFormatting>
  <conditionalFormatting sqref="T355">
    <cfRule type="containsText" dxfId="2" priority="3482" operator="between" text="欠">
      <formula>NOT(ISERROR(SEARCH("欠",T355)))</formula>
    </cfRule>
    <cfRule type="containsText" dxfId="3" priority="3490" operator="between" text="欠">
      <formula>NOT(ISERROR(SEARCH("欠",T355)))</formula>
    </cfRule>
  </conditionalFormatting>
  <conditionalFormatting sqref="AE355">
    <cfRule type="cellIs" dxfId="0" priority="3530" operator="equal">
      <formula>"未完成"</formula>
    </cfRule>
  </conditionalFormatting>
  <conditionalFormatting sqref="AF355">
    <cfRule type="cellIs" dxfId="0" priority="1392" operator="equal">
      <formula>"未完成"</formula>
    </cfRule>
  </conditionalFormatting>
  <conditionalFormatting sqref="AJ355:AK355">
    <cfRule type="cellIs" dxfId="1" priority="3514" operator="equal">
      <formula>"未完成"</formula>
    </cfRule>
    <cfRule type="cellIs" dxfId="0" priority="3522" operator="equal">
      <formula>"未完成"</formula>
    </cfRule>
  </conditionalFormatting>
  <conditionalFormatting sqref="S356">
    <cfRule type="cellIs" dxfId="0" priority="3497" operator="equal">
      <formula>"欠"</formula>
    </cfRule>
  </conditionalFormatting>
  <conditionalFormatting sqref="T356">
    <cfRule type="containsText" dxfId="2" priority="3481" operator="between" text="欠">
      <formula>NOT(ISERROR(SEARCH("欠",T356)))</formula>
    </cfRule>
    <cfRule type="containsText" dxfId="3" priority="3489" operator="between" text="欠">
      <formula>NOT(ISERROR(SEARCH("欠",T356)))</formula>
    </cfRule>
  </conditionalFormatting>
  <conditionalFormatting sqref="AE356">
    <cfRule type="cellIs" dxfId="0" priority="3529" operator="equal">
      <formula>"未完成"</formula>
    </cfRule>
  </conditionalFormatting>
  <conditionalFormatting sqref="AF356">
    <cfRule type="cellIs" dxfId="0" priority="1391" operator="equal">
      <formula>"未完成"</formula>
    </cfRule>
  </conditionalFormatting>
  <conditionalFormatting sqref="AJ356:AK356">
    <cfRule type="cellIs" dxfId="1" priority="3513" operator="equal">
      <formula>"未完成"</formula>
    </cfRule>
    <cfRule type="cellIs" dxfId="0" priority="3521" operator="equal">
      <formula>"未完成"</formula>
    </cfRule>
  </conditionalFormatting>
  <conditionalFormatting sqref="S357">
    <cfRule type="cellIs" dxfId="0" priority="3496" operator="equal">
      <formula>"欠"</formula>
    </cfRule>
  </conditionalFormatting>
  <conditionalFormatting sqref="T357">
    <cfRule type="containsText" dxfId="2" priority="3480" operator="between" text="欠">
      <formula>NOT(ISERROR(SEARCH("欠",T357)))</formula>
    </cfRule>
    <cfRule type="containsText" dxfId="3" priority="3488" operator="between" text="欠">
      <formula>NOT(ISERROR(SEARCH("欠",T357)))</formula>
    </cfRule>
  </conditionalFormatting>
  <conditionalFormatting sqref="AE357">
    <cfRule type="cellIs" dxfId="0" priority="3528" operator="equal">
      <formula>"未完成"</formula>
    </cfRule>
  </conditionalFormatting>
  <conditionalFormatting sqref="AF357">
    <cfRule type="cellIs" dxfId="0" priority="1390" operator="equal">
      <formula>"未完成"</formula>
    </cfRule>
  </conditionalFormatting>
  <conditionalFormatting sqref="AJ357:AK357">
    <cfRule type="cellIs" dxfId="1" priority="3512" operator="equal">
      <formula>"未完成"</formula>
    </cfRule>
    <cfRule type="cellIs" dxfId="0" priority="3520" operator="equal">
      <formula>"未完成"</formula>
    </cfRule>
  </conditionalFormatting>
  <conditionalFormatting sqref="S358">
    <cfRule type="cellIs" dxfId="0" priority="3495" operator="equal">
      <formula>"欠"</formula>
    </cfRule>
  </conditionalFormatting>
  <conditionalFormatting sqref="T358">
    <cfRule type="containsText" dxfId="2" priority="3479" operator="between" text="欠">
      <formula>NOT(ISERROR(SEARCH("欠",T358)))</formula>
    </cfRule>
    <cfRule type="containsText" dxfId="3" priority="3487" operator="between" text="欠">
      <formula>NOT(ISERROR(SEARCH("欠",T358)))</formula>
    </cfRule>
  </conditionalFormatting>
  <conditionalFormatting sqref="AE358">
    <cfRule type="cellIs" dxfId="0" priority="3527" operator="equal">
      <formula>"未完成"</formula>
    </cfRule>
  </conditionalFormatting>
  <conditionalFormatting sqref="AF358">
    <cfRule type="cellIs" dxfId="0" priority="1389" operator="equal">
      <formula>"未完成"</formula>
    </cfRule>
  </conditionalFormatting>
  <conditionalFormatting sqref="AJ358:AK358">
    <cfRule type="cellIs" dxfId="1" priority="3511" operator="equal">
      <formula>"未完成"</formula>
    </cfRule>
    <cfRule type="cellIs" dxfId="0" priority="3519" operator="equal">
      <formula>"未完成"</formula>
    </cfRule>
  </conditionalFormatting>
  <conditionalFormatting sqref="S359">
    <cfRule type="cellIs" dxfId="0" priority="3494" operator="equal">
      <formula>"欠"</formula>
    </cfRule>
  </conditionalFormatting>
  <conditionalFormatting sqref="T359">
    <cfRule type="containsText" dxfId="2" priority="3478" operator="between" text="欠">
      <formula>NOT(ISERROR(SEARCH("欠",T359)))</formula>
    </cfRule>
    <cfRule type="containsText" dxfId="3" priority="3486" operator="between" text="欠">
      <formula>NOT(ISERROR(SEARCH("欠",T359)))</formula>
    </cfRule>
  </conditionalFormatting>
  <conditionalFormatting sqref="AE359">
    <cfRule type="cellIs" dxfId="0" priority="3526" operator="equal">
      <formula>"未完成"</formula>
    </cfRule>
  </conditionalFormatting>
  <conditionalFormatting sqref="AF359">
    <cfRule type="cellIs" dxfId="0" priority="1388" operator="equal">
      <formula>"未完成"</formula>
    </cfRule>
  </conditionalFormatting>
  <conditionalFormatting sqref="AJ359:AK359">
    <cfRule type="cellIs" dxfId="1" priority="3510" operator="equal">
      <formula>"未完成"</formula>
    </cfRule>
    <cfRule type="cellIs" dxfId="0" priority="3518" operator="equal">
      <formula>"未完成"</formula>
    </cfRule>
  </conditionalFormatting>
  <conditionalFormatting sqref="S360">
    <cfRule type="cellIs" dxfId="0" priority="3493" operator="equal">
      <formula>"欠"</formula>
    </cfRule>
  </conditionalFormatting>
  <conditionalFormatting sqref="T360">
    <cfRule type="containsText" dxfId="2" priority="3477" operator="between" text="欠">
      <formula>NOT(ISERROR(SEARCH("欠",T360)))</formula>
    </cfRule>
    <cfRule type="containsText" dxfId="3" priority="3485" operator="between" text="欠">
      <formula>NOT(ISERROR(SEARCH("欠",T360)))</formula>
    </cfRule>
  </conditionalFormatting>
  <conditionalFormatting sqref="AE360">
    <cfRule type="cellIs" dxfId="0" priority="3525" operator="equal">
      <formula>"未完成"</formula>
    </cfRule>
  </conditionalFormatting>
  <conditionalFormatting sqref="AF360">
    <cfRule type="cellIs" dxfId="0" priority="1387" operator="equal">
      <formula>"未完成"</formula>
    </cfRule>
  </conditionalFormatting>
  <conditionalFormatting sqref="AJ360:AK360">
    <cfRule type="cellIs" dxfId="1" priority="3509" operator="equal">
      <formula>"未完成"</formula>
    </cfRule>
    <cfRule type="cellIs" dxfId="0" priority="3517" operator="equal">
      <formula>"未完成"</formula>
    </cfRule>
  </conditionalFormatting>
  <conditionalFormatting sqref="S361">
    <cfRule type="cellIs" dxfId="0" priority="3492" operator="equal">
      <formula>"欠"</formula>
    </cfRule>
  </conditionalFormatting>
  <conditionalFormatting sqref="T361">
    <cfRule type="containsText" dxfId="2" priority="3476" operator="between" text="欠">
      <formula>NOT(ISERROR(SEARCH("欠",T361)))</formula>
    </cfRule>
    <cfRule type="containsText" dxfId="3" priority="3484" operator="between" text="欠">
      <formula>NOT(ISERROR(SEARCH("欠",T361)))</formula>
    </cfRule>
  </conditionalFormatting>
  <conditionalFormatting sqref="AE361">
    <cfRule type="cellIs" dxfId="0" priority="3524" operator="equal">
      <formula>"未完成"</formula>
    </cfRule>
  </conditionalFormatting>
  <conditionalFormatting sqref="AF361">
    <cfRule type="cellIs" dxfId="0" priority="1386" operator="equal">
      <formula>"未完成"</formula>
    </cfRule>
  </conditionalFormatting>
  <conditionalFormatting sqref="AJ361:AK361">
    <cfRule type="cellIs" dxfId="1" priority="3508" operator="equal">
      <formula>"未完成"</formula>
    </cfRule>
    <cfRule type="cellIs" dxfId="0" priority="3516" operator="equal">
      <formula>"未完成"</formula>
    </cfRule>
  </conditionalFormatting>
  <conditionalFormatting sqref="S362">
    <cfRule type="cellIs" dxfId="0" priority="3491" operator="equal">
      <formula>"欠"</formula>
    </cfRule>
  </conditionalFormatting>
  <conditionalFormatting sqref="T362">
    <cfRule type="containsText" dxfId="2" priority="3475" operator="between" text="欠">
      <formula>NOT(ISERROR(SEARCH("欠",T362)))</formula>
    </cfRule>
    <cfRule type="containsText" dxfId="3" priority="3483" operator="between" text="欠">
      <formula>NOT(ISERROR(SEARCH("欠",T362)))</formula>
    </cfRule>
  </conditionalFormatting>
  <conditionalFormatting sqref="AE362">
    <cfRule type="cellIs" dxfId="0" priority="3523" operator="equal">
      <formula>"未完成"</formula>
    </cfRule>
  </conditionalFormatting>
  <conditionalFormatting sqref="AF362">
    <cfRule type="cellIs" dxfId="0" priority="1385" operator="equal">
      <formula>"未完成"</formula>
    </cfRule>
  </conditionalFormatting>
  <conditionalFormatting sqref="AJ362:AK362">
    <cfRule type="cellIs" dxfId="1" priority="3507" operator="equal">
      <formula>"未完成"</formula>
    </cfRule>
    <cfRule type="cellIs" dxfId="0" priority="3515" operator="equal">
      <formula>"未完成"</formula>
    </cfRule>
  </conditionalFormatting>
  <conditionalFormatting sqref="V389">
    <cfRule type="cellIs" dxfId="0" priority="4303" operator="equal">
      <formula>"欠"</formula>
    </cfRule>
  </conditionalFormatting>
  <conditionalFormatting sqref="AE389">
    <cfRule type="cellIs" dxfId="0" priority="4298" operator="equal">
      <formula>"未完成"</formula>
    </cfRule>
  </conditionalFormatting>
  <conditionalFormatting sqref="AF389">
    <cfRule type="cellIs" dxfId="0" priority="1480" operator="equal">
      <formula>"未完成"</formula>
    </cfRule>
  </conditionalFormatting>
  <conditionalFormatting sqref="AJ389:AK389">
    <cfRule type="cellIs" dxfId="1" priority="4299" operator="equal">
      <formula>"未完成"</formula>
    </cfRule>
    <cfRule type="cellIs" dxfId="0" priority="4300" operator="equal">
      <formula>"未完成"</formula>
    </cfRule>
  </conditionalFormatting>
  <conditionalFormatting sqref="AC421">
    <cfRule type="cellIs" dxfId="0" priority="4406" operator="equal">
      <formula>"未完成"</formula>
    </cfRule>
  </conditionalFormatting>
  <conditionalFormatting sqref="V422">
    <cfRule type="cellIs" dxfId="0" priority="4045" operator="equal">
      <formula>"欠"</formula>
    </cfRule>
  </conditionalFormatting>
  <conditionalFormatting sqref="AE422">
    <cfRule type="cellIs" dxfId="0" priority="4039" operator="equal">
      <formula>"未完成"</formula>
    </cfRule>
  </conditionalFormatting>
  <conditionalFormatting sqref="AF422">
    <cfRule type="cellIs" dxfId="0" priority="1440" operator="equal">
      <formula>"未完成"</formula>
    </cfRule>
  </conditionalFormatting>
  <conditionalFormatting sqref="AJ422">
    <cfRule type="cellIs" dxfId="1" priority="4040" operator="equal">
      <formula>"未完成"</formula>
    </cfRule>
    <cfRule type="cellIs" dxfId="0" priority="4041" operator="equal">
      <formula>"未完成"</formula>
    </cfRule>
  </conditionalFormatting>
  <conditionalFormatting sqref="AK422">
    <cfRule type="cellIs" dxfId="1" priority="4046" operator="equal">
      <formula>"未完成"</formula>
    </cfRule>
    <cfRule type="cellIs" dxfId="0" priority="4047" operator="equal">
      <formula>"未完成"</formula>
    </cfRule>
  </conditionalFormatting>
  <conditionalFormatting sqref="R424">
    <cfRule type="containsText" dxfId="2" priority="3169" operator="between" text="欠">
      <formula>NOT(ISERROR(SEARCH("欠",R424)))</formula>
    </cfRule>
  </conditionalFormatting>
  <conditionalFormatting sqref="V424">
    <cfRule type="cellIs" dxfId="0" priority="3256" operator="equal">
      <formula>"欠"</formula>
    </cfRule>
  </conditionalFormatting>
  <conditionalFormatting sqref="AE424">
    <cfRule type="cellIs" dxfId="0" priority="3285" operator="equal">
      <formula>"未完成"</formula>
    </cfRule>
  </conditionalFormatting>
  <conditionalFormatting sqref="AF424">
    <cfRule type="cellIs" dxfId="0" priority="1383" operator="equal">
      <formula>"未完成"</formula>
    </cfRule>
  </conditionalFormatting>
  <conditionalFormatting sqref="AJ424:AK424">
    <cfRule type="cellIs" dxfId="1" priority="3314" operator="equal">
      <formula>"未完成"</formula>
    </cfRule>
    <cfRule type="cellIs" dxfId="0" priority="3343" operator="equal">
      <formula>"未完成"</formula>
    </cfRule>
  </conditionalFormatting>
  <conditionalFormatting sqref="R425:U425">
    <cfRule type="cellIs" dxfId="0" priority="3226" operator="equal">
      <formula>"欠"</formula>
    </cfRule>
  </conditionalFormatting>
  <conditionalFormatting sqref="R425">
    <cfRule type="containsText" dxfId="2" priority="3168" operator="between" text="欠">
      <formula>NOT(ISERROR(SEARCH("欠",R425)))</formula>
    </cfRule>
  </conditionalFormatting>
  <conditionalFormatting sqref="T425">
    <cfRule type="containsText" dxfId="2" priority="3197" operator="between" text="欠">
      <formula>NOT(ISERROR(SEARCH("欠",T425)))</formula>
    </cfRule>
  </conditionalFormatting>
  <conditionalFormatting sqref="V425">
    <cfRule type="cellIs" dxfId="0" priority="3255" operator="equal">
      <formula>"欠"</formula>
    </cfRule>
  </conditionalFormatting>
  <conditionalFormatting sqref="AE425">
    <cfRule type="cellIs" dxfId="0" priority="3284" operator="equal">
      <formula>"未完成"</formula>
    </cfRule>
  </conditionalFormatting>
  <conditionalFormatting sqref="AF425">
    <cfRule type="cellIs" dxfId="0" priority="1382" operator="equal">
      <formula>"未完成"</formula>
    </cfRule>
  </conditionalFormatting>
  <conditionalFormatting sqref="AJ425:AK425">
    <cfRule type="cellIs" dxfId="1" priority="3313" operator="equal">
      <formula>"未完成"</formula>
    </cfRule>
    <cfRule type="cellIs" dxfId="0" priority="3342" operator="equal">
      <formula>"未完成"</formula>
    </cfRule>
  </conditionalFormatting>
  <conditionalFormatting sqref="R426:U426">
    <cfRule type="cellIs" dxfId="0" priority="3224" operator="equal">
      <formula>"欠"</formula>
    </cfRule>
  </conditionalFormatting>
  <conditionalFormatting sqref="R426">
    <cfRule type="containsText" dxfId="2" priority="3166" operator="between" text="欠">
      <formula>NOT(ISERROR(SEARCH("欠",R426)))</formula>
    </cfRule>
  </conditionalFormatting>
  <conditionalFormatting sqref="T426">
    <cfRule type="containsText" dxfId="2" priority="3195" operator="between" text="欠">
      <formula>NOT(ISERROR(SEARCH("欠",T426)))</formula>
    </cfRule>
  </conditionalFormatting>
  <conditionalFormatting sqref="V426">
    <cfRule type="cellIs" dxfId="0" priority="3253" operator="equal">
      <formula>"欠"</formula>
    </cfRule>
  </conditionalFormatting>
  <conditionalFormatting sqref="AE426">
    <cfRule type="cellIs" dxfId="0" priority="3282" operator="equal">
      <formula>"未完成"</formula>
    </cfRule>
  </conditionalFormatting>
  <conditionalFormatting sqref="AF426">
    <cfRule type="cellIs" dxfId="0" priority="1380" operator="equal">
      <formula>"未完成"</formula>
    </cfRule>
  </conditionalFormatting>
  <conditionalFormatting sqref="AJ426:AK426">
    <cfRule type="cellIs" dxfId="1" priority="3311" operator="equal">
      <formula>"未完成"</formula>
    </cfRule>
    <cfRule type="cellIs" dxfId="0" priority="3340" operator="equal">
      <formula>"未完成"</formula>
    </cfRule>
  </conditionalFormatting>
  <conditionalFormatting sqref="R427">
    <cfRule type="containsText" dxfId="2" priority="3165" operator="between" text="欠">
      <formula>NOT(ISERROR(SEARCH("欠",R427)))</formula>
    </cfRule>
  </conditionalFormatting>
  <conditionalFormatting sqref="T427">
    <cfRule type="containsText" dxfId="2" priority="3194" operator="between" text="欠">
      <formula>NOT(ISERROR(SEARCH("欠",T427)))</formula>
    </cfRule>
  </conditionalFormatting>
  <conditionalFormatting sqref="V427">
    <cfRule type="cellIs" dxfId="0" priority="3252" operator="equal">
      <formula>"欠"</formula>
    </cfRule>
  </conditionalFormatting>
  <conditionalFormatting sqref="AE427">
    <cfRule type="cellIs" dxfId="0" priority="3281" operator="equal">
      <formula>"未完成"</formula>
    </cfRule>
  </conditionalFormatting>
  <conditionalFormatting sqref="AF427">
    <cfRule type="cellIs" dxfId="0" priority="1379" operator="equal">
      <formula>"未完成"</formula>
    </cfRule>
  </conditionalFormatting>
  <conditionalFormatting sqref="AJ427:AK427">
    <cfRule type="cellIs" dxfId="1" priority="3310" operator="equal">
      <formula>"未完成"</formula>
    </cfRule>
    <cfRule type="cellIs" dxfId="0" priority="3339" operator="equal">
      <formula>"未完成"</formula>
    </cfRule>
  </conditionalFormatting>
  <conditionalFormatting sqref="R428">
    <cfRule type="containsText" dxfId="2" priority="3164" operator="between" text="欠">
      <formula>NOT(ISERROR(SEARCH("欠",R428)))</formula>
    </cfRule>
  </conditionalFormatting>
  <conditionalFormatting sqref="T428">
    <cfRule type="containsText" dxfId="2" priority="3193" operator="between" text="欠">
      <formula>NOT(ISERROR(SEARCH("欠",T428)))</formula>
    </cfRule>
  </conditionalFormatting>
  <conditionalFormatting sqref="V428">
    <cfRule type="cellIs" dxfId="0" priority="3251" operator="equal">
      <formula>"欠"</formula>
    </cfRule>
  </conditionalFormatting>
  <conditionalFormatting sqref="AE428">
    <cfRule type="cellIs" dxfId="0" priority="3280" operator="equal">
      <formula>"未完成"</formula>
    </cfRule>
  </conditionalFormatting>
  <conditionalFormatting sqref="AF428">
    <cfRule type="cellIs" dxfId="0" priority="1378" operator="equal">
      <formula>"未完成"</formula>
    </cfRule>
  </conditionalFormatting>
  <conditionalFormatting sqref="AJ428:AK428">
    <cfRule type="cellIs" dxfId="1" priority="3309" operator="equal">
      <formula>"未完成"</formula>
    </cfRule>
    <cfRule type="cellIs" dxfId="0" priority="3338" operator="equal">
      <formula>"未完成"</formula>
    </cfRule>
  </conditionalFormatting>
  <conditionalFormatting sqref="R429:U429">
    <cfRule type="cellIs" dxfId="0" priority="3221" operator="equal">
      <formula>"欠"</formula>
    </cfRule>
  </conditionalFormatting>
  <conditionalFormatting sqref="R429">
    <cfRule type="containsText" dxfId="2" priority="3163" operator="between" text="欠">
      <formula>NOT(ISERROR(SEARCH("欠",R429)))</formula>
    </cfRule>
  </conditionalFormatting>
  <conditionalFormatting sqref="T429">
    <cfRule type="containsText" dxfId="2" priority="3192" operator="between" text="欠">
      <formula>NOT(ISERROR(SEARCH("欠",T429)))</formula>
    </cfRule>
  </conditionalFormatting>
  <conditionalFormatting sqref="V429">
    <cfRule type="cellIs" dxfId="0" priority="3250" operator="equal">
      <formula>"欠"</formula>
    </cfRule>
  </conditionalFormatting>
  <conditionalFormatting sqref="AE429">
    <cfRule type="cellIs" dxfId="0" priority="3279" operator="equal">
      <formula>"未完成"</formula>
    </cfRule>
  </conditionalFormatting>
  <conditionalFormatting sqref="AF429">
    <cfRule type="cellIs" dxfId="0" priority="1377" operator="equal">
      <formula>"未完成"</formula>
    </cfRule>
  </conditionalFormatting>
  <conditionalFormatting sqref="AJ429:AK429">
    <cfRule type="cellIs" dxfId="1" priority="3308" operator="equal">
      <formula>"未完成"</formula>
    </cfRule>
    <cfRule type="cellIs" dxfId="0" priority="3337" operator="equal">
      <formula>"未完成"</formula>
    </cfRule>
  </conditionalFormatting>
  <conditionalFormatting sqref="R430:U430">
    <cfRule type="cellIs" dxfId="0" priority="3220" operator="equal">
      <formula>"欠"</formula>
    </cfRule>
  </conditionalFormatting>
  <conditionalFormatting sqref="R430">
    <cfRule type="containsText" dxfId="2" priority="3162" operator="between" text="欠">
      <formula>NOT(ISERROR(SEARCH("欠",R430)))</formula>
    </cfRule>
  </conditionalFormatting>
  <conditionalFormatting sqref="T430">
    <cfRule type="containsText" dxfId="2" priority="3191" operator="between" text="欠">
      <formula>NOT(ISERROR(SEARCH("欠",T430)))</formula>
    </cfRule>
  </conditionalFormatting>
  <conditionalFormatting sqref="V430">
    <cfRule type="cellIs" dxfId="0" priority="3249" operator="equal">
      <formula>"欠"</formula>
    </cfRule>
  </conditionalFormatting>
  <conditionalFormatting sqref="AE430">
    <cfRule type="cellIs" dxfId="0" priority="3278" operator="equal">
      <formula>"未完成"</formula>
    </cfRule>
  </conditionalFormatting>
  <conditionalFormatting sqref="AF430">
    <cfRule type="cellIs" dxfId="0" priority="1376" operator="equal">
      <formula>"未完成"</formula>
    </cfRule>
  </conditionalFormatting>
  <conditionalFormatting sqref="AJ430:AK430">
    <cfRule type="cellIs" dxfId="1" priority="3307" operator="equal">
      <formula>"未完成"</formula>
    </cfRule>
    <cfRule type="cellIs" dxfId="0" priority="3336" operator="equal">
      <formula>"未完成"</formula>
    </cfRule>
  </conditionalFormatting>
  <conditionalFormatting sqref="R431:U431">
    <cfRule type="cellIs" dxfId="0" priority="3219" operator="equal">
      <formula>"欠"</formula>
    </cfRule>
  </conditionalFormatting>
  <conditionalFormatting sqref="R431">
    <cfRule type="containsText" dxfId="2" priority="3161" operator="between" text="欠">
      <formula>NOT(ISERROR(SEARCH("欠",R431)))</formula>
    </cfRule>
  </conditionalFormatting>
  <conditionalFormatting sqref="T431">
    <cfRule type="containsText" dxfId="2" priority="3190" operator="between" text="欠">
      <formula>NOT(ISERROR(SEARCH("欠",T431)))</formula>
    </cfRule>
  </conditionalFormatting>
  <conditionalFormatting sqref="V431">
    <cfRule type="cellIs" dxfId="0" priority="3248" operator="equal">
      <formula>"欠"</formula>
    </cfRule>
  </conditionalFormatting>
  <conditionalFormatting sqref="AE431">
    <cfRule type="cellIs" dxfId="0" priority="3277" operator="equal">
      <formula>"未完成"</formula>
    </cfRule>
  </conditionalFormatting>
  <conditionalFormatting sqref="AF431">
    <cfRule type="cellIs" dxfId="0" priority="1375" operator="equal">
      <formula>"未完成"</formula>
    </cfRule>
  </conditionalFormatting>
  <conditionalFormatting sqref="AJ431:AK431">
    <cfRule type="cellIs" dxfId="1" priority="3306" operator="equal">
      <formula>"未完成"</formula>
    </cfRule>
    <cfRule type="cellIs" dxfId="0" priority="3335" operator="equal">
      <formula>"未完成"</formula>
    </cfRule>
  </conditionalFormatting>
  <conditionalFormatting sqref="R432:U432">
    <cfRule type="cellIs" dxfId="0" priority="3218" operator="equal">
      <formula>"欠"</formula>
    </cfRule>
  </conditionalFormatting>
  <conditionalFormatting sqref="R432">
    <cfRule type="containsText" dxfId="2" priority="3160" operator="between" text="欠">
      <formula>NOT(ISERROR(SEARCH("欠",R432)))</formula>
    </cfRule>
  </conditionalFormatting>
  <conditionalFormatting sqref="T432">
    <cfRule type="containsText" dxfId="2" priority="3189" operator="between" text="欠">
      <formula>NOT(ISERROR(SEARCH("欠",T432)))</formula>
    </cfRule>
  </conditionalFormatting>
  <conditionalFormatting sqref="V432">
    <cfRule type="cellIs" dxfId="0" priority="3247" operator="equal">
      <formula>"欠"</formula>
    </cfRule>
  </conditionalFormatting>
  <conditionalFormatting sqref="AE432">
    <cfRule type="cellIs" dxfId="0" priority="3276" operator="equal">
      <formula>"未完成"</formula>
    </cfRule>
  </conditionalFormatting>
  <conditionalFormatting sqref="AF432">
    <cfRule type="cellIs" dxfId="0" priority="1374" operator="equal">
      <formula>"未完成"</formula>
    </cfRule>
  </conditionalFormatting>
  <conditionalFormatting sqref="AJ432:AK432">
    <cfRule type="cellIs" dxfId="1" priority="3305" operator="equal">
      <formula>"未完成"</formula>
    </cfRule>
    <cfRule type="cellIs" dxfId="0" priority="3334" operator="equal">
      <formula>"未完成"</formula>
    </cfRule>
  </conditionalFormatting>
  <conditionalFormatting sqref="R433:U433">
    <cfRule type="cellIs" dxfId="0" priority="3217" operator="equal">
      <formula>"欠"</formula>
    </cfRule>
  </conditionalFormatting>
  <conditionalFormatting sqref="R433">
    <cfRule type="containsText" dxfId="2" priority="3159" operator="between" text="欠">
      <formula>NOT(ISERROR(SEARCH("欠",R433)))</formula>
    </cfRule>
  </conditionalFormatting>
  <conditionalFormatting sqref="T433">
    <cfRule type="containsText" dxfId="2" priority="3188" operator="between" text="欠">
      <formula>NOT(ISERROR(SEARCH("欠",T433)))</formula>
    </cfRule>
  </conditionalFormatting>
  <conditionalFormatting sqref="V433">
    <cfRule type="cellIs" dxfId="0" priority="3246" operator="equal">
      <formula>"欠"</formula>
    </cfRule>
  </conditionalFormatting>
  <conditionalFormatting sqref="AE433">
    <cfRule type="cellIs" dxfId="0" priority="3275" operator="equal">
      <formula>"未完成"</formula>
    </cfRule>
  </conditionalFormatting>
  <conditionalFormatting sqref="AF433">
    <cfRule type="cellIs" dxfId="0" priority="1373" operator="equal">
      <formula>"未完成"</formula>
    </cfRule>
  </conditionalFormatting>
  <conditionalFormatting sqref="AJ433:AK433">
    <cfRule type="cellIs" dxfId="1" priority="3304" operator="equal">
      <formula>"未完成"</formula>
    </cfRule>
    <cfRule type="cellIs" dxfId="0" priority="3333" operator="equal">
      <formula>"未完成"</formula>
    </cfRule>
  </conditionalFormatting>
  <conditionalFormatting sqref="R434:U434">
    <cfRule type="cellIs" dxfId="0" priority="3216" operator="equal">
      <formula>"欠"</formula>
    </cfRule>
  </conditionalFormatting>
  <conditionalFormatting sqref="R434">
    <cfRule type="containsText" dxfId="2" priority="3158" operator="between" text="欠">
      <formula>NOT(ISERROR(SEARCH("欠",R434)))</formula>
    </cfRule>
  </conditionalFormatting>
  <conditionalFormatting sqref="T434">
    <cfRule type="containsText" dxfId="2" priority="3187" operator="between" text="欠">
      <formula>NOT(ISERROR(SEARCH("欠",T434)))</formula>
    </cfRule>
  </conditionalFormatting>
  <conditionalFormatting sqref="V434">
    <cfRule type="cellIs" dxfId="0" priority="3245" operator="equal">
      <formula>"欠"</formula>
    </cfRule>
  </conditionalFormatting>
  <conditionalFormatting sqref="AE434">
    <cfRule type="cellIs" dxfId="0" priority="3274" operator="equal">
      <formula>"未完成"</formula>
    </cfRule>
  </conditionalFormatting>
  <conditionalFormatting sqref="AF434">
    <cfRule type="cellIs" dxfId="0" priority="1372" operator="equal">
      <formula>"未完成"</formula>
    </cfRule>
  </conditionalFormatting>
  <conditionalFormatting sqref="AJ434:AK434">
    <cfRule type="cellIs" dxfId="1" priority="3303" operator="equal">
      <formula>"未完成"</formula>
    </cfRule>
    <cfRule type="cellIs" dxfId="0" priority="3332" operator="equal">
      <formula>"未完成"</formula>
    </cfRule>
  </conditionalFormatting>
  <conditionalFormatting sqref="R435:U435">
    <cfRule type="cellIs" dxfId="0" priority="3215" operator="equal">
      <formula>"欠"</formula>
    </cfRule>
  </conditionalFormatting>
  <conditionalFormatting sqref="R435">
    <cfRule type="containsText" dxfId="2" priority="3157" operator="between" text="欠">
      <formula>NOT(ISERROR(SEARCH("欠",R435)))</formula>
    </cfRule>
  </conditionalFormatting>
  <conditionalFormatting sqref="T435">
    <cfRule type="containsText" dxfId="2" priority="3186" operator="between" text="欠">
      <formula>NOT(ISERROR(SEARCH("欠",T435)))</formula>
    </cfRule>
  </conditionalFormatting>
  <conditionalFormatting sqref="V435">
    <cfRule type="cellIs" dxfId="0" priority="3244" operator="equal">
      <formula>"欠"</formula>
    </cfRule>
  </conditionalFormatting>
  <conditionalFormatting sqref="AE435">
    <cfRule type="cellIs" dxfId="0" priority="3273" operator="equal">
      <formula>"未完成"</formula>
    </cfRule>
  </conditionalFormatting>
  <conditionalFormatting sqref="AF435">
    <cfRule type="cellIs" dxfId="0" priority="1371" operator="equal">
      <formula>"未完成"</formula>
    </cfRule>
  </conditionalFormatting>
  <conditionalFormatting sqref="AJ435:AK435">
    <cfRule type="cellIs" dxfId="1" priority="3302" operator="equal">
      <formula>"未完成"</formula>
    </cfRule>
    <cfRule type="cellIs" dxfId="0" priority="3331" operator="equal">
      <formula>"未完成"</formula>
    </cfRule>
  </conditionalFormatting>
  <conditionalFormatting sqref="R436:U436">
    <cfRule type="cellIs" dxfId="0" priority="3213" operator="equal">
      <formula>"欠"</formula>
    </cfRule>
  </conditionalFormatting>
  <conditionalFormatting sqref="R436">
    <cfRule type="containsText" dxfId="2" priority="3155" operator="between" text="欠">
      <formula>NOT(ISERROR(SEARCH("欠",R436)))</formula>
    </cfRule>
  </conditionalFormatting>
  <conditionalFormatting sqref="T436">
    <cfRule type="containsText" dxfId="2" priority="3184" operator="between" text="欠">
      <formula>NOT(ISERROR(SEARCH("欠",T436)))</formula>
    </cfRule>
  </conditionalFormatting>
  <conditionalFormatting sqref="V436">
    <cfRule type="cellIs" dxfId="0" priority="3242" operator="equal">
      <formula>"欠"</formula>
    </cfRule>
  </conditionalFormatting>
  <conditionalFormatting sqref="AE436">
    <cfRule type="cellIs" dxfId="0" priority="3271" operator="equal">
      <formula>"未完成"</formula>
    </cfRule>
  </conditionalFormatting>
  <conditionalFormatting sqref="AF436">
    <cfRule type="cellIs" dxfId="0" priority="1369" operator="equal">
      <formula>"未完成"</formula>
    </cfRule>
  </conditionalFormatting>
  <conditionalFormatting sqref="AJ436:AK436">
    <cfRule type="cellIs" dxfId="1" priority="3300" operator="equal">
      <formula>"未完成"</formula>
    </cfRule>
    <cfRule type="cellIs" dxfId="0" priority="3329" operator="equal">
      <formula>"未完成"</formula>
    </cfRule>
  </conditionalFormatting>
  <conditionalFormatting sqref="R437:U437">
    <cfRule type="cellIs" dxfId="0" priority="3212" operator="equal">
      <formula>"欠"</formula>
    </cfRule>
  </conditionalFormatting>
  <conditionalFormatting sqref="R437">
    <cfRule type="containsText" dxfId="2" priority="3154" operator="between" text="欠">
      <formula>NOT(ISERROR(SEARCH("欠",R437)))</formula>
    </cfRule>
  </conditionalFormatting>
  <conditionalFormatting sqref="T437">
    <cfRule type="containsText" dxfId="2" priority="3183" operator="between" text="欠">
      <formula>NOT(ISERROR(SEARCH("欠",T437)))</formula>
    </cfRule>
  </conditionalFormatting>
  <conditionalFormatting sqref="V437">
    <cfRule type="cellIs" dxfId="0" priority="3241" operator="equal">
      <formula>"欠"</formula>
    </cfRule>
  </conditionalFormatting>
  <conditionalFormatting sqref="AE437">
    <cfRule type="cellIs" dxfId="0" priority="3270" operator="equal">
      <formula>"未完成"</formula>
    </cfRule>
  </conditionalFormatting>
  <conditionalFormatting sqref="AF437">
    <cfRule type="cellIs" dxfId="0" priority="1368" operator="equal">
      <formula>"未完成"</formula>
    </cfRule>
  </conditionalFormatting>
  <conditionalFormatting sqref="AJ437:AK437">
    <cfRule type="cellIs" dxfId="1" priority="3299" operator="equal">
      <formula>"未完成"</formula>
    </cfRule>
    <cfRule type="cellIs" dxfId="0" priority="3328" operator="equal">
      <formula>"未完成"</formula>
    </cfRule>
  </conditionalFormatting>
  <conditionalFormatting sqref="R438:U438">
    <cfRule type="cellIs" dxfId="0" priority="3211" operator="equal">
      <formula>"欠"</formula>
    </cfRule>
  </conditionalFormatting>
  <conditionalFormatting sqref="R438">
    <cfRule type="containsText" dxfId="2" priority="3153" operator="between" text="欠">
      <formula>NOT(ISERROR(SEARCH("欠",R438)))</formula>
    </cfRule>
  </conditionalFormatting>
  <conditionalFormatting sqref="T438">
    <cfRule type="containsText" dxfId="2" priority="3182" operator="between" text="欠">
      <formula>NOT(ISERROR(SEARCH("欠",T438)))</formula>
    </cfRule>
  </conditionalFormatting>
  <conditionalFormatting sqref="V438">
    <cfRule type="cellIs" dxfId="0" priority="3240" operator="equal">
      <formula>"欠"</formula>
    </cfRule>
  </conditionalFormatting>
  <conditionalFormatting sqref="AE438">
    <cfRule type="cellIs" dxfId="0" priority="3269" operator="equal">
      <formula>"未完成"</formula>
    </cfRule>
  </conditionalFormatting>
  <conditionalFormatting sqref="AF438">
    <cfRule type="cellIs" dxfId="0" priority="1367" operator="equal">
      <formula>"未完成"</formula>
    </cfRule>
  </conditionalFormatting>
  <conditionalFormatting sqref="AJ438:AK438">
    <cfRule type="cellIs" dxfId="1" priority="3298" operator="equal">
      <formula>"未完成"</formula>
    </cfRule>
    <cfRule type="cellIs" dxfId="0" priority="3327" operator="equal">
      <formula>"未完成"</formula>
    </cfRule>
  </conditionalFormatting>
  <conditionalFormatting sqref="R439:U439">
    <cfRule type="cellIs" dxfId="0" priority="3225" operator="equal">
      <formula>"欠"</formula>
    </cfRule>
  </conditionalFormatting>
  <conditionalFormatting sqref="R439">
    <cfRule type="containsText" dxfId="2" priority="3167" operator="between" text="欠">
      <formula>NOT(ISERROR(SEARCH("欠",R439)))</formula>
    </cfRule>
  </conditionalFormatting>
  <conditionalFormatting sqref="T439">
    <cfRule type="containsText" dxfId="2" priority="3196" operator="between" text="欠">
      <formula>NOT(ISERROR(SEARCH("欠",T439)))</formula>
    </cfRule>
  </conditionalFormatting>
  <conditionalFormatting sqref="V439">
    <cfRule type="cellIs" dxfId="0" priority="3254" operator="equal">
      <formula>"欠"</formula>
    </cfRule>
  </conditionalFormatting>
  <conditionalFormatting sqref="AE439">
    <cfRule type="cellIs" dxfId="0" priority="3283" operator="equal">
      <formula>"未完成"</formula>
    </cfRule>
  </conditionalFormatting>
  <conditionalFormatting sqref="AF439">
    <cfRule type="cellIs" dxfId="0" priority="1381" operator="equal">
      <formula>"未完成"</formula>
    </cfRule>
  </conditionalFormatting>
  <conditionalFormatting sqref="AJ439:AK439">
    <cfRule type="cellIs" dxfId="1" priority="3312" operator="equal">
      <formula>"未完成"</formula>
    </cfRule>
    <cfRule type="cellIs" dxfId="0" priority="3341" operator="equal">
      <formula>"未完成"</formula>
    </cfRule>
  </conditionalFormatting>
  <conditionalFormatting sqref="V440">
    <cfRule type="cellIs" dxfId="0" priority="3236" operator="equal">
      <formula>"欠"</formula>
    </cfRule>
  </conditionalFormatting>
  <conditionalFormatting sqref="AE440">
    <cfRule type="cellIs" dxfId="0" priority="3265" operator="equal">
      <formula>"未完成"</formula>
    </cfRule>
  </conditionalFormatting>
  <conditionalFormatting sqref="AF440">
    <cfRule type="cellIs" dxfId="0" priority="1363" operator="equal">
      <formula>"未完成"</formula>
    </cfRule>
  </conditionalFormatting>
  <conditionalFormatting sqref="AJ440:AK440">
    <cfRule type="cellIs" dxfId="1" priority="3294" operator="equal">
      <formula>"未完成"</formula>
    </cfRule>
    <cfRule type="cellIs" dxfId="0" priority="3323" operator="equal">
      <formula>"未完成"</formula>
    </cfRule>
  </conditionalFormatting>
  <conditionalFormatting sqref="V441">
    <cfRule type="cellIs" dxfId="0" priority="3235" operator="equal">
      <formula>"欠"</formula>
    </cfRule>
  </conditionalFormatting>
  <conditionalFormatting sqref="AE441">
    <cfRule type="cellIs" dxfId="0" priority="3264" operator="equal">
      <formula>"未完成"</formula>
    </cfRule>
  </conditionalFormatting>
  <conditionalFormatting sqref="AF441">
    <cfRule type="cellIs" dxfId="0" priority="1362" operator="equal">
      <formula>"未完成"</formula>
    </cfRule>
  </conditionalFormatting>
  <conditionalFormatting sqref="AJ441:AK441">
    <cfRule type="cellIs" dxfId="1" priority="3293" operator="equal">
      <formula>"未完成"</formula>
    </cfRule>
    <cfRule type="cellIs" dxfId="0" priority="3322" operator="equal">
      <formula>"未完成"</formula>
    </cfRule>
  </conditionalFormatting>
  <conditionalFormatting sqref="R442:U442">
    <cfRule type="cellIs" dxfId="0" priority="3214" operator="equal">
      <formula>"欠"</formula>
    </cfRule>
  </conditionalFormatting>
  <conditionalFormatting sqref="R442">
    <cfRule type="containsText" dxfId="2" priority="3156" operator="between" text="欠">
      <formula>NOT(ISERROR(SEARCH("欠",R442)))</formula>
    </cfRule>
  </conditionalFormatting>
  <conditionalFormatting sqref="T442">
    <cfRule type="containsText" dxfId="2" priority="3185" operator="between" text="欠">
      <formula>NOT(ISERROR(SEARCH("欠",T442)))</formula>
    </cfRule>
  </conditionalFormatting>
  <conditionalFormatting sqref="V442">
    <cfRule type="cellIs" dxfId="0" priority="3243" operator="equal">
      <formula>"欠"</formula>
    </cfRule>
  </conditionalFormatting>
  <conditionalFormatting sqref="AE442">
    <cfRule type="cellIs" dxfId="0" priority="3272" operator="equal">
      <formula>"未完成"</formula>
    </cfRule>
  </conditionalFormatting>
  <conditionalFormatting sqref="AF442">
    <cfRule type="cellIs" dxfId="0" priority="1370" operator="equal">
      <formula>"未完成"</formula>
    </cfRule>
  </conditionalFormatting>
  <conditionalFormatting sqref="AJ442:AK442">
    <cfRule type="cellIs" dxfId="1" priority="3301" operator="equal">
      <formula>"未完成"</formula>
    </cfRule>
    <cfRule type="cellIs" dxfId="0" priority="3330" operator="equal">
      <formula>"未完成"</formula>
    </cfRule>
  </conditionalFormatting>
  <conditionalFormatting sqref="R443:U443">
    <cfRule type="cellIs" dxfId="0" priority="3209" operator="equal">
      <formula>"欠"</formula>
    </cfRule>
  </conditionalFormatting>
  <conditionalFormatting sqref="R443">
    <cfRule type="containsText" dxfId="2" priority="3151" operator="between" text="欠">
      <formula>NOT(ISERROR(SEARCH("欠",R443)))</formula>
    </cfRule>
  </conditionalFormatting>
  <conditionalFormatting sqref="T443">
    <cfRule type="containsText" dxfId="2" priority="3180" operator="between" text="欠">
      <formula>NOT(ISERROR(SEARCH("欠",T443)))</formula>
    </cfRule>
  </conditionalFormatting>
  <conditionalFormatting sqref="V443">
    <cfRule type="cellIs" dxfId="0" priority="3238" operator="equal">
      <formula>"欠"</formula>
    </cfRule>
  </conditionalFormatting>
  <conditionalFormatting sqref="AE443">
    <cfRule type="cellIs" dxfId="0" priority="3267" operator="equal">
      <formula>"未完成"</formula>
    </cfRule>
  </conditionalFormatting>
  <conditionalFormatting sqref="AF443">
    <cfRule type="cellIs" dxfId="0" priority="1365" operator="equal">
      <formula>"未完成"</formula>
    </cfRule>
  </conditionalFormatting>
  <conditionalFormatting sqref="AJ443:AK443">
    <cfRule type="cellIs" dxfId="1" priority="3296" operator="equal">
      <formula>"未完成"</formula>
    </cfRule>
    <cfRule type="cellIs" dxfId="0" priority="3325" operator="equal">
      <formula>"未完成"</formula>
    </cfRule>
  </conditionalFormatting>
  <conditionalFormatting sqref="R444:U444">
    <cfRule type="cellIs" dxfId="0" priority="3210" operator="equal">
      <formula>"欠"</formula>
    </cfRule>
  </conditionalFormatting>
  <conditionalFormatting sqref="R444">
    <cfRule type="containsText" dxfId="2" priority="3152" operator="between" text="欠">
      <formula>NOT(ISERROR(SEARCH("欠",R444)))</formula>
    </cfRule>
  </conditionalFormatting>
  <conditionalFormatting sqref="T444">
    <cfRule type="containsText" dxfId="2" priority="3181" operator="between" text="欠">
      <formula>NOT(ISERROR(SEARCH("欠",T444)))</formula>
    </cfRule>
  </conditionalFormatting>
  <conditionalFormatting sqref="V444">
    <cfRule type="cellIs" dxfId="0" priority="3239" operator="equal">
      <formula>"欠"</formula>
    </cfRule>
  </conditionalFormatting>
  <conditionalFormatting sqref="AE444">
    <cfRule type="cellIs" dxfId="0" priority="3268" operator="equal">
      <formula>"未完成"</formula>
    </cfRule>
  </conditionalFormatting>
  <conditionalFormatting sqref="AF444">
    <cfRule type="cellIs" dxfId="0" priority="1366" operator="equal">
      <formula>"未完成"</formula>
    </cfRule>
  </conditionalFormatting>
  <conditionalFormatting sqref="AJ444:AK444">
    <cfRule type="cellIs" dxfId="1" priority="3297" operator="equal">
      <formula>"未完成"</formula>
    </cfRule>
    <cfRule type="cellIs" dxfId="0" priority="3326" operator="equal">
      <formula>"未完成"</formula>
    </cfRule>
  </conditionalFormatting>
  <conditionalFormatting sqref="R445:U445">
    <cfRule type="cellIs" dxfId="0" priority="3205" operator="equal">
      <formula>"欠"</formula>
    </cfRule>
  </conditionalFormatting>
  <conditionalFormatting sqref="R445">
    <cfRule type="containsText" dxfId="2" priority="3147" operator="between" text="欠">
      <formula>NOT(ISERROR(SEARCH("欠",R445)))</formula>
    </cfRule>
  </conditionalFormatting>
  <conditionalFormatting sqref="T445">
    <cfRule type="containsText" dxfId="2" priority="3176" operator="between" text="欠">
      <formula>NOT(ISERROR(SEARCH("欠",T445)))</formula>
    </cfRule>
  </conditionalFormatting>
  <conditionalFormatting sqref="V445">
    <cfRule type="cellIs" dxfId="0" priority="3234" operator="equal">
      <formula>"欠"</formula>
    </cfRule>
  </conditionalFormatting>
  <conditionalFormatting sqref="AE445">
    <cfRule type="cellIs" dxfId="0" priority="3263" operator="equal">
      <formula>"未完成"</formula>
    </cfRule>
  </conditionalFormatting>
  <conditionalFormatting sqref="AF445">
    <cfRule type="cellIs" dxfId="0" priority="1361" operator="equal">
      <formula>"未完成"</formula>
    </cfRule>
  </conditionalFormatting>
  <conditionalFormatting sqref="AJ445:AK445">
    <cfRule type="cellIs" dxfId="1" priority="3292" operator="equal">
      <formula>"未完成"</formula>
    </cfRule>
    <cfRule type="cellIs" dxfId="0" priority="3321" operator="equal">
      <formula>"未完成"</formula>
    </cfRule>
  </conditionalFormatting>
  <conditionalFormatting sqref="R446:U446">
    <cfRule type="cellIs" dxfId="0" priority="3204" operator="equal">
      <formula>"欠"</formula>
    </cfRule>
  </conditionalFormatting>
  <conditionalFormatting sqref="R446">
    <cfRule type="containsText" dxfId="2" priority="3146" operator="between" text="欠">
      <formula>NOT(ISERROR(SEARCH("欠",R446)))</formula>
    </cfRule>
  </conditionalFormatting>
  <conditionalFormatting sqref="T446">
    <cfRule type="containsText" dxfId="2" priority="3175" operator="between" text="欠">
      <formula>NOT(ISERROR(SEARCH("欠",T446)))</formula>
    </cfRule>
  </conditionalFormatting>
  <conditionalFormatting sqref="V446">
    <cfRule type="cellIs" dxfId="0" priority="3233" operator="equal">
      <formula>"欠"</formula>
    </cfRule>
  </conditionalFormatting>
  <conditionalFormatting sqref="AE446">
    <cfRule type="cellIs" dxfId="0" priority="3262" operator="equal">
      <formula>"未完成"</formula>
    </cfRule>
  </conditionalFormatting>
  <conditionalFormatting sqref="AF446">
    <cfRule type="cellIs" dxfId="0" priority="1360" operator="equal">
      <formula>"未完成"</formula>
    </cfRule>
  </conditionalFormatting>
  <conditionalFormatting sqref="AJ446:AK446">
    <cfRule type="cellIs" dxfId="1" priority="3291" operator="equal">
      <formula>"未完成"</formula>
    </cfRule>
    <cfRule type="cellIs" dxfId="0" priority="3320" operator="equal">
      <formula>"未完成"</formula>
    </cfRule>
  </conditionalFormatting>
  <conditionalFormatting sqref="R447:U447">
    <cfRule type="cellIs" dxfId="0" priority="3203" operator="equal">
      <formula>"欠"</formula>
    </cfRule>
  </conditionalFormatting>
  <conditionalFormatting sqref="R447">
    <cfRule type="containsText" dxfId="2" priority="3145" operator="between" text="欠">
      <formula>NOT(ISERROR(SEARCH("欠",R447)))</formula>
    </cfRule>
  </conditionalFormatting>
  <conditionalFormatting sqref="T447">
    <cfRule type="containsText" dxfId="2" priority="3174" operator="between" text="欠">
      <formula>NOT(ISERROR(SEARCH("欠",T447)))</formula>
    </cfRule>
  </conditionalFormatting>
  <conditionalFormatting sqref="V447">
    <cfRule type="cellIs" dxfId="0" priority="3232" operator="equal">
      <formula>"欠"</formula>
    </cfRule>
  </conditionalFormatting>
  <conditionalFormatting sqref="AE447">
    <cfRule type="cellIs" dxfId="0" priority="3261" operator="equal">
      <formula>"未完成"</formula>
    </cfRule>
  </conditionalFormatting>
  <conditionalFormatting sqref="AF447">
    <cfRule type="cellIs" dxfId="0" priority="1359" operator="equal">
      <formula>"未完成"</formula>
    </cfRule>
  </conditionalFormatting>
  <conditionalFormatting sqref="AJ447:AK447">
    <cfRule type="cellIs" dxfId="1" priority="3290" operator="equal">
      <formula>"未完成"</formula>
    </cfRule>
    <cfRule type="cellIs" dxfId="0" priority="3319" operator="equal">
      <formula>"未完成"</formula>
    </cfRule>
  </conditionalFormatting>
  <conditionalFormatting sqref="R448:U448">
    <cfRule type="cellIs" dxfId="0" priority="3202" operator="equal">
      <formula>"欠"</formula>
    </cfRule>
  </conditionalFormatting>
  <conditionalFormatting sqref="R448">
    <cfRule type="containsText" dxfId="2" priority="3144" operator="between" text="欠">
      <formula>NOT(ISERROR(SEARCH("欠",R448)))</formula>
    </cfRule>
  </conditionalFormatting>
  <conditionalFormatting sqref="T448">
    <cfRule type="containsText" dxfId="2" priority="3173" operator="between" text="欠">
      <formula>NOT(ISERROR(SEARCH("欠",T448)))</formula>
    </cfRule>
  </conditionalFormatting>
  <conditionalFormatting sqref="V448">
    <cfRule type="cellIs" dxfId="0" priority="3231" operator="equal">
      <formula>"欠"</formula>
    </cfRule>
  </conditionalFormatting>
  <conditionalFormatting sqref="AE448">
    <cfRule type="cellIs" dxfId="0" priority="3260" operator="equal">
      <formula>"未完成"</formula>
    </cfRule>
  </conditionalFormatting>
  <conditionalFormatting sqref="AF448">
    <cfRule type="cellIs" dxfId="0" priority="1358" operator="equal">
      <formula>"未完成"</formula>
    </cfRule>
  </conditionalFormatting>
  <conditionalFormatting sqref="AJ448:AK448">
    <cfRule type="cellIs" dxfId="1" priority="3289" operator="equal">
      <formula>"未完成"</formula>
    </cfRule>
    <cfRule type="cellIs" dxfId="0" priority="3318" operator="equal">
      <formula>"未完成"</formula>
    </cfRule>
  </conditionalFormatting>
  <conditionalFormatting sqref="R449:U449">
    <cfRule type="cellIs" dxfId="0" priority="3201" operator="equal">
      <formula>"欠"</formula>
    </cfRule>
  </conditionalFormatting>
  <conditionalFormatting sqref="R449">
    <cfRule type="containsText" dxfId="2" priority="3143" operator="between" text="欠">
      <formula>NOT(ISERROR(SEARCH("欠",R449)))</formula>
    </cfRule>
  </conditionalFormatting>
  <conditionalFormatting sqref="T449">
    <cfRule type="containsText" dxfId="2" priority="3172" operator="between" text="欠">
      <formula>NOT(ISERROR(SEARCH("欠",T449)))</formula>
    </cfRule>
  </conditionalFormatting>
  <conditionalFormatting sqref="V449">
    <cfRule type="cellIs" dxfId="0" priority="3230" operator="equal">
      <formula>"欠"</formula>
    </cfRule>
  </conditionalFormatting>
  <conditionalFormatting sqref="AE449">
    <cfRule type="cellIs" dxfId="0" priority="3259" operator="equal">
      <formula>"未完成"</formula>
    </cfRule>
  </conditionalFormatting>
  <conditionalFormatting sqref="AF449">
    <cfRule type="cellIs" dxfId="0" priority="1357" operator="equal">
      <formula>"未完成"</formula>
    </cfRule>
  </conditionalFormatting>
  <conditionalFormatting sqref="AJ449:AK449">
    <cfRule type="cellIs" dxfId="1" priority="3288" operator="equal">
      <formula>"未完成"</formula>
    </cfRule>
    <cfRule type="cellIs" dxfId="0" priority="3317" operator="equal">
      <formula>"未完成"</formula>
    </cfRule>
  </conditionalFormatting>
  <conditionalFormatting sqref="R450:U450">
    <cfRule type="cellIs" dxfId="0" priority="3200" operator="equal">
      <formula>"欠"</formula>
    </cfRule>
  </conditionalFormatting>
  <conditionalFormatting sqref="R450">
    <cfRule type="containsText" dxfId="2" priority="3142" operator="between" text="欠">
      <formula>NOT(ISERROR(SEARCH("欠",R450)))</formula>
    </cfRule>
  </conditionalFormatting>
  <conditionalFormatting sqref="T450">
    <cfRule type="containsText" dxfId="2" priority="3171" operator="between" text="欠">
      <formula>NOT(ISERROR(SEARCH("欠",T450)))</formula>
    </cfRule>
  </conditionalFormatting>
  <conditionalFormatting sqref="V450">
    <cfRule type="cellIs" dxfId="0" priority="3229" operator="equal">
      <formula>"欠"</formula>
    </cfRule>
  </conditionalFormatting>
  <conditionalFormatting sqref="AE450">
    <cfRule type="cellIs" dxfId="0" priority="3258" operator="equal">
      <formula>"未完成"</formula>
    </cfRule>
  </conditionalFormatting>
  <conditionalFormatting sqref="AF450">
    <cfRule type="cellIs" dxfId="0" priority="1356" operator="equal">
      <formula>"未完成"</formula>
    </cfRule>
  </conditionalFormatting>
  <conditionalFormatting sqref="AJ450:AK450">
    <cfRule type="cellIs" dxfId="1" priority="3287" operator="equal">
      <formula>"未完成"</formula>
    </cfRule>
    <cfRule type="cellIs" dxfId="0" priority="3316" operator="equal">
      <formula>"未完成"</formula>
    </cfRule>
  </conditionalFormatting>
  <conditionalFormatting sqref="T451">
    <cfRule type="cellIs" dxfId="0" priority="3844" operator="equal">
      <formula>"欠"</formula>
    </cfRule>
  </conditionalFormatting>
  <conditionalFormatting sqref="Q452">
    <cfRule type="cellIs" dxfId="0" priority="3603" operator="equal">
      <formula>"欠"</formula>
    </cfRule>
  </conditionalFormatting>
  <conditionalFormatting sqref="R452">
    <cfRule type="cellIs" dxfId="0" priority="3602" operator="equal">
      <formula>"欠"</formula>
    </cfRule>
  </conditionalFormatting>
  <conditionalFormatting sqref="AI452">
    <cfRule type="cellIs" dxfId="1" priority="3600" operator="equal">
      <formula>"未完成"</formula>
    </cfRule>
    <cfRule type="cellIs" dxfId="0" priority="3601" operator="equal">
      <formula>"未完成"</formula>
    </cfRule>
  </conditionalFormatting>
  <conditionalFormatting sqref="AJ452">
    <cfRule type="cellIs" dxfId="0" priority="3599" operator="equal">
      <formula>"欠"</formula>
    </cfRule>
  </conditionalFormatting>
  <conditionalFormatting sqref="R453">
    <cfRule type="cellIs" dxfId="0" priority="3593" operator="equal">
      <formula>"欠"</formula>
    </cfRule>
  </conditionalFormatting>
  <conditionalFormatting sqref="S453">
    <cfRule type="containsText" dxfId="2" priority="3588" operator="between" text="欠">
      <formula>NOT(ISERROR(SEARCH("欠",S453)))</formula>
    </cfRule>
    <cfRule type="cellIs" dxfId="0" priority="3589" operator="equal">
      <formula>"欠"</formula>
    </cfRule>
  </conditionalFormatting>
  <conditionalFormatting sqref="T453">
    <cfRule type="containsText" dxfId="2" priority="3586" operator="between" text="欠">
      <formula>NOT(ISERROR(SEARCH("欠",T453)))</formula>
    </cfRule>
    <cfRule type="cellIs" dxfId="0" priority="3587" operator="equal">
      <formula>"欠"</formula>
    </cfRule>
  </conditionalFormatting>
  <conditionalFormatting sqref="Q454">
    <cfRule type="cellIs" dxfId="0" priority="3585" operator="equal">
      <formula>"欠"</formula>
    </cfRule>
  </conditionalFormatting>
  <conditionalFormatting sqref="AI454">
    <cfRule type="cellIs" dxfId="1" priority="3582" operator="equal">
      <formula>"未完成"</formula>
    </cfRule>
    <cfRule type="cellIs" dxfId="0" priority="3583" operator="equal">
      <formula>"未完成"</formula>
    </cfRule>
  </conditionalFormatting>
  <conditionalFormatting sqref="AJ454">
    <cfRule type="cellIs" dxfId="0" priority="3581" operator="equal">
      <formula>"欠"</formula>
    </cfRule>
  </conditionalFormatting>
  <conditionalFormatting sqref="AC459">
    <cfRule type="cellIs" dxfId="0" priority="4001" operator="equal">
      <formula>"未完成"</formula>
    </cfRule>
  </conditionalFormatting>
  <conditionalFormatting sqref="Q464">
    <cfRule type="cellIs" dxfId="0" priority="3576" operator="equal">
      <formula>"欠"</formula>
    </cfRule>
  </conditionalFormatting>
  <conditionalFormatting sqref="R464">
    <cfRule type="cellIs" dxfId="0" priority="3575" operator="equal">
      <formula>"欠"</formula>
    </cfRule>
  </conditionalFormatting>
  <conditionalFormatting sqref="T464">
    <cfRule type="containsText" dxfId="2" priority="3568" operator="between" text="欠">
      <formula>NOT(ISERROR(SEARCH("欠",T464)))</formula>
    </cfRule>
    <cfRule type="cellIs" dxfId="0" priority="3569" operator="equal">
      <formula>"欠"</formula>
    </cfRule>
  </conditionalFormatting>
  <conditionalFormatting sqref="AI464">
    <cfRule type="cellIs" dxfId="1" priority="3573" operator="equal">
      <formula>"未完成"</formula>
    </cfRule>
    <cfRule type="cellIs" dxfId="0" priority="3574" operator="equal">
      <formula>"未完成"</formula>
    </cfRule>
  </conditionalFormatting>
  <conditionalFormatting sqref="AJ464">
    <cfRule type="cellIs" dxfId="0" priority="3572" operator="equal">
      <formula>"欠"</formula>
    </cfRule>
  </conditionalFormatting>
  <conditionalFormatting sqref="Q469">
    <cfRule type="cellIs" dxfId="0" priority="4024" operator="equal">
      <formula>"欠"</formula>
    </cfRule>
  </conditionalFormatting>
  <conditionalFormatting sqref="S469">
    <cfRule type="containsText" dxfId="2" priority="3976" operator="between" text="欠">
      <formula>NOT(ISERROR(SEARCH("欠",S469)))</formula>
    </cfRule>
    <cfRule type="cellIs" dxfId="0" priority="3982" operator="equal">
      <formula>"欠"</formula>
    </cfRule>
  </conditionalFormatting>
  <conditionalFormatting sqref="T469">
    <cfRule type="cellIs" dxfId="0" priority="3994" operator="equal">
      <formula>"欠"</formula>
    </cfRule>
  </conditionalFormatting>
  <conditionalFormatting sqref="AI469">
    <cfRule type="cellIs" dxfId="1" priority="4006" operator="equal">
      <formula>"未完成"</formula>
    </cfRule>
    <cfRule type="cellIs" dxfId="0" priority="4012" operator="equal">
      <formula>"未完成"</formula>
    </cfRule>
  </conditionalFormatting>
  <conditionalFormatting sqref="AJ469">
    <cfRule type="cellIs" dxfId="0" priority="3988" operator="equal">
      <formula>"欠"</formula>
    </cfRule>
  </conditionalFormatting>
  <conditionalFormatting sqref="Q470">
    <cfRule type="cellIs" dxfId="0" priority="4023" operator="equal">
      <formula>"欠"</formula>
    </cfRule>
  </conditionalFormatting>
  <conditionalFormatting sqref="S470">
    <cfRule type="containsText" dxfId="2" priority="3975" operator="between" text="欠">
      <formula>NOT(ISERROR(SEARCH("欠",S470)))</formula>
    </cfRule>
    <cfRule type="cellIs" dxfId="0" priority="3981" operator="equal">
      <formula>"欠"</formula>
    </cfRule>
  </conditionalFormatting>
  <conditionalFormatting sqref="T470">
    <cfRule type="cellIs" dxfId="0" priority="3993" operator="equal">
      <formula>"欠"</formula>
    </cfRule>
  </conditionalFormatting>
  <conditionalFormatting sqref="AI470">
    <cfRule type="cellIs" dxfId="1" priority="4005" operator="equal">
      <formula>"未完成"</formula>
    </cfRule>
    <cfRule type="cellIs" dxfId="0" priority="4011" operator="equal">
      <formula>"未完成"</formula>
    </cfRule>
  </conditionalFormatting>
  <conditionalFormatting sqref="AJ470">
    <cfRule type="cellIs" dxfId="0" priority="3987" operator="equal">
      <formula>"欠"</formula>
    </cfRule>
  </conditionalFormatting>
  <conditionalFormatting sqref="Q471">
    <cfRule type="cellIs" dxfId="0" priority="4022" operator="equal">
      <formula>"欠"</formula>
    </cfRule>
  </conditionalFormatting>
  <conditionalFormatting sqref="S471">
    <cfRule type="containsText" dxfId="2" priority="3974" operator="between" text="欠">
      <formula>NOT(ISERROR(SEARCH("欠",S471)))</formula>
    </cfRule>
    <cfRule type="cellIs" dxfId="0" priority="3980" operator="equal">
      <formula>"欠"</formula>
    </cfRule>
  </conditionalFormatting>
  <conditionalFormatting sqref="T471">
    <cfRule type="cellIs" dxfId="0" priority="3992" operator="equal">
      <formula>"欠"</formula>
    </cfRule>
  </conditionalFormatting>
  <conditionalFormatting sqref="AI471">
    <cfRule type="cellIs" dxfId="1" priority="4004" operator="equal">
      <formula>"未完成"</formula>
    </cfRule>
    <cfRule type="cellIs" dxfId="0" priority="4010" operator="equal">
      <formula>"未完成"</formula>
    </cfRule>
  </conditionalFormatting>
  <conditionalFormatting sqref="AJ471">
    <cfRule type="cellIs" dxfId="0" priority="3986" operator="equal">
      <formula>"欠"</formula>
    </cfRule>
  </conditionalFormatting>
  <conditionalFormatting sqref="Q474">
    <cfRule type="cellIs" dxfId="0" priority="3404" operator="equal">
      <formula>"欠"</formula>
    </cfRule>
  </conditionalFormatting>
  <conditionalFormatting sqref="R474">
    <cfRule type="containsText" dxfId="2" priority="3396" operator="between" text="欠">
      <formula>NOT(ISERROR(SEARCH("欠",R474)))</formula>
    </cfRule>
    <cfRule type="cellIs" dxfId="0" priority="3403" operator="equal">
      <formula>"欠"</formula>
    </cfRule>
  </conditionalFormatting>
  <conditionalFormatting sqref="T474">
    <cfRule type="containsText" dxfId="2" priority="3397" operator="between" text="欠">
      <formula>NOT(ISERROR(SEARCH("欠",T474)))</formula>
    </cfRule>
    <cfRule type="containsText" dxfId="3" priority="3398" operator="between" text="欠">
      <formula>NOT(ISERROR(SEARCH("欠",T474)))</formula>
    </cfRule>
    <cfRule type="cellIs" dxfId="0" priority="3399" operator="equal">
      <formula>"欠"</formula>
    </cfRule>
  </conditionalFormatting>
  <conditionalFormatting sqref="AI474">
    <cfRule type="cellIs" dxfId="1" priority="3401" operator="equal">
      <formula>"未完成"</formula>
    </cfRule>
    <cfRule type="cellIs" dxfId="0" priority="3402" operator="equal">
      <formula>"未完成"</formula>
    </cfRule>
  </conditionalFormatting>
  <conditionalFormatting sqref="AJ474">
    <cfRule type="cellIs" dxfId="0" priority="3400" operator="equal">
      <formula>"欠"</formula>
    </cfRule>
  </conditionalFormatting>
  <conditionalFormatting sqref="Q475">
    <cfRule type="cellIs" dxfId="0" priority="2924" operator="equal">
      <formula>"欠"</formula>
    </cfRule>
  </conditionalFormatting>
  <conditionalFormatting sqref="R475">
    <cfRule type="containsText" dxfId="2" priority="2915" operator="between" text="欠">
      <formula>NOT(ISERROR(SEARCH("欠",R475)))</formula>
    </cfRule>
    <cfRule type="cellIs" dxfId="0" priority="2917" operator="equal">
      <formula>"欠"</formula>
    </cfRule>
  </conditionalFormatting>
  <conditionalFormatting sqref="T475">
    <cfRule type="containsText" dxfId="2" priority="2916" operator="between" text="欠">
      <formula>NOT(ISERROR(SEARCH("欠",T475)))</formula>
    </cfRule>
    <cfRule type="cellIs" dxfId="0" priority="2921" operator="equal">
      <formula>"欠"</formula>
    </cfRule>
  </conditionalFormatting>
  <conditionalFormatting sqref="AI475">
    <cfRule type="cellIs" dxfId="1" priority="2922" operator="equal">
      <formula>"未完成"</formula>
    </cfRule>
    <cfRule type="cellIs" dxfId="0" priority="2923" operator="equal">
      <formula>"未完成"</formula>
    </cfRule>
  </conditionalFormatting>
  <conditionalFormatting sqref="AJ475">
    <cfRule type="cellIs" dxfId="0" priority="2920" operator="equal">
      <formula>"欠"</formula>
    </cfRule>
  </conditionalFormatting>
  <conditionalFormatting sqref="Q476">
    <cfRule type="cellIs" dxfId="0" priority="4021" operator="equal">
      <formula>"欠"</formula>
    </cfRule>
  </conditionalFormatting>
  <conditionalFormatting sqref="S476">
    <cfRule type="containsText" dxfId="2" priority="3973" operator="between" text="欠">
      <formula>NOT(ISERROR(SEARCH("欠",S476)))</formula>
    </cfRule>
    <cfRule type="cellIs" dxfId="0" priority="3979" operator="equal">
      <formula>"欠"</formula>
    </cfRule>
  </conditionalFormatting>
  <conditionalFormatting sqref="AI476">
    <cfRule type="cellIs" dxfId="1" priority="4003" operator="equal">
      <formula>"未完成"</formula>
    </cfRule>
    <cfRule type="cellIs" dxfId="0" priority="4009" operator="equal">
      <formula>"未完成"</formula>
    </cfRule>
  </conditionalFormatting>
  <conditionalFormatting sqref="AJ476">
    <cfRule type="cellIs" dxfId="0" priority="3985" operator="equal">
      <formula>"欠"</formula>
    </cfRule>
  </conditionalFormatting>
  <conditionalFormatting sqref="S477">
    <cfRule type="containsText" dxfId="2" priority="3972" operator="between" text="欠">
      <formula>NOT(ISERROR(SEARCH("欠",S477)))</formula>
    </cfRule>
    <cfRule type="cellIs" dxfId="0" priority="3978" operator="equal">
      <formula>"欠"</formula>
    </cfRule>
  </conditionalFormatting>
  <conditionalFormatting sqref="R478">
    <cfRule type="cellIs" dxfId="0" priority="3847" operator="equal">
      <formula>"欠"</formula>
    </cfRule>
  </conditionalFormatting>
  <conditionalFormatting sqref="T478">
    <cfRule type="cellIs" dxfId="0" priority="3990" operator="equal">
      <formula>"欠"</formula>
    </cfRule>
  </conditionalFormatting>
  <conditionalFormatting sqref="Q479">
    <cfRule type="cellIs" dxfId="0" priority="3831" operator="equal">
      <formula>"欠"</formula>
    </cfRule>
  </conditionalFormatting>
  <conditionalFormatting sqref="R479">
    <cfRule type="cellIs" dxfId="0" priority="3621" operator="equal">
      <formula>"欠"</formula>
    </cfRule>
  </conditionalFormatting>
  <conditionalFormatting sqref="T479">
    <cfRule type="cellIs" dxfId="0" priority="3827" operator="equal">
      <formula>"欠"</formula>
    </cfRule>
  </conditionalFormatting>
  <conditionalFormatting sqref="AI479">
    <cfRule type="cellIs" dxfId="1" priority="3828" operator="equal">
      <formula>"未完成"</formula>
    </cfRule>
    <cfRule type="cellIs" dxfId="0" priority="3829" operator="equal">
      <formula>"未完成"</formula>
    </cfRule>
  </conditionalFormatting>
  <conditionalFormatting sqref="AJ479">
    <cfRule type="cellIs" dxfId="0" priority="3826" operator="equal">
      <formula>"欠"</formula>
    </cfRule>
  </conditionalFormatting>
  <conditionalFormatting sqref="R487">
    <cfRule type="cellIs" dxfId="0" priority="3121" operator="equal">
      <formula>"欠"</formula>
    </cfRule>
  </conditionalFormatting>
  <conditionalFormatting sqref="S487">
    <cfRule type="cellIs" dxfId="0" priority="3619" operator="equal">
      <formula>"欠"</formula>
    </cfRule>
  </conditionalFormatting>
  <conditionalFormatting sqref="S488">
    <cfRule type="cellIs" dxfId="0" priority="3384" operator="equal">
      <formula>"欠"</formula>
    </cfRule>
  </conditionalFormatting>
  <conditionalFormatting sqref="Q491">
    <cfRule type="cellIs" dxfId="0" priority="3394" operator="equal">
      <formula>"欠"</formula>
    </cfRule>
  </conditionalFormatting>
  <conditionalFormatting sqref="T491">
    <cfRule type="containsText" dxfId="2" priority="3387" operator="between" text="欠">
      <formula>NOT(ISERROR(SEARCH("欠",T491)))</formula>
    </cfRule>
    <cfRule type="containsText" dxfId="3" priority="3388" operator="between" text="欠">
      <formula>NOT(ISERROR(SEARCH("欠",T491)))</formula>
    </cfRule>
    <cfRule type="cellIs" dxfId="0" priority="3389" operator="equal">
      <formula>"欠"</formula>
    </cfRule>
  </conditionalFormatting>
  <conditionalFormatting sqref="AI491">
    <cfRule type="cellIs" dxfId="1" priority="3391" operator="equal">
      <formula>"未完成"</formula>
    </cfRule>
    <cfRule type="cellIs" dxfId="0" priority="3392" operator="equal">
      <formula>"未完成"</formula>
    </cfRule>
  </conditionalFormatting>
  <conditionalFormatting sqref="AJ491">
    <cfRule type="cellIs" dxfId="0" priority="3390" operator="equal">
      <formula>"欠"</formula>
    </cfRule>
  </conditionalFormatting>
  <conditionalFormatting sqref="Q505">
    <cfRule type="cellIs" dxfId="0" priority="3369" operator="equal">
      <formula>"欠"</formula>
    </cfRule>
  </conditionalFormatting>
  <conditionalFormatting sqref="R505">
    <cfRule type="containsText" dxfId="2" priority="3362" operator="between" text="欠">
      <formula>NOT(ISERROR(SEARCH("欠",R505)))</formula>
    </cfRule>
  </conditionalFormatting>
  <conditionalFormatting sqref="T505">
    <cfRule type="containsText" dxfId="2" priority="3363" operator="between" text="欠">
      <formula>NOT(ISERROR(SEARCH("欠",T505)))</formula>
    </cfRule>
  </conditionalFormatting>
  <conditionalFormatting sqref="U505">
    <cfRule type="cellIs" dxfId="0" priority="3364" operator="equal">
      <formula>"欠"</formula>
    </cfRule>
  </conditionalFormatting>
  <conditionalFormatting sqref="AI505">
    <cfRule type="cellIs" dxfId="1" priority="3367" operator="equal">
      <formula>"未完成"</formula>
    </cfRule>
    <cfRule type="cellIs" dxfId="0" priority="3368" operator="equal">
      <formula>"未完成"</formula>
    </cfRule>
  </conditionalFormatting>
  <conditionalFormatting sqref="AJ505">
    <cfRule type="cellIs" dxfId="0" priority="3366" operator="equal">
      <formula>"欠"</formula>
    </cfRule>
  </conditionalFormatting>
  <conditionalFormatting sqref="Q506">
    <cfRule type="cellIs" dxfId="0" priority="3361" operator="equal">
      <formula>"欠"</formula>
    </cfRule>
  </conditionalFormatting>
  <conditionalFormatting sqref="R506">
    <cfRule type="containsText" dxfId="2" priority="3354" operator="between" text="欠">
      <formula>NOT(ISERROR(SEARCH("欠",R506)))</formula>
    </cfRule>
  </conditionalFormatting>
  <conditionalFormatting sqref="S506">
    <cfRule type="containsText" dxfId="2" priority="3351" operator="between" text="欠">
      <formula>NOT(ISERROR(SEARCH("欠",S506)))</formula>
    </cfRule>
    <cfRule type="cellIs" dxfId="0" priority="3352" operator="equal">
      <formula>"欠"</formula>
    </cfRule>
  </conditionalFormatting>
  <conditionalFormatting sqref="T506">
    <cfRule type="containsText" dxfId="2" priority="3355" operator="between" text="欠">
      <formula>NOT(ISERROR(SEARCH("欠",T506)))</formula>
    </cfRule>
  </conditionalFormatting>
  <conditionalFormatting sqref="U506">
    <cfRule type="cellIs" dxfId="0" priority="3356" operator="equal">
      <formula>"欠"</formula>
    </cfRule>
  </conditionalFormatting>
  <conditionalFormatting sqref="AI506">
    <cfRule type="cellIs" dxfId="1" priority="3359" operator="equal">
      <formula>"未完成"</formula>
    </cfRule>
    <cfRule type="cellIs" dxfId="0" priority="3360" operator="equal">
      <formula>"未完成"</formula>
    </cfRule>
  </conditionalFormatting>
  <conditionalFormatting sqref="AJ506">
    <cfRule type="cellIs" dxfId="0" priority="3358" operator="equal">
      <formula>"欠"</formula>
    </cfRule>
  </conditionalFormatting>
  <conditionalFormatting sqref="T508">
    <cfRule type="cellIs" dxfId="0" priority="3117" operator="equal">
      <formula>"欠"</formula>
    </cfRule>
  </conditionalFormatting>
  <conditionalFormatting sqref="T509">
    <cfRule type="cellIs" dxfId="0" priority="3383" operator="equal">
      <formula>"欠"</formula>
    </cfRule>
  </conditionalFormatting>
  <conditionalFormatting sqref="Q510">
    <cfRule type="cellIs" dxfId="0" priority="3546" operator="equal">
      <formula>"欠"</formula>
    </cfRule>
  </conditionalFormatting>
  <conditionalFormatting sqref="AI510">
    <cfRule type="cellIs" dxfId="1" priority="3544" operator="equal">
      <formula>"未完成"</formula>
    </cfRule>
    <cfRule type="cellIs" dxfId="0" priority="3545" operator="equal">
      <formula>"未完成"</formula>
    </cfRule>
  </conditionalFormatting>
  <conditionalFormatting sqref="AJ510">
    <cfRule type="cellIs" dxfId="0" priority="3543" operator="equal">
      <formula>"欠"</formula>
    </cfRule>
  </conditionalFormatting>
  <conditionalFormatting sqref="R513">
    <cfRule type="containsText" dxfId="2" priority="3170" operator="between" text="欠">
      <formula>NOT(ISERROR(SEARCH("欠",R513)))</formula>
    </cfRule>
  </conditionalFormatting>
  <conditionalFormatting sqref="R513:U513">
    <cfRule type="cellIs" dxfId="0" priority="3228" operator="equal">
      <formula>"欠"</formula>
    </cfRule>
  </conditionalFormatting>
  <conditionalFormatting sqref="T513">
    <cfRule type="containsText" dxfId="2" priority="3199" operator="between" text="欠">
      <formula>NOT(ISERROR(SEARCH("欠",T513)))</formula>
    </cfRule>
  </conditionalFormatting>
  <conditionalFormatting sqref="V513">
    <cfRule type="cellIs" dxfId="0" priority="3257" operator="equal">
      <formula>"欠"</formula>
    </cfRule>
  </conditionalFormatting>
  <conditionalFormatting sqref="AE513">
    <cfRule type="cellIs" dxfId="0" priority="3286" operator="equal">
      <formula>"未完成"</formula>
    </cfRule>
  </conditionalFormatting>
  <conditionalFormatting sqref="AF513">
    <cfRule type="cellIs" dxfId="0" priority="1384" operator="equal">
      <formula>"未完成"</formula>
    </cfRule>
  </conditionalFormatting>
  <conditionalFormatting sqref="AJ513:AK513">
    <cfRule type="cellIs" dxfId="1" priority="3315" operator="equal">
      <formula>"未完成"</formula>
    </cfRule>
    <cfRule type="cellIs" dxfId="0" priority="3344" operator="equal">
      <formula>"未完成"</formula>
    </cfRule>
  </conditionalFormatting>
  <conditionalFormatting sqref="R514">
    <cfRule type="containsText" dxfId="2" priority="3150" operator="between" text="欠">
      <formula>NOT(ISERROR(SEARCH("欠",R514)))</formula>
    </cfRule>
  </conditionalFormatting>
  <conditionalFormatting sqref="R514:U514">
    <cfRule type="cellIs" dxfId="0" priority="3208" operator="equal">
      <formula>"欠"</formula>
    </cfRule>
  </conditionalFormatting>
  <conditionalFormatting sqref="T514">
    <cfRule type="containsText" dxfId="2" priority="3179" operator="between" text="欠">
      <formula>NOT(ISERROR(SEARCH("欠",T514)))</formula>
    </cfRule>
  </conditionalFormatting>
  <conditionalFormatting sqref="V514">
    <cfRule type="cellIs" dxfId="0" priority="3237" operator="equal">
      <formula>"欠"</formula>
    </cfRule>
  </conditionalFormatting>
  <conditionalFormatting sqref="AE514">
    <cfRule type="cellIs" dxfId="0" priority="3266" operator="equal">
      <formula>"未完成"</formula>
    </cfRule>
  </conditionalFormatting>
  <conditionalFormatting sqref="AF514">
    <cfRule type="cellIs" dxfId="0" priority="1364" operator="equal">
      <formula>"未完成"</formula>
    </cfRule>
  </conditionalFormatting>
  <conditionalFormatting sqref="AJ514:AK514">
    <cfRule type="cellIs" dxfId="1" priority="3295" operator="equal">
      <formula>"未完成"</formula>
    </cfRule>
    <cfRule type="cellIs" dxfId="0" priority="3324" operator="equal">
      <formula>"未完成"</formula>
    </cfRule>
  </conditionalFormatting>
  <conditionalFormatting sqref="Q524">
    <cfRule type="cellIs" dxfId="0" priority="3141" operator="equal">
      <formula>"欠"</formula>
    </cfRule>
  </conditionalFormatting>
  <conditionalFormatting sqref="R524">
    <cfRule type="containsText" dxfId="2" priority="3133" operator="between" text="欠">
      <formula>NOT(ISERROR(SEARCH("欠",R524)))</formula>
    </cfRule>
    <cfRule type="cellIs" dxfId="0" priority="3140" operator="equal">
      <formula>"欠"</formula>
    </cfRule>
  </conditionalFormatting>
  <conditionalFormatting sqref="AI524">
    <cfRule type="cellIs" dxfId="1" priority="3138" operator="equal">
      <formula>"未完成"</formula>
    </cfRule>
    <cfRule type="cellIs" dxfId="0" priority="3139" operator="equal">
      <formula>"未完成"</formula>
    </cfRule>
  </conditionalFormatting>
  <conditionalFormatting sqref="AJ524">
    <cfRule type="cellIs" dxfId="0" priority="3137" operator="equal">
      <formula>"欠"</formula>
    </cfRule>
  </conditionalFormatting>
  <conditionalFormatting sqref="Q532">
    <cfRule type="cellIs" dxfId="0" priority="3074" operator="equal">
      <formula>"欠"</formula>
    </cfRule>
  </conditionalFormatting>
  <conditionalFormatting sqref="AI532">
    <cfRule type="cellIs" dxfId="1" priority="3068" operator="equal">
      <formula>"未完成"</formula>
    </cfRule>
    <cfRule type="cellIs" dxfId="0" priority="3071" operator="equal">
      <formula>"未完成"</formula>
    </cfRule>
  </conditionalFormatting>
  <conditionalFormatting sqref="AJ532">
    <cfRule type="cellIs" dxfId="0" priority="3065" operator="equal">
      <formula>"欠"</formula>
    </cfRule>
  </conditionalFormatting>
  <conditionalFormatting sqref="Q533">
    <cfRule type="cellIs" dxfId="0" priority="3073" operator="equal">
      <formula>"欠"</formula>
    </cfRule>
  </conditionalFormatting>
  <conditionalFormatting sqref="AI533">
    <cfRule type="cellIs" dxfId="1" priority="3067" operator="equal">
      <formula>"未完成"</formula>
    </cfRule>
    <cfRule type="cellIs" dxfId="0" priority="3070" operator="equal">
      <formula>"未完成"</formula>
    </cfRule>
  </conditionalFormatting>
  <conditionalFormatting sqref="AJ533">
    <cfRule type="cellIs" dxfId="0" priority="3064" operator="equal">
      <formula>"欠"</formula>
    </cfRule>
  </conditionalFormatting>
  <conditionalFormatting sqref="S536">
    <cfRule type="cellIs" dxfId="0" priority="2594" operator="equal">
      <formula>"欠"</formula>
    </cfRule>
  </conditionalFormatting>
  <conditionalFormatting sqref="T536">
    <cfRule type="containsText" dxfId="2" priority="2596" operator="between" text="欠">
      <formula>NOT(ISERROR(SEARCH("欠",T536)))</formula>
    </cfRule>
    <cfRule type="containsText" dxfId="3" priority="2597" operator="between" text="欠">
      <formula>NOT(ISERROR(SEARCH("欠",T536)))</formula>
    </cfRule>
    <cfRule type="cellIs" dxfId="0" priority="2598" operator="equal">
      <formula>"欠"</formula>
    </cfRule>
  </conditionalFormatting>
  <conditionalFormatting sqref="Q544">
    <cfRule type="cellIs" dxfId="0" priority="2031" operator="equal">
      <formula>"欠"</formula>
    </cfRule>
  </conditionalFormatting>
  <conditionalFormatting sqref="R544">
    <cfRule type="cellIs" dxfId="0" priority="2033" operator="equal">
      <formula>"欠"</formula>
    </cfRule>
    <cfRule type="containsText" dxfId="2" priority="2035" operator="between" text="欠">
      <formula>NOT(ISERROR(SEARCH("欠",R544)))</formula>
    </cfRule>
  </conditionalFormatting>
  <conditionalFormatting sqref="T544">
    <cfRule type="containsText" dxfId="2" priority="2037" operator="between" text="欠">
      <formula>NOT(ISERROR(SEARCH("欠",T544)))</formula>
    </cfRule>
    <cfRule type="cellIs" dxfId="0" priority="2041" operator="equal">
      <formula>"欠"</formula>
    </cfRule>
  </conditionalFormatting>
  <conditionalFormatting sqref="U544">
    <cfRule type="cellIs" dxfId="0" priority="2039" operator="equal">
      <formula>"欠"</formula>
    </cfRule>
  </conditionalFormatting>
  <conditionalFormatting sqref="AI544">
    <cfRule type="cellIs" dxfId="1" priority="2027" operator="equal">
      <formula>"未完成"</formula>
    </cfRule>
    <cfRule type="cellIs" dxfId="0" priority="2029" operator="equal">
      <formula>"未完成"</formula>
    </cfRule>
  </conditionalFormatting>
  <conditionalFormatting sqref="AJ544">
    <cfRule type="cellIs" dxfId="0" priority="2025" operator="equal">
      <formula>"欠"</formula>
    </cfRule>
  </conditionalFormatting>
  <conditionalFormatting sqref="Q545">
    <cfRule type="cellIs" dxfId="0" priority="2030" operator="equal">
      <formula>"欠"</formula>
    </cfRule>
  </conditionalFormatting>
  <conditionalFormatting sqref="R545">
    <cfRule type="cellIs" dxfId="0" priority="2032" operator="equal">
      <formula>"欠"</formula>
    </cfRule>
    <cfRule type="containsText" dxfId="2" priority="2034" operator="between" text="欠">
      <formula>NOT(ISERROR(SEARCH("欠",R545)))</formula>
    </cfRule>
  </conditionalFormatting>
  <conditionalFormatting sqref="T545">
    <cfRule type="containsText" dxfId="2" priority="2036" operator="between" text="欠">
      <formula>NOT(ISERROR(SEARCH("欠",T545)))</formula>
    </cfRule>
    <cfRule type="cellIs" dxfId="0" priority="2040" operator="equal">
      <formula>"欠"</formula>
    </cfRule>
  </conditionalFormatting>
  <conditionalFormatting sqref="U545">
    <cfRule type="cellIs" dxfId="0" priority="2038" operator="equal">
      <formula>"欠"</formula>
    </cfRule>
  </conditionalFormatting>
  <conditionalFormatting sqref="AI545">
    <cfRule type="cellIs" dxfId="1" priority="2026" operator="equal">
      <formula>"未完成"</formula>
    </cfRule>
    <cfRule type="cellIs" dxfId="0" priority="2028" operator="equal">
      <formula>"未完成"</formula>
    </cfRule>
  </conditionalFormatting>
  <conditionalFormatting sqref="AJ545">
    <cfRule type="cellIs" dxfId="0" priority="2024" operator="equal">
      <formula>"欠"</formula>
    </cfRule>
  </conditionalFormatting>
  <conditionalFormatting sqref="Q546">
    <cfRule type="cellIs" dxfId="0" priority="2880" operator="equal">
      <formula>"欠"</formula>
    </cfRule>
  </conditionalFormatting>
  <conditionalFormatting sqref="AI546">
    <cfRule type="cellIs" dxfId="1" priority="2859" operator="equal">
      <formula>"未完成"</formula>
    </cfRule>
    <cfRule type="cellIs" dxfId="0" priority="2866" operator="equal">
      <formula>"未完成"</formula>
    </cfRule>
  </conditionalFormatting>
  <conditionalFormatting sqref="AJ546">
    <cfRule type="cellIs" dxfId="0" priority="2852" operator="equal">
      <formula>"欠"</formula>
    </cfRule>
  </conditionalFormatting>
  <conditionalFormatting sqref="Q547">
    <cfRule type="cellIs" dxfId="0" priority="2879" operator="equal">
      <formula>"欠"</formula>
    </cfRule>
  </conditionalFormatting>
  <conditionalFormatting sqref="AI547">
    <cfRule type="cellIs" dxfId="1" priority="2858" operator="equal">
      <formula>"未完成"</formula>
    </cfRule>
    <cfRule type="cellIs" dxfId="0" priority="2865" operator="equal">
      <formula>"未完成"</formula>
    </cfRule>
  </conditionalFormatting>
  <conditionalFormatting sqref="AJ547">
    <cfRule type="cellIs" dxfId="0" priority="2851" operator="equal">
      <formula>"欠"</formula>
    </cfRule>
  </conditionalFormatting>
  <conditionalFormatting sqref="Q548">
    <cfRule type="cellIs" dxfId="0" priority="2878" operator="equal">
      <formula>"欠"</formula>
    </cfRule>
  </conditionalFormatting>
  <conditionalFormatting sqref="AI548">
    <cfRule type="cellIs" dxfId="1" priority="2857" operator="equal">
      <formula>"未完成"</formula>
    </cfRule>
    <cfRule type="cellIs" dxfId="0" priority="2864" operator="equal">
      <formula>"未完成"</formula>
    </cfRule>
  </conditionalFormatting>
  <conditionalFormatting sqref="AJ548">
    <cfRule type="cellIs" dxfId="0" priority="2850" operator="equal">
      <formula>"欠"</formula>
    </cfRule>
  </conditionalFormatting>
  <conditionalFormatting sqref="Q549">
    <cfRule type="cellIs" dxfId="0" priority="2877" operator="equal">
      <formula>"欠"</formula>
    </cfRule>
  </conditionalFormatting>
  <conditionalFormatting sqref="AI549">
    <cfRule type="cellIs" dxfId="1" priority="2856" operator="equal">
      <formula>"未完成"</formula>
    </cfRule>
    <cfRule type="cellIs" dxfId="0" priority="2863" operator="equal">
      <formula>"未完成"</formula>
    </cfRule>
  </conditionalFormatting>
  <conditionalFormatting sqref="AJ549">
    <cfRule type="cellIs" dxfId="0" priority="2849" operator="equal">
      <formula>"欠"</formula>
    </cfRule>
  </conditionalFormatting>
  <conditionalFormatting sqref="Q550">
    <cfRule type="cellIs" dxfId="0" priority="2876" operator="equal">
      <formula>"欠"</formula>
    </cfRule>
  </conditionalFormatting>
  <conditionalFormatting sqref="AI550">
    <cfRule type="cellIs" dxfId="1" priority="2855" operator="equal">
      <formula>"未完成"</formula>
    </cfRule>
    <cfRule type="cellIs" dxfId="0" priority="2862" operator="equal">
      <formula>"未完成"</formula>
    </cfRule>
  </conditionalFormatting>
  <conditionalFormatting sqref="AJ550">
    <cfRule type="cellIs" dxfId="0" priority="2848" operator="equal">
      <formula>"欠"</formula>
    </cfRule>
  </conditionalFormatting>
  <conditionalFormatting sqref="Q551">
    <cfRule type="cellIs" dxfId="0" priority="2875" operator="equal">
      <formula>"欠"</formula>
    </cfRule>
  </conditionalFormatting>
  <conditionalFormatting sqref="AI551">
    <cfRule type="cellIs" dxfId="1" priority="2854" operator="equal">
      <formula>"未完成"</formula>
    </cfRule>
    <cfRule type="cellIs" dxfId="0" priority="2861" operator="equal">
      <formula>"未完成"</formula>
    </cfRule>
  </conditionalFormatting>
  <conditionalFormatting sqref="AJ551">
    <cfRule type="cellIs" dxfId="0" priority="2847" operator="equal">
      <formula>"欠"</formula>
    </cfRule>
  </conditionalFormatting>
  <conditionalFormatting sqref="Q552">
    <cfRule type="cellIs" dxfId="0" priority="2874" operator="equal">
      <formula>"欠"</formula>
    </cfRule>
  </conditionalFormatting>
  <conditionalFormatting sqref="AI552">
    <cfRule type="cellIs" dxfId="1" priority="2853" operator="equal">
      <formula>"未完成"</formula>
    </cfRule>
    <cfRule type="cellIs" dxfId="0" priority="2860" operator="equal">
      <formula>"未完成"</formula>
    </cfRule>
  </conditionalFormatting>
  <conditionalFormatting sqref="AJ552">
    <cfRule type="cellIs" dxfId="0" priority="2846" operator="equal">
      <formula>"欠"</formula>
    </cfRule>
  </conditionalFormatting>
  <conditionalFormatting sqref="T553">
    <cfRule type="cellIs" dxfId="0" priority="2545" operator="equal">
      <formula>"欠"</formula>
    </cfRule>
  </conditionalFormatting>
  <conditionalFormatting sqref="U553">
    <cfRule type="cellIs" dxfId="0" priority="2546" operator="equal">
      <formula>"欠"</formula>
    </cfRule>
  </conditionalFormatting>
  <conditionalFormatting sqref="Q559">
    <cfRule type="cellIs" dxfId="0" priority="2903" operator="equal">
      <formula>"欠"</formula>
    </cfRule>
  </conditionalFormatting>
  <conditionalFormatting sqref="R559">
    <cfRule type="containsText" dxfId="2" priority="2895" operator="between" text="欠">
      <formula>NOT(ISERROR(SEARCH("欠",R559)))</formula>
    </cfRule>
    <cfRule type="cellIs" dxfId="0" priority="2896" operator="equal">
      <formula>"欠"</formula>
    </cfRule>
  </conditionalFormatting>
  <conditionalFormatting sqref="T559">
    <cfRule type="containsText" dxfId="2" priority="2897" operator="between" text="欠">
      <formula>NOT(ISERROR(SEARCH("欠",T559)))</formula>
    </cfRule>
    <cfRule type="containsText" dxfId="3" priority="2898" operator="between" text="欠">
      <formula>NOT(ISERROR(SEARCH("欠",T559)))</formula>
    </cfRule>
    <cfRule type="cellIs" dxfId="0" priority="2899" operator="equal">
      <formula>"欠"</formula>
    </cfRule>
  </conditionalFormatting>
  <conditionalFormatting sqref="AI559">
    <cfRule type="cellIs" dxfId="1" priority="2901" operator="equal">
      <formula>"未完成"</formula>
    </cfRule>
    <cfRule type="cellIs" dxfId="0" priority="2902" operator="equal">
      <formula>"未完成"</formula>
    </cfRule>
  </conditionalFormatting>
  <conditionalFormatting sqref="AJ559">
    <cfRule type="cellIs" dxfId="0" priority="2900" operator="equal">
      <formula>"欠"</formula>
    </cfRule>
  </conditionalFormatting>
  <conditionalFormatting sqref="Q561">
    <cfRule type="cellIs" dxfId="0" priority="3465" operator="equal">
      <formula>"欠"</formula>
    </cfRule>
  </conditionalFormatting>
  <conditionalFormatting sqref="AI561">
    <cfRule type="cellIs" dxfId="1" priority="3450" operator="equal">
      <formula>"未完成"</formula>
    </cfRule>
    <cfRule type="cellIs" dxfId="0" priority="3455" operator="equal">
      <formula>"未完成"</formula>
    </cfRule>
  </conditionalFormatting>
  <conditionalFormatting sqref="AJ561">
    <cfRule type="cellIs" dxfId="0" priority="3445" operator="equal">
      <formula>"欠"</formula>
    </cfRule>
  </conditionalFormatting>
  <conditionalFormatting sqref="R562">
    <cfRule type="containsText" dxfId="2" priority="3038" operator="between" text="欠">
      <formula>NOT(ISERROR(SEARCH("欠",R562)))</formula>
    </cfRule>
    <cfRule type="cellIs" dxfId="0" priority="3039" operator="equal">
      <formula>"欠"</formula>
    </cfRule>
  </conditionalFormatting>
  <conditionalFormatting sqref="S562">
    <cfRule type="cellIs" dxfId="0" priority="2927" operator="equal">
      <formula>"欠"</formula>
    </cfRule>
  </conditionalFormatting>
  <conditionalFormatting sqref="R563">
    <cfRule type="containsText" dxfId="2" priority="2822" operator="between" text="欠">
      <formula>NOT(ISERROR(SEARCH("欠",R563)))</formula>
    </cfRule>
    <cfRule type="cellIs" dxfId="0" priority="2823" operator="equal">
      <formula>"欠"</formula>
    </cfRule>
  </conditionalFormatting>
  <conditionalFormatting sqref="T563">
    <cfRule type="containsText" dxfId="2" priority="2824" operator="between" text="欠">
      <formula>NOT(ISERROR(SEARCH("欠",T563)))</formula>
    </cfRule>
    <cfRule type="containsText" dxfId="3" priority="2825" operator="between" text="欠">
      <formula>NOT(ISERROR(SEARCH("欠",T563)))</formula>
    </cfRule>
    <cfRule type="cellIs" dxfId="0" priority="2826" operator="equal">
      <formula>"欠"</formula>
    </cfRule>
  </conditionalFormatting>
  <conditionalFormatting sqref="Q572">
    <cfRule type="cellIs" dxfId="0" priority="2578" operator="equal">
      <formula>"欠"</formula>
    </cfRule>
  </conditionalFormatting>
  <conditionalFormatting sqref="AI572">
    <cfRule type="cellIs" dxfId="1" priority="2576" operator="equal">
      <formula>"未完成"</formula>
    </cfRule>
    <cfRule type="cellIs" dxfId="0" priority="2577" operator="equal">
      <formula>"未完成"</formula>
    </cfRule>
  </conditionalFormatting>
  <conditionalFormatting sqref="AJ572">
    <cfRule type="cellIs" dxfId="0" priority="2575" operator="equal">
      <formula>"欠"</formula>
    </cfRule>
  </conditionalFormatting>
  <conditionalFormatting sqref="Q584">
    <cfRule type="cellIs" dxfId="0" priority="2156" operator="equal">
      <formula>"欠"</formula>
    </cfRule>
  </conditionalFormatting>
  <conditionalFormatting sqref="R584">
    <cfRule type="containsText" dxfId="2" priority="2151" operator="between" text="欠">
      <formula>NOT(ISERROR(SEARCH("欠",R584)))</formula>
    </cfRule>
    <cfRule type="cellIs" dxfId="0" priority="2155" operator="equal">
      <formula>"欠"</formula>
    </cfRule>
  </conditionalFormatting>
  <conditionalFormatting sqref="S584:T584">
    <cfRule type="cellIs" dxfId="0" priority="2157" operator="equal">
      <formula>"欠"</formula>
    </cfRule>
  </conditionalFormatting>
  <conditionalFormatting sqref="U584">
    <cfRule type="cellIs" dxfId="0" priority="2150" operator="equal">
      <formula>"欠"</formula>
    </cfRule>
  </conditionalFormatting>
  <conditionalFormatting sqref="AI584">
    <cfRule type="cellIs" dxfId="1" priority="2153" operator="equal">
      <formula>"未完成"</formula>
    </cfRule>
    <cfRule type="cellIs" dxfId="0" priority="2154" operator="equal">
      <formula>"未完成"</formula>
    </cfRule>
  </conditionalFormatting>
  <conditionalFormatting sqref="AJ584">
    <cfRule type="cellIs" dxfId="0" priority="2152" operator="equal">
      <formula>"欠"</formula>
    </cfRule>
  </conditionalFormatting>
  <conditionalFormatting sqref="Q587">
    <cfRule type="cellIs" dxfId="0" priority="2770" operator="equal">
      <formula>"欠"</formula>
    </cfRule>
  </conditionalFormatting>
  <conditionalFormatting sqref="T587">
    <cfRule type="containsText" dxfId="2" priority="2764" operator="between" text="欠">
      <formula>NOT(ISERROR(SEARCH("欠",T587)))</formula>
    </cfRule>
    <cfRule type="containsText" dxfId="3" priority="2765" operator="between" text="欠">
      <formula>NOT(ISERROR(SEARCH("欠",T587)))</formula>
    </cfRule>
    <cfRule type="cellIs" dxfId="0" priority="2766" operator="equal">
      <formula>"欠"</formula>
    </cfRule>
  </conditionalFormatting>
  <conditionalFormatting sqref="AI587">
    <cfRule type="cellIs" dxfId="1" priority="2768" operator="equal">
      <formula>"未完成"</formula>
    </cfRule>
    <cfRule type="cellIs" dxfId="0" priority="2769" operator="equal">
      <formula>"未完成"</formula>
    </cfRule>
  </conditionalFormatting>
  <conditionalFormatting sqref="AJ587">
    <cfRule type="cellIs" dxfId="0" priority="2767" operator="equal">
      <formula>"欠"</formula>
    </cfRule>
  </conditionalFormatting>
  <conditionalFormatting sqref="Q590">
    <cfRule type="cellIs" dxfId="0" priority="2760" operator="equal">
      <formula>"欠"</formula>
    </cfRule>
  </conditionalFormatting>
  <conditionalFormatting sqref="AI590">
    <cfRule type="cellIs" dxfId="1" priority="2758" operator="equal">
      <formula>"未完成"</formula>
    </cfRule>
    <cfRule type="cellIs" dxfId="0" priority="2759" operator="equal">
      <formula>"未完成"</formula>
    </cfRule>
  </conditionalFormatting>
  <conditionalFormatting sqref="AJ590">
    <cfRule type="cellIs" dxfId="0" priority="2757" operator="equal">
      <formula>"欠"</formula>
    </cfRule>
  </conditionalFormatting>
  <conditionalFormatting sqref="R594">
    <cfRule type="containsText" dxfId="2" priority="2616" operator="between" text="欠">
      <formula>NOT(ISERROR(SEARCH("欠",R594)))</formula>
    </cfRule>
    <cfRule type="cellIs" dxfId="0" priority="2619" operator="equal">
      <formula>"欠"</formula>
    </cfRule>
  </conditionalFormatting>
  <conditionalFormatting sqref="S594">
    <cfRule type="cellIs" dxfId="0" priority="2643" operator="equal">
      <formula>"欠"</formula>
    </cfRule>
  </conditionalFormatting>
  <conditionalFormatting sqref="T594">
    <cfRule type="containsText" dxfId="2" priority="2622" operator="between" text="欠">
      <formula>NOT(ISERROR(SEARCH("欠",T594)))</formula>
    </cfRule>
    <cfRule type="containsText" dxfId="3" priority="2625" operator="between" text="欠">
      <formula>NOT(ISERROR(SEARCH("欠",T594)))</formula>
    </cfRule>
    <cfRule type="cellIs" dxfId="0" priority="2628" operator="equal">
      <formula>"欠"</formula>
    </cfRule>
  </conditionalFormatting>
  <conditionalFormatting sqref="Q603">
    <cfRule type="cellIs" dxfId="0" priority="2638" operator="equal">
      <formula>"欠"</formula>
    </cfRule>
  </conditionalFormatting>
  <conditionalFormatting sqref="R603">
    <cfRule type="containsText" dxfId="2" priority="2614" operator="between" text="欠">
      <formula>NOT(ISERROR(SEARCH("欠",R603)))</formula>
    </cfRule>
    <cfRule type="cellIs" dxfId="0" priority="2617" operator="equal">
      <formula>"欠"</formula>
    </cfRule>
  </conditionalFormatting>
  <conditionalFormatting sqref="T603">
    <cfRule type="containsText" dxfId="2" priority="2620" operator="between" text="欠">
      <formula>NOT(ISERROR(SEARCH("欠",T603)))</formula>
    </cfRule>
    <cfRule type="containsText" dxfId="3" priority="2623" operator="between" text="欠">
      <formula>NOT(ISERROR(SEARCH("欠",T603)))</formula>
    </cfRule>
    <cfRule type="cellIs" dxfId="0" priority="2626" operator="equal">
      <formula>"欠"</formula>
    </cfRule>
  </conditionalFormatting>
  <conditionalFormatting sqref="AI603">
    <cfRule type="cellIs" dxfId="1" priority="2632" operator="equal">
      <formula>"未完成"</formula>
    </cfRule>
    <cfRule type="cellIs" dxfId="0" priority="2635" operator="equal">
      <formula>"未完成"</formula>
    </cfRule>
  </conditionalFormatting>
  <conditionalFormatting sqref="AJ603">
    <cfRule type="cellIs" dxfId="0" priority="2629" operator="equal">
      <formula>"欠"</formula>
    </cfRule>
  </conditionalFormatting>
  <conditionalFormatting sqref="Q606">
    <cfRule type="cellIs" dxfId="0" priority="2911" operator="equal">
      <formula>"欠"</formula>
    </cfRule>
  </conditionalFormatting>
  <conditionalFormatting sqref="R606">
    <cfRule type="cellIs" dxfId="0" priority="2912" operator="equal">
      <formula>"欠"</formula>
    </cfRule>
    <cfRule type="containsText" dxfId="2" priority="2913" operator="between" text="欠">
      <formula>NOT(ISERROR(SEARCH("欠",R606)))</formula>
    </cfRule>
  </conditionalFormatting>
  <conditionalFormatting sqref="T606">
    <cfRule type="containsText" dxfId="2" priority="2905" operator="between" text="欠">
      <formula>NOT(ISERROR(SEARCH("欠",T606)))</formula>
    </cfRule>
    <cfRule type="containsText" dxfId="3" priority="2906" operator="between" text="欠">
      <formula>NOT(ISERROR(SEARCH("欠",T606)))</formula>
    </cfRule>
    <cfRule type="cellIs" dxfId="0" priority="2907" operator="equal">
      <formula>"欠"</formula>
    </cfRule>
  </conditionalFormatting>
  <conditionalFormatting sqref="AI606">
    <cfRule type="cellIs" dxfId="1" priority="2909" operator="equal">
      <formula>"未完成"</formula>
    </cfRule>
    <cfRule type="cellIs" dxfId="0" priority="2910" operator="equal">
      <formula>"未完成"</formula>
    </cfRule>
  </conditionalFormatting>
  <conditionalFormatting sqref="AJ606">
    <cfRule type="cellIs" dxfId="0" priority="2908" operator="equal">
      <formula>"欠"</formula>
    </cfRule>
  </conditionalFormatting>
  <conditionalFormatting sqref="Q608">
    <cfRule type="cellIs" dxfId="0" priority="2531" operator="equal">
      <formula>"欠"</formula>
    </cfRule>
  </conditionalFormatting>
  <conditionalFormatting sqref="T608">
    <cfRule type="containsText" dxfId="2" priority="2525" operator="between" text="欠">
      <formula>NOT(ISERROR(SEARCH("欠",T608)))</formula>
    </cfRule>
    <cfRule type="containsText" dxfId="3" priority="2526" operator="between" text="欠">
      <formula>NOT(ISERROR(SEARCH("欠",T608)))</formula>
    </cfRule>
    <cfRule type="cellIs" dxfId="0" priority="2527" operator="equal">
      <formula>"欠"</formula>
    </cfRule>
  </conditionalFormatting>
  <conditionalFormatting sqref="AI608">
    <cfRule type="cellIs" dxfId="1" priority="2529" operator="equal">
      <formula>"未完成"</formula>
    </cfRule>
    <cfRule type="cellIs" dxfId="0" priority="2530" operator="equal">
      <formula>"未完成"</formula>
    </cfRule>
  </conditionalFormatting>
  <conditionalFormatting sqref="AJ608">
    <cfRule type="cellIs" dxfId="0" priority="2528" operator="equal">
      <formula>"欠"</formula>
    </cfRule>
  </conditionalFormatting>
  <conditionalFormatting sqref="Q619">
    <cfRule type="cellIs" dxfId="0" priority="2639" operator="equal">
      <formula>"欠"</formula>
    </cfRule>
  </conditionalFormatting>
  <conditionalFormatting sqref="R619">
    <cfRule type="containsText" dxfId="2" priority="2615" operator="between" text="欠">
      <formula>NOT(ISERROR(SEARCH("欠",R619)))</formula>
    </cfRule>
    <cfRule type="cellIs" dxfId="0" priority="2618" operator="equal">
      <formula>"欠"</formula>
    </cfRule>
  </conditionalFormatting>
  <conditionalFormatting sqref="S619">
    <cfRule type="cellIs" dxfId="0" priority="2642" operator="equal">
      <formula>"欠"</formula>
    </cfRule>
  </conditionalFormatting>
  <conditionalFormatting sqref="T619">
    <cfRule type="containsText" dxfId="2" priority="2621" operator="between" text="欠">
      <formula>NOT(ISERROR(SEARCH("欠",T619)))</formula>
    </cfRule>
    <cfRule type="containsText" dxfId="3" priority="2624" operator="between" text="欠">
      <formula>NOT(ISERROR(SEARCH("欠",T619)))</formula>
    </cfRule>
    <cfRule type="cellIs" dxfId="0" priority="2627" operator="equal">
      <formula>"欠"</formula>
    </cfRule>
  </conditionalFormatting>
  <conditionalFormatting sqref="AI619">
    <cfRule type="cellIs" dxfId="1" priority="2633" operator="equal">
      <formula>"未完成"</formula>
    </cfRule>
    <cfRule type="cellIs" dxfId="0" priority="2636" operator="equal">
      <formula>"未完成"</formula>
    </cfRule>
  </conditionalFormatting>
  <conditionalFormatting sqref="AJ619">
    <cfRule type="cellIs" dxfId="0" priority="2630" operator="equal">
      <formula>"欠"</formula>
    </cfRule>
  </conditionalFormatting>
  <conditionalFormatting sqref="Q620">
    <cfRule type="cellIs" dxfId="0" priority="2650" operator="equal">
      <formula>"欠"</formula>
    </cfRule>
  </conditionalFormatting>
  <conditionalFormatting sqref="T620">
    <cfRule type="containsText" dxfId="2" priority="2644" operator="between" text="欠">
      <formula>NOT(ISERROR(SEARCH("欠",T620)))</formula>
    </cfRule>
    <cfRule type="containsText" dxfId="3" priority="2645" operator="between" text="欠">
      <formula>NOT(ISERROR(SEARCH("欠",T620)))</formula>
    </cfRule>
    <cfRule type="cellIs" dxfId="0" priority="2646" operator="equal">
      <formula>"欠"</formula>
    </cfRule>
  </conditionalFormatting>
  <conditionalFormatting sqref="AI620">
    <cfRule type="cellIs" dxfId="1" priority="2648" operator="equal">
      <formula>"未完成"</formula>
    </cfRule>
    <cfRule type="cellIs" dxfId="0" priority="2649" operator="equal">
      <formula>"未完成"</formula>
    </cfRule>
  </conditionalFormatting>
  <conditionalFormatting sqref="AJ620">
    <cfRule type="cellIs" dxfId="0" priority="2647" operator="equal">
      <formula>"欠"</formula>
    </cfRule>
  </conditionalFormatting>
  <conditionalFormatting sqref="S621">
    <cfRule type="cellIs" dxfId="0" priority="2498" operator="equal">
      <formula>"欠"</formula>
    </cfRule>
  </conditionalFormatting>
  <conditionalFormatting sqref="T621">
    <cfRule type="containsText" dxfId="2" priority="2505" operator="between" text="欠">
      <formula>NOT(ISERROR(SEARCH("欠",T621)))</formula>
    </cfRule>
    <cfRule type="cellIs" dxfId="0" priority="2506" operator="equal">
      <formula>"欠"</formula>
    </cfRule>
  </conditionalFormatting>
  <conditionalFormatting sqref="R622">
    <cfRule type="containsText" dxfId="2" priority="2748" operator="between" text="欠">
      <formula>NOT(ISERROR(SEARCH("欠",R622)))</formula>
    </cfRule>
    <cfRule type="cellIs" dxfId="0" priority="2749" operator="equal">
      <formula>"欠"</formula>
    </cfRule>
  </conditionalFormatting>
  <conditionalFormatting sqref="S624">
    <cfRule type="cellIs" dxfId="0" priority="2494" operator="equal">
      <formula>"欠"</formula>
    </cfRule>
  </conditionalFormatting>
  <conditionalFormatting sqref="Q625">
    <cfRule type="cellIs" dxfId="0" priority="3378" operator="equal">
      <formula>"欠"</formula>
    </cfRule>
  </conditionalFormatting>
  <conditionalFormatting sqref="AI625">
    <cfRule type="cellIs" dxfId="1" priority="3376" operator="equal">
      <formula>"未完成"</formula>
    </cfRule>
    <cfRule type="cellIs" dxfId="0" priority="3377" operator="equal">
      <formula>"未完成"</formula>
    </cfRule>
  </conditionalFormatting>
  <conditionalFormatting sqref="AJ625">
    <cfRule type="cellIs" dxfId="0" priority="3375" operator="equal">
      <formula>"欠"</formula>
    </cfRule>
  </conditionalFormatting>
  <conditionalFormatting sqref="Q627">
    <cfRule type="cellIs" dxfId="0" priority="1801" operator="equal">
      <formula>"欠"</formula>
    </cfRule>
  </conditionalFormatting>
  <conditionalFormatting sqref="R627">
    <cfRule type="containsText" dxfId="2" priority="1791" operator="between" text="欠">
      <formula>NOT(ISERROR(SEARCH("欠",R627)))</formula>
    </cfRule>
    <cfRule type="cellIs" dxfId="0" priority="1794" operator="equal">
      <formula>"欠"</formula>
    </cfRule>
  </conditionalFormatting>
  <conditionalFormatting sqref="S627">
    <cfRule type="cellIs" dxfId="0" priority="1802" operator="equal">
      <formula>"欠"</formula>
    </cfRule>
  </conditionalFormatting>
  <conditionalFormatting sqref="T627">
    <cfRule type="containsText" dxfId="2" priority="1792" operator="between" text="欠">
      <formula>NOT(ISERROR(SEARCH("欠",T627)))</formula>
    </cfRule>
    <cfRule type="containsText" dxfId="3" priority="1796" operator="between" text="欠">
      <formula>NOT(ISERROR(SEARCH("欠",T627)))</formula>
    </cfRule>
    <cfRule type="cellIs" dxfId="0" priority="1797" operator="equal">
      <formula>"欠"</formula>
    </cfRule>
  </conditionalFormatting>
  <conditionalFormatting sqref="AI627">
    <cfRule type="cellIs" dxfId="1" priority="1799" operator="equal">
      <formula>"未完成"</formula>
    </cfRule>
    <cfRule type="cellIs" dxfId="0" priority="1800" operator="equal">
      <formula>"未完成"</formula>
    </cfRule>
  </conditionalFormatting>
  <conditionalFormatting sqref="AJ627">
    <cfRule type="cellIs" dxfId="0" priority="1798" operator="equal">
      <formula>"欠"</formula>
    </cfRule>
  </conditionalFormatting>
  <conditionalFormatting sqref="Q629">
    <cfRule type="cellIs" dxfId="0" priority="3105" operator="equal">
      <formula>"欠"</formula>
    </cfRule>
  </conditionalFormatting>
  <conditionalFormatting sqref="T629">
    <cfRule type="containsText" dxfId="2" priority="3091" operator="between" text="欠">
      <formula>NOT(ISERROR(SEARCH("欠",T629)))</formula>
    </cfRule>
    <cfRule type="containsText" dxfId="3" priority="3093" operator="between" text="欠">
      <formula>NOT(ISERROR(SEARCH("欠",T629)))</formula>
    </cfRule>
    <cfRule type="cellIs" dxfId="0" priority="3095" operator="equal">
      <formula>"欠"</formula>
    </cfRule>
  </conditionalFormatting>
  <conditionalFormatting sqref="AI629">
    <cfRule type="cellIs" dxfId="1" priority="3099" operator="equal">
      <formula>"未完成"</formula>
    </cfRule>
    <cfRule type="cellIs" dxfId="0" priority="3101" operator="equal">
      <formula>"未完成"</formula>
    </cfRule>
  </conditionalFormatting>
  <conditionalFormatting sqref="AJ629">
    <cfRule type="cellIs" dxfId="0" priority="3097" operator="equal">
      <formula>"欠"</formula>
    </cfRule>
  </conditionalFormatting>
  <conditionalFormatting sqref="AI631">
    <cfRule type="cellIs" dxfId="1" priority="2724" operator="equal">
      <formula>"未完成"</formula>
    </cfRule>
    <cfRule type="cellIs" dxfId="0" priority="2725" operator="equal">
      <formula>"未完成"</formula>
    </cfRule>
  </conditionalFormatting>
  <conditionalFormatting sqref="S632">
    <cfRule type="cellIs" dxfId="0" priority="2161" operator="equal">
      <formula>"欠"</formula>
    </cfRule>
  </conditionalFormatting>
  <conditionalFormatting sqref="T632">
    <cfRule type="cellIs" dxfId="0" priority="2160" operator="equal">
      <formula>"欠"</formula>
    </cfRule>
  </conditionalFormatting>
  <conditionalFormatting sqref="Q633">
    <cfRule type="cellIs" dxfId="0" priority="2736" operator="equal">
      <formula>"欠"</formula>
    </cfRule>
  </conditionalFormatting>
  <conditionalFormatting sqref="R633">
    <cfRule type="containsText" dxfId="2" priority="2608" operator="between" text="欠">
      <formula>NOT(ISERROR(SEARCH("欠",R633)))</formula>
    </cfRule>
    <cfRule type="cellIs" dxfId="0" priority="2609" operator="equal">
      <formula>"欠"</formula>
    </cfRule>
  </conditionalFormatting>
  <conditionalFormatting sqref="T633">
    <cfRule type="cellIs" dxfId="0" priority="2607" operator="equal">
      <formula>"欠"</formula>
    </cfRule>
  </conditionalFormatting>
  <conditionalFormatting sqref="AI633">
    <cfRule type="cellIs" dxfId="1" priority="2734" operator="equal">
      <formula>"未完成"</formula>
    </cfRule>
    <cfRule type="cellIs" dxfId="0" priority="2735" operator="equal">
      <formula>"未完成"</formula>
    </cfRule>
  </conditionalFormatting>
  <conditionalFormatting sqref="AJ633">
    <cfRule type="cellIs" dxfId="0" priority="2733" operator="equal">
      <formula>"欠"</formula>
    </cfRule>
  </conditionalFormatting>
  <conditionalFormatting sqref="T637">
    <cfRule type="cellIs" dxfId="0" priority="2450" operator="equal">
      <formula>"欠"</formula>
    </cfRule>
  </conditionalFormatting>
  <conditionalFormatting sqref="Q640">
    <cfRule type="cellIs" dxfId="0" priority="2445" operator="equal">
      <formula>"欠"</formula>
    </cfRule>
  </conditionalFormatting>
  <conditionalFormatting sqref="R640">
    <cfRule type="cellIs" dxfId="0" priority="2437" operator="equal">
      <formula>"欠"</formula>
    </cfRule>
    <cfRule type="containsText" dxfId="2" priority="2438" operator="between" text="欠">
      <formula>NOT(ISERROR(SEARCH("欠",R640)))</formula>
    </cfRule>
  </conditionalFormatting>
  <conditionalFormatting sqref="S640">
    <cfRule type="cellIs" dxfId="0" priority="2187" operator="equal">
      <formula>"欠"</formula>
    </cfRule>
  </conditionalFormatting>
  <conditionalFormatting sqref="T640">
    <cfRule type="containsText" dxfId="2" priority="2439" operator="between" text="欠">
      <formula>NOT(ISERROR(SEARCH("欠",T640)))</formula>
    </cfRule>
    <cfRule type="containsText" dxfId="3" priority="2440" operator="between" text="欠">
      <formula>NOT(ISERROR(SEARCH("欠",T640)))</formula>
    </cfRule>
    <cfRule type="cellIs" dxfId="0" priority="2441" operator="equal">
      <formula>"欠"</formula>
    </cfRule>
  </conditionalFormatting>
  <conditionalFormatting sqref="AI640">
    <cfRule type="cellIs" dxfId="1" priority="2443" operator="equal">
      <formula>"未完成"</formula>
    </cfRule>
    <cfRule type="cellIs" dxfId="0" priority="2444" operator="equal">
      <formula>"未完成"</formula>
    </cfRule>
  </conditionalFormatting>
  <conditionalFormatting sqref="AJ640">
    <cfRule type="cellIs" dxfId="0" priority="2442" operator="equal">
      <formula>"欠"</formula>
    </cfRule>
  </conditionalFormatting>
  <conditionalFormatting sqref="R641">
    <cfRule type="cellIs" dxfId="0" priority="2740" operator="equal">
      <formula>"欠"</formula>
    </cfRule>
    <cfRule type="containsText" dxfId="2" priority="2741" operator="between" text="欠">
      <formula>NOT(ISERROR(SEARCH("欠",R641)))</formula>
    </cfRule>
  </conditionalFormatting>
  <conditionalFormatting sqref="Q642">
    <cfRule type="cellIs" dxfId="0" priority="3010" operator="equal">
      <formula>"欠"</formula>
    </cfRule>
  </conditionalFormatting>
  <conditionalFormatting sqref="S642">
    <cfRule type="cellIs" dxfId="0" priority="3017" operator="equal">
      <formula>"欠"</formula>
    </cfRule>
  </conditionalFormatting>
  <conditionalFormatting sqref="T642">
    <cfRule type="cellIs" dxfId="0" priority="2178" operator="equal">
      <formula>"欠"</formula>
    </cfRule>
  </conditionalFormatting>
  <conditionalFormatting sqref="U642">
    <cfRule type="cellIs" dxfId="0" priority="2931" operator="equal">
      <formula>"欠"</formula>
    </cfRule>
  </conditionalFormatting>
  <conditionalFormatting sqref="AI642">
    <cfRule type="cellIs" dxfId="1" priority="2996" operator="equal">
      <formula>"未完成"</formula>
    </cfRule>
    <cfRule type="cellIs" dxfId="0" priority="3003" operator="equal">
      <formula>"未完成"</formula>
    </cfRule>
  </conditionalFormatting>
  <conditionalFormatting sqref="AJ642">
    <cfRule type="cellIs" dxfId="0" priority="2989" operator="equal">
      <formula>"欠"</formula>
    </cfRule>
  </conditionalFormatting>
  <conditionalFormatting sqref="Q643">
    <cfRule type="cellIs" dxfId="0" priority="3009" operator="equal">
      <formula>"欠"</formula>
    </cfRule>
  </conditionalFormatting>
  <conditionalFormatting sqref="S643">
    <cfRule type="cellIs" dxfId="0" priority="3016" operator="equal">
      <formula>"欠"</formula>
    </cfRule>
  </conditionalFormatting>
  <conditionalFormatting sqref="AI643">
    <cfRule type="cellIs" dxfId="1" priority="2995" operator="equal">
      <formula>"未完成"</formula>
    </cfRule>
    <cfRule type="cellIs" dxfId="0" priority="3002" operator="equal">
      <formula>"未完成"</formula>
    </cfRule>
  </conditionalFormatting>
  <conditionalFormatting sqref="AJ643">
    <cfRule type="cellIs" dxfId="0" priority="2988" operator="equal">
      <formula>"欠"</formula>
    </cfRule>
  </conditionalFormatting>
  <conditionalFormatting sqref="Q647">
    <cfRule type="cellIs" dxfId="0" priority="2541" operator="equal">
      <formula>"欠"</formula>
    </cfRule>
  </conditionalFormatting>
  <conditionalFormatting sqref="U647">
    <cfRule type="cellIs" dxfId="0" priority="2535" operator="equal">
      <formula>"欠"</formula>
    </cfRule>
  </conditionalFormatting>
  <conditionalFormatting sqref="AI647">
    <cfRule type="cellIs" dxfId="1" priority="2539" operator="equal">
      <formula>"未完成"</formula>
    </cfRule>
    <cfRule type="cellIs" dxfId="0" priority="2540" operator="equal">
      <formula>"未完成"</formula>
    </cfRule>
  </conditionalFormatting>
  <conditionalFormatting sqref="AJ647">
    <cfRule type="cellIs" dxfId="0" priority="2538" operator="equal">
      <formula>"欠"</formula>
    </cfRule>
  </conditionalFormatting>
  <conditionalFormatting sqref="T648">
    <cfRule type="cellIs" dxfId="0" priority="2177" operator="equal">
      <formula>"欠"</formula>
    </cfRule>
  </conditionalFormatting>
  <conditionalFormatting sqref="R649">
    <cfRule type="containsText" dxfId="2" priority="2175" operator="between" text="欠">
      <formula>NOT(ISERROR(SEARCH("欠",R649)))</formula>
    </cfRule>
    <cfRule type="cellIs" dxfId="0" priority="2176" operator="equal">
      <formula>"欠"</formula>
    </cfRule>
  </conditionalFormatting>
  <conditionalFormatting sqref="Q650">
    <cfRule type="cellIs" dxfId="0" priority="3006" operator="equal">
      <formula>"欠"</formula>
    </cfRule>
  </conditionalFormatting>
  <conditionalFormatting sqref="AI650">
    <cfRule type="cellIs" dxfId="1" priority="2992" operator="equal">
      <formula>"未完成"</formula>
    </cfRule>
    <cfRule type="cellIs" dxfId="0" priority="2999" operator="equal">
      <formula>"未完成"</formula>
    </cfRule>
  </conditionalFormatting>
  <conditionalFormatting sqref="AJ650">
    <cfRule type="cellIs" dxfId="0" priority="2985" operator="equal">
      <formula>"欠"</formula>
    </cfRule>
  </conditionalFormatting>
  <conditionalFormatting sqref="Q651">
    <cfRule type="cellIs" dxfId="0" priority="3005" operator="equal">
      <formula>"欠"</formula>
    </cfRule>
  </conditionalFormatting>
  <conditionalFormatting sqref="AI651">
    <cfRule type="cellIs" dxfId="1" priority="2991" operator="equal">
      <formula>"未完成"</formula>
    </cfRule>
    <cfRule type="cellIs" dxfId="0" priority="2998" operator="equal">
      <formula>"未完成"</formula>
    </cfRule>
  </conditionalFormatting>
  <conditionalFormatting sqref="AJ651">
    <cfRule type="cellIs" dxfId="0" priority="2984" operator="equal">
      <formula>"欠"</formula>
    </cfRule>
  </conditionalFormatting>
  <conditionalFormatting sqref="Q653">
    <cfRule type="cellIs" dxfId="0" priority="2460" operator="equal">
      <formula>"欠"</formula>
    </cfRule>
  </conditionalFormatting>
  <conditionalFormatting sqref="R653">
    <cfRule type="cellIs" dxfId="0" priority="2455" operator="equal">
      <formula>"欠"</formula>
    </cfRule>
    <cfRule type="containsText" dxfId="2" priority="2456" operator="between" text="欠">
      <formula>NOT(ISERROR(SEARCH("欠",R653)))</formula>
    </cfRule>
  </conditionalFormatting>
  <conditionalFormatting sqref="U653">
    <cfRule type="cellIs" dxfId="0" priority="2451" operator="equal">
      <formula>"欠"</formula>
    </cfRule>
  </conditionalFormatting>
  <conditionalFormatting sqref="S656">
    <cfRule type="cellIs" dxfId="0" priority="1750" operator="equal">
      <formula>"欠"</formula>
    </cfRule>
  </conditionalFormatting>
  <conditionalFormatting sqref="Q657">
    <cfRule type="cellIs" dxfId="0" priority="1776" operator="equal">
      <formula>"欠"</formula>
    </cfRule>
  </conditionalFormatting>
  <conditionalFormatting sqref="S657">
    <cfRule type="cellIs" dxfId="0" priority="1751" operator="equal">
      <formula>"欠"</formula>
    </cfRule>
  </conditionalFormatting>
  <conditionalFormatting sqref="U657">
    <cfRule type="cellIs" dxfId="0" priority="1767" operator="equal">
      <formula>"欠"</formula>
    </cfRule>
  </conditionalFormatting>
  <conditionalFormatting sqref="AI657">
    <cfRule type="cellIs" dxfId="1" priority="1774" operator="equal">
      <formula>"未完成"</formula>
    </cfRule>
    <cfRule type="cellIs" dxfId="0" priority="1775" operator="equal">
      <formula>"未完成"</formula>
    </cfRule>
  </conditionalFormatting>
  <conditionalFormatting sqref="AJ657">
    <cfRule type="cellIs" dxfId="0" priority="1773" operator="equal">
      <formula>"欠"</formula>
    </cfRule>
  </conditionalFormatting>
  <conditionalFormatting sqref="S661">
    <cfRule type="cellIs" dxfId="0" priority="2548" operator="equal">
      <formula>"欠"</formula>
    </cfRule>
  </conditionalFormatting>
  <conditionalFormatting sqref="T661">
    <cfRule type="cellIs" dxfId="0" priority="2547" operator="equal">
      <formula>"欠"</formula>
    </cfRule>
  </conditionalFormatting>
  <conditionalFormatting sqref="Q662">
    <cfRule type="cellIs" dxfId="0" priority="1091" operator="equal">
      <formula>"欠"</formula>
    </cfRule>
  </conditionalFormatting>
  <conditionalFormatting sqref="R662">
    <cfRule type="cellIs" dxfId="0" priority="1203" operator="equal">
      <formula>"欠"</formula>
    </cfRule>
    <cfRule type="containsText" dxfId="2" priority="1147" operator="between" text="欠">
      <formula>NOT(ISERROR(SEARCH("欠",R662)))</formula>
    </cfRule>
  </conditionalFormatting>
  <conditionalFormatting sqref="S662">
    <cfRule type="cellIs" dxfId="0" priority="867" operator="equal">
      <formula>"欠"</formula>
    </cfRule>
  </conditionalFormatting>
  <conditionalFormatting sqref="T662">
    <cfRule type="cellIs" dxfId="0" priority="811" operator="equal">
      <formula>"欠"</formula>
    </cfRule>
    <cfRule type="containsText" dxfId="2" priority="755" operator="between" text="欠">
      <formula>NOT(ISERROR(SEARCH("欠",T662)))</formula>
    </cfRule>
  </conditionalFormatting>
  <conditionalFormatting sqref="AI662">
    <cfRule type="cellIs" dxfId="0" priority="1035" operator="equal">
      <formula>"未完成"</formula>
    </cfRule>
    <cfRule type="cellIs" dxfId="1" priority="979" operator="equal">
      <formula>"未完成"</formula>
    </cfRule>
  </conditionalFormatting>
  <conditionalFormatting sqref="AJ662">
    <cfRule type="cellIs" dxfId="0" priority="923" operator="equal">
      <formula>"欠"</formula>
    </cfRule>
  </conditionalFormatting>
  <conditionalFormatting sqref="Q663">
    <cfRule type="cellIs" dxfId="0" priority="1090" operator="equal">
      <formula>"欠"</formula>
    </cfRule>
  </conditionalFormatting>
  <conditionalFormatting sqref="R663">
    <cfRule type="cellIs" dxfId="0" priority="1202" operator="equal">
      <formula>"欠"</formula>
    </cfRule>
    <cfRule type="containsText" dxfId="2" priority="1146" operator="between" text="欠">
      <formula>NOT(ISERROR(SEARCH("欠",R663)))</formula>
    </cfRule>
  </conditionalFormatting>
  <conditionalFormatting sqref="S663">
    <cfRule type="cellIs" dxfId="0" priority="866" operator="equal">
      <formula>"欠"</formula>
    </cfRule>
  </conditionalFormatting>
  <conditionalFormatting sqref="T663">
    <cfRule type="cellIs" dxfId="0" priority="810" operator="equal">
      <formula>"欠"</formula>
    </cfRule>
    <cfRule type="containsText" dxfId="2" priority="754" operator="between" text="欠">
      <formula>NOT(ISERROR(SEARCH("欠",T663)))</formula>
    </cfRule>
  </conditionalFormatting>
  <conditionalFormatting sqref="AI663">
    <cfRule type="cellIs" dxfId="0" priority="1034" operator="equal">
      <formula>"未完成"</formula>
    </cfRule>
    <cfRule type="cellIs" dxfId="1" priority="978" operator="equal">
      <formula>"未完成"</formula>
    </cfRule>
  </conditionalFormatting>
  <conditionalFormatting sqref="AJ663">
    <cfRule type="cellIs" dxfId="0" priority="922" operator="equal">
      <formula>"欠"</formula>
    </cfRule>
  </conditionalFormatting>
  <conditionalFormatting sqref="Q664">
    <cfRule type="cellIs" dxfId="0" priority="1089" operator="equal">
      <formula>"欠"</formula>
    </cfRule>
  </conditionalFormatting>
  <conditionalFormatting sqref="R664">
    <cfRule type="cellIs" dxfId="0" priority="1201" operator="equal">
      <formula>"欠"</formula>
    </cfRule>
    <cfRule type="containsText" dxfId="2" priority="1145" operator="between" text="欠">
      <formula>NOT(ISERROR(SEARCH("欠",R664)))</formula>
    </cfRule>
  </conditionalFormatting>
  <conditionalFormatting sqref="S664">
    <cfRule type="cellIs" dxfId="0" priority="865" operator="equal">
      <formula>"欠"</formula>
    </cfRule>
  </conditionalFormatting>
  <conditionalFormatting sqref="T664">
    <cfRule type="cellIs" dxfId="0" priority="809" operator="equal">
      <formula>"欠"</formula>
    </cfRule>
    <cfRule type="containsText" dxfId="2" priority="753" operator="between" text="欠">
      <formula>NOT(ISERROR(SEARCH("欠",T664)))</formula>
    </cfRule>
  </conditionalFormatting>
  <conditionalFormatting sqref="AI664">
    <cfRule type="cellIs" dxfId="0" priority="1033" operator="equal">
      <formula>"未完成"</formula>
    </cfRule>
    <cfRule type="cellIs" dxfId="1" priority="977" operator="equal">
      <formula>"未完成"</formula>
    </cfRule>
  </conditionalFormatting>
  <conditionalFormatting sqref="AJ664">
    <cfRule type="cellIs" dxfId="0" priority="921" operator="equal">
      <formula>"欠"</formula>
    </cfRule>
  </conditionalFormatting>
  <conditionalFormatting sqref="Q665">
    <cfRule type="cellIs" dxfId="0" priority="1088" operator="equal">
      <formula>"欠"</formula>
    </cfRule>
  </conditionalFormatting>
  <conditionalFormatting sqref="R665">
    <cfRule type="cellIs" dxfId="0" priority="1200" operator="equal">
      <formula>"欠"</formula>
    </cfRule>
    <cfRule type="containsText" dxfId="2" priority="1144" operator="between" text="欠">
      <formula>NOT(ISERROR(SEARCH("欠",R665)))</formula>
    </cfRule>
  </conditionalFormatting>
  <conditionalFormatting sqref="S665">
    <cfRule type="cellIs" dxfId="0" priority="864" operator="equal">
      <formula>"欠"</formula>
    </cfRule>
  </conditionalFormatting>
  <conditionalFormatting sqref="T665">
    <cfRule type="cellIs" dxfId="0" priority="808" operator="equal">
      <formula>"欠"</formula>
    </cfRule>
    <cfRule type="containsText" dxfId="2" priority="752" operator="between" text="欠">
      <formula>NOT(ISERROR(SEARCH("欠",T665)))</formula>
    </cfRule>
  </conditionalFormatting>
  <conditionalFormatting sqref="AI665">
    <cfRule type="cellIs" dxfId="0" priority="1032" operator="equal">
      <formula>"未完成"</formula>
    </cfRule>
    <cfRule type="cellIs" dxfId="1" priority="976" operator="equal">
      <formula>"未完成"</formula>
    </cfRule>
  </conditionalFormatting>
  <conditionalFormatting sqref="AJ665">
    <cfRule type="cellIs" dxfId="0" priority="920" operator="equal">
      <formula>"欠"</formula>
    </cfRule>
  </conditionalFormatting>
  <conditionalFormatting sqref="Q666">
    <cfRule type="cellIs" dxfId="0" priority="1087" operator="equal">
      <formula>"欠"</formula>
    </cfRule>
  </conditionalFormatting>
  <conditionalFormatting sqref="R666">
    <cfRule type="cellIs" dxfId="0" priority="1199" operator="equal">
      <formula>"欠"</formula>
    </cfRule>
    <cfRule type="containsText" dxfId="2" priority="1143" operator="between" text="欠">
      <formula>NOT(ISERROR(SEARCH("欠",R666)))</formula>
    </cfRule>
  </conditionalFormatting>
  <conditionalFormatting sqref="S666">
    <cfRule type="cellIs" dxfId="0" priority="863" operator="equal">
      <formula>"欠"</formula>
    </cfRule>
  </conditionalFormatting>
  <conditionalFormatting sqref="T666">
    <cfRule type="cellIs" dxfId="0" priority="807" operator="equal">
      <formula>"欠"</formula>
    </cfRule>
    <cfRule type="containsText" dxfId="2" priority="751" operator="between" text="欠">
      <formula>NOT(ISERROR(SEARCH("欠",T666)))</formula>
    </cfRule>
  </conditionalFormatting>
  <conditionalFormatting sqref="AI666">
    <cfRule type="cellIs" dxfId="0" priority="1031" operator="equal">
      <formula>"未完成"</formula>
    </cfRule>
    <cfRule type="cellIs" dxfId="1" priority="975" operator="equal">
      <formula>"未完成"</formula>
    </cfRule>
  </conditionalFormatting>
  <conditionalFormatting sqref="AJ666">
    <cfRule type="cellIs" dxfId="0" priority="919" operator="equal">
      <formula>"欠"</formula>
    </cfRule>
  </conditionalFormatting>
  <conditionalFormatting sqref="Q667">
    <cfRule type="cellIs" dxfId="0" priority="1086" operator="equal">
      <formula>"欠"</formula>
    </cfRule>
  </conditionalFormatting>
  <conditionalFormatting sqref="R667">
    <cfRule type="cellIs" dxfId="0" priority="1198" operator="equal">
      <formula>"欠"</formula>
    </cfRule>
    <cfRule type="containsText" dxfId="2" priority="1142" operator="between" text="欠">
      <formula>NOT(ISERROR(SEARCH("欠",R667)))</formula>
    </cfRule>
  </conditionalFormatting>
  <conditionalFormatting sqref="S667">
    <cfRule type="cellIs" dxfId="0" priority="862" operator="equal">
      <formula>"欠"</formula>
    </cfRule>
  </conditionalFormatting>
  <conditionalFormatting sqref="T667">
    <cfRule type="cellIs" dxfId="0" priority="806" operator="equal">
      <formula>"欠"</formula>
    </cfRule>
    <cfRule type="containsText" dxfId="2" priority="750" operator="between" text="欠">
      <formula>NOT(ISERROR(SEARCH("欠",T667)))</formula>
    </cfRule>
  </conditionalFormatting>
  <conditionalFormatting sqref="AI667">
    <cfRule type="cellIs" dxfId="0" priority="1030" operator="equal">
      <formula>"未完成"</formula>
    </cfRule>
    <cfRule type="cellIs" dxfId="1" priority="974" operator="equal">
      <formula>"未完成"</formula>
    </cfRule>
  </conditionalFormatting>
  <conditionalFormatting sqref="AJ667">
    <cfRule type="cellIs" dxfId="0" priority="918" operator="equal">
      <formula>"欠"</formula>
    </cfRule>
  </conditionalFormatting>
  <conditionalFormatting sqref="Q668">
    <cfRule type="cellIs" dxfId="0" priority="1085" operator="equal">
      <formula>"欠"</formula>
    </cfRule>
  </conditionalFormatting>
  <conditionalFormatting sqref="R668">
    <cfRule type="cellIs" dxfId="0" priority="1197" operator="equal">
      <formula>"欠"</formula>
    </cfRule>
    <cfRule type="containsText" dxfId="2" priority="1141" operator="between" text="欠">
      <formula>NOT(ISERROR(SEARCH("欠",R668)))</formula>
    </cfRule>
  </conditionalFormatting>
  <conditionalFormatting sqref="S668">
    <cfRule type="cellIs" dxfId="0" priority="861" operator="equal">
      <formula>"欠"</formula>
    </cfRule>
  </conditionalFormatting>
  <conditionalFormatting sqref="T668">
    <cfRule type="cellIs" dxfId="0" priority="805" operator="equal">
      <formula>"欠"</formula>
    </cfRule>
    <cfRule type="containsText" dxfId="2" priority="749" operator="between" text="欠">
      <formula>NOT(ISERROR(SEARCH("欠",T668)))</formula>
    </cfRule>
  </conditionalFormatting>
  <conditionalFormatting sqref="AI668">
    <cfRule type="cellIs" dxfId="0" priority="1029" operator="equal">
      <formula>"未完成"</formula>
    </cfRule>
    <cfRule type="cellIs" dxfId="1" priority="973" operator="equal">
      <formula>"未完成"</formula>
    </cfRule>
  </conditionalFormatting>
  <conditionalFormatting sqref="AJ668">
    <cfRule type="cellIs" dxfId="0" priority="917" operator="equal">
      <formula>"欠"</formula>
    </cfRule>
  </conditionalFormatting>
  <conditionalFormatting sqref="Q669">
    <cfRule type="cellIs" dxfId="0" priority="1084" operator="equal">
      <formula>"欠"</formula>
    </cfRule>
  </conditionalFormatting>
  <conditionalFormatting sqref="R669">
    <cfRule type="cellIs" dxfId="0" priority="1196" operator="equal">
      <formula>"欠"</formula>
    </cfRule>
    <cfRule type="containsText" dxfId="2" priority="1140" operator="between" text="欠">
      <formula>NOT(ISERROR(SEARCH("欠",R669)))</formula>
    </cfRule>
  </conditionalFormatting>
  <conditionalFormatting sqref="S669">
    <cfRule type="cellIs" dxfId="0" priority="860" operator="equal">
      <formula>"欠"</formula>
    </cfRule>
  </conditionalFormatting>
  <conditionalFormatting sqref="T669">
    <cfRule type="cellIs" dxfId="0" priority="804" operator="equal">
      <formula>"欠"</formula>
    </cfRule>
    <cfRule type="containsText" dxfId="2" priority="748" operator="between" text="欠">
      <formula>NOT(ISERROR(SEARCH("欠",T669)))</formula>
    </cfRule>
  </conditionalFormatting>
  <conditionalFormatting sqref="AI669">
    <cfRule type="cellIs" dxfId="0" priority="1028" operator="equal">
      <formula>"未完成"</formula>
    </cfRule>
    <cfRule type="cellIs" dxfId="1" priority="972" operator="equal">
      <formula>"未完成"</formula>
    </cfRule>
  </conditionalFormatting>
  <conditionalFormatting sqref="AJ669">
    <cfRule type="cellIs" dxfId="0" priority="916" operator="equal">
      <formula>"欠"</formula>
    </cfRule>
  </conditionalFormatting>
  <conditionalFormatting sqref="Q670">
    <cfRule type="cellIs" dxfId="0" priority="1083" operator="equal">
      <formula>"欠"</formula>
    </cfRule>
  </conditionalFormatting>
  <conditionalFormatting sqref="R670">
    <cfRule type="cellIs" dxfId="0" priority="1195" operator="equal">
      <formula>"欠"</formula>
    </cfRule>
    <cfRule type="containsText" dxfId="2" priority="1139" operator="between" text="欠">
      <formula>NOT(ISERROR(SEARCH("欠",R670)))</formula>
    </cfRule>
  </conditionalFormatting>
  <conditionalFormatting sqref="S670">
    <cfRule type="cellIs" dxfId="0" priority="859" operator="equal">
      <formula>"欠"</formula>
    </cfRule>
  </conditionalFormatting>
  <conditionalFormatting sqref="T670">
    <cfRule type="cellIs" dxfId="0" priority="803" operator="equal">
      <formula>"欠"</formula>
    </cfRule>
    <cfRule type="containsText" dxfId="2" priority="747" operator="between" text="欠">
      <formula>NOT(ISERROR(SEARCH("欠",T670)))</formula>
    </cfRule>
  </conditionalFormatting>
  <conditionalFormatting sqref="AI670">
    <cfRule type="cellIs" dxfId="0" priority="1027" operator="equal">
      <formula>"未完成"</formula>
    </cfRule>
    <cfRule type="cellIs" dxfId="1" priority="971" operator="equal">
      <formula>"未完成"</formula>
    </cfRule>
  </conditionalFormatting>
  <conditionalFormatting sqref="AJ670">
    <cfRule type="cellIs" dxfId="0" priority="915" operator="equal">
      <formula>"欠"</formula>
    </cfRule>
  </conditionalFormatting>
  <conditionalFormatting sqref="Q671">
    <cfRule type="cellIs" dxfId="0" priority="1082" operator="equal">
      <formula>"欠"</formula>
    </cfRule>
  </conditionalFormatting>
  <conditionalFormatting sqref="R671">
    <cfRule type="cellIs" dxfId="0" priority="1194" operator="equal">
      <formula>"欠"</formula>
    </cfRule>
    <cfRule type="containsText" dxfId="2" priority="1138" operator="between" text="欠">
      <formula>NOT(ISERROR(SEARCH("欠",R671)))</formula>
    </cfRule>
  </conditionalFormatting>
  <conditionalFormatting sqref="S671">
    <cfRule type="cellIs" dxfId="0" priority="858" operator="equal">
      <formula>"欠"</formula>
    </cfRule>
  </conditionalFormatting>
  <conditionalFormatting sqref="T671">
    <cfRule type="cellIs" dxfId="0" priority="802" operator="equal">
      <formula>"欠"</formula>
    </cfRule>
    <cfRule type="containsText" dxfId="2" priority="746" operator="between" text="欠">
      <formula>NOT(ISERROR(SEARCH("欠",T671)))</formula>
    </cfRule>
  </conditionalFormatting>
  <conditionalFormatting sqref="AI671">
    <cfRule type="cellIs" dxfId="0" priority="1026" operator="equal">
      <formula>"未完成"</formula>
    </cfRule>
    <cfRule type="cellIs" dxfId="1" priority="970" operator="equal">
      <formula>"未完成"</formula>
    </cfRule>
  </conditionalFormatting>
  <conditionalFormatting sqref="AJ671">
    <cfRule type="cellIs" dxfId="0" priority="914" operator="equal">
      <formula>"欠"</formula>
    </cfRule>
  </conditionalFormatting>
  <conditionalFormatting sqref="Q672">
    <cfRule type="cellIs" dxfId="0" priority="1081" operator="equal">
      <formula>"欠"</formula>
    </cfRule>
  </conditionalFormatting>
  <conditionalFormatting sqref="R672">
    <cfRule type="cellIs" dxfId="0" priority="1193" operator="equal">
      <formula>"欠"</formula>
    </cfRule>
    <cfRule type="containsText" dxfId="2" priority="1137" operator="between" text="欠">
      <formula>NOT(ISERROR(SEARCH("欠",R672)))</formula>
    </cfRule>
  </conditionalFormatting>
  <conditionalFormatting sqref="S672">
    <cfRule type="cellIs" dxfId="0" priority="857" operator="equal">
      <formula>"欠"</formula>
    </cfRule>
  </conditionalFormatting>
  <conditionalFormatting sqref="T672">
    <cfRule type="cellIs" dxfId="0" priority="801" operator="equal">
      <formula>"欠"</formula>
    </cfRule>
    <cfRule type="containsText" dxfId="2" priority="745" operator="between" text="欠">
      <formula>NOT(ISERROR(SEARCH("欠",T672)))</formula>
    </cfRule>
  </conditionalFormatting>
  <conditionalFormatting sqref="AI672">
    <cfRule type="cellIs" dxfId="0" priority="1025" operator="equal">
      <formula>"未完成"</formula>
    </cfRule>
    <cfRule type="cellIs" dxfId="1" priority="969" operator="equal">
      <formula>"未完成"</formula>
    </cfRule>
  </conditionalFormatting>
  <conditionalFormatting sqref="AJ672">
    <cfRule type="cellIs" dxfId="0" priority="913" operator="equal">
      <formula>"欠"</formula>
    </cfRule>
  </conditionalFormatting>
  <conditionalFormatting sqref="Q673">
    <cfRule type="cellIs" dxfId="0" priority="1080" operator="equal">
      <formula>"欠"</formula>
    </cfRule>
  </conditionalFormatting>
  <conditionalFormatting sqref="R673">
    <cfRule type="cellIs" dxfId="0" priority="1192" operator="equal">
      <formula>"欠"</formula>
    </cfRule>
    <cfRule type="containsText" dxfId="2" priority="1136" operator="between" text="欠">
      <formula>NOT(ISERROR(SEARCH("欠",R673)))</formula>
    </cfRule>
  </conditionalFormatting>
  <conditionalFormatting sqref="S673">
    <cfRule type="cellIs" dxfId="0" priority="856" operator="equal">
      <formula>"欠"</formula>
    </cfRule>
  </conditionalFormatting>
  <conditionalFormatting sqref="T673">
    <cfRule type="cellIs" dxfId="0" priority="800" operator="equal">
      <formula>"欠"</formula>
    </cfRule>
    <cfRule type="containsText" dxfId="2" priority="744" operator="between" text="欠">
      <formula>NOT(ISERROR(SEARCH("欠",T673)))</formula>
    </cfRule>
  </conditionalFormatting>
  <conditionalFormatting sqref="AI673">
    <cfRule type="cellIs" dxfId="0" priority="1024" operator="equal">
      <formula>"未完成"</formula>
    </cfRule>
    <cfRule type="cellIs" dxfId="1" priority="968" operator="equal">
      <formula>"未完成"</formula>
    </cfRule>
  </conditionalFormatting>
  <conditionalFormatting sqref="AJ673">
    <cfRule type="cellIs" dxfId="0" priority="912" operator="equal">
      <formula>"欠"</formula>
    </cfRule>
  </conditionalFormatting>
  <conditionalFormatting sqref="Q674">
    <cfRule type="cellIs" dxfId="0" priority="1079" operator="equal">
      <formula>"欠"</formula>
    </cfRule>
  </conditionalFormatting>
  <conditionalFormatting sqref="R674">
    <cfRule type="cellIs" dxfId="0" priority="1191" operator="equal">
      <formula>"欠"</formula>
    </cfRule>
    <cfRule type="containsText" dxfId="2" priority="1135" operator="between" text="欠">
      <formula>NOT(ISERROR(SEARCH("欠",R674)))</formula>
    </cfRule>
  </conditionalFormatting>
  <conditionalFormatting sqref="S674">
    <cfRule type="cellIs" dxfId="0" priority="855" operator="equal">
      <formula>"欠"</formula>
    </cfRule>
  </conditionalFormatting>
  <conditionalFormatting sqref="T674">
    <cfRule type="cellIs" dxfId="0" priority="799" operator="equal">
      <formula>"欠"</formula>
    </cfRule>
    <cfRule type="containsText" dxfId="2" priority="743" operator="between" text="欠">
      <formula>NOT(ISERROR(SEARCH("欠",T674)))</formula>
    </cfRule>
  </conditionalFormatting>
  <conditionalFormatting sqref="AI674">
    <cfRule type="cellIs" dxfId="0" priority="1023" operator="equal">
      <formula>"未完成"</formula>
    </cfRule>
    <cfRule type="cellIs" dxfId="1" priority="967" operator="equal">
      <formula>"未完成"</formula>
    </cfRule>
  </conditionalFormatting>
  <conditionalFormatting sqref="AJ674">
    <cfRule type="cellIs" dxfId="0" priority="911" operator="equal">
      <formula>"欠"</formula>
    </cfRule>
  </conditionalFormatting>
  <conditionalFormatting sqref="Q675">
    <cfRule type="cellIs" dxfId="0" priority="1078" operator="equal">
      <formula>"欠"</formula>
    </cfRule>
  </conditionalFormatting>
  <conditionalFormatting sqref="R675">
    <cfRule type="cellIs" dxfId="0" priority="1190" operator="equal">
      <formula>"欠"</formula>
    </cfRule>
    <cfRule type="containsText" dxfId="2" priority="1134" operator="between" text="欠">
      <formula>NOT(ISERROR(SEARCH("欠",R675)))</formula>
    </cfRule>
  </conditionalFormatting>
  <conditionalFormatting sqref="S675">
    <cfRule type="cellIs" dxfId="0" priority="854" operator="equal">
      <formula>"欠"</formula>
    </cfRule>
  </conditionalFormatting>
  <conditionalFormatting sqref="T675">
    <cfRule type="cellIs" dxfId="0" priority="798" operator="equal">
      <formula>"欠"</formula>
    </cfRule>
    <cfRule type="containsText" dxfId="2" priority="742" operator="between" text="欠">
      <formula>NOT(ISERROR(SEARCH("欠",T675)))</formula>
    </cfRule>
  </conditionalFormatting>
  <conditionalFormatting sqref="AI675">
    <cfRule type="cellIs" dxfId="0" priority="1022" operator="equal">
      <formula>"未完成"</formula>
    </cfRule>
    <cfRule type="cellIs" dxfId="1" priority="966" operator="equal">
      <formula>"未完成"</formula>
    </cfRule>
  </conditionalFormatting>
  <conditionalFormatting sqref="AJ675">
    <cfRule type="cellIs" dxfId="0" priority="910" operator="equal">
      <formula>"欠"</formula>
    </cfRule>
  </conditionalFormatting>
  <conditionalFormatting sqref="Q676">
    <cfRule type="cellIs" dxfId="0" priority="1077" operator="equal">
      <formula>"欠"</formula>
    </cfRule>
  </conditionalFormatting>
  <conditionalFormatting sqref="R676">
    <cfRule type="cellIs" dxfId="0" priority="1189" operator="equal">
      <formula>"欠"</formula>
    </cfRule>
    <cfRule type="containsText" dxfId="2" priority="1133" operator="between" text="欠">
      <formula>NOT(ISERROR(SEARCH("欠",R676)))</formula>
    </cfRule>
  </conditionalFormatting>
  <conditionalFormatting sqref="S676">
    <cfRule type="cellIs" dxfId="0" priority="853" operator="equal">
      <formula>"欠"</formula>
    </cfRule>
  </conditionalFormatting>
  <conditionalFormatting sqref="T676">
    <cfRule type="cellIs" dxfId="0" priority="797" operator="equal">
      <formula>"欠"</formula>
    </cfRule>
    <cfRule type="containsText" dxfId="2" priority="741" operator="between" text="欠">
      <formula>NOT(ISERROR(SEARCH("欠",T676)))</formula>
    </cfRule>
  </conditionalFormatting>
  <conditionalFormatting sqref="AI676">
    <cfRule type="cellIs" dxfId="0" priority="1021" operator="equal">
      <formula>"未完成"</formula>
    </cfRule>
    <cfRule type="cellIs" dxfId="1" priority="965" operator="equal">
      <formula>"未完成"</formula>
    </cfRule>
  </conditionalFormatting>
  <conditionalFormatting sqref="AJ676">
    <cfRule type="cellIs" dxfId="0" priority="909" operator="equal">
      <formula>"欠"</formula>
    </cfRule>
  </conditionalFormatting>
  <conditionalFormatting sqref="Q677">
    <cfRule type="cellIs" dxfId="0" priority="1076" operator="equal">
      <formula>"欠"</formula>
    </cfRule>
  </conditionalFormatting>
  <conditionalFormatting sqref="R677">
    <cfRule type="cellIs" dxfId="0" priority="1188" operator="equal">
      <formula>"欠"</formula>
    </cfRule>
    <cfRule type="containsText" dxfId="2" priority="1132" operator="between" text="欠">
      <formula>NOT(ISERROR(SEARCH("欠",R677)))</formula>
    </cfRule>
  </conditionalFormatting>
  <conditionalFormatting sqref="S677">
    <cfRule type="cellIs" dxfId="0" priority="852" operator="equal">
      <formula>"欠"</formula>
    </cfRule>
  </conditionalFormatting>
  <conditionalFormatting sqref="T677">
    <cfRule type="cellIs" dxfId="0" priority="796" operator="equal">
      <formula>"欠"</formula>
    </cfRule>
    <cfRule type="containsText" dxfId="2" priority="740" operator="between" text="欠">
      <formula>NOT(ISERROR(SEARCH("欠",T677)))</formula>
    </cfRule>
  </conditionalFormatting>
  <conditionalFormatting sqref="AI677">
    <cfRule type="cellIs" dxfId="0" priority="1020" operator="equal">
      <formula>"未完成"</formula>
    </cfRule>
    <cfRule type="cellIs" dxfId="1" priority="964" operator="equal">
      <formula>"未完成"</formula>
    </cfRule>
  </conditionalFormatting>
  <conditionalFormatting sqref="AJ677">
    <cfRule type="cellIs" dxfId="0" priority="908" operator="equal">
      <formula>"欠"</formula>
    </cfRule>
  </conditionalFormatting>
  <conditionalFormatting sqref="Q678">
    <cfRule type="cellIs" dxfId="0" priority="1075" operator="equal">
      <formula>"欠"</formula>
    </cfRule>
  </conditionalFormatting>
  <conditionalFormatting sqref="R678">
    <cfRule type="cellIs" dxfId="0" priority="1187" operator="equal">
      <formula>"欠"</formula>
    </cfRule>
    <cfRule type="containsText" dxfId="2" priority="1131" operator="between" text="欠">
      <formula>NOT(ISERROR(SEARCH("欠",R678)))</formula>
    </cfRule>
  </conditionalFormatting>
  <conditionalFormatting sqref="S678">
    <cfRule type="cellIs" dxfId="0" priority="851" operator="equal">
      <formula>"欠"</formula>
    </cfRule>
  </conditionalFormatting>
  <conditionalFormatting sqref="T678">
    <cfRule type="cellIs" dxfId="0" priority="795" operator="equal">
      <formula>"欠"</formula>
    </cfRule>
    <cfRule type="containsText" dxfId="2" priority="739" operator="between" text="欠">
      <formula>NOT(ISERROR(SEARCH("欠",T678)))</formula>
    </cfRule>
  </conditionalFormatting>
  <conditionalFormatting sqref="AI678">
    <cfRule type="cellIs" dxfId="0" priority="1019" operator="equal">
      <formula>"未完成"</formula>
    </cfRule>
    <cfRule type="cellIs" dxfId="1" priority="963" operator="equal">
      <formula>"未完成"</formula>
    </cfRule>
  </conditionalFormatting>
  <conditionalFormatting sqref="AJ678">
    <cfRule type="cellIs" dxfId="0" priority="907" operator="equal">
      <formula>"欠"</formula>
    </cfRule>
  </conditionalFormatting>
  <conditionalFormatting sqref="Q679">
    <cfRule type="cellIs" dxfId="0" priority="1074" operator="equal">
      <formula>"欠"</formula>
    </cfRule>
  </conditionalFormatting>
  <conditionalFormatting sqref="R679">
    <cfRule type="cellIs" dxfId="0" priority="1186" operator="equal">
      <formula>"欠"</formula>
    </cfRule>
    <cfRule type="containsText" dxfId="2" priority="1130" operator="between" text="欠">
      <formula>NOT(ISERROR(SEARCH("欠",R679)))</formula>
    </cfRule>
  </conditionalFormatting>
  <conditionalFormatting sqref="S679">
    <cfRule type="cellIs" dxfId="0" priority="850" operator="equal">
      <formula>"欠"</formula>
    </cfRule>
  </conditionalFormatting>
  <conditionalFormatting sqref="T679">
    <cfRule type="cellIs" dxfId="0" priority="794" operator="equal">
      <formula>"欠"</formula>
    </cfRule>
    <cfRule type="containsText" dxfId="2" priority="738" operator="between" text="欠">
      <formula>NOT(ISERROR(SEARCH("欠",T679)))</formula>
    </cfRule>
  </conditionalFormatting>
  <conditionalFormatting sqref="AI679">
    <cfRule type="cellIs" dxfId="0" priority="1018" operator="equal">
      <formula>"未完成"</formula>
    </cfRule>
    <cfRule type="cellIs" dxfId="1" priority="962" operator="equal">
      <formula>"未完成"</formula>
    </cfRule>
  </conditionalFormatting>
  <conditionalFormatting sqref="AJ679">
    <cfRule type="cellIs" dxfId="0" priority="906" operator="equal">
      <formula>"欠"</formula>
    </cfRule>
  </conditionalFormatting>
  <conditionalFormatting sqref="Q680">
    <cfRule type="cellIs" dxfId="0" priority="1073" operator="equal">
      <formula>"欠"</formula>
    </cfRule>
  </conditionalFormatting>
  <conditionalFormatting sqref="R680">
    <cfRule type="cellIs" dxfId="0" priority="1185" operator="equal">
      <formula>"欠"</formula>
    </cfRule>
    <cfRule type="containsText" dxfId="2" priority="1129" operator="between" text="欠">
      <formula>NOT(ISERROR(SEARCH("欠",R680)))</formula>
    </cfRule>
  </conditionalFormatting>
  <conditionalFormatting sqref="S680">
    <cfRule type="cellIs" dxfId="0" priority="849" operator="equal">
      <formula>"欠"</formula>
    </cfRule>
  </conditionalFormatting>
  <conditionalFormatting sqref="T680">
    <cfRule type="cellIs" dxfId="0" priority="793" operator="equal">
      <formula>"欠"</formula>
    </cfRule>
    <cfRule type="containsText" dxfId="2" priority="737" operator="between" text="欠">
      <formula>NOT(ISERROR(SEARCH("欠",T680)))</formula>
    </cfRule>
  </conditionalFormatting>
  <conditionalFormatting sqref="AI680">
    <cfRule type="cellIs" dxfId="0" priority="1017" operator="equal">
      <formula>"未完成"</formula>
    </cfRule>
    <cfRule type="cellIs" dxfId="1" priority="961" operator="equal">
      <formula>"未完成"</formula>
    </cfRule>
  </conditionalFormatting>
  <conditionalFormatting sqref="AJ680">
    <cfRule type="cellIs" dxfId="0" priority="905" operator="equal">
      <formula>"欠"</formula>
    </cfRule>
  </conditionalFormatting>
  <conditionalFormatting sqref="Q681">
    <cfRule type="cellIs" dxfId="0" priority="1072" operator="equal">
      <formula>"欠"</formula>
    </cfRule>
  </conditionalFormatting>
  <conditionalFormatting sqref="R681">
    <cfRule type="cellIs" dxfId="0" priority="1184" operator="equal">
      <formula>"欠"</formula>
    </cfRule>
    <cfRule type="containsText" dxfId="2" priority="1128" operator="between" text="欠">
      <formula>NOT(ISERROR(SEARCH("欠",R681)))</formula>
    </cfRule>
  </conditionalFormatting>
  <conditionalFormatting sqref="S681">
    <cfRule type="cellIs" dxfId="0" priority="848" operator="equal">
      <formula>"欠"</formula>
    </cfRule>
  </conditionalFormatting>
  <conditionalFormatting sqref="T681">
    <cfRule type="cellIs" dxfId="0" priority="792" operator="equal">
      <formula>"欠"</formula>
    </cfRule>
    <cfRule type="containsText" dxfId="2" priority="736" operator="between" text="欠">
      <formula>NOT(ISERROR(SEARCH("欠",T681)))</formula>
    </cfRule>
  </conditionalFormatting>
  <conditionalFormatting sqref="AI681">
    <cfRule type="cellIs" dxfId="0" priority="1016" operator="equal">
      <formula>"未完成"</formula>
    </cfRule>
    <cfRule type="cellIs" dxfId="1" priority="960" operator="equal">
      <formula>"未完成"</formula>
    </cfRule>
  </conditionalFormatting>
  <conditionalFormatting sqref="AJ681">
    <cfRule type="cellIs" dxfId="0" priority="904" operator="equal">
      <formula>"欠"</formula>
    </cfRule>
  </conditionalFormatting>
  <conditionalFormatting sqref="Q682">
    <cfRule type="cellIs" dxfId="0" priority="1071" operator="equal">
      <formula>"欠"</formula>
    </cfRule>
  </conditionalFormatting>
  <conditionalFormatting sqref="R682">
    <cfRule type="cellIs" dxfId="0" priority="1183" operator="equal">
      <formula>"欠"</formula>
    </cfRule>
    <cfRule type="containsText" dxfId="2" priority="1127" operator="between" text="欠">
      <formula>NOT(ISERROR(SEARCH("欠",R682)))</formula>
    </cfRule>
  </conditionalFormatting>
  <conditionalFormatting sqref="S682">
    <cfRule type="cellIs" dxfId="0" priority="847" operator="equal">
      <formula>"欠"</formula>
    </cfRule>
  </conditionalFormatting>
  <conditionalFormatting sqref="AI682">
    <cfRule type="cellIs" dxfId="0" priority="1015" operator="equal">
      <formula>"未完成"</formula>
    </cfRule>
    <cfRule type="cellIs" dxfId="1" priority="959" operator="equal">
      <formula>"未完成"</formula>
    </cfRule>
  </conditionalFormatting>
  <conditionalFormatting sqref="AJ682">
    <cfRule type="cellIs" dxfId="0" priority="903" operator="equal">
      <formula>"欠"</formula>
    </cfRule>
  </conditionalFormatting>
  <conditionalFormatting sqref="Q683">
    <cfRule type="cellIs" dxfId="0" priority="1070" operator="equal">
      <formula>"欠"</formula>
    </cfRule>
  </conditionalFormatting>
  <conditionalFormatting sqref="R683">
    <cfRule type="cellIs" dxfId="0" priority="1182" operator="equal">
      <formula>"欠"</formula>
    </cfRule>
    <cfRule type="containsText" dxfId="2" priority="1126" operator="between" text="欠">
      <formula>NOT(ISERROR(SEARCH("欠",R683)))</formula>
    </cfRule>
  </conditionalFormatting>
  <conditionalFormatting sqref="S683">
    <cfRule type="cellIs" dxfId="0" priority="846" operator="equal">
      <formula>"欠"</formula>
    </cfRule>
  </conditionalFormatting>
  <conditionalFormatting sqref="AI683">
    <cfRule type="cellIs" dxfId="0" priority="1014" operator="equal">
      <formula>"未完成"</formula>
    </cfRule>
    <cfRule type="cellIs" dxfId="1" priority="958" operator="equal">
      <formula>"未完成"</formula>
    </cfRule>
  </conditionalFormatting>
  <conditionalFormatting sqref="AJ683">
    <cfRule type="cellIs" dxfId="0" priority="902" operator="equal">
      <formula>"欠"</formula>
    </cfRule>
  </conditionalFormatting>
  <conditionalFormatting sqref="Q684">
    <cfRule type="cellIs" dxfId="0" priority="1069" operator="equal">
      <formula>"欠"</formula>
    </cfRule>
  </conditionalFormatting>
  <conditionalFormatting sqref="R684">
    <cfRule type="cellIs" dxfId="0" priority="1181" operator="equal">
      <formula>"欠"</formula>
    </cfRule>
    <cfRule type="containsText" dxfId="2" priority="1125" operator="between" text="欠">
      <formula>NOT(ISERROR(SEARCH("欠",R684)))</formula>
    </cfRule>
  </conditionalFormatting>
  <conditionalFormatting sqref="S684">
    <cfRule type="cellIs" dxfId="0" priority="845" operator="equal">
      <formula>"欠"</formula>
    </cfRule>
  </conditionalFormatting>
  <conditionalFormatting sqref="T684">
    <cfRule type="cellIs" dxfId="0" priority="789" operator="equal">
      <formula>"欠"</formula>
    </cfRule>
    <cfRule type="containsText" dxfId="2" priority="733" operator="between" text="欠">
      <formula>NOT(ISERROR(SEARCH("欠",T684)))</formula>
    </cfRule>
  </conditionalFormatting>
  <conditionalFormatting sqref="AI684">
    <cfRule type="cellIs" dxfId="0" priority="1013" operator="equal">
      <formula>"未完成"</formula>
    </cfRule>
    <cfRule type="cellIs" dxfId="1" priority="957" operator="equal">
      <formula>"未完成"</formula>
    </cfRule>
  </conditionalFormatting>
  <conditionalFormatting sqref="AJ684">
    <cfRule type="cellIs" dxfId="0" priority="901" operator="equal">
      <formula>"欠"</formula>
    </cfRule>
  </conditionalFormatting>
  <conditionalFormatting sqref="Q685">
    <cfRule type="cellIs" dxfId="0" priority="1068" operator="equal">
      <formula>"欠"</formula>
    </cfRule>
  </conditionalFormatting>
  <conditionalFormatting sqref="R685">
    <cfRule type="cellIs" dxfId="0" priority="1180" operator="equal">
      <formula>"欠"</formula>
    </cfRule>
    <cfRule type="containsText" dxfId="2" priority="1124" operator="between" text="欠">
      <formula>NOT(ISERROR(SEARCH("欠",R685)))</formula>
    </cfRule>
  </conditionalFormatting>
  <conditionalFormatting sqref="S685">
    <cfRule type="cellIs" dxfId="0" priority="844" operator="equal">
      <formula>"欠"</formula>
    </cfRule>
  </conditionalFormatting>
  <conditionalFormatting sqref="T685">
    <cfRule type="cellIs" dxfId="0" priority="788" operator="equal">
      <formula>"欠"</formula>
    </cfRule>
    <cfRule type="containsText" dxfId="2" priority="732" operator="between" text="欠">
      <formula>NOT(ISERROR(SEARCH("欠",T685)))</formula>
    </cfRule>
  </conditionalFormatting>
  <conditionalFormatting sqref="AI685">
    <cfRule type="cellIs" dxfId="0" priority="1012" operator="equal">
      <formula>"未完成"</formula>
    </cfRule>
    <cfRule type="cellIs" dxfId="1" priority="956" operator="equal">
      <formula>"未完成"</formula>
    </cfRule>
  </conditionalFormatting>
  <conditionalFormatting sqref="AJ685">
    <cfRule type="cellIs" dxfId="0" priority="900" operator="equal">
      <formula>"欠"</formula>
    </cfRule>
  </conditionalFormatting>
  <conditionalFormatting sqref="Q686">
    <cfRule type="cellIs" dxfId="0" priority="1067" operator="equal">
      <formula>"欠"</formula>
    </cfRule>
  </conditionalFormatting>
  <conditionalFormatting sqref="R686">
    <cfRule type="cellIs" dxfId="0" priority="1179" operator="equal">
      <formula>"欠"</formula>
    </cfRule>
    <cfRule type="containsText" dxfId="2" priority="1123" operator="between" text="欠">
      <formula>NOT(ISERROR(SEARCH("欠",R686)))</formula>
    </cfRule>
  </conditionalFormatting>
  <conditionalFormatting sqref="S686">
    <cfRule type="cellIs" dxfId="0" priority="843" operator="equal">
      <formula>"欠"</formula>
    </cfRule>
  </conditionalFormatting>
  <conditionalFormatting sqref="T686">
    <cfRule type="cellIs" dxfId="0" priority="787" operator="equal">
      <formula>"欠"</formula>
    </cfRule>
    <cfRule type="containsText" dxfId="2" priority="731" operator="between" text="欠">
      <formula>NOT(ISERROR(SEARCH("欠",T686)))</formula>
    </cfRule>
  </conditionalFormatting>
  <conditionalFormatting sqref="AI686">
    <cfRule type="cellIs" dxfId="0" priority="1011" operator="equal">
      <formula>"未完成"</formula>
    </cfRule>
    <cfRule type="cellIs" dxfId="1" priority="955" operator="equal">
      <formula>"未完成"</formula>
    </cfRule>
  </conditionalFormatting>
  <conditionalFormatting sqref="AJ686">
    <cfRule type="cellIs" dxfId="0" priority="899" operator="equal">
      <formula>"欠"</formula>
    </cfRule>
  </conditionalFormatting>
  <conditionalFormatting sqref="Q687">
    <cfRule type="cellIs" dxfId="0" priority="1066" operator="equal">
      <formula>"欠"</formula>
    </cfRule>
  </conditionalFormatting>
  <conditionalFormatting sqref="R687">
    <cfRule type="cellIs" dxfId="0" priority="1178" operator="equal">
      <formula>"欠"</formula>
    </cfRule>
    <cfRule type="containsText" dxfId="2" priority="1122" operator="between" text="欠">
      <formula>NOT(ISERROR(SEARCH("欠",R687)))</formula>
    </cfRule>
  </conditionalFormatting>
  <conditionalFormatting sqref="S687">
    <cfRule type="cellIs" dxfId="0" priority="842" operator="equal">
      <formula>"欠"</formula>
    </cfRule>
  </conditionalFormatting>
  <conditionalFormatting sqref="T687">
    <cfRule type="cellIs" dxfId="0" priority="786" operator="equal">
      <formula>"欠"</formula>
    </cfRule>
    <cfRule type="containsText" dxfId="2" priority="730" operator="between" text="欠">
      <formula>NOT(ISERROR(SEARCH("欠",T687)))</formula>
    </cfRule>
  </conditionalFormatting>
  <conditionalFormatting sqref="AI687">
    <cfRule type="cellIs" dxfId="0" priority="1010" operator="equal">
      <formula>"未完成"</formula>
    </cfRule>
    <cfRule type="cellIs" dxfId="1" priority="954" operator="equal">
      <formula>"未完成"</formula>
    </cfRule>
  </conditionalFormatting>
  <conditionalFormatting sqref="AJ687">
    <cfRule type="cellIs" dxfId="0" priority="898" operator="equal">
      <formula>"欠"</formula>
    </cfRule>
  </conditionalFormatting>
  <conditionalFormatting sqref="Q688">
    <cfRule type="cellIs" dxfId="0" priority="1065" operator="equal">
      <formula>"欠"</formula>
    </cfRule>
  </conditionalFormatting>
  <conditionalFormatting sqref="R688">
    <cfRule type="cellIs" dxfId="0" priority="1177" operator="equal">
      <formula>"欠"</formula>
    </cfRule>
    <cfRule type="containsText" dxfId="2" priority="1121" operator="between" text="欠">
      <formula>NOT(ISERROR(SEARCH("欠",R688)))</formula>
    </cfRule>
  </conditionalFormatting>
  <conditionalFormatting sqref="S688">
    <cfRule type="cellIs" dxfId="0" priority="841" operator="equal">
      <formula>"欠"</formula>
    </cfRule>
  </conditionalFormatting>
  <conditionalFormatting sqref="T688">
    <cfRule type="cellIs" dxfId="0" priority="785" operator="equal">
      <formula>"欠"</formula>
    </cfRule>
    <cfRule type="containsText" dxfId="2" priority="729" operator="between" text="欠">
      <formula>NOT(ISERROR(SEARCH("欠",T688)))</formula>
    </cfRule>
  </conditionalFormatting>
  <conditionalFormatting sqref="AI688">
    <cfRule type="cellIs" dxfId="0" priority="1009" operator="equal">
      <formula>"未完成"</formula>
    </cfRule>
    <cfRule type="cellIs" dxfId="1" priority="953" operator="equal">
      <formula>"未完成"</formula>
    </cfRule>
  </conditionalFormatting>
  <conditionalFormatting sqref="AJ688">
    <cfRule type="cellIs" dxfId="0" priority="897" operator="equal">
      <formula>"欠"</formula>
    </cfRule>
  </conditionalFormatting>
  <conditionalFormatting sqref="Q689">
    <cfRule type="cellIs" dxfId="0" priority="1064" operator="equal">
      <formula>"欠"</formula>
    </cfRule>
  </conditionalFormatting>
  <conditionalFormatting sqref="R689">
    <cfRule type="cellIs" dxfId="0" priority="1176" operator="equal">
      <formula>"欠"</formula>
    </cfRule>
    <cfRule type="containsText" dxfId="2" priority="1120" operator="between" text="欠">
      <formula>NOT(ISERROR(SEARCH("欠",R689)))</formula>
    </cfRule>
  </conditionalFormatting>
  <conditionalFormatting sqref="S689">
    <cfRule type="cellIs" dxfId="0" priority="840" operator="equal">
      <formula>"欠"</formula>
    </cfRule>
  </conditionalFormatting>
  <conditionalFormatting sqref="T689">
    <cfRule type="cellIs" dxfId="0" priority="784" operator="equal">
      <formula>"欠"</formula>
    </cfRule>
    <cfRule type="containsText" dxfId="2" priority="728" operator="between" text="欠">
      <formula>NOT(ISERROR(SEARCH("欠",T689)))</formula>
    </cfRule>
  </conditionalFormatting>
  <conditionalFormatting sqref="AI689">
    <cfRule type="cellIs" dxfId="0" priority="1008" operator="equal">
      <formula>"未完成"</formula>
    </cfRule>
    <cfRule type="cellIs" dxfId="1" priority="952" operator="equal">
      <formula>"未完成"</formula>
    </cfRule>
  </conditionalFormatting>
  <conditionalFormatting sqref="AJ689">
    <cfRule type="cellIs" dxfId="0" priority="896" operator="equal">
      <formula>"欠"</formula>
    </cfRule>
  </conditionalFormatting>
  <conditionalFormatting sqref="Q690">
    <cfRule type="cellIs" dxfId="0" priority="1063" operator="equal">
      <formula>"欠"</formula>
    </cfRule>
  </conditionalFormatting>
  <conditionalFormatting sqref="R690">
    <cfRule type="cellIs" dxfId="0" priority="1175" operator="equal">
      <formula>"欠"</formula>
    </cfRule>
    <cfRule type="containsText" dxfId="2" priority="1119" operator="between" text="欠">
      <formula>NOT(ISERROR(SEARCH("欠",R690)))</formula>
    </cfRule>
  </conditionalFormatting>
  <conditionalFormatting sqref="S690">
    <cfRule type="cellIs" dxfId="0" priority="839" operator="equal">
      <formula>"欠"</formula>
    </cfRule>
  </conditionalFormatting>
  <conditionalFormatting sqref="T690">
    <cfRule type="cellIs" dxfId="0" priority="783" operator="equal">
      <formula>"欠"</formula>
    </cfRule>
    <cfRule type="containsText" dxfId="2" priority="727" operator="between" text="欠">
      <formula>NOT(ISERROR(SEARCH("欠",T690)))</formula>
    </cfRule>
  </conditionalFormatting>
  <conditionalFormatting sqref="AI690">
    <cfRule type="cellIs" dxfId="0" priority="1007" operator="equal">
      <formula>"未完成"</formula>
    </cfRule>
    <cfRule type="cellIs" dxfId="1" priority="951" operator="equal">
      <formula>"未完成"</formula>
    </cfRule>
  </conditionalFormatting>
  <conditionalFormatting sqref="AJ690">
    <cfRule type="cellIs" dxfId="0" priority="895" operator="equal">
      <formula>"欠"</formula>
    </cfRule>
  </conditionalFormatting>
  <conditionalFormatting sqref="Q691">
    <cfRule type="cellIs" dxfId="0" priority="1062" operator="equal">
      <formula>"欠"</formula>
    </cfRule>
  </conditionalFormatting>
  <conditionalFormatting sqref="R691">
    <cfRule type="cellIs" dxfId="0" priority="1174" operator="equal">
      <formula>"欠"</formula>
    </cfRule>
    <cfRule type="containsText" dxfId="2" priority="1118" operator="between" text="欠">
      <formula>NOT(ISERROR(SEARCH("欠",R691)))</formula>
    </cfRule>
  </conditionalFormatting>
  <conditionalFormatting sqref="S691">
    <cfRule type="cellIs" dxfId="0" priority="838" operator="equal">
      <formula>"欠"</formula>
    </cfRule>
  </conditionalFormatting>
  <conditionalFormatting sqref="T691">
    <cfRule type="cellIs" dxfId="0" priority="782" operator="equal">
      <formula>"欠"</formula>
    </cfRule>
    <cfRule type="containsText" dxfId="2" priority="726" operator="between" text="欠">
      <formula>NOT(ISERROR(SEARCH("欠",T691)))</formula>
    </cfRule>
  </conditionalFormatting>
  <conditionalFormatting sqref="AI691">
    <cfRule type="cellIs" dxfId="0" priority="1006" operator="equal">
      <formula>"未完成"</formula>
    </cfRule>
    <cfRule type="cellIs" dxfId="1" priority="950" operator="equal">
      <formula>"未完成"</formula>
    </cfRule>
  </conditionalFormatting>
  <conditionalFormatting sqref="AJ691">
    <cfRule type="cellIs" dxfId="0" priority="894" operator="equal">
      <formula>"欠"</formula>
    </cfRule>
  </conditionalFormatting>
  <conditionalFormatting sqref="Q692">
    <cfRule type="cellIs" dxfId="0" priority="1061" operator="equal">
      <formula>"欠"</formula>
    </cfRule>
  </conditionalFormatting>
  <conditionalFormatting sqref="R692">
    <cfRule type="cellIs" dxfId="0" priority="1173" operator="equal">
      <formula>"欠"</formula>
    </cfRule>
    <cfRule type="containsText" dxfId="2" priority="1117" operator="between" text="欠">
      <formula>NOT(ISERROR(SEARCH("欠",R692)))</formula>
    </cfRule>
  </conditionalFormatting>
  <conditionalFormatting sqref="S692">
    <cfRule type="cellIs" dxfId="0" priority="837" operator="equal">
      <formula>"欠"</formula>
    </cfRule>
  </conditionalFormatting>
  <conditionalFormatting sqref="T692">
    <cfRule type="cellIs" dxfId="0" priority="781" operator="equal">
      <formula>"欠"</formula>
    </cfRule>
    <cfRule type="containsText" dxfId="2" priority="725" operator="between" text="欠">
      <formula>NOT(ISERROR(SEARCH("欠",T692)))</formula>
    </cfRule>
  </conditionalFormatting>
  <conditionalFormatting sqref="AI692">
    <cfRule type="cellIs" dxfId="0" priority="1005" operator="equal">
      <formula>"未完成"</formula>
    </cfRule>
    <cfRule type="cellIs" dxfId="1" priority="949" operator="equal">
      <formula>"未完成"</formula>
    </cfRule>
  </conditionalFormatting>
  <conditionalFormatting sqref="AJ692">
    <cfRule type="cellIs" dxfId="0" priority="893" operator="equal">
      <formula>"欠"</formula>
    </cfRule>
  </conditionalFormatting>
  <conditionalFormatting sqref="Q693">
    <cfRule type="cellIs" dxfId="0" priority="1060" operator="equal">
      <formula>"欠"</formula>
    </cfRule>
  </conditionalFormatting>
  <conditionalFormatting sqref="R693">
    <cfRule type="cellIs" dxfId="0" priority="1172" operator="equal">
      <formula>"欠"</formula>
    </cfRule>
    <cfRule type="containsText" dxfId="2" priority="1116" operator="between" text="欠">
      <formula>NOT(ISERROR(SEARCH("欠",R693)))</formula>
    </cfRule>
  </conditionalFormatting>
  <conditionalFormatting sqref="S693">
    <cfRule type="cellIs" dxfId="0" priority="836" operator="equal">
      <formula>"欠"</formula>
    </cfRule>
  </conditionalFormatting>
  <conditionalFormatting sqref="T693">
    <cfRule type="cellIs" dxfId="0" priority="780" operator="equal">
      <formula>"欠"</formula>
    </cfRule>
    <cfRule type="containsText" dxfId="2" priority="724" operator="between" text="欠">
      <formula>NOT(ISERROR(SEARCH("欠",T693)))</formula>
    </cfRule>
  </conditionalFormatting>
  <conditionalFormatting sqref="AI693">
    <cfRule type="cellIs" dxfId="0" priority="1004" operator="equal">
      <formula>"未完成"</formula>
    </cfRule>
    <cfRule type="cellIs" dxfId="1" priority="948" operator="equal">
      <formula>"未完成"</formula>
    </cfRule>
  </conditionalFormatting>
  <conditionalFormatting sqref="AJ693">
    <cfRule type="cellIs" dxfId="0" priority="892" operator="equal">
      <formula>"欠"</formula>
    </cfRule>
  </conditionalFormatting>
  <conditionalFormatting sqref="Q694">
    <cfRule type="cellIs" dxfId="0" priority="1059" operator="equal">
      <formula>"欠"</formula>
    </cfRule>
  </conditionalFormatting>
  <conditionalFormatting sqref="R694">
    <cfRule type="cellIs" dxfId="0" priority="1171" operator="equal">
      <formula>"欠"</formula>
    </cfRule>
    <cfRule type="containsText" dxfId="2" priority="1115" operator="between" text="欠">
      <formula>NOT(ISERROR(SEARCH("欠",R694)))</formula>
    </cfRule>
  </conditionalFormatting>
  <conditionalFormatting sqref="S694">
    <cfRule type="cellIs" dxfId="0" priority="835" operator="equal">
      <formula>"欠"</formula>
    </cfRule>
  </conditionalFormatting>
  <conditionalFormatting sqref="T694">
    <cfRule type="cellIs" dxfId="0" priority="779" operator="equal">
      <formula>"欠"</formula>
    </cfRule>
    <cfRule type="containsText" dxfId="2" priority="723" operator="between" text="欠">
      <formula>NOT(ISERROR(SEARCH("欠",T694)))</formula>
    </cfRule>
  </conditionalFormatting>
  <conditionalFormatting sqref="AI694">
    <cfRule type="cellIs" dxfId="0" priority="1003" operator="equal">
      <formula>"未完成"</formula>
    </cfRule>
    <cfRule type="cellIs" dxfId="1" priority="947" operator="equal">
      <formula>"未完成"</formula>
    </cfRule>
  </conditionalFormatting>
  <conditionalFormatting sqref="AJ694">
    <cfRule type="cellIs" dxfId="0" priority="891" operator="equal">
      <formula>"欠"</formula>
    </cfRule>
  </conditionalFormatting>
  <conditionalFormatting sqref="Q695">
    <cfRule type="cellIs" dxfId="0" priority="1058" operator="equal">
      <formula>"欠"</formula>
    </cfRule>
  </conditionalFormatting>
  <conditionalFormatting sqref="R695">
    <cfRule type="cellIs" dxfId="0" priority="1170" operator="equal">
      <formula>"欠"</formula>
    </cfRule>
    <cfRule type="containsText" dxfId="2" priority="1114" operator="between" text="欠">
      <formula>NOT(ISERROR(SEARCH("欠",R695)))</formula>
    </cfRule>
  </conditionalFormatting>
  <conditionalFormatting sqref="S695">
    <cfRule type="cellIs" dxfId="0" priority="834" operator="equal">
      <formula>"欠"</formula>
    </cfRule>
  </conditionalFormatting>
  <conditionalFormatting sqref="T695">
    <cfRule type="cellIs" dxfId="0" priority="778" operator="equal">
      <formula>"欠"</formula>
    </cfRule>
    <cfRule type="containsText" dxfId="2" priority="722" operator="between" text="欠">
      <formula>NOT(ISERROR(SEARCH("欠",T695)))</formula>
    </cfRule>
  </conditionalFormatting>
  <conditionalFormatting sqref="AI695">
    <cfRule type="cellIs" dxfId="0" priority="1002" operator="equal">
      <formula>"未完成"</formula>
    </cfRule>
    <cfRule type="cellIs" dxfId="1" priority="946" operator="equal">
      <formula>"未完成"</formula>
    </cfRule>
  </conditionalFormatting>
  <conditionalFormatting sqref="AJ695">
    <cfRule type="cellIs" dxfId="0" priority="890" operator="equal">
      <formula>"欠"</formula>
    </cfRule>
  </conditionalFormatting>
  <conditionalFormatting sqref="Q696">
    <cfRule type="cellIs" dxfId="0" priority="1057" operator="equal">
      <formula>"欠"</formula>
    </cfRule>
  </conditionalFormatting>
  <conditionalFormatting sqref="R696">
    <cfRule type="cellIs" dxfId="0" priority="1169" operator="equal">
      <formula>"欠"</formula>
    </cfRule>
    <cfRule type="containsText" dxfId="2" priority="1113" operator="between" text="欠">
      <formula>NOT(ISERROR(SEARCH("欠",R696)))</formula>
    </cfRule>
  </conditionalFormatting>
  <conditionalFormatting sqref="T696">
    <cfRule type="cellIs" dxfId="0" priority="777" operator="equal">
      <formula>"欠"</formula>
    </cfRule>
    <cfRule type="containsText" dxfId="2" priority="721" operator="between" text="欠">
      <formula>NOT(ISERROR(SEARCH("欠",T696)))</formula>
    </cfRule>
  </conditionalFormatting>
  <conditionalFormatting sqref="AI696">
    <cfRule type="cellIs" dxfId="0" priority="1001" operator="equal">
      <formula>"未完成"</formula>
    </cfRule>
    <cfRule type="cellIs" dxfId="1" priority="945" operator="equal">
      <formula>"未完成"</formula>
    </cfRule>
  </conditionalFormatting>
  <conditionalFormatting sqref="AJ696">
    <cfRule type="cellIs" dxfId="0" priority="889" operator="equal">
      <formula>"欠"</formula>
    </cfRule>
  </conditionalFormatting>
  <conditionalFormatting sqref="Q697">
    <cfRule type="cellIs" dxfId="0" priority="1056" operator="equal">
      <formula>"欠"</formula>
    </cfRule>
  </conditionalFormatting>
  <conditionalFormatting sqref="R697">
    <cfRule type="cellIs" dxfId="0" priority="1168" operator="equal">
      <formula>"欠"</formula>
    </cfRule>
    <cfRule type="containsText" dxfId="2" priority="1112" operator="between" text="欠">
      <formula>NOT(ISERROR(SEARCH("欠",R697)))</formula>
    </cfRule>
  </conditionalFormatting>
  <conditionalFormatting sqref="T697">
    <cfRule type="cellIs" dxfId="0" priority="776" operator="equal">
      <formula>"欠"</formula>
    </cfRule>
    <cfRule type="containsText" dxfId="2" priority="720" operator="between" text="欠">
      <formula>NOT(ISERROR(SEARCH("欠",T697)))</formula>
    </cfRule>
  </conditionalFormatting>
  <conditionalFormatting sqref="AI697">
    <cfRule type="cellIs" dxfId="0" priority="1000" operator="equal">
      <formula>"未完成"</formula>
    </cfRule>
    <cfRule type="cellIs" dxfId="1" priority="944" operator="equal">
      <formula>"未完成"</formula>
    </cfRule>
  </conditionalFormatting>
  <conditionalFormatting sqref="AJ697">
    <cfRule type="cellIs" dxfId="0" priority="888" operator="equal">
      <formula>"欠"</formula>
    </cfRule>
  </conditionalFormatting>
  <conditionalFormatting sqref="Q698">
    <cfRule type="cellIs" dxfId="0" priority="1055" operator="equal">
      <formula>"欠"</formula>
    </cfRule>
  </conditionalFormatting>
  <conditionalFormatting sqref="R698">
    <cfRule type="cellIs" dxfId="0" priority="1167" operator="equal">
      <formula>"欠"</formula>
    </cfRule>
    <cfRule type="containsText" dxfId="2" priority="1111" operator="between" text="欠">
      <formula>NOT(ISERROR(SEARCH("欠",R698)))</formula>
    </cfRule>
  </conditionalFormatting>
  <conditionalFormatting sqref="T698">
    <cfRule type="cellIs" dxfId="0" priority="775" operator="equal">
      <formula>"欠"</formula>
    </cfRule>
    <cfRule type="containsText" dxfId="2" priority="719" operator="between" text="欠">
      <formula>NOT(ISERROR(SEARCH("欠",T698)))</formula>
    </cfRule>
  </conditionalFormatting>
  <conditionalFormatting sqref="AI698">
    <cfRule type="cellIs" dxfId="0" priority="999" operator="equal">
      <formula>"未完成"</formula>
    </cfRule>
    <cfRule type="cellIs" dxfId="1" priority="943" operator="equal">
      <formula>"未完成"</formula>
    </cfRule>
  </conditionalFormatting>
  <conditionalFormatting sqref="AJ698">
    <cfRule type="cellIs" dxfId="0" priority="887" operator="equal">
      <formula>"欠"</formula>
    </cfRule>
  </conditionalFormatting>
  <conditionalFormatting sqref="Q699">
    <cfRule type="cellIs" dxfId="0" priority="1054" operator="equal">
      <formula>"欠"</formula>
    </cfRule>
  </conditionalFormatting>
  <conditionalFormatting sqref="R699">
    <cfRule type="cellIs" dxfId="0" priority="1166" operator="equal">
      <formula>"欠"</formula>
    </cfRule>
    <cfRule type="containsText" dxfId="2" priority="1110" operator="between" text="欠">
      <formula>NOT(ISERROR(SEARCH("欠",R699)))</formula>
    </cfRule>
  </conditionalFormatting>
  <conditionalFormatting sqref="S699">
    <cfRule type="cellIs" dxfId="0" priority="830" operator="equal">
      <formula>"欠"</formula>
    </cfRule>
  </conditionalFormatting>
  <conditionalFormatting sqref="T699">
    <cfRule type="cellIs" dxfId="0" priority="774" operator="equal">
      <formula>"欠"</formula>
    </cfRule>
    <cfRule type="containsText" dxfId="2" priority="718" operator="between" text="欠">
      <formula>NOT(ISERROR(SEARCH("欠",T699)))</formula>
    </cfRule>
  </conditionalFormatting>
  <conditionalFormatting sqref="AI699">
    <cfRule type="cellIs" dxfId="0" priority="998" operator="equal">
      <formula>"未完成"</formula>
    </cfRule>
    <cfRule type="cellIs" dxfId="1" priority="942" operator="equal">
      <formula>"未完成"</formula>
    </cfRule>
  </conditionalFormatting>
  <conditionalFormatting sqref="AJ699">
    <cfRule type="cellIs" dxfId="0" priority="886" operator="equal">
      <formula>"欠"</formula>
    </cfRule>
  </conditionalFormatting>
  <conditionalFormatting sqref="Q700">
    <cfRule type="cellIs" dxfId="0" priority="1053" operator="equal">
      <formula>"欠"</formula>
    </cfRule>
  </conditionalFormatting>
  <conditionalFormatting sqref="R700">
    <cfRule type="cellIs" dxfId="0" priority="1165" operator="equal">
      <formula>"欠"</formula>
    </cfRule>
    <cfRule type="containsText" dxfId="2" priority="1109" operator="between" text="欠">
      <formula>NOT(ISERROR(SEARCH("欠",R700)))</formula>
    </cfRule>
  </conditionalFormatting>
  <conditionalFormatting sqref="T700">
    <cfRule type="cellIs" dxfId="0" priority="773" operator="equal">
      <formula>"欠"</formula>
    </cfRule>
    <cfRule type="containsText" dxfId="2" priority="717" operator="between" text="欠">
      <formula>NOT(ISERROR(SEARCH("欠",T700)))</formula>
    </cfRule>
  </conditionalFormatting>
  <conditionalFormatting sqref="AI700">
    <cfRule type="cellIs" dxfId="0" priority="997" operator="equal">
      <formula>"未完成"</formula>
    </cfRule>
    <cfRule type="cellIs" dxfId="1" priority="941" operator="equal">
      <formula>"未完成"</formula>
    </cfRule>
  </conditionalFormatting>
  <conditionalFormatting sqref="AJ700">
    <cfRule type="cellIs" dxfId="0" priority="885" operator="equal">
      <formula>"欠"</formula>
    </cfRule>
  </conditionalFormatting>
  <conditionalFormatting sqref="Q701">
    <cfRule type="cellIs" dxfId="0" priority="1052" operator="equal">
      <formula>"欠"</formula>
    </cfRule>
  </conditionalFormatting>
  <conditionalFormatting sqref="R701">
    <cfRule type="cellIs" dxfId="0" priority="1164" operator="equal">
      <formula>"欠"</formula>
    </cfRule>
    <cfRule type="containsText" dxfId="2" priority="1108" operator="between" text="欠">
      <formula>NOT(ISERROR(SEARCH("欠",R701)))</formula>
    </cfRule>
  </conditionalFormatting>
  <conditionalFormatting sqref="S701">
    <cfRule type="cellIs" dxfId="0" priority="828" operator="equal">
      <formula>"欠"</formula>
    </cfRule>
  </conditionalFormatting>
  <conditionalFormatting sqref="T701">
    <cfRule type="cellIs" dxfId="0" priority="772" operator="equal">
      <formula>"欠"</formula>
    </cfRule>
    <cfRule type="containsText" dxfId="2" priority="716" operator="between" text="欠">
      <formula>NOT(ISERROR(SEARCH("欠",T701)))</formula>
    </cfRule>
  </conditionalFormatting>
  <conditionalFormatting sqref="AI701">
    <cfRule type="cellIs" dxfId="0" priority="996" operator="equal">
      <formula>"未完成"</formula>
    </cfRule>
    <cfRule type="cellIs" dxfId="1" priority="940" operator="equal">
      <formula>"未完成"</formula>
    </cfRule>
  </conditionalFormatting>
  <conditionalFormatting sqref="AJ701">
    <cfRule type="cellIs" dxfId="0" priority="884" operator="equal">
      <formula>"欠"</formula>
    </cfRule>
  </conditionalFormatting>
  <conditionalFormatting sqref="Q702">
    <cfRule type="cellIs" dxfId="0" priority="1051" operator="equal">
      <formula>"欠"</formula>
    </cfRule>
  </conditionalFormatting>
  <conditionalFormatting sqref="R702">
    <cfRule type="cellIs" dxfId="0" priority="1163" operator="equal">
      <formula>"欠"</formula>
    </cfRule>
    <cfRule type="containsText" dxfId="2" priority="1107" operator="between" text="欠">
      <formula>NOT(ISERROR(SEARCH("欠",R702)))</formula>
    </cfRule>
  </conditionalFormatting>
  <conditionalFormatting sqref="T702">
    <cfRule type="cellIs" dxfId="0" priority="771" operator="equal">
      <formula>"欠"</formula>
    </cfRule>
    <cfRule type="containsText" dxfId="2" priority="715" operator="between" text="欠">
      <formula>NOT(ISERROR(SEARCH("欠",T702)))</formula>
    </cfRule>
  </conditionalFormatting>
  <conditionalFormatting sqref="AI702">
    <cfRule type="cellIs" dxfId="0" priority="995" operator="equal">
      <formula>"未完成"</formula>
    </cfRule>
    <cfRule type="cellIs" dxfId="1" priority="939" operator="equal">
      <formula>"未完成"</formula>
    </cfRule>
  </conditionalFormatting>
  <conditionalFormatting sqref="AJ702">
    <cfRule type="cellIs" dxfId="0" priority="883" operator="equal">
      <formula>"欠"</formula>
    </cfRule>
  </conditionalFormatting>
  <conditionalFormatting sqref="Q703">
    <cfRule type="cellIs" dxfId="0" priority="1050" operator="equal">
      <formula>"欠"</formula>
    </cfRule>
  </conditionalFormatting>
  <conditionalFormatting sqref="R703">
    <cfRule type="cellIs" dxfId="0" priority="1162" operator="equal">
      <formula>"欠"</formula>
    </cfRule>
    <cfRule type="containsText" dxfId="2" priority="1106" operator="between" text="欠">
      <formula>NOT(ISERROR(SEARCH("欠",R703)))</formula>
    </cfRule>
  </conditionalFormatting>
  <conditionalFormatting sqref="S703">
    <cfRule type="cellIs" dxfId="0" priority="826" operator="equal">
      <formula>"欠"</formula>
    </cfRule>
  </conditionalFormatting>
  <conditionalFormatting sqref="T703">
    <cfRule type="cellIs" dxfId="0" priority="770" operator="equal">
      <formula>"欠"</formula>
    </cfRule>
    <cfRule type="containsText" dxfId="2" priority="714" operator="between" text="欠">
      <formula>NOT(ISERROR(SEARCH("欠",T703)))</formula>
    </cfRule>
  </conditionalFormatting>
  <conditionalFormatting sqref="AI703">
    <cfRule type="cellIs" dxfId="0" priority="994" operator="equal">
      <formula>"未完成"</formula>
    </cfRule>
    <cfRule type="cellIs" dxfId="1" priority="938" operator="equal">
      <formula>"未完成"</formula>
    </cfRule>
  </conditionalFormatting>
  <conditionalFormatting sqref="AJ703">
    <cfRule type="cellIs" dxfId="0" priority="882" operator="equal">
      <formula>"欠"</formula>
    </cfRule>
  </conditionalFormatting>
  <conditionalFormatting sqref="Q704">
    <cfRule type="cellIs" dxfId="0" priority="1049" operator="equal">
      <formula>"欠"</formula>
    </cfRule>
  </conditionalFormatting>
  <conditionalFormatting sqref="R704">
    <cfRule type="cellIs" dxfId="0" priority="1161" operator="equal">
      <formula>"欠"</formula>
    </cfRule>
    <cfRule type="containsText" dxfId="2" priority="1105" operator="between" text="欠">
      <formula>NOT(ISERROR(SEARCH("欠",R704)))</formula>
    </cfRule>
  </conditionalFormatting>
  <conditionalFormatting sqref="S704">
    <cfRule type="cellIs" dxfId="0" priority="825" operator="equal">
      <formula>"欠"</formula>
    </cfRule>
  </conditionalFormatting>
  <conditionalFormatting sqref="T704">
    <cfRule type="cellIs" dxfId="0" priority="769" operator="equal">
      <formula>"欠"</formula>
    </cfRule>
    <cfRule type="containsText" dxfId="2" priority="713" operator="between" text="欠">
      <formula>NOT(ISERROR(SEARCH("欠",T704)))</formula>
    </cfRule>
  </conditionalFormatting>
  <conditionalFormatting sqref="AI704">
    <cfRule type="cellIs" dxfId="0" priority="993" operator="equal">
      <formula>"未完成"</formula>
    </cfRule>
    <cfRule type="cellIs" dxfId="1" priority="937" operator="equal">
      <formula>"未完成"</formula>
    </cfRule>
  </conditionalFormatting>
  <conditionalFormatting sqref="AJ704">
    <cfRule type="cellIs" dxfId="0" priority="881" operator="equal">
      <formula>"欠"</formula>
    </cfRule>
  </conditionalFormatting>
  <conditionalFormatting sqref="Q705">
    <cfRule type="cellIs" dxfId="0" priority="1048" operator="equal">
      <formula>"欠"</formula>
    </cfRule>
  </conditionalFormatting>
  <conditionalFormatting sqref="R705">
    <cfRule type="cellIs" dxfId="0" priority="1160" operator="equal">
      <formula>"欠"</formula>
    </cfRule>
    <cfRule type="containsText" dxfId="2" priority="1104" operator="between" text="欠">
      <formula>NOT(ISERROR(SEARCH("欠",R705)))</formula>
    </cfRule>
  </conditionalFormatting>
  <conditionalFormatting sqref="S705">
    <cfRule type="cellIs" dxfId="0" priority="824" operator="equal">
      <formula>"欠"</formula>
    </cfRule>
  </conditionalFormatting>
  <conditionalFormatting sqref="T705">
    <cfRule type="cellIs" dxfId="0" priority="768" operator="equal">
      <formula>"欠"</formula>
    </cfRule>
    <cfRule type="containsText" dxfId="2" priority="712" operator="between" text="欠">
      <formula>NOT(ISERROR(SEARCH("欠",T705)))</formula>
    </cfRule>
  </conditionalFormatting>
  <conditionalFormatting sqref="AI705">
    <cfRule type="cellIs" dxfId="0" priority="992" operator="equal">
      <formula>"未完成"</formula>
    </cfRule>
    <cfRule type="cellIs" dxfId="1" priority="936" operator="equal">
      <formula>"未完成"</formula>
    </cfRule>
  </conditionalFormatting>
  <conditionalFormatting sqref="AJ705">
    <cfRule type="cellIs" dxfId="0" priority="880" operator="equal">
      <formula>"欠"</formula>
    </cfRule>
  </conditionalFormatting>
  <conditionalFormatting sqref="Q706">
    <cfRule type="cellIs" dxfId="0" priority="1047" operator="equal">
      <formula>"欠"</formula>
    </cfRule>
  </conditionalFormatting>
  <conditionalFormatting sqref="R706">
    <cfRule type="cellIs" dxfId="0" priority="1159" operator="equal">
      <formula>"欠"</formula>
    </cfRule>
    <cfRule type="containsText" dxfId="2" priority="1103" operator="between" text="欠">
      <formula>NOT(ISERROR(SEARCH("欠",R706)))</formula>
    </cfRule>
  </conditionalFormatting>
  <conditionalFormatting sqref="S706">
    <cfRule type="cellIs" dxfId="0" priority="823" operator="equal">
      <formula>"欠"</formula>
    </cfRule>
  </conditionalFormatting>
  <conditionalFormatting sqref="T706">
    <cfRule type="cellIs" dxfId="0" priority="767" operator="equal">
      <formula>"欠"</formula>
    </cfRule>
    <cfRule type="containsText" dxfId="2" priority="711" operator="between" text="欠">
      <formula>NOT(ISERROR(SEARCH("欠",T706)))</formula>
    </cfRule>
  </conditionalFormatting>
  <conditionalFormatting sqref="AI706">
    <cfRule type="cellIs" dxfId="0" priority="991" operator="equal">
      <formula>"未完成"</formula>
    </cfRule>
    <cfRule type="cellIs" dxfId="1" priority="935" operator="equal">
      <formula>"未完成"</formula>
    </cfRule>
  </conditionalFormatting>
  <conditionalFormatting sqref="AJ706">
    <cfRule type="cellIs" dxfId="0" priority="879" operator="equal">
      <formula>"欠"</formula>
    </cfRule>
  </conditionalFormatting>
  <conditionalFormatting sqref="Q707">
    <cfRule type="cellIs" dxfId="0" priority="1046" operator="equal">
      <formula>"欠"</formula>
    </cfRule>
  </conditionalFormatting>
  <conditionalFormatting sqref="R707">
    <cfRule type="cellIs" dxfId="0" priority="1158" operator="equal">
      <formula>"欠"</formula>
    </cfRule>
    <cfRule type="containsText" dxfId="2" priority="1102" operator="between" text="欠">
      <formula>NOT(ISERROR(SEARCH("欠",R707)))</formula>
    </cfRule>
  </conditionalFormatting>
  <conditionalFormatting sqref="S707">
    <cfRule type="cellIs" dxfId="0" priority="822" operator="equal">
      <formula>"欠"</formula>
    </cfRule>
  </conditionalFormatting>
  <conditionalFormatting sqref="T707">
    <cfRule type="cellIs" dxfId="0" priority="766" operator="equal">
      <formula>"欠"</formula>
    </cfRule>
    <cfRule type="containsText" dxfId="2" priority="710" operator="between" text="欠">
      <formula>NOT(ISERROR(SEARCH("欠",T707)))</formula>
    </cfRule>
  </conditionalFormatting>
  <conditionalFormatting sqref="AI707">
    <cfRule type="cellIs" dxfId="0" priority="990" operator="equal">
      <formula>"未完成"</formula>
    </cfRule>
    <cfRule type="cellIs" dxfId="1" priority="934" operator="equal">
      <formula>"未完成"</formula>
    </cfRule>
  </conditionalFormatting>
  <conditionalFormatting sqref="AJ707">
    <cfRule type="cellIs" dxfId="0" priority="878" operator="equal">
      <formula>"欠"</formula>
    </cfRule>
  </conditionalFormatting>
  <conditionalFormatting sqref="Q708">
    <cfRule type="cellIs" dxfId="0" priority="1045" operator="equal">
      <formula>"欠"</formula>
    </cfRule>
  </conditionalFormatting>
  <conditionalFormatting sqref="R708">
    <cfRule type="cellIs" dxfId="0" priority="1157" operator="equal">
      <formula>"欠"</formula>
    </cfRule>
    <cfRule type="containsText" dxfId="2" priority="1101" operator="between" text="欠">
      <formula>NOT(ISERROR(SEARCH("欠",R708)))</formula>
    </cfRule>
  </conditionalFormatting>
  <conditionalFormatting sqref="S708">
    <cfRule type="cellIs" dxfId="0" priority="821" operator="equal">
      <formula>"欠"</formula>
    </cfRule>
  </conditionalFormatting>
  <conditionalFormatting sqref="T708">
    <cfRule type="cellIs" dxfId="0" priority="765" operator="equal">
      <formula>"欠"</formula>
    </cfRule>
    <cfRule type="containsText" dxfId="2" priority="709" operator="between" text="欠">
      <formula>NOT(ISERROR(SEARCH("欠",T708)))</formula>
    </cfRule>
  </conditionalFormatting>
  <conditionalFormatting sqref="AI708">
    <cfRule type="cellIs" dxfId="0" priority="989" operator="equal">
      <formula>"未完成"</formula>
    </cfRule>
    <cfRule type="cellIs" dxfId="1" priority="933" operator="equal">
      <formula>"未完成"</formula>
    </cfRule>
  </conditionalFormatting>
  <conditionalFormatting sqref="AJ708">
    <cfRule type="cellIs" dxfId="0" priority="877" operator="equal">
      <formula>"欠"</formula>
    </cfRule>
  </conditionalFormatting>
  <conditionalFormatting sqref="Q709">
    <cfRule type="cellIs" dxfId="0" priority="1044" operator="equal">
      <formula>"欠"</formula>
    </cfRule>
  </conditionalFormatting>
  <conditionalFormatting sqref="R709">
    <cfRule type="cellIs" dxfId="0" priority="1156" operator="equal">
      <formula>"欠"</formula>
    </cfRule>
    <cfRule type="containsText" dxfId="2" priority="1100" operator="between" text="欠">
      <formula>NOT(ISERROR(SEARCH("欠",R709)))</formula>
    </cfRule>
  </conditionalFormatting>
  <conditionalFormatting sqref="S709">
    <cfRule type="cellIs" dxfId="0" priority="820" operator="equal">
      <formula>"欠"</formula>
    </cfRule>
  </conditionalFormatting>
  <conditionalFormatting sqref="T709">
    <cfRule type="cellIs" dxfId="0" priority="764" operator="equal">
      <formula>"欠"</formula>
    </cfRule>
    <cfRule type="containsText" dxfId="2" priority="708" operator="between" text="欠">
      <formula>NOT(ISERROR(SEARCH("欠",T709)))</formula>
    </cfRule>
  </conditionalFormatting>
  <conditionalFormatting sqref="AI709">
    <cfRule type="cellIs" dxfId="0" priority="988" operator="equal">
      <formula>"未完成"</formula>
    </cfRule>
    <cfRule type="cellIs" dxfId="1" priority="932" operator="equal">
      <formula>"未完成"</formula>
    </cfRule>
  </conditionalFormatting>
  <conditionalFormatting sqref="AJ709">
    <cfRule type="cellIs" dxfId="0" priority="876" operator="equal">
      <formula>"欠"</formula>
    </cfRule>
  </conditionalFormatting>
  <conditionalFormatting sqref="Q710">
    <cfRule type="cellIs" dxfId="0" priority="1043" operator="equal">
      <formula>"欠"</formula>
    </cfRule>
  </conditionalFormatting>
  <conditionalFormatting sqref="R710">
    <cfRule type="cellIs" dxfId="0" priority="1155" operator="equal">
      <formula>"欠"</formula>
    </cfRule>
    <cfRule type="containsText" dxfId="2" priority="1099" operator="between" text="欠">
      <formula>NOT(ISERROR(SEARCH("欠",R710)))</formula>
    </cfRule>
  </conditionalFormatting>
  <conditionalFormatting sqref="S710">
    <cfRule type="cellIs" dxfId="0" priority="819" operator="equal">
      <formula>"欠"</formula>
    </cfRule>
  </conditionalFormatting>
  <conditionalFormatting sqref="T710">
    <cfRule type="cellIs" dxfId="0" priority="763" operator="equal">
      <formula>"欠"</formula>
    </cfRule>
    <cfRule type="containsText" dxfId="2" priority="707" operator="between" text="欠">
      <formula>NOT(ISERROR(SEARCH("欠",T710)))</formula>
    </cfRule>
  </conditionalFormatting>
  <conditionalFormatting sqref="AI710">
    <cfRule type="cellIs" dxfId="0" priority="987" operator="equal">
      <formula>"未完成"</formula>
    </cfRule>
    <cfRule type="cellIs" dxfId="1" priority="931" operator="equal">
      <formula>"未完成"</formula>
    </cfRule>
  </conditionalFormatting>
  <conditionalFormatting sqref="AJ710">
    <cfRule type="cellIs" dxfId="0" priority="875" operator="equal">
      <formula>"欠"</formula>
    </cfRule>
  </conditionalFormatting>
  <conditionalFormatting sqref="Q711">
    <cfRule type="cellIs" dxfId="0" priority="1042" operator="equal">
      <formula>"欠"</formula>
    </cfRule>
  </conditionalFormatting>
  <conditionalFormatting sqref="R711">
    <cfRule type="cellIs" dxfId="0" priority="1154" operator="equal">
      <formula>"欠"</formula>
    </cfRule>
    <cfRule type="containsText" dxfId="2" priority="1098" operator="between" text="欠">
      <formula>NOT(ISERROR(SEARCH("欠",R711)))</formula>
    </cfRule>
  </conditionalFormatting>
  <conditionalFormatting sqref="S711">
    <cfRule type="cellIs" dxfId="0" priority="818" operator="equal">
      <formula>"欠"</formula>
    </cfRule>
  </conditionalFormatting>
  <conditionalFormatting sqref="T711">
    <cfRule type="cellIs" dxfId="0" priority="762" operator="equal">
      <formula>"欠"</formula>
    </cfRule>
    <cfRule type="containsText" dxfId="2" priority="706" operator="between" text="欠">
      <formula>NOT(ISERROR(SEARCH("欠",T711)))</formula>
    </cfRule>
  </conditionalFormatting>
  <conditionalFormatting sqref="AI711">
    <cfRule type="cellIs" dxfId="0" priority="986" operator="equal">
      <formula>"未完成"</formula>
    </cfRule>
    <cfRule type="cellIs" dxfId="1" priority="930" operator="equal">
      <formula>"未完成"</formula>
    </cfRule>
  </conditionalFormatting>
  <conditionalFormatting sqref="AJ711">
    <cfRule type="cellIs" dxfId="0" priority="874" operator="equal">
      <formula>"欠"</formula>
    </cfRule>
  </conditionalFormatting>
  <conditionalFormatting sqref="Q712">
    <cfRule type="cellIs" dxfId="0" priority="1041" operator="equal">
      <formula>"欠"</formula>
    </cfRule>
  </conditionalFormatting>
  <conditionalFormatting sqref="R712">
    <cfRule type="cellIs" dxfId="0" priority="1153" operator="equal">
      <formula>"欠"</formula>
    </cfRule>
    <cfRule type="containsText" dxfId="2" priority="1097" operator="between" text="欠">
      <formula>NOT(ISERROR(SEARCH("欠",R712)))</formula>
    </cfRule>
  </conditionalFormatting>
  <conditionalFormatting sqref="S712">
    <cfRule type="cellIs" dxfId="0" priority="817" operator="equal">
      <formula>"欠"</formula>
    </cfRule>
  </conditionalFormatting>
  <conditionalFormatting sqref="T712">
    <cfRule type="cellIs" dxfId="0" priority="761" operator="equal">
      <formula>"欠"</formula>
    </cfRule>
    <cfRule type="containsText" dxfId="2" priority="705" operator="between" text="欠">
      <formula>NOT(ISERROR(SEARCH("欠",T712)))</formula>
    </cfRule>
  </conditionalFormatting>
  <conditionalFormatting sqref="AI712">
    <cfRule type="cellIs" dxfId="0" priority="985" operator="equal">
      <formula>"未完成"</formula>
    </cfRule>
    <cfRule type="cellIs" dxfId="1" priority="929" operator="equal">
      <formula>"未完成"</formula>
    </cfRule>
  </conditionalFormatting>
  <conditionalFormatting sqref="AJ712">
    <cfRule type="cellIs" dxfId="0" priority="873" operator="equal">
      <formula>"欠"</formula>
    </cfRule>
  </conditionalFormatting>
  <conditionalFormatting sqref="Q713">
    <cfRule type="cellIs" dxfId="0" priority="1040" operator="equal">
      <formula>"欠"</formula>
    </cfRule>
  </conditionalFormatting>
  <conditionalFormatting sqref="R713">
    <cfRule type="cellIs" dxfId="0" priority="1152" operator="equal">
      <formula>"欠"</formula>
    </cfRule>
    <cfRule type="containsText" dxfId="2" priority="1096" operator="between" text="欠">
      <formula>NOT(ISERROR(SEARCH("欠",R713)))</formula>
    </cfRule>
  </conditionalFormatting>
  <conditionalFormatting sqref="S713">
    <cfRule type="cellIs" dxfId="0" priority="816" operator="equal">
      <formula>"欠"</formula>
    </cfRule>
  </conditionalFormatting>
  <conditionalFormatting sqref="T713">
    <cfRule type="cellIs" dxfId="0" priority="760" operator="equal">
      <formula>"欠"</formula>
    </cfRule>
    <cfRule type="containsText" dxfId="2" priority="704" operator="between" text="欠">
      <formula>NOT(ISERROR(SEARCH("欠",T713)))</formula>
    </cfRule>
  </conditionalFormatting>
  <conditionalFormatting sqref="AI713">
    <cfRule type="cellIs" dxfId="0" priority="984" operator="equal">
      <formula>"未完成"</formula>
    </cfRule>
    <cfRule type="cellIs" dxfId="1" priority="928" operator="equal">
      <formula>"未完成"</formula>
    </cfRule>
  </conditionalFormatting>
  <conditionalFormatting sqref="AJ713">
    <cfRule type="cellIs" dxfId="0" priority="872" operator="equal">
      <formula>"欠"</formula>
    </cfRule>
  </conditionalFormatting>
  <conditionalFormatting sqref="Q714">
    <cfRule type="cellIs" dxfId="0" priority="1039" operator="equal">
      <formula>"欠"</formula>
    </cfRule>
  </conditionalFormatting>
  <conditionalFormatting sqref="R714">
    <cfRule type="cellIs" dxfId="0" priority="1151" operator="equal">
      <formula>"欠"</formula>
    </cfRule>
    <cfRule type="containsText" dxfId="2" priority="1095" operator="between" text="欠">
      <formula>NOT(ISERROR(SEARCH("欠",R714)))</formula>
    </cfRule>
  </conditionalFormatting>
  <conditionalFormatting sqref="S714">
    <cfRule type="cellIs" dxfId="0" priority="815" operator="equal">
      <formula>"欠"</formula>
    </cfRule>
  </conditionalFormatting>
  <conditionalFormatting sqref="AI714">
    <cfRule type="cellIs" dxfId="0" priority="983" operator="equal">
      <formula>"未完成"</formula>
    </cfRule>
    <cfRule type="cellIs" dxfId="1" priority="927" operator="equal">
      <formula>"未完成"</formula>
    </cfRule>
  </conditionalFormatting>
  <conditionalFormatting sqref="AJ714">
    <cfRule type="cellIs" dxfId="0" priority="871" operator="equal">
      <formula>"欠"</formula>
    </cfRule>
  </conditionalFormatting>
  <conditionalFormatting sqref="Q715">
    <cfRule type="cellIs" dxfId="0" priority="1038" operator="equal">
      <formula>"欠"</formula>
    </cfRule>
  </conditionalFormatting>
  <conditionalFormatting sqref="R715">
    <cfRule type="cellIs" dxfId="0" priority="1150" operator="equal">
      <formula>"欠"</formula>
    </cfRule>
    <cfRule type="containsText" dxfId="2" priority="1094" operator="between" text="欠">
      <formula>NOT(ISERROR(SEARCH("欠",R715)))</formula>
    </cfRule>
  </conditionalFormatting>
  <conditionalFormatting sqref="S715">
    <cfRule type="cellIs" dxfId="0" priority="814" operator="equal">
      <formula>"欠"</formula>
    </cfRule>
  </conditionalFormatting>
  <conditionalFormatting sqref="AI715">
    <cfRule type="cellIs" dxfId="0" priority="982" operator="equal">
      <formula>"未完成"</formula>
    </cfRule>
    <cfRule type="cellIs" dxfId="1" priority="926" operator="equal">
      <formula>"未完成"</formula>
    </cfRule>
  </conditionalFormatting>
  <conditionalFormatting sqref="AJ715">
    <cfRule type="cellIs" dxfId="0" priority="870" operator="equal">
      <formula>"欠"</formula>
    </cfRule>
  </conditionalFormatting>
  <conditionalFormatting sqref="Q716">
    <cfRule type="cellIs" dxfId="0" priority="1037" operator="equal">
      <formula>"欠"</formula>
    </cfRule>
  </conditionalFormatting>
  <conditionalFormatting sqref="R716">
    <cfRule type="cellIs" dxfId="0" priority="1149" operator="equal">
      <formula>"欠"</formula>
    </cfRule>
    <cfRule type="containsText" dxfId="2" priority="1093" operator="between" text="欠">
      <formula>NOT(ISERROR(SEARCH("欠",R716)))</formula>
    </cfRule>
  </conditionalFormatting>
  <conditionalFormatting sqref="S716">
    <cfRule type="cellIs" dxfId="0" priority="813" operator="equal">
      <formula>"欠"</formula>
    </cfRule>
  </conditionalFormatting>
  <conditionalFormatting sqref="T716">
    <cfRule type="cellIs" dxfId="0" priority="757" operator="equal">
      <formula>"欠"</formula>
    </cfRule>
    <cfRule type="containsText" dxfId="2" priority="701" operator="between" text="欠">
      <formula>NOT(ISERROR(SEARCH("欠",T716)))</formula>
    </cfRule>
  </conditionalFormatting>
  <conditionalFormatting sqref="AI716">
    <cfRule type="cellIs" dxfId="0" priority="981" operator="equal">
      <formula>"未完成"</formula>
    </cfRule>
    <cfRule type="cellIs" dxfId="1" priority="925" operator="equal">
      <formula>"未完成"</formula>
    </cfRule>
  </conditionalFormatting>
  <conditionalFormatting sqref="AJ716">
    <cfRule type="cellIs" dxfId="0" priority="869" operator="equal">
      <formula>"欠"</formula>
    </cfRule>
  </conditionalFormatting>
  <conditionalFormatting sqref="Q717">
    <cfRule type="cellIs" dxfId="0" priority="1036" operator="equal">
      <formula>"欠"</formula>
    </cfRule>
  </conditionalFormatting>
  <conditionalFormatting sqref="R717">
    <cfRule type="cellIs" dxfId="0" priority="1148" operator="equal">
      <formula>"欠"</formula>
    </cfRule>
    <cfRule type="containsText" dxfId="2" priority="1092" operator="between" text="欠">
      <formula>NOT(ISERROR(SEARCH("欠",R717)))</formula>
    </cfRule>
  </conditionalFormatting>
  <conditionalFormatting sqref="S717">
    <cfRule type="cellIs" dxfId="0" priority="812" operator="equal">
      <formula>"欠"</formula>
    </cfRule>
  </conditionalFormatting>
  <conditionalFormatting sqref="T717">
    <cfRule type="cellIs" dxfId="0" priority="756" operator="equal">
      <formula>"欠"</formula>
    </cfRule>
    <cfRule type="containsText" dxfId="2" priority="700" operator="between" text="欠">
      <formula>NOT(ISERROR(SEARCH("欠",T717)))</formula>
    </cfRule>
  </conditionalFormatting>
  <conditionalFormatting sqref="AI717">
    <cfRule type="cellIs" dxfId="0" priority="980" operator="equal">
      <formula>"未完成"</formula>
    </cfRule>
    <cfRule type="cellIs" dxfId="1" priority="924" operator="equal">
      <formula>"未完成"</formula>
    </cfRule>
  </conditionalFormatting>
  <conditionalFormatting sqref="AJ717">
    <cfRule type="cellIs" dxfId="0" priority="868" operator="equal">
      <formula>"欠"</formula>
    </cfRule>
  </conditionalFormatting>
  <conditionalFormatting sqref="Q718">
    <cfRule type="cellIs" dxfId="0" priority="627" operator="equal">
      <formula>"欠"</formula>
    </cfRule>
  </conditionalFormatting>
  <conditionalFormatting sqref="R718">
    <cfRule type="cellIs" dxfId="0" priority="643" operator="equal">
      <formula>"欠"</formula>
    </cfRule>
    <cfRule type="containsText" dxfId="2" priority="635" operator="between" text="欠">
      <formula>NOT(ISERROR(SEARCH("欠",R718)))</formula>
    </cfRule>
  </conditionalFormatting>
  <conditionalFormatting sqref="S718">
    <cfRule type="cellIs" dxfId="0" priority="595" operator="equal">
      <formula>"欠"</formula>
    </cfRule>
  </conditionalFormatting>
  <conditionalFormatting sqref="T718">
    <cfRule type="cellIs" dxfId="0" priority="587" operator="equal">
      <formula>"欠"</formula>
    </cfRule>
    <cfRule type="containsText" dxfId="2" priority="579" operator="between" text="欠">
      <formula>NOT(ISERROR(SEARCH("欠",T718)))</formula>
    </cfRule>
  </conditionalFormatting>
  <conditionalFormatting sqref="AI718">
    <cfRule type="cellIs" dxfId="0" priority="619" operator="equal">
      <formula>"未完成"</formula>
    </cfRule>
    <cfRule type="cellIs" dxfId="1" priority="611" operator="equal">
      <formula>"未完成"</formula>
    </cfRule>
  </conditionalFormatting>
  <conditionalFormatting sqref="AJ718">
    <cfRule type="cellIs" dxfId="0" priority="603" operator="equal">
      <formula>"欠"</formula>
    </cfRule>
  </conditionalFormatting>
  <conditionalFormatting sqref="Q719">
    <cfRule type="cellIs" dxfId="0" priority="626" operator="equal">
      <formula>"欠"</formula>
    </cfRule>
  </conditionalFormatting>
  <conditionalFormatting sqref="R719">
    <cfRule type="cellIs" dxfId="0" priority="642" operator="equal">
      <formula>"欠"</formula>
    </cfRule>
    <cfRule type="containsText" dxfId="2" priority="634" operator="between" text="欠">
      <formula>NOT(ISERROR(SEARCH("欠",R719)))</formula>
    </cfRule>
  </conditionalFormatting>
  <conditionalFormatting sqref="S719">
    <cfRule type="cellIs" dxfId="0" priority="594" operator="equal">
      <formula>"欠"</formula>
    </cfRule>
  </conditionalFormatting>
  <conditionalFormatting sqref="AI719">
    <cfRule type="cellIs" dxfId="0" priority="618" operator="equal">
      <formula>"未完成"</formula>
    </cfRule>
    <cfRule type="cellIs" dxfId="1" priority="610" operator="equal">
      <formula>"未完成"</formula>
    </cfRule>
  </conditionalFormatting>
  <conditionalFormatting sqref="AJ719">
    <cfRule type="cellIs" dxfId="0" priority="602" operator="equal">
      <formula>"欠"</formula>
    </cfRule>
  </conditionalFormatting>
  <conditionalFormatting sqref="Q720">
    <cfRule type="cellIs" dxfId="0" priority="625" operator="equal">
      <formula>"欠"</formula>
    </cfRule>
  </conditionalFormatting>
  <conditionalFormatting sqref="R720">
    <cfRule type="cellIs" dxfId="0" priority="641" operator="equal">
      <formula>"欠"</formula>
    </cfRule>
    <cfRule type="containsText" dxfId="2" priority="633" operator="between" text="欠">
      <formula>NOT(ISERROR(SEARCH("欠",R720)))</formula>
    </cfRule>
  </conditionalFormatting>
  <conditionalFormatting sqref="S720">
    <cfRule type="cellIs" dxfId="0" priority="593" operator="equal">
      <formula>"欠"</formula>
    </cfRule>
  </conditionalFormatting>
  <conditionalFormatting sqref="AI720">
    <cfRule type="cellIs" dxfId="0" priority="617" operator="equal">
      <formula>"未完成"</formula>
    </cfRule>
    <cfRule type="cellIs" dxfId="1" priority="609" operator="equal">
      <formula>"未完成"</formula>
    </cfRule>
  </conditionalFormatting>
  <conditionalFormatting sqref="AJ720">
    <cfRule type="cellIs" dxfId="0" priority="601" operator="equal">
      <formula>"欠"</formula>
    </cfRule>
  </conditionalFormatting>
  <conditionalFormatting sqref="Q721">
    <cfRule type="cellIs" dxfId="0" priority="624" operator="equal">
      <formula>"欠"</formula>
    </cfRule>
  </conditionalFormatting>
  <conditionalFormatting sqref="R721">
    <cfRule type="cellIs" dxfId="0" priority="640" operator="equal">
      <formula>"欠"</formula>
    </cfRule>
    <cfRule type="containsText" dxfId="2" priority="632" operator="between" text="欠">
      <formula>NOT(ISERROR(SEARCH("欠",R721)))</formula>
    </cfRule>
  </conditionalFormatting>
  <conditionalFormatting sqref="S721">
    <cfRule type="cellIs" dxfId="0" priority="592" operator="equal">
      <formula>"欠"</formula>
    </cfRule>
  </conditionalFormatting>
  <conditionalFormatting sqref="T721">
    <cfRule type="cellIs" dxfId="0" priority="584" operator="equal">
      <formula>"欠"</formula>
    </cfRule>
    <cfRule type="containsText" dxfId="2" priority="576" operator="between" text="欠">
      <formula>NOT(ISERROR(SEARCH("欠",T721)))</formula>
    </cfRule>
  </conditionalFormatting>
  <conditionalFormatting sqref="AI721">
    <cfRule type="cellIs" dxfId="0" priority="616" operator="equal">
      <formula>"未完成"</formula>
    </cfRule>
    <cfRule type="cellIs" dxfId="1" priority="608" operator="equal">
      <formula>"未完成"</formula>
    </cfRule>
  </conditionalFormatting>
  <conditionalFormatting sqref="AJ721">
    <cfRule type="cellIs" dxfId="0" priority="600" operator="equal">
      <formula>"欠"</formula>
    </cfRule>
  </conditionalFormatting>
  <conditionalFormatting sqref="Q722">
    <cfRule type="cellIs" dxfId="0" priority="623" operator="equal">
      <formula>"欠"</formula>
    </cfRule>
  </conditionalFormatting>
  <conditionalFormatting sqref="R722">
    <cfRule type="cellIs" dxfId="0" priority="639" operator="equal">
      <formula>"欠"</formula>
    </cfRule>
    <cfRule type="containsText" dxfId="2" priority="631" operator="between" text="欠">
      <formula>NOT(ISERROR(SEARCH("欠",R722)))</formula>
    </cfRule>
  </conditionalFormatting>
  <conditionalFormatting sqref="S722">
    <cfRule type="cellIs" dxfId="0" priority="591" operator="equal">
      <formula>"欠"</formula>
    </cfRule>
  </conditionalFormatting>
  <conditionalFormatting sqref="T722">
    <cfRule type="cellIs" dxfId="0" priority="583" operator="equal">
      <formula>"欠"</formula>
    </cfRule>
    <cfRule type="containsText" dxfId="2" priority="575" operator="between" text="欠">
      <formula>NOT(ISERROR(SEARCH("欠",T722)))</formula>
    </cfRule>
  </conditionalFormatting>
  <conditionalFormatting sqref="AI722">
    <cfRule type="cellIs" dxfId="0" priority="615" operator="equal">
      <formula>"未完成"</formula>
    </cfRule>
    <cfRule type="cellIs" dxfId="1" priority="607" operator="equal">
      <formula>"未完成"</formula>
    </cfRule>
  </conditionalFormatting>
  <conditionalFormatting sqref="AJ722">
    <cfRule type="cellIs" dxfId="0" priority="599" operator="equal">
      <formula>"欠"</formula>
    </cfRule>
  </conditionalFormatting>
  <conditionalFormatting sqref="Q723">
    <cfRule type="cellIs" dxfId="0" priority="622" operator="equal">
      <formula>"欠"</formula>
    </cfRule>
  </conditionalFormatting>
  <conditionalFormatting sqref="R723">
    <cfRule type="cellIs" dxfId="0" priority="638" operator="equal">
      <formula>"欠"</formula>
    </cfRule>
    <cfRule type="containsText" dxfId="2" priority="630" operator="between" text="欠">
      <formula>NOT(ISERROR(SEARCH("欠",R723)))</formula>
    </cfRule>
  </conditionalFormatting>
  <conditionalFormatting sqref="S723">
    <cfRule type="cellIs" dxfId="0" priority="590" operator="equal">
      <formula>"欠"</formula>
    </cfRule>
  </conditionalFormatting>
  <conditionalFormatting sqref="AI723">
    <cfRule type="cellIs" dxfId="0" priority="614" operator="equal">
      <formula>"未完成"</formula>
    </cfRule>
    <cfRule type="cellIs" dxfId="1" priority="606" operator="equal">
      <formula>"未完成"</formula>
    </cfRule>
  </conditionalFormatting>
  <conditionalFormatting sqref="AJ723">
    <cfRule type="cellIs" dxfId="0" priority="598" operator="equal">
      <formula>"欠"</formula>
    </cfRule>
  </conditionalFormatting>
  <conditionalFormatting sqref="Q724">
    <cfRule type="cellIs" dxfId="0" priority="621" operator="equal">
      <formula>"欠"</formula>
    </cfRule>
  </conditionalFormatting>
  <conditionalFormatting sqref="R724">
    <cfRule type="cellIs" dxfId="0" priority="637" operator="equal">
      <formula>"欠"</formula>
    </cfRule>
    <cfRule type="containsText" dxfId="2" priority="629" operator="between" text="欠">
      <formula>NOT(ISERROR(SEARCH("欠",R724)))</formula>
    </cfRule>
  </conditionalFormatting>
  <conditionalFormatting sqref="S724">
    <cfRule type="cellIs" dxfId="0" priority="589" operator="equal">
      <formula>"欠"</formula>
    </cfRule>
  </conditionalFormatting>
  <conditionalFormatting sqref="T724">
    <cfRule type="cellIs" dxfId="0" priority="581" operator="equal">
      <formula>"欠"</formula>
    </cfRule>
    <cfRule type="containsText" dxfId="2" priority="573" operator="between" text="欠">
      <formula>NOT(ISERROR(SEARCH("欠",T724)))</formula>
    </cfRule>
  </conditionalFormatting>
  <conditionalFormatting sqref="AI724">
    <cfRule type="cellIs" dxfId="0" priority="613" operator="equal">
      <formula>"未完成"</formula>
    </cfRule>
    <cfRule type="cellIs" dxfId="1" priority="605" operator="equal">
      <formula>"未完成"</formula>
    </cfRule>
  </conditionalFormatting>
  <conditionalFormatting sqref="AJ724">
    <cfRule type="cellIs" dxfId="0" priority="597" operator="equal">
      <formula>"欠"</formula>
    </cfRule>
  </conditionalFormatting>
  <conditionalFormatting sqref="Q725">
    <cfRule type="cellIs" dxfId="0" priority="620" operator="equal">
      <formula>"欠"</formula>
    </cfRule>
  </conditionalFormatting>
  <conditionalFormatting sqref="R725">
    <cfRule type="cellIs" dxfId="0" priority="636" operator="equal">
      <formula>"欠"</formula>
    </cfRule>
    <cfRule type="containsText" dxfId="2" priority="628" operator="between" text="欠">
      <formula>NOT(ISERROR(SEARCH("欠",R725)))</formula>
    </cfRule>
  </conditionalFormatting>
  <conditionalFormatting sqref="S725">
    <cfRule type="cellIs" dxfId="0" priority="588" operator="equal">
      <formula>"欠"</formula>
    </cfRule>
  </conditionalFormatting>
  <conditionalFormatting sqref="T725">
    <cfRule type="cellIs" dxfId="0" priority="580" operator="equal">
      <formula>"欠"</formula>
    </cfRule>
    <cfRule type="containsText" dxfId="2" priority="572" operator="between" text="欠">
      <formula>NOT(ISERROR(SEARCH("欠",T725)))</formula>
    </cfRule>
  </conditionalFormatting>
  <conditionalFormatting sqref="AI725">
    <cfRule type="cellIs" dxfId="0" priority="612" operator="equal">
      <formula>"未完成"</formula>
    </cfRule>
    <cfRule type="cellIs" dxfId="1" priority="604" operator="equal">
      <formula>"未完成"</formula>
    </cfRule>
  </conditionalFormatting>
  <conditionalFormatting sqref="AJ725">
    <cfRule type="cellIs" dxfId="0" priority="596" operator="equal">
      <formula>"欠"</formula>
    </cfRule>
  </conditionalFormatting>
  <conditionalFormatting sqref="Q726">
    <cfRule type="cellIs" dxfId="0" priority="416" operator="equal">
      <formula>"欠"</formula>
    </cfRule>
  </conditionalFormatting>
  <conditionalFormatting sqref="R726">
    <cfRule type="cellIs" dxfId="0" priority="506" operator="equal">
      <formula>"欠"</formula>
    </cfRule>
    <cfRule type="containsText" dxfId="2" priority="461" operator="between" text="欠">
      <formula>NOT(ISERROR(SEARCH("欠",R726)))</formula>
    </cfRule>
  </conditionalFormatting>
  <conditionalFormatting sqref="S726">
    <cfRule type="cellIs" dxfId="0" priority="236" operator="equal">
      <formula>"欠"</formula>
    </cfRule>
  </conditionalFormatting>
  <conditionalFormatting sqref="T726">
    <cfRule type="cellIs" dxfId="0" priority="191" operator="equal">
      <formula>"欠"</formula>
    </cfRule>
    <cfRule type="containsText" dxfId="2" priority="146" operator="between" text="欠">
      <formula>NOT(ISERROR(SEARCH("欠",T726)))</formula>
    </cfRule>
  </conditionalFormatting>
  <conditionalFormatting sqref="AI726">
    <cfRule type="cellIs" dxfId="0" priority="371" operator="equal">
      <formula>"未完成"</formula>
    </cfRule>
    <cfRule type="cellIs" dxfId="1" priority="326" operator="equal">
      <formula>"未完成"</formula>
    </cfRule>
  </conditionalFormatting>
  <conditionalFormatting sqref="AJ726">
    <cfRule type="cellIs" dxfId="0" priority="281" operator="equal">
      <formula>"欠"</formula>
    </cfRule>
  </conditionalFormatting>
  <conditionalFormatting sqref="Q727">
    <cfRule type="cellIs" dxfId="0" priority="415" operator="equal">
      <formula>"欠"</formula>
    </cfRule>
  </conditionalFormatting>
  <conditionalFormatting sqref="R727">
    <cfRule type="cellIs" dxfId="0" priority="505" operator="equal">
      <formula>"欠"</formula>
    </cfRule>
    <cfRule type="containsText" dxfId="2" priority="460" operator="between" text="欠">
      <formula>NOT(ISERROR(SEARCH("欠",R727)))</formula>
    </cfRule>
  </conditionalFormatting>
  <conditionalFormatting sqref="S727">
    <cfRule type="cellIs" dxfId="0" priority="235" operator="equal">
      <formula>"欠"</formula>
    </cfRule>
  </conditionalFormatting>
  <conditionalFormatting sqref="T727">
    <cfRule type="cellIs" dxfId="0" priority="190" operator="equal">
      <formula>"欠"</formula>
    </cfRule>
    <cfRule type="containsText" dxfId="2" priority="145" operator="between" text="欠">
      <formula>NOT(ISERROR(SEARCH("欠",T727)))</formula>
    </cfRule>
  </conditionalFormatting>
  <conditionalFormatting sqref="AI727">
    <cfRule type="cellIs" dxfId="0" priority="370" operator="equal">
      <formula>"未完成"</formula>
    </cfRule>
    <cfRule type="cellIs" dxfId="1" priority="325" operator="equal">
      <formula>"未完成"</formula>
    </cfRule>
  </conditionalFormatting>
  <conditionalFormatting sqref="AJ727">
    <cfRule type="cellIs" dxfId="0" priority="280" operator="equal">
      <formula>"欠"</formula>
    </cfRule>
  </conditionalFormatting>
  <conditionalFormatting sqref="Q728">
    <cfRule type="cellIs" dxfId="0" priority="414" operator="equal">
      <formula>"欠"</formula>
    </cfRule>
  </conditionalFormatting>
  <conditionalFormatting sqref="R728">
    <cfRule type="cellIs" dxfId="0" priority="504" operator="equal">
      <formula>"欠"</formula>
    </cfRule>
    <cfRule type="containsText" dxfId="2" priority="459" operator="between" text="欠">
      <formula>NOT(ISERROR(SEARCH("欠",R728)))</formula>
    </cfRule>
  </conditionalFormatting>
  <conditionalFormatting sqref="S728">
    <cfRule type="cellIs" dxfId="0" priority="234" operator="equal">
      <formula>"欠"</formula>
    </cfRule>
  </conditionalFormatting>
  <conditionalFormatting sqref="T728">
    <cfRule type="cellIs" dxfId="0" priority="189" operator="equal">
      <formula>"欠"</formula>
    </cfRule>
    <cfRule type="containsText" dxfId="2" priority="144" operator="between" text="欠">
      <formula>NOT(ISERROR(SEARCH("欠",T728)))</formula>
    </cfRule>
  </conditionalFormatting>
  <conditionalFormatting sqref="AI728">
    <cfRule type="cellIs" dxfId="0" priority="369" operator="equal">
      <formula>"未完成"</formula>
    </cfRule>
    <cfRule type="cellIs" dxfId="1" priority="324" operator="equal">
      <formula>"未完成"</formula>
    </cfRule>
  </conditionalFormatting>
  <conditionalFormatting sqref="AJ728">
    <cfRule type="cellIs" dxfId="0" priority="279" operator="equal">
      <formula>"欠"</formula>
    </cfRule>
  </conditionalFormatting>
  <conditionalFormatting sqref="Q729">
    <cfRule type="cellIs" dxfId="0" priority="413" operator="equal">
      <formula>"欠"</formula>
    </cfRule>
  </conditionalFormatting>
  <conditionalFormatting sqref="R729">
    <cfRule type="cellIs" dxfId="0" priority="503" operator="equal">
      <formula>"欠"</formula>
    </cfRule>
    <cfRule type="containsText" dxfId="2" priority="458" operator="between" text="欠">
      <formula>NOT(ISERROR(SEARCH("欠",R729)))</formula>
    </cfRule>
  </conditionalFormatting>
  <conditionalFormatting sqref="S729">
    <cfRule type="cellIs" dxfId="0" priority="233" operator="equal">
      <formula>"欠"</formula>
    </cfRule>
  </conditionalFormatting>
  <conditionalFormatting sqref="T729">
    <cfRule type="cellIs" dxfId="0" priority="188" operator="equal">
      <formula>"欠"</formula>
    </cfRule>
    <cfRule type="containsText" dxfId="2" priority="143" operator="between" text="欠">
      <formula>NOT(ISERROR(SEARCH("欠",T729)))</formula>
    </cfRule>
  </conditionalFormatting>
  <conditionalFormatting sqref="AI729">
    <cfRule type="cellIs" dxfId="0" priority="368" operator="equal">
      <formula>"未完成"</formula>
    </cfRule>
    <cfRule type="cellIs" dxfId="1" priority="323" operator="equal">
      <formula>"未完成"</formula>
    </cfRule>
  </conditionalFormatting>
  <conditionalFormatting sqref="AJ729">
    <cfRule type="cellIs" dxfId="0" priority="278" operator="equal">
      <formula>"欠"</formula>
    </cfRule>
  </conditionalFormatting>
  <conditionalFormatting sqref="Q730">
    <cfRule type="cellIs" dxfId="0" priority="412" operator="equal">
      <formula>"欠"</formula>
    </cfRule>
  </conditionalFormatting>
  <conditionalFormatting sqref="R730">
    <cfRule type="cellIs" dxfId="0" priority="502" operator="equal">
      <formula>"欠"</formula>
    </cfRule>
    <cfRule type="containsText" dxfId="2" priority="457" operator="between" text="欠">
      <formula>NOT(ISERROR(SEARCH("欠",R730)))</formula>
    </cfRule>
  </conditionalFormatting>
  <conditionalFormatting sqref="S730">
    <cfRule type="cellIs" dxfId="0" priority="232" operator="equal">
      <formula>"欠"</formula>
    </cfRule>
  </conditionalFormatting>
  <conditionalFormatting sqref="T730">
    <cfRule type="cellIs" dxfId="0" priority="187" operator="equal">
      <formula>"欠"</formula>
    </cfRule>
    <cfRule type="containsText" dxfId="2" priority="142" operator="between" text="欠">
      <formula>NOT(ISERROR(SEARCH("欠",T730)))</formula>
    </cfRule>
  </conditionalFormatting>
  <conditionalFormatting sqref="AI730">
    <cfRule type="cellIs" dxfId="0" priority="367" operator="equal">
      <formula>"未完成"</formula>
    </cfRule>
    <cfRule type="cellIs" dxfId="1" priority="322" operator="equal">
      <formula>"未完成"</formula>
    </cfRule>
  </conditionalFormatting>
  <conditionalFormatting sqref="AJ730">
    <cfRule type="cellIs" dxfId="0" priority="277" operator="equal">
      <formula>"欠"</formula>
    </cfRule>
  </conditionalFormatting>
  <conditionalFormatting sqref="Q731">
    <cfRule type="cellIs" dxfId="0" priority="411" operator="equal">
      <formula>"欠"</formula>
    </cfRule>
  </conditionalFormatting>
  <conditionalFormatting sqref="R731">
    <cfRule type="cellIs" dxfId="0" priority="501" operator="equal">
      <formula>"欠"</formula>
    </cfRule>
    <cfRule type="containsText" dxfId="2" priority="456" operator="between" text="欠">
      <formula>NOT(ISERROR(SEARCH("欠",R731)))</formula>
    </cfRule>
  </conditionalFormatting>
  <conditionalFormatting sqref="S731">
    <cfRule type="cellIs" dxfId="0" priority="231" operator="equal">
      <formula>"欠"</formula>
    </cfRule>
  </conditionalFormatting>
  <conditionalFormatting sqref="T731">
    <cfRule type="cellIs" dxfId="0" priority="186" operator="equal">
      <formula>"欠"</formula>
    </cfRule>
    <cfRule type="containsText" dxfId="2" priority="141" operator="between" text="欠">
      <formula>NOT(ISERROR(SEARCH("欠",T731)))</formula>
    </cfRule>
  </conditionalFormatting>
  <conditionalFormatting sqref="AI731">
    <cfRule type="cellIs" dxfId="0" priority="366" operator="equal">
      <formula>"未完成"</formula>
    </cfRule>
    <cfRule type="cellIs" dxfId="1" priority="321" operator="equal">
      <formula>"未完成"</formula>
    </cfRule>
  </conditionalFormatting>
  <conditionalFormatting sqref="AJ731">
    <cfRule type="cellIs" dxfId="0" priority="276" operator="equal">
      <formula>"欠"</formula>
    </cfRule>
  </conditionalFormatting>
  <conditionalFormatting sqref="Q732">
    <cfRule type="cellIs" dxfId="0" priority="410" operator="equal">
      <formula>"欠"</formula>
    </cfRule>
  </conditionalFormatting>
  <conditionalFormatting sqref="R732">
    <cfRule type="cellIs" dxfId="0" priority="500" operator="equal">
      <formula>"欠"</formula>
    </cfRule>
    <cfRule type="containsText" dxfId="2" priority="455" operator="between" text="欠">
      <formula>NOT(ISERROR(SEARCH("欠",R732)))</formula>
    </cfRule>
  </conditionalFormatting>
  <conditionalFormatting sqref="S732">
    <cfRule type="cellIs" dxfId="0" priority="230" operator="equal">
      <formula>"欠"</formula>
    </cfRule>
  </conditionalFormatting>
  <conditionalFormatting sqref="T732">
    <cfRule type="cellIs" dxfId="0" priority="185" operator="equal">
      <formula>"欠"</formula>
    </cfRule>
    <cfRule type="containsText" dxfId="2" priority="140" operator="between" text="欠">
      <formula>NOT(ISERROR(SEARCH("欠",T732)))</formula>
    </cfRule>
  </conditionalFormatting>
  <conditionalFormatting sqref="AI732">
    <cfRule type="cellIs" dxfId="0" priority="365" operator="equal">
      <formula>"未完成"</formula>
    </cfRule>
    <cfRule type="cellIs" dxfId="1" priority="320" operator="equal">
      <formula>"未完成"</formula>
    </cfRule>
  </conditionalFormatting>
  <conditionalFormatting sqref="AJ732">
    <cfRule type="cellIs" dxfId="0" priority="275" operator="equal">
      <formula>"欠"</formula>
    </cfRule>
  </conditionalFormatting>
  <conditionalFormatting sqref="Q733">
    <cfRule type="cellIs" dxfId="0" priority="409" operator="equal">
      <formula>"欠"</formula>
    </cfRule>
  </conditionalFormatting>
  <conditionalFormatting sqref="R733">
    <cfRule type="cellIs" dxfId="0" priority="499" operator="equal">
      <formula>"欠"</formula>
    </cfRule>
    <cfRule type="containsText" dxfId="2" priority="454" operator="between" text="欠">
      <formula>NOT(ISERROR(SEARCH("欠",R733)))</formula>
    </cfRule>
  </conditionalFormatting>
  <conditionalFormatting sqref="S733">
    <cfRule type="cellIs" dxfId="0" priority="229" operator="equal">
      <formula>"欠"</formula>
    </cfRule>
  </conditionalFormatting>
  <conditionalFormatting sqref="T733">
    <cfRule type="cellIs" dxfId="0" priority="184" operator="equal">
      <formula>"欠"</formula>
    </cfRule>
    <cfRule type="containsText" dxfId="2" priority="139" operator="between" text="欠">
      <formula>NOT(ISERROR(SEARCH("欠",T733)))</formula>
    </cfRule>
  </conditionalFormatting>
  <conditionalFormatting sqref="AI733">
    <cfRule type="cellIs" dxfId="0" priority="364" operator="equal">
      <formula>"未完成"</formula>
    </cfRule>
    <cfRule type="cellIs" dxfId="1" priority="319" operator="equal">
      <formula>"未完成"</formula>
    </cfRule>
  </conditionalFormatting>
  <conditionalFormatting sqref="AJ733">
    <cfRule type="cellIs" dxfId="0" priority="274" operator="equal">
      <formula>"欠"</formula>
    </cfRule>
  </conditionalFormatting>
  <conditionalFormatting sqref="Q734">
    <cfRule type="cellIs" dxfId="0" priority="408" operator="equal">
      <formula>"欠"</formula>
    </cfRule>
  </conditionalFormatting>
  <conditionalFormatting sqref="R734">
    <cfRule type="cellIs" dxfId="0" priority="498" operator="equal">
      <formula>"欠"</formula>
    </cfRule>
    <cfRule type="containsText" dxfId="2" priority="453" operator="between" text="欠">
      <formula>NOT(ISERROR(SEARCH("欠",R734)))</formula>
    </cfRule>
  </conditionalFormatting>
  <conditionalFormatting sqref="S734">
    <cfRule type="cellIs" dxfId="0" priority="228" operator="equal">
      <formula>"欠"</formula>
    </cfRule>
  </conditionalFormatting>
  <conditionalFormatting sqref="T734">
    <cfRule type="cellIs" dxfId="0" priority="183" operator="equal">
      <formula>"欠"</formula>
    </cfRule>
    <cfRule type="containsText" dxfId="2" priority="138" operator="between" text="欠">
      <formula>NOT(ISERROR(SEARCH("欠",T734)))</formula>
    </cfRule>
  </conditionalFormatting>
  <conditionalFormatting sqref="AI734">
    <cfRule type="cellIs" dxfId="0" priority="363" operator="equal">
      <formula>"未完成"</formula>
    </cfRule>
    <cfRule type="cellIs" dxfId="1" priority="318" operator="equal">
      <formula>"未完成"</formula>
    </cfRule>
  </conditionalFormatting>
  <conditionalFormatting sqref="AJ734">
    <cfRule type="cellIs" dxfId="0" priority="273" operator="equal">
      <formula>"欠"</formula>
    </cfRule>
  </conditionalFormatting>
  <conditionalFormatting sqref="Q735">
    <cfRule type="cellIs" dxfId="0" priority="407" operator="equal">
      <formula>"欠"</formula>
    </cfRule>
  </conditionalFormatting>
  <conditionalFormatting sqref="R735">
    <cfRule type="cellIs" dxfId="0" priority="497" operator="equal">
      <formula>"欠"</formula>
    </cfRule>
    <cfRule type="containsText" dxfId="2" priority="452" operator="between" text="欠">
      <formula>NOT(ISERROR(SEARCH("欠",R735)))</formula>
    </cfRule>
  </conditionalFormatting>
  <conditionalFormatting sqref="S735">
    <cfRule type="cellIs" dxfId="0" priority="227" operator="equal">
      <formula>"欠"</formula>
    </cfRule>
  </conditionalFormatting>
  <conditionalFormatting sqref="T735">
    <cfRule type="cellIs" dxfId="0" priority="182" operator="equal">
      <formula>"欠"</formula>
    </cfRule>
    <cfRule type="containsText" dxfId="2" priority="137" operator="between" text="欠">
      <formula>NOT(ISERROR(SEARCH("欠",T735)))</formula>
    </cfRule>
  </conditionalFormatting>
  <conditionalFormatting sqref="AI735">
    <cfRule type="cellIs" dxfId="0" priority="362" operator="equal">
      <formula>"未完成"</formula>
    </cfRule>
    <cfRule type="cellIs" dxfId="1" priority="317" operator="equal">
      <formula>"未完成"</formula>
    </cfRule>
  </conditionalFormatting>
  <conditionalFormatting sqref="AJ735">
    <cfRule type="cellIs" dxfId="0" priority="272" operator="equal">
      <formula>"欠"</formula>
    </cfRule>
  </conditionalFormatting>
  <conditionalFormatting sqref="Q736">
    <cfRule type="cellIs" dxfId="0" priority="406" operator="equal">
      <formula>"欠"</formula>
    </cfRule>
  </conditionalFormatting>
  <conditionalFormatting sqref="R736">
    <cfRule type="cellIs" dxfId="0" priority="496" operator="equal">
      <formula>"欠"</formula>
    </cfRule>
    <cfRule type="containsText" dxfId="2" priority="451" operator="between" text="欠">
      <formula>NOT(ISERROR(SEARCH("欠",R736)))</formula>
    </cfRule>
  </conditionalFormatting>
  <conditionalFormatting sqref="S736">
    <cfRule type="cellIs" dxfId="0" priority="226" operator="equal">
      <formula>"欠"</formula>
    </cfRule>
  </conditionalFormatting>
  <conditionalFormatting sqref="T736">
    <cfRule type="cellIs" dxfId="0" priority="181" operator="equal">
      <formula>"欠"</formula>
    </cfRule>
    <cfRule type="containsText" dxfId="2" priority="136" operator="between" text="欠">
      <formula>NOT(ISERROR(SEARCH("欠",T736)))</formula>
    </cfRule>
  </conditionalFormatting>
  <conditionalFormatting sqref="AI736">
    <cfRule type="cellIs" dxfId="0" priority="361" operator="equal">
      <formula>"未完成"</formula>
    </cfRule>
    <cfRule type="cellIs" dxfId="1" priority="316" operator="equal">
      <formula>"未完成"</formula>
    </cfRule>
  </conditionalFormatting>
  <conditionalFormatting sqref="AJ736">
    <cfRule type="cellIs" dxfId="0" priority="271" operator="equal">
      <formula>"欠"</formula>
    </cfRule>
  </conditionalFormatting>
  <conditionalFormatting sqref="Q737">
    <cfRule type="cellIs" dxfId="0" priority="405" operator="equal">
      <formula>"欠"</formula>
    </cfRule>
  </conditionalFormatting>
  <conditionalFormatting sqref="R737">
    <cfRule type="cellIs" dxfId="0" priority="495" operator="equal">
      <formula>"欠"</formula>
    </cfRule>
    <cfRule type="containsText" dxfId="2" priority="450" operator="between" text="欠">
      <formula>NOT(ISERROR(SEARCH("欠",R737)))</formula>
    </cfRule>
  </conditionalFormatting>
  <conditionalFormatting sqref="S737">
    <cfRule type="cellIs" dxfId="0" priority="225" operator="equal">
      <formula>"欠"</formula>
    </cfRule>
  </conditionalFormatting>
  <conditionalFormatting sqref="T737">
    <cfRule type="cellIs" dxfId="0" priority="180" operator="equal">
      <formula>"欠"</formula>
    </cfRule>
    <cfRule type="containsText" dxfId="2" priority="135" operator="between" text="欠">
      <formula>NOT(ISERROR(SEARCH("欠",T737)))</formula>
    </cfRule>
  </conditionalFormatting>
  <conditionalFormatting sqref="AI737">
    <cfRule type="cellIs" dxfId="0" priority="360" operator="equal">
      <formula>"未完成"</formula>
    </cfRule>
    <cfRule type="cellIs" dxfId="1" priority="315" operator="equal">
      <formula>"未完成"</formula>
    </cfRule>
  </conditionalFormatting>
  <conditionalFormatting sqref="AJ737">
    <cfRule type="cellIs" dxfId="0" priority="270" operator="equal">
      <formula>"欠"</formula>
    </cfRule>
  </conditionalFormatting>
  <conditionalFormatting sqref="Q738">
    <cfRule type="cellIs" dxfId="0" priority="404" operator="equal">
      <formula>"欠"</formula>
    </cfRule>
  </conditionalFormatting>
  <conditionalFormatting sqref="R738">
    <cfRule type="cellIs" dxfId="0" priority="494" operator="equal">
      <formula>"欠"</formula>
    </cfRule>
    <cfRule type="containsText" dxfId="2" priority="449" operator="between" text="欠">
      <formula>NOT(ISERROR(SEARCH("欠",R738)))</formula>
    </cfRule>
  </conditionalFormatting>
  <conditionalFormatting sqref="S738">
    <cfRule type="cellIs" dxfId="0" priority="224" operator="equal">
      <formula>"欠"</formula>
    </cfRule>
  </conditionalFormatting>
  <conditionalFormatting sqref="T738">
    <cfRule type="cellIs" dxfId="0" priority="179" operator="equal">
      <formula>"欠"</formula>
    </cfRule>
    <cfRule type="containsText" dxfId="2" priority="134" operator="between" text="欠">
      <formula>NOT(ISERROR(SEARCH("欠",T738)))</formula>
    </cfRule>
  </conditionalFormatting>
  <conditionalFormatting sqref="AI738">
    <cfRule type="cellIs" dxfId="0" priority="359" operator="equal">
      <formula>"未完成"</formula>
    </cfRule>
    <cfRule type="cellIs" dxfId="1" priority="314" operator="equal">
      <formula>"未完成"</formula>
    </cfRule>
  </conditionalFormatting>
  <conditionalFormatting sqref="AJ738">
    <cfRule type="cellIs" dxfId="0" priority="269" operator="equal">
      <formula>"欠"</formula>
    </cfRule>
  </conditionalFormatting>
  <conditionalFormatting sqref="Q739">
    <cfRule type="cellIs" dxfId="0" priority="403" operator="equal">
      <formula>"欠"</formula>
    </cfRule>
  </conditionalFormatting>
  <conditionalFormatting sqref="R739">
    <cfRule type="cellIs" dxfId="0" priority="493" operator="equal">
      <formula>"欠"</formula>
    </cfRule>
    <cfRule type="containsText" dxfId="2" priority="448" operator="between" text="欠">
      <formula>NOT(ISERROR(SEARCH("欠",R739)))</formula>
    </cfRule>
  </conditionalFormatting>
  <conditionalFormatting sqref="S739">
    <cfRule type="cellIs" dxfId="0" priority="223" operator="equal">
      <formula>"欠"</formula>
    </cfRule>
  </conditionalFormatting>
  <conditionalFormatting sqref="T739">
    <cfRule type="cellIs" dxfId="0" priority="178" operator="equal">
      <formula>"欠"</formula>
    </cfRule>
    <cfRule type="containsText" dxfId="2" priority="133" operator="between" text="欠">
      <formula>NOT(ISERROR(SEARCH("欠",T739)))</formula>
    </cfRule>
  </conditionalFormatting>
  <conditionalFormatting sqref="AI739">
    <cfRule type="cellIs" dxfId="0" priority="358" operator="equal">
      <formula>"未完成"</formula>
    </cfRule>
    <cfRule type="cellIs" dxfId="1" priority="313" operator="equal">
      <formula>"未完成"</formula>
    </cfRule>
  </conditionalFormatting>
  <conditionalFormatting sqref="AJ739">
    <cfRule type="cellIs" dxfId="0" priority="268" operator="equal">
      <formula>"欠"</formula>
    </cfRule>
  </conditionalFormatting>
  <conditionalFormatting sqref="Q740">
    <cfRule type="cellIs" dxfId="0" priority="402" operator="equal">
      <formula>"欠"</formula>
    </cfRule>
  </conditionalFormatting>
  <conditionalFormatting sqref="R740">
    <cfRule type="cellIs" dxfId="0" priority="492" operator="equal">
      <formula>"欠"</formula>
    </cfRule>
    <cfRule type="containsText" dxfId="2" priority="447" operator="between" text="欠">
      <formula>NOT(ISERROR(SEARCH("欠",R740)))</formula>
    </cfRule>
  </conditionalFormatting>
  <conditionalFormatting sqref="S740">
    <cfRule type="cellIs" dxfId="0" priority="222" operator="equal">
      <formula>"欠"</formula>
    </cfRule>
  </conditionalFormatting>
  <conditionalFormatting sqref="T740">
    <cfRule type="cellIs" dxfId="0" priority="177" operator="equal">
      <formula>"欠"</formula>
    </cfRule>
    <cfRule type="containsText" dxfId="2" priority="132" operator="between" text="欠">
      <formula>NOT(ISERROR(SEARCH("欠",T740)))</formula>
    </cfRule>
  </conditionalFormatting>
  <conditionalFormatting sqref="AI740">
    <cfRule type="cellIs" dxfId="0" priority="357" operator="equal">
      <formula>"未完成"</formula>
    </cfRule>
    <cfRule type="cellIs" dxfId="1" priority="312" operator="equal">
      <formula>"未完成"</formula>
    </cfRule>
  </conditionalFormatting>
  <conditionalFormatting sqref="AJ740">
    <cfRule type="cellIs" dxfId="0" priority="267" operator="equal">
      <formula>"欠"</formula>
    </cfRule>
  </conditionalFormatting>
  <conditionalFormatting sqref="Q741">
    <cfRule type="cellIs" dxfId="0" priority="401" operator="equal">
      <formula>"欠"</formula>
    </cfRule>
  </conditionalFormatting>
  <conditionalFormatting sqref="R741">
    <cfRule type="cellIs" dxfId="0" priority="491" operator="equal">
      <formula>"欠"</formula>
    </cfRule>
    <cfRule type="containsText" dxfId="2" priority="446" operator="between" text="欠">
      <formula>NOT(ISERROR(SEARCH("欠",R741)))</formula>
    </cfRule>
  </conditionalFormatting>
  <conditionalFormatting sqref="S741">
    <cfRule type="cellIs" dxfId="0" priority="221" operator="equal">
      <formula>"欠"</formula>
    </cfRule>
  </conditionalFormatting>
  <conditionalFormatting sqref="T741">
    <cfRule type="cellIs" dxfId="0" priority="176" operator="equal">
      <formula>"欠"</formula>
    </cfRule>
    <cfRule type="containsText" dxfId="2" priority="131" operator="between" text="欠">
      <formula>NOT(ISERROR(SEARCH("欠",T741)))</formula>
    </cfRule>
  </conditionalFormatting>
  <conditionalFormatting sqref="AI741">
    <cfRule type="cellIs" dxfId="0" priority="356" operator="equal">
      <formula>"未完成"</formula>
    </cfRule>
    <cfRule type="cellIs" dxfId="1" priority="311" operator="equal">
      <formula>"未完成"</formula>
    </cfRule>
  </conditionalFormatting>
  <conditionalFormatting sqref="AJ741">
    <cfRule type="cellIs" dxfId="0" priority="266" operator="equal">
      <formula>"欠"</formula>
    </cfRule>
  </conditionalFormatting>
  <conditionalFormatting sqref="Q742">
    <cfRule type="cellIs" dxfId="0" priority="400" operator="equal">
      <formula>"欠"</formula>
    </cfRule>
  </conditionalFormatting>
  <conditionalFormatting sqref="R742">
    <cfRule type="cellIs" dxfId="0" priority="490" operator="equal">
      <formula>"欠"</formula>
    </cfRule>
    <cfRule type="containsText" dxfId="2" priority="445" operator="between" text="欠">
      <formula>NOT(ISERROR(SEARCH("欠",R742)))</formula>
    </cfRule>
  </conditionalFormatting>
  <conditionalFormatting sqref="S742">
    <cfRule type="cellIs" dxfId="0" priority="220" operator="equal">
      <formula>"欠"</formula>
    </cfRule>
  </conditionalFormatting>
  <conditionalFormatting sqref="T742">
    <cfRule type="cellIs" dxfId="0" priority="175" operator="equal">
      <formula>"欠"</formula>
    </cfRule>
    <cfRule type="containsText" dxfId="2" priority="130" operator="between" text="欠">
      <formula>NOT(ISERROR(SEARCH("欠",T742)))</formula>
    </cfRule>
  </conditionalFormatting>
  <conditionalFormatting sqref="AI742">
    <cfRule type="cellIs" dxfId="0" priority="355" operator="equal">
      <formula>"未完成"</formula>
    </cfRule>
    <cfRule type="cellIs" dxfId="1" priority="310" operator="equal">
      <formula>"未完成"</formula>
    </cfRule>
  </conditionalFormatting>
  <conditionalFormatting sqref="AJ742">
    <cfRule type="cellIs" dxfId="0" priority="265" operator="equal">
      <formula>"欠"</formula>
    </cfRule>
  </conditionalFormatting>
  <conditionalFormatting sqref="Q743">
    <cfRule type="cellIs" dxfId="0" priority="399" operator="equal">
      <formula>"欠"</formula>
    </cfRule>
  </conditionalFormatting>
  <conditionalFormatting sqref="R743">
    <cfRule type="cellIs" dxfId="0" priority="489" operator="equal">
      <formula>"欠"</formula>
    </cfRule>
    <cfRule type="containsText" dxfId="2" priority="444" operator="between" text="欠">
      <formula>NOT(ISERROR(SEARCH("欠",R743)))</formula>
    </cfRule>
  </conditionalFormatting>
  <conditionalFormatting sqref="S743">
    <cfRule type="cellIs" dxfId="0" priority="219" operator="equal">
      <formula>"欠"</formula>
    </cfRule>
  </conditionalFormatting>
  <conditionalFormatting sqref="T743">
    <cfRule type="cellIs" dxfId="0" priority="174" operator="equal">
      <formula>"欠"</formula>
    </cfRule>
    <cfRule type="containsText" dxfId="2" priority="129" operator="between" text="欠">
      <formula>NOT(ISERROR(SEARCH("欠",T743)))</formula>
    </cfRule>
  </conditionalFormatting>
  <conditionalFormatting sqref="AI743">
    <cfRule type="cellIs" dxfId="0" priority="354" operator="equal">
      <formula>"未完成"</formula>
    </cfRule>
    <cfRule type="cellIs" dxfId="1" priority="309" operator="equal">
      <formula>"未完成"</formula>
    </cfRule>
  </conditionalFormatting>
  <conditionalFormatting sqref="AJ743">
    <cfRule type="cellIs" dxfId="0" priority="264" operator="equal">
      <formula>"欠"</formula>
    </cfRule>
  </conditionalFormatting>
  <conditionalFormatting sqref="Q744">
    <cfRule type="cellIs" dxfId="0" priority="398" operator="equal">
      <formula>"欠"</formula>
    </cfRule>
  </conditionalFormatting>
  <conditionalFormatting sqref="R744">
    <cfRule type="cellIs" dxfId="0" priority="488" operator="equal">
      <formula>"欠"</formula>
    </cfRule>
    <cfRule type="containsText" dxfId="2" priority="443" operator="between" text="欠">
      <formula>NOT(ISERROR(SEARCH("欠",R744)))</formula>
    </cfRule>
  </conditionalFormatting>
  <conditionalFormatting sqref="S744">
    <cfRule type="cellIs" dxfId="0" priority="218" operator="equal">
      <formula>"欠"</formula>
    </cfRule>
  </conditionalFormatting>
  <conditionalFormatting sqref="T744">
    <cfRule type="cellIs" dxfId="0" priority="173" operator="equal">
      <formula>"欠"</formula>
    </cfRule>
    <cfRule type="containsText" dxfId="2" priority="128" operator="between" text="欠">
      <formula>NOT(ISERROR(SEARCH("欠",T744)))</formula>
    </cfRule>
  </conditionalFormatting>
  <conditionalFormatting sqref="AI744">
    <cfRule type="cellIs" dxfId="0" priority="353" operator="equal">
      <formula>"未完成"</formula>
    </cfRule>
    <cfRule type="cellIs" dxfId="1" priority="308" operator="equal">
      <formula>"未完成"</formula>
    </cfRule>
  </conditionalFormatting>
  <conditionalFormatting sqref="AJ744">
    <cfRule type="cellIs" dxfId="0" priority="263" operator="equal">
      <formula>"欠"</formula>
    </cfRule>
  </conditionalFormatting>
  <conditionalFormatting sqref="Q745">
    <cfRule type="cellIs" dxfId="0" priority="397" operator="equal">
      <formula>"欠"</formula>
    </cfRule>
  </conditionalFormatting>
  <conditionalFormatting sqref="R745">
    <cfRule type="cellIs" dxfId="0" priority="487" operator="equal">
      <formula>"欠"</formula>
    </cfRule>
    <cfRule type="containsText" dxfId="2" priority="442" operator="between" text="欠">
      <formula>NOT(ISERROR(SEARCH("欠",R745)))</formula>
    </cfRule>
  </conditionalFormatting>
  <conditionalFormatting sqref="S745">
    <cfRule type="cellIs" dxfId="0" priority="217" operator="equal">
      <formula>"欠"</formula>
    </cfRule>
  </conditionalFormatting>
  <conditionalFormatting sqref="T745">
    <cfRule type="cellIs" dxfId="0" priority="172" operator="equal">
      <formula>"欠"</formula>
    </cfRule>
    <cfRule type="containsText" dxfId="2" priority="127" operator="between" text="欠">
      <formula>NOT(ISERROR(SEARCH("欠",T745)))</formula>
    </cfRule>
  </conditionalFormatting>
  <conditionalFormatting sqref="AI745">
    <cfRule type="cellIs" dxfId="0" priority="352" operator="equal">
      <formula>"未完成"</formula>
    </cfRule>
    <cfRule type="cellIs" dxfId="1" priority="307" operator="equal">
      <formula>"未完成"</formula>
    </cfRule>
  </conditionalFormatting>
  <conditionalFormatting sqref="AJ745">
    <cfRule type="cellIs" dxfId="0" priority="262" operator="equal">
      <formula>"欠"</formula>
    </cfRule>
  </conditionalFormatting>
  <conditionalFormatting sqref="Q746">
    <cfRule type="cellIs" dxfId="0" priority="396" operator="equal">
      <formula>"欠"</formula>
    </cfRule>
  </conditionalFormatting>
  <conditionalFormatting sqref="R746">
    <cfRule type="cellIs" dxfId="0" priority="486" operator="equal">
      <formula>"欠"</formula>
    </cfRule>
    <cfRule type="containsText" dxfId="2" priority="441" operator="between" text="欠">
      <formula>NOT(ISERROR(SEARCH("欠",R746)))</formula>
    </cfRule>
  </conditionalFormatting>
  <conditionalFormatting sqref="S746">
    <cfRule type="cellIs" dxfId="0" priority="216" operator="equal">
      <formula>"欠"</formula>
    </cfRule>
  </conditionalFormatting>
  <conditionalFormatting sqref="T746">
    <cfRule type="cellIs" dxfId="0" priority="171" operator="equal">
      <formula>"欠"</formula>
    </cfRule>
    <cfRule type="containsText" dxfId="2" priority="126" operator="between" text="欠">
      <formula>NOT(ISERROR(SEARCH("欠",T746)))</formula>
    </cfRule>
  </conditionalFormatting>
  <conditionalFormatting sqref="AI746">
    <cfRule type="cellIs" dxfId="0" priority="351" operator="equal">
      <formula>"未完成"</formula>
    </cfRule>
    <cfRule type="cellIs" dxfId="1" priority="306" operator="equal">
      <formula>"未完成"</formula>
    </cfRule>
  </conditionalFormatting>
  <conditionalFormatting sqref="AJ746">
    <cfRule type="cellIs" dxfId="0" priority="261" operator="equal">
      <formula>"欠"</formula>
    </cfRule>
  </conditionalFormatting>
  <conditionalFormatting sqref="Q747">
    <cfRule type="cellIs" dxfId="0" priority="395" operator="equal">
      <formula>"欠"</formula>
    </cfRule>
  </conditionalFormatting>
  <conditionalFormatting sqref="R747">
    <cfRule type="cellIs" dxfId="0" priority="485" operator="equal">
      <formula>"欠"</formula>
    </cfRule>
    <cfRule type="containsText" dxfId="2" priority="440" operator="between" text="欠">
      <formula>NOT(ISERROR(SEARCH("欠",R747)))</formula>
    </cfRule>
  </conditionalFormatting>
  <conditionalFormatting sqref="S747">
    <cfRule type="cellIs" dxfId="0" priority="215" operator="equal">
      <formula>"欠"</formula>
    </cfRule>
  </conditionalFormatting>
  <conditionalFormatting sqref="T747">
    <cfRule type="cellIs" dxfId="0" priority="170" operator="equal">
      <formula>"欠"</formula>
    </cfRule>
    <cfRule type="containsText" dxfId="2" priority="125" operator="between" text="欠">
      <formula>NOT(ISERROR(SEARCH("欠",T747)))</formula>
    </cfRule>
  </conditionalFormatting>
  <conditionalFormatting sqref="AI747">
    <cfRule type="cellIs" dxfId="0" priority="350" operator="equal">
      <formula>"未完成"</formula>
    </cfRule>
    <cfRule type="cellIs" dxfId="1" priority="305" operator="equal">
      <formula>"未完成"</formula>
    </cfRule>
  </conditionalFormatting>
  <conditionalFormatting sqref="AJ747">
    <cfRule type="cellIs" dxfId="0" priority="260" operator="equal">
      <formula>"欠"</formula>
    </cfRule>
  </conditionalFormatting>
  <conditionalFormatting sqref="Q748">
    <cfRule type="cellIs" dxfId="0" priority="394" operator="equal">
      <formula>"欠"</formula>
    </cfRule>
  </conditionalFormatting>
  <conditionalFormatting sqref="R748">
    <cfRule type="cellIs" dxfId="0" priority="484" operator="equal">
      <formula>"欠"</formula>
    </cfRule>
    <cfRule type="containsText" dxfId="2" priority="439" operator="between" text="欠">
      <formula>NOT(ISERROR(SEARCH("欠",R748)))</formula>
    </cfRule>
  </conditionalFormatting>
  <conditionalFormatting sqref="S748">
    <cfRule type="cellIs" dxfId="0" priority="214" operator="equal">
      <formula>"欠"</formula>
    </cfRule>
  </conditionalFormatting>
  <conditionalFormatting sqref="T748">
    <cfRule type="cellIs" dxfId="0" priority="169" operator="equal">
      <formula>"欠"</formula>
    </cfRule>
    <cfRule type="containsText" dxfId="2" priority="124" operator="between" text="欠">
      <formula>NOT(ISERROR(SEARCH("欠",T748)))</formula>
    </cfRule>
  </conditionalFormatting>
  <conditionalFormatting sqref="AI748">
    <cfRule type="cellIs" dxfId="0" priority="349" operator="equal">
      <formula>"未完成"</formula>
    </cfRule>
    <cfRule type="cellIs" dxfId="1" priority="304" operator="equal">
      <formula>"未完成"</formula>
    </cfRule>
  </conditionalFormatting>
  <conditionalFormatting sqref="AJ748">
    <cfRule type="cellIs" dxfId="0" priority="259" operator="equal">
      <formula>"欠"</formula>
    </cfRule>
  </conditionalFormatting>
  <conditionalFormatting sqref="Q749">
    <cfRule type="cellIs" dxfId="0" priority="393" operator="equal">
      <formula>"欠"</formula>
    </cfRule>
  </conditionalFormatting>
  <conditionalFormatting sqref="R749">
    <cfRule type="cellIs" dxfId="0" priority="483" operator="equal">
      <formula>"欠"</formula>
    </cfRule>
    <cfRule type="containsText" dxfId="2" priority="438" operator="between" text="欠">
      <formula>NOT(ISERROR(SEARCH("欠",R749)))</formula>
    </cfRule>
  </conditionalFormatting>
  <conditionalFormatting sqref="S749">
    <cfRule type="cellIs" dxfId="0" priority="213" operator="equal">
      <formula>"欠"</formula>
    </cfRule>
  </conditionalFormatting>
  <conditionalFormatting sqref="T749">
    <cfRule type="cellIs" dxfId="0" priority="168" operator="equal">
      <formula>"欠"</formula>
    </cfRule>
    <cfRule type="containsText" dxfId="2" priority="123" operator="between" text="欠">
      <formula>NOT(ISERROR(SEARCH("欠",T749)))</formula>
    </cfRule>
  </conditionalFormatting>
  <conditionalFormatting sqref="AI749">
    <cfRule type="cellIs" dxfId="0" priority="348" operator="equal">
      <formula>"未完成"</formula>
    </cfRule>
    <cfRule type="cellIs" dxfId="1" priority="303" operator="equal">
      <formula>"未完成"</formula>
    </cfRule>
  </conditionalFormatting>
  <conditionalFormatting sqref="AJ749">
    <cfRule type="cellIs" dxfId="0" priority="258" operator="equal">
      <formula>"欠"</formula>
    </cfRule>
  </conditionalFormatting>
  <conditionalFormatting sqref="Q750">
    <cfRule type="cellIs" dxfId="0" priority="392" operator="equal">
      <formula>"欠"</formula>
    </cfRule>
  </conditionalFormatting>
  <conditionalFormatting sqref="R750">
    <cfRule type="cellIs" dxfId="0" priority="482" operator="equal">
      <formula>"欠"</formula>
    </cfRule>
    <cfRule type="containsText" dxfId="2" priority="437" operator="between" text="欠">
      <formula>NOT(ISERROR(SEARCH("欠",R750)))</formula>
    </cfRule>
  </conditionalFormatting>
  <conditionalFormatting sqref="S750">
    <cfRule type="cellIs" dxfId="0" priority="212" operator="equal">
      <formula>"欠"</formula>
    </cfRule>
  </conditionalFormatting>
  <conditionalFormatting sqref="T750">
    <cfRule type="cellIs" dxfId="0" priority="167" operator="equal">
      <formula>"欠"</formula>
    </cfRule>
    <cfRule type="containsText" dxfId="2" priority="122" operator="between" text="欠">
      <formula>NOT(ISERROR(SEARCH("欠",T750)))</formula>
    </cfRule>
  </conditionalFormatting>
  <conditionalFormatting sqref="AI750">
    <cfRule type="cellIs" dxfId="0" priority="347" operator="equal">
      <formula>"未完成"</formula>
    </cfRule>
    <cfRule type="cellIs" dxfId="1" priority="302" operator="equal">
      <formula>"未完成"</formula>
    </cfRule>
  </conditionalFormatting>
  <conditionalFormatting sqref="AJ750">
    <cfRule type="cellIs" dxfId="0" priority="257" operator="equal">
      <formula>"欠"</formula>
    </cfRule>
  </conditionalFormatting>
  <conditionalFormatting sqref="Q751">
    <cfRule type="cellIs" dxfId="0" priority="391" operator="equal">
      <formula>"欠"</formula>
    </cfRule>
  </conditionalFormatting>
  <conditionalFormatting sqref="R751">
    <cfRule type="cellIs" dxfId="0" priority="481" operator="equal">
      <formula>"欠"</formula>
    </cfRule>
    <cfRule type="containsText" dxfId="2" priority="436" operator="between" text="欠">
      <formula>NOT(ISERROR(SEARCH("欠",R751)))</formula>
    </cfRule>
  </conditionalFormatting>
  <conditionalFormatting sqref="S751">
    <cfRule type="cellIs" dxfId="0" priority="211" operator="equal">
      <formula>"欠"</formula>
    </cfRule>
  </conditionalFormatting>
  <conditionalFormatting sqref="T751">
    <cfRule type="cellIs" dxfId="0" priority="166" operator="equal">
      <formula>"欠"</formula>
    </cfRule>
    <cfRule type="containsText" dxfId="2" priority="121" operator="between" text="欠">
      <formula>NOT(ISERROR(SEARCH("欠",T751)))</formula>
    </cfRule>
  </conditionalFormatting>
  <conditionalFormatting sqref="AI751">
    <cfRule type="cellIs" dxfId="0" priority="346" operator="equal">
      <formula>"未完成"</formula>
    </cfRule>
    <cfRule type="cellIs" dxfId="1" priority="301" operator="equal">
      <formula>"未完成"</formula>
    </cfRule>
  </conditionalFormatting>
  <conditionalFormatting sqref="AJ751">
    <cfRule type="cellIs" dxfId="0" priority="256" operator="equal">
      <formula>"欠"</formula>
    </cfRule>
  </conditionalFormatting>
  <conditionalFormatting sqref="Q752">
    <cfRule type="cellIs" dxfId="0" priority="390" operator="equal">
      <formula>"欠"</formula>
    </cfRule>
  </conditionalFormatting>
  <conditionalFormatting sqref="R752">
    <cfRule type="cellIs" dxfId="0" priority="480" operator="equal">
      <formula>"欠"</formula>
    </cfRule>
    <cfRule type="containsText" dxfId="2" priority="435" operator="between" text="欠">
      <formula>NOT(ISERROR(SEARCH("欠",R752)))</formula>
    </cfRule>
  </conditionalFormatting>
  <conditionalFormatting sqref="S752">
    <cfRule type="cellIs" dxfId="0" priority="210" operator="equal">
      <formula>"欠"</formula>
    </cfRule>
  </conditionalFormatting>
  <conditionalFormatting sqref="T752">
    <cfRule type="cellIs" dxfId="0" priority="165" operator="equal">
      <formula>"欠"</formula>
    </cfRule>
    <cfRule type="containsText" dxfId="2" priority="120" operator="between" text="欠">
      <formula>NOT(ISERROR(SEARCH("欠",T752)))</formula>
    </cfRule>
  </conditionalFormatting>
  <conditionalFormatting sqref="AI752">
    <cfRule type="cellIs" dxfId="0" priority="345" operator="equal">
      <formula>"未完成"</formula>
    </cfRule>
    <cfRule type="cellIs" dxfId="1" priority="300" operator="equal">
      <formula>"未完成"</formula>
    </cfRule>
  </conditionalFormatting>
  <conditionalFormatting sqref="AJ752">
    <cfRule type="cellIs" dxfId="0" priority="255" operator="equal">
      <formula>"欠"</formula>
    </cfRule>
  </conditionalFormatting>
  <conditionalFormatting sqref="Q753">
    <cfRule type="cellIs" dxfId="0" priority="389" operator="equal">
      <formula>"欠"</formula>
    </cfRule>
  </conditionalFormatting>
  <conditionalFormatting sqref="R753">
    <cfRule type="cellIs" dxfId="0" priority="479" operator="equal">
      <formula>"欠"</formula>
    </cfRule>
    <cfRule type="containsText" dxfId="2" priority="434" operator="between" text="欠">
      <formula>NOT(ISERROR(SEARCH("欠",R753)))</formula>
    </cfRule>
  </conditionalFormatting>
  <conditionalFormatting sqref="S753">
    <cfRule type="cellIs" dxfId="0" priority="209" operator="equal">
      <formula>"欠"</formula>
    </cfRule>
  </conditionalFormatting>
  <conditionalFormatting sqref="T753">
    <cfRule type="cellIs" dxfId="0" priority="164" operator="equal">
      <formula>"欠"</formula>
    </cfRule>
    <cfRule type="containsText" dxfId="2" priority="119" operator="between" text="欠">
      <formula>NOT(ISERROR(SEARCH("欠",T753)))</formula>
    </cfRule>
  </conditionalFormatting>
  <conditionalFormatting sqref="AI753">
    <cfRule type="cellIs" dxfId="0" priority="344" operator="equal">
      <formula>"未完成"</formula>
    </cfRule>
    <cfRule type="cellIs" dxfId="1" priority="299" operator="equal">
      <formula>"未完成"</formula>
    </cfRule>
  </conditionalFormatting>
  <conditionalFormatting sqref="AJ753">
    <cfRule type="cellIs" dxfId="0" priority="254" operator="equal">
      <formula>"欠"</formula>
    </cfRule>
  </conditionalFormatting>
  <conditionalFormatting sqref="Q754">
    <cfRule type="cellIs" dxfId="0" priority="388" operator="equal">
      <formula>"欠"</formula>
    </cfRule>
  </conditionalFormatting>
  <conditionalFormatting sqref="R754">
    <cfRule type="cellIs" dxfId="0" priority="478" operator="equal">
      <formula>"欠"</formula>
    </cfRule>
    <cfRule type="containsText" dxfId="2" priority="433" operator="between" text="欠">
      <formula>NOT(ISERROR(SEARCH("欠",R754)))</formula>
    </cfRule>
  </conditionalFormatting>
  <conditionalFormatting sqref="S754">
    <cfRule type="cellIs" dxfId="0" priority="208" operator="equal">
      <formula>"欠"</formula>
    </cfRule>
  </conditionalFormatting>
  <conditionalFormatting sqref="T754">
    <cfRule type="cellIs" dxfId="0" priority="163" operator="equal">
      <formula>"欠"</formula>
    </cfRule>
    <cfRule type="containsText" dxfId="2" priority="118" operator="between" text="欠">
      <formula>NOT(ISERROR(SEARCH("欠",T754)))</formula>
    </cfRule>
  </conditionalFormatting>
  <conditionalFormatting sqref="AI754">
    <cfRule type="cellIs" dxfId="0" priority="343" operator="equal">
      <formula>"未完成"</formula>
    </cfRule>
    <cfRule type="cellIs" dxfId="1" priority="298" operator="equal">
      <formula>"未完成"</formula>
    </cfRule>
  </conditionalFormatting>
  <conditionalFormatting sqref="AJ754">
    <cfRule type="cellIs" dxfId="0" priority="253" operator="equal">
      <formula>"欠"</formula>
    </cfRule>
  </conditionalFormatting>
  <conditionalFormatting sqref="Q755">
    <cfRule type="cellIs" dxfId="0" priority="387" operator="equal">
      <formula>"欠"</formula>
    </cfRule>
  </conditionalFormatting>
  <conditionalFormatting sqref="R755">
    <cfRule type="cellIs" dxfId="0" priority="477" operator="equal">
      <formula>"欠"</formula>
    </cfRule>
    <cfRule type="containsText" dxfId="2" priority="432" operator="between" text="欠">
      <formula>NOT(ISERROR(SEARCH("欠",R755)))</formula>
    </cfRule>
  </conditionalFormatting>
  <conditionalFormatting sqref="S755">
    <cfRule type="cellIs" dxfId="0" priority="207" operator="equal">
      <formula>"欠"</formula>
    </cfRule>
  </conditionalFormatting>
  <conditionalFormatting sqref="T755">
    <cfRule type="cellIs" dxfId="0" priority="162" operator="equal">
      <formula>"欠"</formula>
    </cfRule>
    <cfRule type="containsText" dxfId="2" priority="117" operator="between" text="欠">
      <formula>NOT(ISERROR(SEARCH("欠",T755)))</formula>
    </cfRule>
  </conditionalFormatting>
  <conditionalFormatting sqref="AI755">
    <cfRule type="cellIs" dxfId="0" priority="342" operator="equal">
      <formula>"未完成"</formula>
    </cfRule>
    <cfRule type="cellIs" dxfId="1" priority="297" operator="equal">
      <formula>"未完成"</formula>
    </cfRule>
  </conditionalFormatting>
  <conditionalFormatting sqref="AJ755">
    <cfRule type="cellIs" dxfId="0" priority="252" operator="equal">
      <formula>"欠"</formula>
    </cfRule>
  </conditionalFormatting>
  <conditionalFormatting sqref="Q756">
    <cfRule type="cellIs" dxfId="0" priority="386" operator="equal">
      <formula>"欠"</formula>
    </cfRule>
  </conditionalFormatting>
  <conditionalFormatting sqref="R756">
    <cfRule type="cellIs" dxfId="0" priority="476" operator="equal">
      <formula>"欠"</formula>
    </cfRule>
    <cfRule type="containsText" dxfId="2" priority="431" operator="between" text="欠">
      <formula>NOT(ISERROR(SEARCH("欠",R756)))</formula>
    </cfRule>
  </conditionalFormatting>
  <conditionalFormatting sqref="S756">
    <cfRule type="cellIs" dxfId="0" priority="206" operator="equal">
      <formula>"欠"</formula>
    </cfRule>
  </conditionalFormatting>
  <conditionalFormatting sqref="T756">
    <cfRule type="cellIs" dxfId="0" priority="161" operator="equal">
      <formula>"欠"</formula>
    </cfRule>
    <cfRule type="containsText" dxfId="2" priority="116" operator="between" text="欠">
      <formula>NOT(ISERROR(SEARCH("欠",T756)))</formula>
    </cfRule>
  </conditionalFormatting>
  <conditionalFormatting sqref="AI756">
    <cfRule type="cellIs" dxfId="0" priority="341" operator="equal">
      <formula>"未完成"</formula>
    </cfRule>
    <cfRule type="cellIs" dxfId="1" priority="296" operator="equal">
      <formula>"未完成"</formula>
    </cfRule>
  </conditionalFormatting>
  <conditionalFormatting sqref="AJ756">
    <cfRule type="cellIs" dxfId="0" priority="251" operator="equal">
      <formula>"欠"</formula>
    </cfRule>
  </conditionalFormatting>
  <conditionalFormatting sqref="Q757">
    <cfRule type="cellIs" dxfId="0" priority="385" operator="equal">
      <formula>"欠"</formula>
    </cfRule>
  </conditionalFormatting>
  <conditionalFormatting sqref="R757">
    <cfRule type="cellIs" dxfId="0" priority="475" operator="equal">
      <formula>"欠"</formula>
    </cfRule>
    <cfRule type="containsText" dxfId="2" priority="430" operator="between" text="欠">
      <formula>NOT(ISERROR(SEARCH("欠",R757)))</formula>
    </cfRule>
  </conditionalFormatting>
  <conditionalFormatting sqref="S757">
    <cfRule type="cellIs" dxfId="0" priority="205" operator="equal">
      <formula>"欠"</formula>
    </cfRule>
  </conditionalFormatting>
  <conditionalFormatting sqref="T757">
    <cfRule type="cellIs" dxfId="0" priority="160" operator="equal">
      <formula>"欠"</formula>
    </cfRule>
    <cfRule type="containsText" dxfId="2" priority="115" operator="between" text="欠">
      <formula>NOT(ISERROR(SEARCH("欠",T757)))</formula>
    </cfRule>
  </conditionalFormatting>
  <conditionalFormatting sqref="AI757">
    <cfRule type="cellIs" dxfId="0" priority="340" operator="equal">
      <formula>"未完成"</formula>
    </cfRule>
    <cfRule type="cellIs" dxfId="1" priority="295" operator="equal">
      <formula>"未完成"</formula>
    </cfRule>
  </conditionalFormatting>
  <conditionalFormatting sqref="AJ757">
    <cfRule type="cellIs" dxfId="0" priority="250" operator="equal">
      <formula>"欠"</formula>
    </cfRule>
  </conditionalFormatting>
  <conditionalFormatting sqref="Q758">
    <cfRule type="cellIs" dxfId="0" priority="384" operator="equal">
      <formula>"欠"</formula>
    </cfRule>
  </conditionalFormatting>
  <conditionalFormatting sqref="R758">
    <cfRule type="cellIs" dxfId="0" priority="474" operator="equal">
      <formula>"欠"</formula>
    </cfRule>
    <cfRule type="containsText" dxfId="2" priority="429" operator="between" text="欠">
      <formula>NOT(ISERROR(SEARCH("欠",R758)))</formula>
    </cfRule>
  </conditionalFormatting>
  <conditionalFormatting sqref="S758">
    <cfRule type="cellIs" dxfId="0" priority="204" operator="equal">
      <formula>"欠"</formula>
    </cfRule>
  </conditionalFormatting>
  <conditionalFormatting sqref="T758">
    <cfRule type="cellIs" dxfId="0" priority="159" operator="equal">
      <formula>"欠"</formula>
    </cfRule>
    <cfRule type="containsText" dxfId="2" priority="114" operator="between" text="欠">
      <formula>NOT(ISERROR(SEARCH("欠",T758)))</formula>
    </cfRule>
  </conditionalFormatting>
  <conditionalFormatting sqref="AI758">
    <cfRule type="cellIs" dxfId="0" priority="339" operator="equal">
      <formula>"未完成"</formula>
    </cfRule>
    <cfRule type="cellIs" dxfId="1" priority="294" operator="equal">
      <formula>"未完成"</formula>
    </cfRule>
  </conditionalFormatting>
  <conditionalFormatting sqref="AJ758">
    <cfRule type="cellIs" dxfId="0" priority="249" operator="equal">
      <formula>"欠"</formula>
    </cfRule>
  </conditionalFormatting>
  <conditionalFormatting sqref="Q759">
    <cfRule type="cellIs" dxfId="0" priority="383" operator="equal">
      <formula>"欠"</formula>
    </cfRule>
  </conditionalFormatting>
  <conditionalFormatting sqref="R759">
    <cfRule type="cellIs" dxfId="0" priority="473" operator="equal">
      <formula>"欠"</formula>
    </cfRule>
    <cfRule type="containsText" dxfId="2" priority="428" operator="between" text="欠">
      <formula>NOT(ISERROR(SEARCH("欠",R759)))</formula>
    </cfRule>
  </conditionalFormatting>
  <conditionalFormatting sqref="S759">
    <cfRule type="cellIs" dxfId="0" priority="203" operator="equal">
      <formula>"欠"</formula>
    </cfRule>
  </conditionalFormatting>
  <conditionalFormatting sqref="T759">
    <cfRule type="cellIs" dxfId="0" priority="158" operator="equal">
      <formula>"欠"</formula>
    </cfRule>
    <cfRule type="containsText" dxfId="2" priority="113" operator="between" text="欠">
      <formula>NOT(ISERROR(SEARCH("欠",T759)))</formula>
    </cfRule>
  </conditionalFormatting>
  <conditionalFormatting sqref="AI759">
    <cfRule type="cellIs" dxfId="0" priority="338" operator="equal">
      <formula>"未完成"</formula>
    </cfRule>
    <cfRule type="cellIs" dxfId="1" priority="293" operator="equal">
      <formula>"未完成"</formula>
    </cfRule>
  </conditionalFormatting>
  <conditionalFormatting sqref="AJ759">
    <cfRule type="cellIs" dxfId="0" priority="248" operator="equal">
      <formula>"欠"</formula>
    </cfRule>
  </conditionalFormatting>
  <conditionalFormatting sqref="Q760">
    <cfRule type="cellIs" dxfId="0" priority="382" operator="equal">
      <formula>"欠"</formula>
    </cfRule>
  </conditionalFormatting>
  <conditionalFormatting sqref="R760">
    <cfRule type="cellIs" dxfId="0" priority="472" operator="equal">
      <formula>"欠"</formula>
    </cfRule>
    <cfRule type="containsText" dxfId="2" priority="427" operator="between" text="欠">
      <formula>NOT(ISERROR(SEARCH("欠",R760)))</formula>
    </cfRule>
  </conditionalFormatting>
  <conditionalFormatting sqref="S760">
    <cfRule type="cellIs" dxfId="0" priority="202" operator="equal">
      <formula>"欠"</formula>
    </cfRule>
  </conditionalFormatting>
  <conditionalFormatting sqref="T760">
    <cfRule type="cellIs" dxfId="0" priority="157" operator="equal">
      <formula>"欠"</formula>
    </cfRule>
    <cfRule type="containsText" dxfId="2" priority="112" operator="between" text="欠">
      <formula>NOT(ISERROR(SEARCH("欠",T760)))</formula>
    </cfRule>
  </conditionalFormatting>
  <conditionalFormatting sqref="AI760">
    <cfRule type="cellIs" dxfId="0" priority="337" operator="equal">
      <formula>"未完成"</formula>
    </cfRule>
    <cfRule type="cellIs" dxfId="1" priority="292" operator="equal">
      <formula>"未完成"</formula>
    </cfRule>
  </conditionalFormatting>
  <conditionalFormatting sqref="AJ760">
    <cfRule type="cellIs" dxfId="0" priority="247" operator="equal">
      <formula>"欠"</formula>
    </cfRule>
  </conditionalFormatting>
  <conditionalFormatting sqref="Q761">
    <cfRule type="cellIs" dxfId="0" priority="381" operator="equal">
      <formula>"欠"</formula>
    </cfRule>
  </conditionalFormatting>
  <conditionalFormatting sqref="R761">
    <cfRule type="cellIs" dxfId="0" priority="471" operator="equal">
      <formula>"欠"</formula>
    </cfRule>
    <cfRule type="containsText" dxfId="2" priority="426" operator="between" text="欠">
      <formula>NOT(ISERROR(SEARCH("欠",R761)))</formula>
    </cfRule>
  </conditionalFormatting>
  <conditionalFormatting sqref="S761">
    <cfRule type="cellIs" dxfId="0" priority="201" operator="equal">
      <formula>"欠"</formula>
    </cfRule>
  </conditionalFormatting>
  <conditionalFormatting sqref="T761">
    <cfRule type="cellIs" dxfId="0" priority="156" operator="equal">
      <formula>"欠"</formula>
    </cfRule>
    <cfRule type="containsText" dxfId="2" priority="111" operator="between" text="欠">
      <formula>NOT(ISERROR(SEARCH("欠",T761)))</formula>
    </cfRule>
  </conditionalFormatting>
  <conditionalFormatting sqref="AI761">
    <cfRule type="cellIs" dxfId="0" priority="336" operator="equal">
      <formula>"未完成"</formula>
    </cfRule>
    <cfRule type="cellIs" dxfId="1" priority="291" operator="equal">
      <formula>"未完成"</formula>
    </cfRule>
  </conditionalFormatting>
  <conditionalFormatting sqref="AJ761">
    <cfRule type="cellIs" dxfId="0" priority="246" operator="equal">
      <formula>"欠"</formula>
    </cfRule>
  </conditionalFormatting>
  <conditionalFormatting sqref="Q762">
    <cfRule type="cellIs" dxfId="0" priority="380" operator="equal">
      <formula>"欠"</formula>
    </cfRule>
  </conditionalFormatting>
  <conditionalFormatting sqref="R762">
    <cfRule type="cellIs" dxfId="0" priority="470" operator="equal">
      <formula>"欠"</formula>
    </cfRule>
    <cfRule type="containsText" dxfId="2" priority="425" operator="between" text="欠">
      <formula>NOT(ISERROR(SEARCH("欠",R762)))</formula>
    </cfRule>
  </conditionalFormatting>
  <conditionalFormatting sqref="S762">
    <cfRule type="cellIs" dxfId="0" priority="200" operator="equal">
      <formula>"欠"</formula>
    </cfRule>
  </conditionalFormatting>
  <conditionalFormatting sqref="T762">
    <cfRule type="cellIs" dxfId="0" priority="155" operator="equal">
      <formula>"欠"</formula>
    </cfRule>
    <cfRule type="containsText" dxfId="2" priority="110" operator="between" text="欠">
      <formula>NOT(ISERROR(SEARCH("欠",T762)))</formula>
    </cfRule>
  </conditionalFormatting>
  <conditionalFormatting sqref="AI762">
    <cfRule type="cellIs" dxfId="0" priority="335" operator="equal">
      <formula>"未完成"</formula>
    </cfRule>
    <cfRule type="cellIs" dxfId="1" priority="290" operator="equal">
      <formula>"未完成"</formula>
    </cfRule>
  </conditionalFormatting>
  <conditionalFormatting sqref="AJ762">
    <cfRule type="cellIs" dxfId="0" priority="245" operator="equal">
      <formula>"欠"</formula>
    </cfRule>
  </conditionalFormatting>
  <conditionalFormatting sqref="Q763">
    <cfRule type="cellIs" dxfId="0" priority="379" operator="equal">
      <formula>"欠"</formula>
    </cfRule>
  </conditionalFormatting>
  <conditionalFormatting sqref="R763">
    <cfRule type="cellIs" dxfId="0" priority="469" operator="equal">
      <formula>"欠"</formula>
    </cfRule>
    <cfRule type="containsText" dxfId="2" priority="424" operator="between" text="欠">
      <formula>NOT(ISERROR(SEARCH("欠",R763)))</formula>
    </cfRule>
  </conditionalFormatting>
  <conditionalFormatting sqref="S763">
    <cfRule type="cellIs" dxfId="0" priority="199" operator="equal">
      <formula>"欠"</formula>
    </cfRule>
  </conditionalFormatting>
  <conditionalFormatting sqref="T763">
    <cfRule type="cellIs" dxfId="0" priority="154" operator="equal">
      <formula>"欠"</formula>
    </cfRule>
    <cfRule type="containsText" dxfId="2" priority="109" operator="between" text="欠">
      <formula>NOT(ISERROR(SEARCH("欠",T763)))</formula>
    </cfRule>
  </conditionalFormatting>
  <conditionalFormatting sqref="AI763">
    <cfRule type="cellIs" dxfId="0" priority="334" operator="equal">
      <formula>"未完成"</formula>
    </cfRule>
    <cfRule type="cellIs" dxfId="1" priority="289" operator="equal">
      <formula>"未完成"</formula>
    </cfRule>
  </conditionalFormatting>
  <conditionalFormatting sqref="AJ763">
    <cfRule type="cellIs" dxfId="0" priority="244" operator="equal">
      <formula>"欠"</formula>
    </cfRule>
  </conditionalFormatting>
  <conditionalFormatting sqref="Q764">
    <cfRule type="cellIs" dxfId="0" priority="378" operator="equal">
      <formula>"欠"</formula>
    </cfRule>
  </conditionalFormatting>
  <conditionalFormatting sqref="R764">
    <cfRule type="cellIs" dxfId="0" priority="468" operator="equal">
      <formula>"欠"</formula>
    </cfRule>
    <cfRule type="containsText" dxfId="2" priority="423" operator="between" text="欠">
      <formula>NOT(ISERROR(SEARCH("欠",R764)))</formula>
    </cfRule>
  </conditionalFormatting>
  <conditionalFormatting sqref="S764">
    <cfRule type="cellIs" dxfId="0" priority="198" operator="equal">
      <formula>"欠"</formula>
    </cfRule>
  </conditionalFormatting>
  <conditionalFormatting sqref="T764">
    <cfRule type="cellIs" dxfId="0" priority="153" operator="equal">
      <formula>"欠"</formula>
    </cfRule>
    <cfRule type="containsText" dxfId="2" priority="108" operator="between" text="欠">
      <formula>NOT(ISERROR(SEARCH("欠",T764)))</formula>
    </cfRule>
  </conditionalFormatting>
  <conditionalFormatting sqref="AI764">
    <cfRule type="cellIs" dxfId="0" priority="333" operator="equal">
      <formula>"未完成"</formula>
    </cfRule>
    <cfRule type="cellIs" dxfId="1" priority="288" operator="equal">
      <formula>"未完成"</formula>
    </cfRule>
  </conditionalFormatting>
  <conditionalFormatting sqref="AJ764">
    <cfRule type="cellIs" dxfId="0" priority="243" operator="equal">
      <formula>"欠"</formula>
    </cfRule>
  </conditionalFormatting>
  <conditionalFormatting sqref="Q765">
    <cfRule type="cellIs" dxfId="0" priority="377" operator="equal">
      <formula>"欠"</formula>
    </cfRule>
  </conditionalFormatting>
  <conditionalFormatting sqref="R765">
    <cfRule type="cellIs" dxfId="0" priority="467" operator="equal">
      <formula>"欠"</formula>
    </cfRule>
    <cfRule type="containsText" dxfId="2" priority="422" operator="between" text="欠">
      <formula>NOT(ISERROR(SEARCH("欠",R765)))</formula>
    </cfRule>
  </conditionalFormatting>
  <conditionalFormatting sqref="S765">
    <cfRule type="cellIs" dxfId="0" priority="197" operator="equal">
      <formula>"欠"</formula>
    </cfRule>
  </conditionalFormatting>
  <conditionalFormatting sqref="T765">
    <cfRule type="cellIs" dxfId="0" priority="152" operator="equal">
      <formula>"欠"</formula>
    </cfRule>
    <cfRule type="containsText" dxfId="2" priority="107" operator="between" text="欠">
      <formula>NOT(ISERROR(SEARCH("欠",T765)))</formula>
    </cfRule>
  </conditionalFormatting>
  <conditionalFormatting sqref="AI765">
    <cfRule type="cellIs" dxfId="0" priority="332" operator="equal">
      <formula>"未完成"</formula>
    </cfRule>
    <cfRule type="cellIs" dxfId="1" priority="287" operator="equal">
      <formula>"未完成"</formula>
    </cfRule>
  </conditionalFormatting>
  <conditionalFormatting sqref="AJ765">
    <cfRule type="cellIs" dxfId="0" priority="242" operator="equal">
      <formula>"欠"</formula>
    </cfRule>
  </conditionalFormatting>
  <conditionalFormatting sqref="Q766">
    <cfRule type="cellIs" dxfId="0" priority="376" operator="equal">
      <formula>"欠"</formula>
    </cfRule>
  </conditionalFormatting>
  <conditionalFormatting sqref="R766">
    <cfRule type="cellIs" dxfId="0" priority="466" operator="equal">
      <formula>"欠"</formula>
    </cfRule>
    <cfRule type="containsText" dxfId="2" priority="421" operator="between" text="欠">
      <formula>NOT(ISERROR(SEARCH("欠",R766)))</formula>
    </cfRule>
  </conditionalFormatting>
  <conditionalFormatting sqref="S766">
    <cfRule type="cellIs" dxfId="0" priority="196" operator="equal">
      <formula>"欠"</formula>
    </cfRule>
  </conditionalFormatting>
  <conditionalFormatting sqref="T766">
    <cfRule type="cellIs" dxfId="0" priority="151" operator="equal">
      <formula>"欠"</formula>
    </cfRule>
    <cfRule type="containsText" dxfId="2" priority="106" operator="between" text="欠">
      <formula>NOT(ISERROR(SEARCH("欠",T766)))</formula>
    </cfRule>
  </conditionalFormatting>
  <conditionalFormatting sqref="AI766">
    <cfRule type="cellIs" dxfId="0" priority="331" operator="equal">
      <formula>"未完成"</formula>
    </cfRule>
    <cfRule type="cellIs" dxfId="1" priority="286" operator="equal">
      <formula>"未完成"</formula>
    </cfRule>
  </conditionalFormatting>
  <conditionalFormatting sqref="AJ766">
    <cfRule type="cellIs" dxfId="0" priority="241" operator="equal">
      <formula>"欠"</formula>
    </cfRule>
  </conditionalFormatting>
  <conditionalFormatting sqref="Q767">
    <cfRule type="cellIs" dxfId="0" priority="375" operator="equal">
      <formula>"欠"</formula>
    </cfRule>
  </conditionalFormatting>
  <conditionalFormatting sqref="R767">
    <cfRule type="cellIs" dxfId="0" priority="465" operator="equal">
      <formula>"欠"</formula>
    </cfRule>
    <cfRule type="containsText" dxfId="2" priority="420" operator="between" text="欠">
      <formula>NOT(ISERROR(SEARCH("欠",R767)))</formula>
    </cfRule>
  </conditionalFormatting>
  <conditionalFormatting sqref="S767">
    <cfRule type="cellIs" dxfId="0" priority="195" operator="equal">
      <formula>"欠"</formula>
    </cfRule>
  </conditionalFormatting>
  <conditionalFormatting sqref="T767">
    <cfRule type="cellIs" dxfId="0" priority="150" operator="equal">
      <formula>"欠"</formula>
    </cfRule>
    <cfRule type="containsText" dxfId="2" priority="105" operator="between" text="欠">
      <formula>NOT(ISERROR(SEARCH("欠",T767)))</formula>
    </cfRule>
  </conditionalFormatting>
  <conditionalFormatting sqref="AI767">
    <cfRule type="cellIs" dxfId="0" priority="330" operator="equal">
      <formula>"未完成"</formula>
    </cfRule>
    <cfRule type="cellIs" dxfId="1" priority="285" operator="equal">
      <formula>"未完成"</formula>
    </cfRule>
  </conditionalFormatting>
  <conditionalFormatting sqref="AJ767">
    <cfRule type="cellIs" dxfId="0" priority="240" operator="equal">
      <formula>"欠"</formula>
    </cfRule>
  </conditionalFormatting>
  <conditionalFormatting sqref="Q768">
    <cfRule type="cellIs" dxfId="0" priority="374" operator="equal">
      <formula>"欠"</formula>
    </cfRule>
  </conditionalFormatting>
  <conditionalFormatting sqref="R768">
    <cfRule type="cellIs" dxfId="0" priority="464" operator="equal">
      <formula>"欠"</formula>
    </cfRule>
    <cfRule type="containsText" dxfId="2" priority="419" operator="between" text="欠">
      <formula>NOT(ISERROR(SEARCH("欠",R768)))</formula>
    </cfRule>
  </conditionalFormatting>
  <conditionalFormatting sqref="S768">
    <cfRule type="cellIs" dxfId="0" priority="194" operator="equal">
      <formula>"欠"</formula>
    </cfRule>
  </conditionalFormatting>
  <conditionalFormatting sqref="T768">
    <cfRule type="cellIs" dxfId="0" priority="149" operator="equal">
      <formula>"欠"</formula>
    </cfRule>
    <cfRule type="containsText" dxfId="2" priority="104" operator="between" text="欠">
      <formula>NOT(ISERROR(SEARCH("欠",T768)))</formula>
    </cfRule>
  </conditionalFormatting>
  <conditionalFormatting sqref="AI768">
    <cfRule type="cellIs" dxfId="0" priority="329" operator="equal">
      <formula>"未完成"</formula>
    </cfRule>
    <cfRule type="cellIs" dxfId="1" priority="284" operator="equal">
      <formula>"未完成"</formula>
    </cfRule>
  </conditionalFormatting>
  <conditionalFormatting sqref="AJ768">
    <cfRule type="cellIs" dxfId="0" priority="239" operator="equal">
      <formula>"欠"</formula>
    </cfRule>
  </conditionalFormatting>
  <conditionalFormatting sqref="Q769">
    <cfRule type="cellIs" dxfId="0" priority="373" operator="equal">
      <formula>"欠"</formula>
    </cfRule>
  </conditionalFormatting>
  <conditionalFormatting sqref="R769">
    <cfRule type="cellIs" dxfId="0" priority="463" operator="equal">
      <formula>"欠"</formula>
    </cfRule>
    <cfRule type="containsText" dxfId="2" priority="418" operator="between" text="欠">
      <formula>NOT(ISERROR(SEARCH("欠",R769)))</formula>
    </cfRule>
  </conditionalFormatting>
  <conditionalFormatting sqref="S769">
    <cfRule type="cellIs" dxfId="0" priority="193" operator="equal">
      <formula>"欠"</formula>
    </cfRule>
  </conditionalFormatting>
  <conditionalFormatting sqref="T769">
    <cfRule type="cellIs" dxfId="0" priority="148" operator="equal">
      <formula>"欠"</formula>
    </cfRule>
    <cfRule type="containsText" dxfId="2" priority="103" operator="between" text="欠">
      <formula>NOT(ISERROR(SEARCH("欠",T769)))</formula>
    </cfRule>
  </conditionalFormatting>
  <conditionalFormatting sqref="AI769">
    <cfRule type="cellIs" dxfId="0" priority="328" operator="equal">
      <formula>"未完成"</formula>
    </cfRule>
    <cfRule type="cellIs" dxfId="1" priority="283" operator="equal">
      <formula>"未完成"</formula>
    </cfRule>
  </conditionalFormatting>
  <conditionalFormatting sqref="AJ769">
    <cfRule type="cellIs" dxfId="0" priority="238" operator="equal">
      <formula>"欠"</formula>
    </cfRule>
  </conditionalFormatting>
  <conditionalFormatting sqref="Q770">
    <cfRule type="cellIs" dxfId="0" priority="372" operator="equal">
      <formula>"欠"</formula>
    </cfRule>
  </conditionalFormatting>
  <conditionalFormatting sqref="R770">
    <cfRule type="cellIs" dxfId="0" priority="462" operator="equal">
      <formula>"欠"</formula>
    </cfRule>
    <cfRule type="containsText" dxfId="2" priority="417" operator="between" text="欠">
      <formula>NOT(ISERROR(SEARCH("欠",R770)))</formula>
    </cfRule>
  </conditionalFormatting>
  <conditionalFormatting sqref="S770">
    <cfRule type="cellIs" dxfId="0" priority="192" operator="equal">
      <formula>"欠"</formula>
    </cfRule>
  </conditionalFormatting>
  <conditionalFormatting sqref="T770">
    <cfRule type="cellIs" dxfId="0" priority="147" operator="equal">
      <formula>"欠"</formula>
    </cfRule>
    <cfRule type="containsText" dxfId="2" priority="102" operator="between" text="欠">
      <formula>NOT(ISERROR(SEARCH("欠",T770)))</formula>
    </cfRule>
  </conditionalFormatting>
  <conditionalFormatting sqref="AI770">
    <cfRule type="cellIs" dxfId="0" priority="327" operator="equal">
      <formula>"未完成"</formula>
    </cfRule>
    <cfRule type="cellIs" dxfId="1" priority="282" operator="equal">
      <formula>"未完成"</formula>
    </cfRule>
  </conditionalFormatting>
  <conditionalFormatting sqref="AJ770">
    <cfRule type="cellIs" dxfId="0" priority="237" operator="equal">
      <formula>"欠"</formula>
    </cfRule>
  </conditionalFormatting>
  <conditionalFormatting sqref="Q771">
    <cfRule type="cellIs" dxfId="0" priority="1744" operator="equal">
      <formula>"欠"</formula>
    </cfRule>
  </conditionalFormatting>
  <conditionalFormatting sqref="R771">
    <cfRule type="containsText" dxfId="2" priority="1746" operator="between" text="欠">
      <formula>NOT(ISERROR(SEARCH("欠",R771)))</formula>
    </cfRule>
    <cfRule type="cellIs" dxfId="0" priority="1747" operator="equal">
      <formula>"欠"</formula>
    </cfRule>
  </conditionalFormatting>
  <conditionalFormatting sqref="S771">
    <cfRule type="cellIs" dxfId="0" priority="1745" operator="equal">
      <formula>"欠"</formula>
    </cfRule>
  </conditionalFormatting>
  <conditionalFormatting sqref="T771">
    <cfRule type="cellIs" dxfId="0" priority="1719" operator="equal">
      <formula>"欠"</formula>
    </cfRule>
  </conditionalFormatting>
  <conditionalFormatting sqref="AI771">
    <cfRule type="cellIs" dxfId="1" priority="1742" operator="equal">
      <formula>"未完成"</formula>
    </cfRule>
    <cfRule type="cellIs" dxfId="0" priority="1743" operator="equal">
      <formula>"未完成"</formula>
    </cfRule>
  </conditionalFormatting>
  <conditionalFormatting sqref="AJ771">
    <cfRule type="cellIs" dxfId="0" priority="1741" operator="equal">
      <formula>"欠"</formula>
    </cfRule>
  </conditionalFormatting>
  <conditionalFormatting sqref="Q772">
    <cfRule type="cellIs" dxfId="0" priority="2088" operator="equal">
      <formula>"欠"</formula>
    </cfRule>
  </conditionalFormatting>
  <conditionalFormatting sqref="R772">
    <cfRule type="containsText" dxfId="2" priority="2010" operator="between" text="欠">
      <formula>NOT(ISERROR(SEARCH("欠",R772)))</formula>
    </cfRule>
    <cfRule type="cellIs" dxfId="0" priority="2011" operator="equal">
      <formula>"欠"</formula>
    </cfRule>
  </conditionalFormatting>
  <conditionalFormatting sqref="S772">
    <cfRule type="cellIs" dxfId="0" priority="2009" operator="equal">
      <formula>"欠"</formula>
    </cfRule>
  </conditionalFormatting>
  <conditionalFormatting sqref="T772">
    <cfRule type="containsText" dxfId="2" priority="2082" operator="between" text="欠">
      <formula>NOT(ISERROR(SEARCH("欠",T772)))</formula>
    </cfRule>
    <cfRule type="containsText" dxfId="3" priority="2083" operator="between" text="欠">
      <formula>NOT(ISERROR(SEARCH("欠",T772)))</formula>
    </cfRule>
    <cfRule type="cellIs" dxfId="0" priority="2084" operator="equal">
      <formula>"欠"</formula>
    </cfRule>
  </conditionalFormatting>
  <conditionalFormatting sqref="AI772">
    <cfRule type="cellIs" dxfId="1" priority="2086" operator="equal">
      <formula>"未完成"</formula>
    </cfRule>
    <cfRule type="cellIs" dxfId="0" priority="2087" operator="equal">
      <formula>"未完成"</formula>
    </cfRule>
  </conditionalFormatting>
  <conditionalFormatting sqref="AJ772">
    <cfRule type="cellIs" dxfId="0" priority="2085" operator="equal">
      <formula>"欠"</formula>
    </cfRule>
  </conditionalFormatting>
  <conditionalFormatting sqref="U773">
    <cfRule type="cellIs" dxfId="0" priority="1959" operator="equal">
      <formula>"欠"</formula>
    </cfRule>
  </conditionalFormatting>
  <conditionalFormatting sqref="AI773">
    <cfRule type="cellIs" dxfId="1" priority="1961" operator="equal">
      <formula>"未完成"</formula>
    </cfRule>
    <cfRule type="cellIs" dxfId="0" priority="1962" operator="equal">
      <formula>"未完成"</formula>
    </cfRule>
  </conditionalFormatting>
  <conditionalFormatting sqref="AJ773">
    <cfRule type="cellIs" dxfId="0" priority="1960" operator="equal">
      <formula>"欠"</formula>
    </cfRule>
  </conditionalFormatting>
  <conditionalFormatting sqref="Q774">
    <cfRule type="cellIs" dxfId="0" priority="1763" operator="equal">
      <formula>"欠"</formula>
    </cfRule>
  </conditionalFormatting>
  <conditionalFormatting sqref="R774">
    <cfRule type="containsText" dxfId="2" priority="1956" operator="between" text="欠">
      <formula>NOT(ISERROR(SEARCH("欠",R774)))</formula>
    </cfRule>
    <cfRule type="cellIs" dxfId="0" priority="1958" operator="equal">
      <formula>"欠"</formula>
    </cfRule>
  </conditionalFormatting>
  <conditionalFormatting sqref="S774">
    <cfRule type="cellIs" dxfId="0" priority="1718" operator="equal">
      <formula>"欠"</formula>
    </cfRule>
  </conditionalFormatting>
  <conditionalFormatting sqref="T774">
    <cfRule type="containsText" dxfId="2" priority="1753" operator="between" text="欠">
      <formula>NOT(ISERROR(SEARCH("欠",T774)))</formula>
    </cfRule>
    <cfRule type="containsText" dxfId="3" priority="1756" operator="between" text="欠">
      <formula>NOT(ISERROR(SEARCH("欠",T774)))</formula>
    </cfRule>
    <cfRule type="cellIs" dxfId="0" priority="1757" operator="equal">
      <formula>"欠"</formula>
    </cfRule>
  </conditionalFormatting>
  <conditionalFormatting sqref="U774">
    <cfRule type="cellIs" dxfId="0" priority="1754" operator="equal">
      <formula>"欠"</formula>
    </cfRule>
  </conditionalFormatting>
  <conditionalFormatting sqref="AI774">
    <cfRule type="cellIs" dxfId="1" priority="1761" operator="equal">
      <formula>"未完成"</formula>
    </cfRule>
    <cfRule type="cellIs" dxfId="0" priority="1762" operator="equal">
      <formula>"未完成"</formula>
    </cfRule>
  </conditionalFormatting>
  <conditionalFormatting sqref="AJ774">
    <cfRule type="cellIs" dxfId="0" priority="1760" operator="equal">
      <formula>"欠"</formula>
    </cfRule>
  </conditionalFormatting>
  <conditionalFormatting sqref="S776">
    <cfRule type="cellIs" dxfId="0" priority="1714" operator="equal">
      <formula>"欠"</formula>
    </cfRule>
  </conditionalFormatting>
  <conditionalFormatting sqref="T776">
    <cfRule type="cellIs" dxfId="0" priority="1715" operator="equal">
      <formula>"欠"</formula>
    </cfRule>
  </conditionalFormatting>
  <conditionalFormatting sqref="Q783">
    <cfRule type="cellIs" dxfId="0" priority="1667" operator="equal">
      <formula>"欠"</formula>
    </cfRule>
  </conditionalFormatting>
  <conditionalFormatting sqref="R783">
    <cfRule type="containsText" dxfId="2" priority="1658" operator="between" text="欠">
      <formula>NOT(ISERROR(SEARCH("欠",R783)))</formula>
    </cfRule>
    <cfRule type="cellIs" dxfId="0" priority="1662" operator="equal">
      <formula>"欠"</formula>
    </cfRule>
  </conditionalFormatting>
  <conditionalFormatting sqref="S783">
    <cfRule type="cellIs" dxfId="0" priority="1657" operator="equal">
      <formula>"欠"</formula>
    </cfRule>
  </conditionalFormatting>
  <conditionalFormatting sqref="T783">
    <cfRule type="containsText" dxfId="2" priority="1659" operator="between" text="欠">
      <formula>NOT(ISERROR(SEARCH("欠",T783)))</formula>
    </cfRule>
    <cfRule type="cellIs" dxfId="0" priority="1660" operator="equal">
      <formula>"欠"</formula>
    </cfRule>
  </conditionalFormatting>
  <conditionalFormatting sqref="U783">
    <cfRule type="cellIs" dxfId="0" priority="1663" operator="equal">
      <formula>"欠"</formula>
    </cfRule>
  </conditionalFormatting>
  <conditionalFormatting sqref="AI783">
    <cfRule type="cellIs" dxfId="1" priority="1665" operator="equal">
      <formula>"未完成"</formula>
    </cfRule>
    <cfRule type="cellIs" dxfId="0" priority="1666" operator="equal">
      <formula>"未完成"</formula>
    </cfRule>
  </conditionalFormatting>
  <conditionalFormatting sqref="AJ783">
    <cfRule type="cellIs" dxfId="0" priority="1664" operator="equal">
      <formula>"欠"</formula>
    </cfRule>
  </conditionalFormatting>
  <conditionalFormatting sqref="R785">
    <cfRule type="containsText" dxfId="2" priority="2604" operator="between" text="欠">
      <formula>NOT(ISERROR(SEARCH("欠",R785)))</formula>
    </cfRule>
    <cfRule type="cellIs" dxfId="0" priority="2605" operator="equal">
      <formula>"欠"</formula>
    </cfRule>
  </conditionalFormatting>
  <conditionalFormatting sqref="T785">
    <cfRule type="cellIs" dxfId="0" priority="1720" operator="equal">
      <formula>"欠"</formula>
    </cfRule>
  </conditionalFormatting>
  <conditionalFormatting sqref="Q790">
    <cfRule type="cellIs" dxfId="0" priority="1909" operator="equal">
      <formula>"欠"</formula>
    </cfRule>
  </conditionalFormatting>
  <conditionalFormatting sqref="R790">
    <cfRule type="containsText" dxfId="2" priority="1902" operator="between" text="欠">
      <formula>NOT(ISERROR(SEARCH("欠",R790)))</formula>
    </cfRule>
    <cfRule type="cellIs" dxfId="0" priority="1904" operator="equal">
      <formula>"欠"</formula>
    </cfRule>
  </conditionalFormatting>
  <conditionalFormatting sqref="U790">
    <cfRule type="cellIs" dxfId="0" priority="1905" operator="equal">
      <formula>"欠"</formula>
    </cfRule>
  </conditionalFormatting>
  <conditionalFormatting sqref="AI790">
    <cfRule type="cellIs" dxfId="1" priority="1907" operator="equal">
      <formula>"未完成"</formula>
    </cfRule>
    <cfRule type="cellIs" dxfId="0" priority="1908" operator="equal">
      <formula>"未完成"</formula>
    </cfRule>
  </conditionalFormatting>
  <conditionalFormatting sqref="AJ790">
    <cfRule type="cellIs" dxfId="0" priority="1906" operator="equal">
      <formula>"欠"</formula>
    </cfRule>
  </conditionalFormatting>
  <conditionalFormatting sqref="Q798">
    <cfRule type="cellIs" dxfId="0" priority="1975" operator="equal">
      <formula>"欠"</formula>
    </cfRule>
  </conditionalFormatting>
  <conditionalFormatting sqref="R798">
    <cfRule type="containsText" dxfId="2" priority="1969" operator="between" text="欠">
      <formula>NOT(ISERROR(SEARCH("欠",R798)))</formula>
    </cfRule>
    <cfRule type="cellIs" dxfId="0" priority="1970" operator="equal">
      <formula>"欠"</formula>
    </cfRule>
  </conditionalFormatting>
  <conditionalFormatting sqref="T798">
    <cfRule type="containsText" dxfId="2" priority="1967" operator="between" text="欠">
      <formula>NOT(ISERROR(SEARCH("欠",T798)))</formula>
    </cfRule>
    <cfRule type="cellIs" dxfId="0" priority="1968" operator="equal">
      <formula>"欠"</formula>
    </cfRule>
  </conditionalFormatting>
  <conditionalFormatting sqref="U798">
    <cfRule type="cellIs" dxfId="0" priority="1971" operator="equal">
      <formula>"欠"</formula>
    </cfRule>
  </conditionalFormatting>
  <conditionalFormatting sqref="AI798">
    <cfRule type="cellIs" dxfId="1" priority="1973" operator="equal">
      <formula>"未完成"</formula>
    </cfRule>
    <cfRule type="cellIs" dxfId="0" priority="1974" operator="equal">
      <formula>"未完成"</formula>
    </cfRule>
  </conditionalFormatting>
  <conditionalFormatting sqref="AJ798">
    <cfRule type="cellIs" dxfId="0" priority="1972" operator="equal">
      <formula>"欠"</formula>
    </cfRule>
  </conditionalFormatting>
  <conditionalFormatting sqref="Q805">
    <cfRule type="cellIs" dxfId="0" priority="2389" operator="equal">
      <formula>"欠"</formula>
    </cfRule>
  </conditionalFormatting>
  <conditionalFormatting sqref="U805">
    <cfRule type="cellIs" dxfId="0" priority="2289" operator="equal">
      <formula>"欠"</formula>
    </cfRule>
  </conditionalFormatting>
  <conditionalFormatting sqref="Q812">
    <cfRule type="cellIs" dxfId="0" priority="1325" operator="equal">
      <formula>"欠"</formula>
    </cfRule>
  </conditionalFormatting>
  <conditionalFormatting sqref="R812">
    <cfRule type="containsText" dxfId="2" priority="1319" operator="between" text="欠">
      <formula>NOT(ISERROR(SEARCH("欠",R812)))</formula>
    </cfRule>
    <cfRule type="cellIs" dxfId="0" priority="1320" operator="equal">
      <formula>"欠"</formula>
    </cfRule>
  </conditionalFormatting>
  <conditionalFormatting sqref="S812">
    <cfRule type="cellIs" dxfId="0" priority="1326" operator="equal">
      <formula>"欠"</formula>
    </cfRule>
  </conditionalFormatting>
  <conditionalFormatting sqref="T812">
    <cfRule type="containsText" dxfId="2" priority="1317" operator="between" text="欠">
      <formula>NOT(ISERROR(SEARCH("欠",T812)))</formula>
    </cfRule>
    <cfRule type="cellIs" dxfId="0" priority="1318" operator="equal">
      <formula>"欠"</formula>
    </cfRule>
  </conditionalFormatting>
  <conditionalFormatting sqref="U812">
    <cfRule type="cellIs" dxfId="0" priority="1321" operator="equal">
      <formula>"欠"</formula>
    </cfRule>
  </conditionalFormatting>
  <conditionalFormatting sqref="AI812">
    <cfRule type="cellIs" dxfId="1" priority="1323" operator="equal">
      <formula>"未完成"</formula>
    </cfRule>
    <cfRule type="cellIs" dxfId="0" priority="1324" operator="equal">
      <formula>"未完成"</formula>
    </cfRule>
  </conditionalFormatting>
  <conditionalFormatting sqref="AJ812">
    <cfRule type="cellIs" dxfId="0" priority="1322" operator="equal">
      <formula>"欠"</formula>
    </cfRule>
  </conditionalFormatting>
  <conditionalFormatting sqref="Q813">
    <cfRule type="cellIs" dxfId="0" priority="1652" operator="equal">
      <formula>"欠"</formula>
    </cfRule>
  </conditionalFormatting>
  <conditionalFormatting sqref="R813">
    <cfRule type="containsText" dxfId="2" priority="1647" operator="between" text="欠">
      <formula>NOT(ISERROR(SEARCH("欠",R813)))</formula>
    </cfRule>
    <cfRule type="cellIs" dxfId="0" priority="1655" operator="equal">
      <formula>"欠"</formula>
    </cfRule>
  </conditionalFormatting>
  <conditionalFormatting sqref="T813">
    <cfRule type="containsText" dxfId="2" priority="1648" operator="between" text="欠">
      <formula>NOT(ISERROR(SEARCH("欠",T813)))</formula>
    </cfRule>
    <cfRule type="cellIs" dxfId="0" priority="1653" operator="equal">
      <formula>"欠"</formula>
    </cfRule>
  </conditionalFormatting>
  <conditionalFormatting sqref="AI813">
    <cfRule type="cellIs" dxfId="1" priority="1650" operator="equal">
      <formula>"未完成"</formula>
    </cfRule>
    <cfRule type="cellIs" dxfId="0" priority="1651" operator="equal">
      <formula>"未完成"</formula>
    </cfRule>
  </conditionalFormatting>
  <conditionalFormatting sqref="AJ813">
    <cfRule type="cellIs" dxfId="0" priority="1649" operator="equal">
      <formula>"欠"</formula>
    </cfRule>
  </conditionalFormatting>
  <conditionalFormatting sqref="Q814">
    <cfRule type="cellIs" dxfId="0" priority="2387" operator="equal">
      <formula>"欠"</formula>
    </cfRule>
  </conditionalFormatting>
  <conditionalFormatting sqref="U814">
    <cfRule type="cellIs" dxfId="0" priority="2287" operator="equal">
      <formula>"欠"</formula>
    </cfRule>
  </conditionalFormatting>
  <conditionalFormatting sqref="Q818">
    <cfRule type="cellIs" dxfId="0" priority="2386" operator="equal">
      <formula>"欠"</formula>
    </cfRule>
  </conditionalFormatting>
  <conditionalFormatting sqref="U818">
    <cfRule type="cellIs" dxfId="0" priority="2286" operator="equal">
      <formula>"欠"</formula>
    </cfRule>
  </conditionalFormatting>
  <conditionalFormatting sqref="Q819">
    <cfRule type="cellIs" dxfId="0" priority="1335" operator="equal">
      <formula>"欠"</formula>
    </cfRule>
  </conditionalFormatting>
  <conditionalFormatting sqref="R819">
    <cfRule type="containsText" dxfId="2" priority="1327" operator="between" text="欠">
      <formula>NOT(ISERROR(SEARCH("欠",R819)))</formula>
    </cfRule>
    <cfRule type="cellIs" dxfId="0" priority="1330" operator="equal">
      <formula>"欠"</formula>
    </cfRule>
  </conditionalFormatting>
  <conditionalFormatting sqref="S819">
    <cfRule type="cellIs" dxfId="0" priority="1336" operator="equal">
      <formula>"欠"</formula>
    </cfRule>
  </conditionalFormatting>
  <conditionalFormatting sqref="T819">
    <cfRule type="containsText" dxfId="2" priority="1328" operator="between" text="欠">
      <formula>NOT(ISERROR(SEARCH("欠",T819)))</formula>
    </cfRule>
    <cfRule type="cellIs" dxfId="0" priority="1329" operator="equal">
      <formula>"欠"</formula>
    </cfRule>
  </conditionalFormatting>
  <conditionalFormatting sqref="U819">
    <cfRule type="cellIs" dxfId="0" priority="1331" operator="equal">
      <formula>"欠"</formula>
    </cfRule>
  </conditionalFormatting>
  <conditionalFormatting sqref="AI819">
    <cfRule type="cellIs" dxfId="1" priority="1333" operator="equal">
      <formula>"未完成"</formula>
    </cfRule>
    <cfRule type="cellIs" dxfId="0" priority="1334" operator="equal">
      <formula>"未完成"</formula>
    </cfRule>
  </conditionalFormatting>
  <conditionalFormatting sqref="AJ819">
    <cfRule type="cellIs" dxfId="0" priority="1332" operator="equal">
      <formula>"欠"</formula>
    </cfRule>
  </conditionalFormatting>
  <conditionalFormatting sqref="Q821">
    <cfRule type="cellIs" dxfId="0" priority="1639" operator="equal">
      <formula>"欠"</formula>
    </cfRule>
  </conditionalFormatting>
  <conditionalFormatting sqref="R821">
    <cfRule type="containsText" dxfId="2" priority="1640" operator="between" text="欠">
      <formula>NOT(ISERROR(SEARCH("欠",R821)))</formula>
    </cfRule>
    <cfRule type="cellIs" dxfId="0" priority="1645" operator="equal">
      <formula>"欠"</formula>
    </cfRule>
  </conditionalFormatting>
  <conditionalFormatting sqref="S821">
    <cfRule type="cellIs" dxfId="0" priority="1634" operator="equal">
      <formula>"欠"</formula>
    </cfRule>
  </conditionalFormatting>
  <conditionalFormatting sqref="T821">
    <cfRule type="cellIs" dxfId="0" priority="1601" operator="equal">
      <formula>"欠"</formula>
    </cfRule>
  </conditionalFormatting>
  <conditionalFormatting sqref="U821">
    <cfRule type="cellIs" dxfId="0" priority="1635" operator="equal">
      <formula>"欠"</formula>
    </cfRule>
  </conditionalFormatting>
  <conditionalFormatting sqref="AI821">
    <cfRule type="cellIs" dxfId="1" priority="1637" operator="equal">
      <formula>"未完成"</formula>
    </cfRule>
    <cfRule type="cellIs" dxfId="0" priority="1638" operator="equal">
      <formula>"未完成"</formula>
    </cfRule>
  </conditionalFormatting>
  <conditionalFormatting sqref="AJ821">
    <cfRule type="cellIs" dxfId="0" priority="1636" operator="equal">
      <formula>"欠"</formula>
    </cfRule>
  </conditionalFormatting>
  <conditionalFormatting sqref="Q822">
    <cfRule type="cellIs" dxfId="0" priority="1621" operator="equal">
      <formula>"欠"</formula>
    </cfRule>
  </conditionalFormatting>
  <conditionalFormatting sqref="AI822">
    <cfRule type="cellIs" dxfId="1" priority="1617" operator="equal">
      <formula>"未完成"</formula>
    </cfRule>
    <cfRule type="cellIs" dxfId="0" priority="1619" operator="equal">
      <formula>"未完成"</formula>
    </cfRule>
  </conditionalFormatting>
  <conditionalFormatting sqref="AJ822">
    <cfRule type="cellIs" dxfId="0" priority="1615" operator="equal">
      <formula>"欠"</formula>
    </cfRule>
  </conditionalFormatting>
  <conditionalFormatting sqref="Q823">
    <cfRule type="cellIs" dxfId="0" priority="1620" operator="equal">
      <formula>"欠"</formula>
    </cfRule>
  </conditionalFormatting>
  <conditionalFormatting sqref="AI823">
    <cfRule type="cellIs" dxfId="1" priority="1616" operator="equal">
      <formula>"未完成"</formula>
    </cfRule>
    <cfRule type="cellIs" dxfId="0" priority="1618" operator="equal">
      <formula>"未完成"</formula>
    </cfRule>
  </conditionalFormatting>
  <conditionalFormatting sqref="AJ823">
    <cfRule type="cellIs" dxfId="0" priority="1614" operator="equal">
      <formula>"欠"</formula>
    </cfRule>
  </conditionalFormatting>
  <conditionalFormatting sqref="Q827">
    <cfRule type="cellIs" dxfId="0" priority="1351" operator="equal">
      <formula>"欠"</formula>
    </cfRule>
  </conditionalFormatting>
  <conditionalFormatting sqref="R827">
    <cfRule type="containsText" dxfId="2" priority="1346" operator="between" text="欠">
      <formula>NOT(ISERROR(SEARCH("欠",R827)))</formula>
    </cfRule>
    <cfRule type="cellIs" dxfId="0" priority="1354" operator="equal">
      <formula>"欠"</formula>
    </cfRule>
  </conditionalFormatting>
  <conditionalFormatting sqref="S827">
    <cfRule type="cellIs" dxfId="0" priority="1355" operator="equal">
      <formula>"欠"</formula>
    </cfRule>
  </conditionalFormatting>
  <conditionalFormatting sqref="T827">
    <cfRule type="containsText" dxfId="2" priority="1347" operator="between" text="欠">
      <formula>NOT(ISERROR(SEARCH("欠",T827)))</formula>
    </cfRule>
    <cfRule type="cellIs" dxfId="0" priority="1352" operator="equal">
      <formula>"欠"</formula>
    </cfRule>
  </conditionalFormatting>
  <conditionalFormatting sqref="AI827">
    <cfRule type="cellIs" dxfId="1" priority="1349" operator="equal">
      <formula>"未完成"</formula>
    </cfRule>
    <cfRule type="cellIs" dxfId="0" priority="1350" operator="equal">
      <formula>"未完成"</formula>
    </cfRule>
  </conditionalFormatting>
  <conditionalFormatting sqref="AJ827">
    <cfRule type="cellIs" dxfId="0" priority="1348" operator="equal">
      <formula>"欠"</formula>
    </cfRule>
  </conditionalFormatting>
  <conditionalFormatting sqref="Q828">
    <cfRule type="cellIs" dxfId="0" priority="2385" operator="equal">
      <formula>"欠"</formula>
    </cfRule>
  </conditionalFormatting>
  <conditionalFormatting sqref="U828">
    <cfRule type="cellIs" dxfId="0" priority="2285" operator="equal">
      <formula>"欠"</formula>
    </cfRule>
  </conditionalFormatting>
  <conditionalFormatting sqref="S833">
    <cfRule type="cellIs" dxfId="0" priority="1600" operator="equal">
      <formula>"欠"</formula>
    </cfRule>
  </conditionalFormatting>
  <conditionalFormatting sqref="Q838">
    <cfRule type="cellIs" dxfId="0" priority="2383" operator="equal">
      <formula>"欠"</formula>
    </cfRule>
  </conditionalFormatting>
  <conditionalFormatting sqref="U838">
    <cfRule type="cellIs" dxfId="0" priority="2283" operator="equal">
      <formula>"欠"</formula>
    </cfRule>
  </conditionalFormatting>
  <conditionalFormatting sqref="Q839">
    <cfRule type="cellIs" dxfId="0" priority="2382" operator="equal">
      <formula>"欠"</formula>
    </cfRule>
  </conditionalFormatting>
  <conditionalFormatting sqref="U839">
    <cfRule type="cellIs" dxfId="0" priority="2282" operator="equal">
      <formula>"欠"</formula>
    </cfRule>
  </conditionalFormatting>
  <conditionalFormatting sqref="Q840">
    <cfRule type="cellIs" dxfId="0" priority="2381" operator="equal">
      <formula>"欠"</formula>
    </cfRule>
  </conditionalFormatting>
  <conditionalFormatting sqref="U840">
    <cfRule type="cellIs" dxfId="0" priority="2281" operator="equal">
      <formula>"欠"</formula>
    </cfRule>
  </conditionalFormatting>
  <conditionalFormatting sqref="Q845">
    <cfRule type="cellIs" dxfId="0" priority="1294" operator="equal">
      <formula>"欠"</formula>
    </cfRule>
  </conditionalFormatting>
  <conditionalFormatting sqref="R845">
    <cfRule type="containsText" dxfId="2" priority="1288" operator="between" text="欠">
      <formula>NOT(ISERROR(SEARCH("欠",R845)))</formula>
    </cfRule>
    <cfRule type="cellIs" dxfId="0" priority="1289" operator="equal">
      <formula>"欠"</formula>
    </cfRule>
  </conditionalFormatting>
  <conditionalFormatting sqref="S845">
    <cfRule type="cellIs" dxfId="0" priority="1285" operator="equal">
      <formula>"欠"</formula>
    </cfRule>
  </conditionalFormatting>
  <conditionalFormatting sqref="T845">
    <cfRule type="containsText" dxfId="2" priority="1286" operator="between" text="欠">
      <formula>NOT(ISERROR(SEARCH("欠",T845)))</formula>
    </cfRule>
    <cfRule type="cellIs" dxfId="0" priority="1287" operator="equal">
      <formula>"欠"</formula>
    </cfRule>
  </conditionalFormatting>
  <conditionalFormatting sqref="U845">
    <cfRule type="cellIs" dxfId="0" priority="1290" operator="equal">
      <formula>"欠"</formula>
    </cfRule>
  </conditionalFormatting>
  <conditionalFormatting sqref="AI845">
    <cfRule type="cellIs" dxfId="1" priority="1292" operator="equal">
      <formula>"未完成"</formula>
    </cfRule>
    <cfRule type="cellIs" dxfId="0" priority="1293" operator="equal">
      <formula>"未完成"</formula>
    </cfRule>
  </conditionalFormatting>
  <conditionalFormatting sqref="AJ845">
    <cfRule type="cellIs" dxfId="0" priority="1291" operator="equal">
      <formula>"欠"</formula>
    </cfRule>
  </conditionalFormatting>
  <conditionalFormatting sqref="Q846">
    <cfRule type="cellIs" dxfId="0" priority="1284" operator="equal">
      <formula>"欠"</formula>
    </cfRule>
  </conditionalFormatting>
  <conditionalFormatting sqref="U846">
    <cfRule type="cellIs" dxfId="0" priority="1280" operator="equal">
      <formula>"欠"</formula>
    </cfRule>
  </conditionalFormatting>
  <conditionalFormatting sqref="AI846">
    <cfRule type="cellIs" dxfId="1" priority="1282" operator="equal">
      <formula>"未完成"</formula>
    </cfRule>
    <cfRule type="cellIs" dxfId="0" priority="1283" operator="equal">
      <formula>"未完成"</formula>
    </cfRule>
  </conditionalFormatting>
  <conditionalFormatting sqref="AJ846">
    <cfRule type="cellIs" dxfId="0" priority="1281" operator="equal">
      <formula>"欠"</formula>
    </cfRule>
  </conditionalFormatting>
  <conditionalFormatting sqref="Q847">
    <cfRule type="cellIs" dxfId="0" priority="1274" operator="equal">
      <formula>"欠"</formula>
    </cfRule>
  </conditionalFormatting>
  <conditionalFormatting sqref="U847">
    <cfRule type="cellIs" dxfId="0" priority="1270" operator="equal">
      <formula>"欠"</formula>
    </cfRule>
  </conditionalFormatting>
  <conditionalFormatting sqref="AI847">
    <cfRule type="cellIs" dxfId="1" priority="1272" operator="equal">
      <formula>"未完成"</formula>
    </cfRule>
    <cfRule type="cellIs" dxfId="0" priority="1273" operator="equal">
      <formula>"未完成"</formula>
    </cfRule>
  </conditionalFormatting>
  <conditionalFormatting sqref="AJ847">
    <cfRule type="cellIs" dxfId="0" priority="1271" operator="equal">
      <formula>"欠"</formula>
    </cfRule>
  </conditionalFormatting>
  <conditionalFormatting sqref="Q848">
    <cfRule type="cellIs" dxfId="0" priority="1264" operator="equal">
      <formula>"欠"</formula>
    </cfRule>
  </conditionalFormatting>
  <conditionalFormatting sqref="U848">
    <cfRule type="cellIs" dxfId="0" priority="1260" operator="equal">
      <formula>"欠"</formula>
    </cfRule>
  </conditionalFormatting>
  <conditionalFormatting sqref="AI848">
    <cfRule type="cellIs" dxfId="1" priority="1262" operator="equal">
      <formula>"未完成"</formula>
    </cfRule>
    <cfRule type="cellIs" dxfId="0" priority="1263" operator="equal">
      <formula>"未完成"</formula>
    </cfRule>
  </conditionalFormatting>
  <conditionalFormatting sqref="AJ848">
    <cfRule type="cellIs" dxfId="0" priority="1261" operator="equal">
      <formula>"欠"</formula>
    </cfRule>
  </conditionalFormatting>
  <conditionalFormatting sqref="Q849">
    <cfRule type="cellIs" dxfId="0" priority="1254" operator="equal">
      <formula>"欠"</formula>
    </cfRule>
  </conditionalFormatting>
  <conditionalFormatting sqref="U849">
    <cfRule type="cellIs" dxfId="0" priority="1250" operator="equal">
      <formula>"欠"</formula>
    </cfRule>
  </conditionalFormatting>
  <conditionalFormatting sqref="AI849">
    <cfRule type="cellIs" dxfId="1" priority="1252" operator="equal">
      <formula>"未完成"</formula>
    </cfRule>
    <cfRule type="cellIs" dxfId="0" priority="1253" operator="equal">
      <formula>"未完成"</formula>
    </cfRule>
  </conditionalFormatting>
  <conditionalFormatting sqref="AJ849">
    <cfRule type="cellIs" dxfId="0" priority="1251" operator="equal">
      <formula>"欠"</formula>
    </cfRule>
  </conditionalFormatting>
  <conditionalFormatting sqref="Q869">
    <cfRule type="cellIs" dxfId="0" priority="516" operator="equal">
      <formula>"欠"</formula>
    </cfRule>
  </conditionalFormatting>
  <conditionalFormatting sqref="R869">
    <cfRule type="containsText" dxfId="2" priority="507" operator="between" text="欠">
      <formula>NOT(ISERROR(SEARCH("欠",R869)))</formula>
    </cfRule>
    <cfRule type="cellIs" dxfId="0" priority="511" operator="equal">
      <formula>"欠"</formula>
    </cfRule>
  </conditionalFormatting>
  <conditionalFormatting sqref="S869">
    <cfRule type="cellIs" dxfId="0" priority="517" operator="equal">
      <formula>"欠"</formula>
    </cfRule>
  </conditionalFormatting>
  <conditionalFormatting sqref="T869">
    <cfRule type="containsText" dxfId="2" priority="508" operator="between" text="欠">
      <formula>NOT(ISERROR(SEARCH("欠",T869)))</formula>
    </cfRule>
    <cfRule type="cellIs" dxfId="0" priority="509" operator="equal">
      <formula>"欠"</formula>
    </cfRule>
  </conditionalFormatting>
  <conditionalFormatting sqref="U869">
    <cfRule type="cellIs" dxfId="0" priority="512" operator="equal">
      <formula>"欠"</formula>
    </cfRule>
  </conditionalFormatting>
  <conditionalFormatting sqref="AI869">
    <cfRule type="cellIs" dxfId="1" priority="514" operator="equal">
      <formula>"未完成"</formula>
    </cfRule>
    <cfRule type="cellIs" dxfId="0" priority="515" operator="equal">
      <formula>"未完成"</formula>
    </cfRule>
  </conditionalFormatting>
  <conditionalFormatting sqref="AJ869">
    <cfRule type="cellIs" dxfId="0" priority="513" operator="equal">
      <formula>"欠"</formula>
    </cfRule>
  </conditionalFormatting>
  <conditionalFormatting sqref="R870">
    <cfRule type="containsText" dxfId="2" priority="67" operator="between" text="欠">
      <formula>NOT(ISERROR(SEARCH("欠",R870)))</formula>
    </cfRule>
    <cfRule type="cellIs" dxfId="0" priority="69" operator="equal">
      <formula>"欠"</formula>
    </cfRule>
  </conditionalFormatting>
  <conditionalFormatting sqref="Q873">
    <cfRule type="cellIs" dxfId="0" priority="538" operator="equal">
      <formula>"欠"</formula>
    </cfRule>
  </conditionalFormatting>
  <conditionalFormatting sqref="U873">
    <cfRule type="cellIs" dxfId="0" priority="534" operator="equal">
      <formula>"欠"</formula>
    </cfRule>
  </conditionalFormatting>
  <conditionalFormatting sqref="AI873">
    <cfRule type="cellIs" dxfId="1" priority="536" operator="equal">
      <formula>"未完成"</formula>
    </cfRule>
    <cfRule type="cellIs" dxfId="0" priority="537" operator="equal">
      <formula>"未完成"</formula>
    </cfRule>
  </conditionalFormatting>
  <conditionalFormatting sqref="AJ873">
    <cfRule type="cellIs" dxfId="0" priority="535" operator="equal">
      <formula>"欠"</formula>
    </cfRule>
  </conditionalFormatting>
  <conditionalFormatting sqref="Q874">
    <cfRule type="cellIs" dxfId="0" priority="527" operator="equal">
      <formula>"欠"</formula>
    </cfRule>
  </conditionalFormatting>
  <conditionalFormatting sqref="U874">
    <cfRule type="cellIs" dxfId="0" priority="523" operator="equal">
      <formula>"欠"</formula>
    </cfRule>
  </conditionalFormatting>
  <conditionalFormatting sqref="AI874">
    <cfRule type="cellIs" dxfId="1" priority="525" operator="equal">
      <formula>"未完成"</formula>
    </cfRule>
    <cfRule type="cellIs" dxfId="0" priority="526" operator="equal">
      <formula>"未完成"</formula>
    </cfRule>
  </conditionalFormatting>
  <conditionalFormatting sqref="AJ874">
    <cfRule type="cellIs" dxfId="0" priority="524" operator="equal">
      <formula>"欠"</formula>
    </cfRule>
  </conditionalFormatting>
  <conditionalFormatting sqref="Q875">
    <cfRule type="cellIs" dxfId="0" priority="2380" operator="equal">
      <formula>"欠"</formula>
    </cfRule>
  </conditionalFormatting>
  <conditionalFormatting sqref="U875">
    <cfRule type="cellIs" dxfId="0" priority="2280" operator="equal">
      <formula>"欠"</formula>
    </cfRule>
  </conditionalFormatting>
  <conditionalFormatting sqref="Q878">
    <cfRule type="cellIs" dxfId="0" priority="53" operator="equal">
      <formula>"欠"</formula>
    </cfRule>
  </conditionalFormatting>
  <conditionalFormatting sqref="AI878">
    <cfRule type="cellIs" dxfId="1" priority="49" operator="equal">
      <formula>"未完成"</formula>
    </cfRule>
    <cfRule type="cellIs" dxfId="0" priority="51" operator="equal">
      <formula>"未完成"</formula>
    </cfRule>
  </conditionalFormatting>
  <conditionalFormatting sqref="AJ878">
    <cfRule type="cellIs" dxfId="0" priority="47" operator="equal">
      <formula>"欠"</formula>
    </cfRule>
  </conditionalFormatting>
  <conditionalFormatting sqref="Q879">
    <cfRule type="cellIs" dxfId="0" priority="52" operator="equal">
      <formula>"欠"</formula>
    </cfRule>
  </conditionalFormatting>
  <conditionalFormatting sqref="AI879">
    <cfRule type="cellIs" dxfId="1" priority="48" operator="equal">
      <formula>"未完成"</formula>
    </cfRule>
    <cfRule type="cellIs" dxfId="0" priority="50" operator="equal">
      <formula>"未完成"</formula>
    </cfRule>
  </conditionalFormatting>
  <conditionalFormatting sqref="AJ879">
    <cfRule type="cellIs" dxfId="0" priority="46" operator="equal">
      <formula>"欠"</formula>
    </cfRule>
  </conditionalFormatting>
  <conditionalFormatting sqref="Q880">
    <cfRule type="cellIs" dxfId="0" priority="37" operator="equal">
      <formula>"欠"</formula>
    </cfRule>
  </conditionalFormatting>
  <conditionalFormatting sqref="R880">
    <cfRule type="cellIs" dxfId="0" priority="23" operator="equal">
      <formula>"欠"</formula>
    </cfRule>
    <cfRule type="containsText" dxfId="2" priority="21" operator="between" text="欠">
      <formula>NOT(ISERROR(SEARCH("欠",R880)))</formula>
    </cfRule>
  </conditionalFormatting>
  <conditionalFormatting sqref="S880">
    <cfRule type="cellIs" dxfId="0" priority="39" operator="equal">
      <formula>"欠"</formula>
    </cfRule>
  </conditionalFormatting>
  <conditionalFormatting sqref="T880">
    <cfRule type="cellIs" dxfId="0" priority="27" operator="equal">
      <formula>"欠"</formula>
    </cfRule>
    <cfRule type="containsText" dxfId="2" priority="25" operator="between" text="欠">
      <formula>NOT(ISERROR(SEARCH("欠",T880)))</formula>
    </cfRule>
  </conditionalFormatting>
  <conditionalFormatting sqref="U880">
    <cfRule type="cellIs" dxfId="0" priority="29" operator="equal">
      <formula>"欠"</formula>
    </cfRule>
  </conditionalFormatting>
  <conditionalFormatting sqref="AI880">
    <cfRule type="cellIs" dxfId="0" priority="35" operator="equal">
      <formula>"未完成"</formula>
    </cfRule>
    <cfRule type="cellIs" dxfId="1" priority="33" operator="equal">
      <formula>"未完成"</formula>
    </cfRule>
  </conditionalFormatting>
  <conditionalFormatting sqref="AJ880">
    <cfRule type="cellIs" dxfId="0" priority="31" operator="equal">
      <formula>"欠"</formula>
    </cfRule>
  </conditionalFormatting>
  <conditionalFormatting sqref="Q881">
    <cfRule type="cellIs" dxfId="0" priority="36" operator="equal">
      <formula>"欠"</formula>
    </cfRule>
  </conditionalFormatting>
  <conditionalFormatting sqref="R881">
    <cfRule type="cellIs" dxfId="0" priority="22" operator="equal">
      <formula>"欠"</formula>
    </cfRule>
    <cfRule type="containsText" dxfId="2" priority="20" operator="between" text="欠">
      <formula>NOT(ISERROR(SEARCH("欠",R881)))</formula>
    </cfRule>
  </conditionalFormatting>
  <conditionalFormatting sqref="S881">
    <cfRule type="cellIs" dxfId="0" priority="38" operator="equal">
      <formula>"欠"</formula>
    </cfRule>
  </conditionalFormatting>
  <conditionalFormatting sqref="T881">
    <cfRule type="cellIs" dxfId="0" priority="26" operator="equal">
      <formula>"欠"</formula>
    </cfRule>
    <cfRule type="containsText" dxfId="2" priority="24" operator="between" text="欠">
      <formula>NOT(ISERROR(SEARCH("欠",T881)))</formula>
    </cfRule>
  </conditionalFormatting>
  <conditionalFormatting sqref="U881">
    <cfRule type="cellIs" dxfId="0" priority="28" operator="equal">
      <formula>"欠"</formula>
    </cfRule>
  </conditionalFormatting>
  <conditionalFormatting sqref="AI881">
    <cfRule type="cellIs" dxfId="0" priority="34" operator="equal">
      <formula>"未完成"</formula>
    </cfRule>
    <cfRule type="cellIs" dxfId="1" priority="32" operator="equal">
      <formula>"未完成"</formula>
    </cfRule>
  </conditionalFormatting>
  <conditionalFormatting sqref="AJ881">
    <cfRule type="cellIs" dxfId="0" priority="30" operator="equal">
      <formula>"欠"</formula>
    </cfRule>
  </conditionalFormatting>
  <conditionalFormatting sqref="Q882">
    <cfRule type="cellIs" dxfId="0" priority="560" operator="equal">
      <formula>"欠"</formula>
    </cfRule>
  </conditionalFormatting>
  <conditionalFormatting sqref="R882">
    <cfRule type="containsText" dxfId="2" priority="551" operator="between" text="欠">
      <formula>NOT(ISERROR(SEARCH("欠",R882)))</formula>
    </cfRule>
    <cfRule type="cellIs" dxfId="0" priority="552" operator="equal">
      <formula>"欠"</formula>
    </cfRule>
  </conditionalFormatting>
  <conditionalFormatting sqref="T882">
    <cfRule type="containsText" dxfId="2" priority="554" operator="between" text="欠">
      <formula>NOT(ISERROR(SEARCH("欠",T882)))</formula>
    </cfRule>
    <cfRule type="cellIs" dxfId="0" priority="555" operator="equal">
      <formula>"欠"</formula>
    </cfRule>
  </conditionalFormatting>
  <conditionalFormatting sqref="U882">
    <cfRule type="cellIs" dxfId="0" priority="556" operator="equal">
      <formula>"欠"</formula>
    </cfRule>
  </conditionalFormatting>
  <conditionalFormatting sqref="AI882">
    <cfRule type="cellIs" dxfId="1" priority="558" operator="equal">
      <formula>"未完成"</formula>
    </cfRule>
    <cfRule type="cellIs" dxfId="0" priority="559" operator="equal">
      <formula>"未完成"</formula>
    </cfRule>
  </conditionalFormatting>
  <conditionalFormatting sqref="AJ882">
    <cfRule type="cellIs" dxfId="0" priority="557" operator="equal">
      <formula>"欠"</formula>
    </cfRule>
  </conditionalFormatting>
  <conditionalFormatting sqref="Q884">
    <cfRule type="cellIs" dxfId="0" priority="2378" operator="equal">
      <formula>"欠"</formula>
    </cfRule>
  </conditionalFormatting>
  <conditionalFormatting sqref="U884">
    <cfRule type="cellIs" dxfId="0" priority="2278" operator="equal">
      <formula>"欠"</formula>
    </cfRule>
  </conditionalFormatting>
  <conditionalFormatting sqref="Q888">
    <cfRule type="cellIs" dxfId="0" priority="101" operator="equal">
      <formula>"欠"</formula>
    </cfRule>
  </conditionalFormatting>
  <conditionalFormatting sqref="U888">
    <cfRule type="cellIs" dxfId="0" priority="97" operator="equal">
      <formula>"欠"</formula>
    </cfRule>
  </conditionalFormatting>
  <conditionalFormatting sqref="AF888">
    <cfRule type="cellIs" dxfId="0" priority="91" operator="equal">
      <formula>"未完成"</formula>
    </cfRule>
  </conditionalFormatting>
  <conditionalFormatting sqref="AI888">
    <cfRule type="cellIs" dxfId="1" priority="99" operator="equal">
      <formula>"未完成"</formula>
    </cfRule>
    <cfRule type="cellIs" dxfId="0" priority="100" operator="equal">
      <formula>"未完成"</formula>
    </cfRule>
  </conditionalFormatting>
  <conditionalFormatting sqref="AJ888">
    <cfRule type="cellIs" dxfId="0" priority="98" operator="equal">
      <formula>"欠"</formula>
    </cfRule>
  </conditionalFormatting>
  <conditionalFormatting sqref="Q892">
    <cfRule type="cellIs" dxfId="0" priority="64" operator="equal">
      <formula>"欠"</formula>
    </cfRule>
  </conditionalFormatting>
  <conditionalFormatting sqref="R892">
    <cfRule type="containsText" dxfId="2" priority="58" operator="between" text="欠">
      <formula>NOT(ISERROR(SEARCH("欠",R892)))</formula>
    </cfRule>
    <cfRule type="cellIs" dxfId="0" priority="59" operator="equal">
      <formula>"欠"</formula>
    </cfRule>
  </conditionalFormatting>
  <conditionalFormatting sqref="S892">
    <cfRule type="cellIs" dxfId="0" priority="66" operator="equal">
      <formula>"欠"</formula>
    </cfRule>
  </conditionalFormatting>
  <conditionalFormatting sqref="T892">
    <cfRule type="containsText" dxfId="2" priority="60" operator="between" text="欠">
      <formula>NOT(ISERROR(SEARCH("欠",T892)))</formula>
    </cfRule>
    <cfRule type="cellIs" dxfId="0" priority="65" operator="equal">
      <formula>"欠"</formula>
    </cfRule>
  </conditionalFormatting>
  <conditionalFormatting sqref="AI892">
    <cfRule type="cellIs" dxfId="1" priority="62" operator="equal">
      <formula>"未完成"</formula>
    </cfRule>
    <cfRule type="cellIs" dxfId="0" priority="63" operator="equal">
      <formula>"未完成"</formula>
    </cfRule>
  </conditionalFormatting>
  <conditionalFormatting sqref="AJ892">
    <cfRule type="cellIs" dxfId="0" priority="61" operator="equal">
      <formula>"欠"</formula>
    </cfRule>
  </conditionalFormatting>
  <conditionalFormatting sqref="Q893">
    <cfRule type="cellIs" dxfId="0" priority="7" operator="equal">
      <formula>"欠"</formula>
    </cfRule>
  </conditionalFormatting>
  <conditionalFormatting sqref="T893">
    <cfRule type="containsText" dxfId="2" priority="1" operator="between" text="欠">
      <formula>NOT(ISERROR(SEARCH("欠",T893)))</formula>
    </cfRule>
    <cfRule type="cellIs" dxfId="0" priority="2" operator="equal">
      <formula>"欠"</formula>
    </cfRule>
  </conditionalFormatting>
  <conditionalFormatting sqref="AI893">
    <cfRule type="cellIs" dxfId="1" priority="5" operator="equal">
      <formula>"未完成"</formula>
    </cfRule>
    <cfRule type="cellIs" dxfId="0" priority="6" operator="equal">
      <formula>"未完成"</formula>
    </cfRule>
  </conditionalFormatting>
  <conditionalFormatting sqref="AJ893">
    <cfRule type="cellIs" dxfId="0" priority="4" operator="equal">
      <formula>"欠"</formula>
    </cfRule>
  </conditionalFormatting>
  <conditionalFormatting sqref="Q896">
    <cfRule type="cellIs" dxfId="0" priority="2376" operator="equal">
      <formula>"欠"</formula>
    </cfRule>
  </conditionalFormatting>
  <conditionalFormatting sqref="U896">
    <cfRule type="cellIs" dxfId="0" priority="2276" operator="equal">
      <formula>"欠"</formula>
    </cfRule>
  </conditionalFormatting>
  <conditionalFormatting sqref="Q897">
    <cfRule type="cellIs" dxfId="0" priority="2375" operator="equal">
      <formula>"欠"</formula>
    </cfRule>
  </conditionalFormatting>
  <conditionalFormatting sqref="U897">
    <cfRule type="cellIs" dxfId="0" priority="2275" operator="equal">
      <formula>"欠"</formula>
    </cfRule>
  </conditionalFormatting>
  <conditionalFormatting sqref="Q902">
    <cfRule type="cellIs" dxfId="0" priority="2373" operator="equal">
      <formula>"欠"</formula>
    </cfRule>
  </conditionalFormatting>
  <conditionalFormatting sqref="U902">
    <cfRule type="cellIs" dxfId="0" priority="2273" operator="equal">
      <formula>"欠"</formula>
    </cfRule>
  </conditionalFormatting>
  <conditionalFormatting sqref="Q903">
    <cfRule type="cellIs" dxfId="0" priority="2372" operator="equal">
      <formula>"欠"</formula>
    </cfRule>
  </conditionalFormatting>
  <conditionalFormatting sqref="U903">
    <cfRule type="cellIs" dxfId="0" priority="2272" operator="equal">
      <formula>"欠"</formula>
    </cfRule>
  </conditionalFormatting>
  <conditionalFormatting sqref="Q904">
    <cfRule type="cellIs" dxfId="0" priority="2371" operator="equal">
      <formula>"欠"</formula>
    </cfRule>
  </conditionalFormatting>
  <conditionalFormatting sqref="U904">
    <cfRule type="cellIs" dxfId="0" priority="2271" operator="equal">
      <formula>"欠"</formula>
    </cfRule>
  </conditionalFormatting>
  <conditionalFormatting sqref="Q905">
    <cfRule type="cellIs" dxfId="0" priority="88" operator="equal">
      <formula>"欠"</formula>
    </cfRule>
  </conditionalFormatting>
  <conditionalFormatting sqref="R905">
    <cfRule type="containsText" dxfId="2" priority="82" operator="between" text="欠">
      <formula>NOT(ISERROR(SEARCH("欠",R905)))</formula>
    </cfRule>
    <cfRule type="cellIs" dxfId="0" priority="83" operator="equal">
      <formula>"欠"</formula>
    </cfRule>
  </conditionalFormatting>
  <conditionalFormatting sqref="S905">
    <cfRule type="cellIs" dxfId="0" priority="90" operator="equal">
      <formula>"欠"</formula>
    </cfRule>
  </conditionalFormatting>
  <conditionalFormatting sqref="T905">
    <cfRule type="containsText" dxfId="2" priority="84" operator="between" text="欠">
      <formula>NOT(ISERROR(SEARCH("欠",T905)))</formula>
    </cfRule>
    <cfRule type="cellIs" dxfId="0" priority="89" operator="equal">
      <formula>"欠"</formula>
    </cfRule>
  </conditionalFormatting>
  <conditionalFormatting sqref="AI905">
    <cfRule type="cellIs" dxfId="1" priority="86" operator="equal">
      <formula>"未完成"</formula>
    </cfRule>
    <cfRule type="cellIs" dxfId="0" priority="87" operator="equal">
      <formula>"未完成"</formula>
    </cfRule>
  </conditionalFormatting>
  <conditionalFormatting sqref="AJ905">
    <cfRule type="cellIs" dxfId="0" priority="85" operator="equal">
      <formula>"欠"</formula>
    </cfRule>
  </conditionalFormatting>
  <conditionalFormatting sqref="Q906">
    <cfRule type="cellIs" dxfId="0" priority="2370" operator="equal">
      <formula>"欠"</formula>
    </cfRule>
  </conditionalFormatting>
  <conditionalFormatting sqref="U906">
    <cfRule type="cellIs" dxfId="0" priority="2270" operator="equal">
      <formula>"欠"</formula>
    </cfRule>
  </conditionalFormatting>
  <conditionalFormatting sqref="Q907">
    <cfRule type="cellIs" dxfId="0" priority="1900" operator="equal">
      <formula>"欠"</formula>
    </cfRule>
  </conditionalFormatting>
  <conditionalFormatting sqref="U907">
    <cfRule type="cellIs" dxfId="0" priority="1896" operator="equal">
      <formula>"欠"</formula>
    </cfRule>
  </conditionalFormatting>
  <conditionalFormatting sqref="AI907">
    <cfRule type="cellIs" dxfId="1" priority="1898" operator="equal">
      <formula>"未完成"</formula>
    </cfRule>
    <cfRule type="cellIs" dxfId="0" priority="1899" operator="equal">
      <formula>"未完成"</formula>
    </cfRule>
  </conditionalFormatting>
  <conditionalFormatting sqref="AJ907">
    <cfRule type="cellIs" dxfId="0" priority="1897" operator="equal">
      <formula>"欠"</formula>
    </cfRule>
  </conditionalFormatting>
  <conditionalFormatting sqref="Q908">
    <cfRule type="cellIs" dxfId="0" priority="2369" operator="equal">
      <formula>"欠"</formula>
    </cfRule>
  </conditionalFormatting>
  <conditionalFormatting sqref="U908">
    <cfRule type="cellIs" dxfId="0" priority="2269" operator="equal">
      <formula>"欠"</formula>
    </cfRule>
  </conditionalFormatting>
  <conditionalFormatting sqref="Q910">
    <cfRule type="cellIs" dxfId="0" priority="1943" operator="equal">
      <formula>"欠"</formula>
    </cfRule>
  </conditionalFormatting>
  <conditionalFormatting sqref="U910">
    <cfRule type="cellIs" dxfId="0" priority="1939" operator="equal">
      <formula>"欠"</formula>
    </cfRule>
  </conditionalFormatting>
  <conditionalFormatting sqref="AF910">
    <cfRule type="cellIs" dxfId="0" priority="1598" operator="equal">
      <formula>"未完成"</formula>
    </cfRule>
  </conditionalFormatting>
  <conditionalFormatting sqref="AI910">
    <cfRule type="cellIs" dxfId="1" priority="1941" operator="equal">
      <formula>"未完成"</formula>
    </cfRule>
    <cfRule type="cellIs" dxfId="0" priority="1942" operator="equal">
      <formula>"未完成"</formula>
    </cfRule>
  </conditionalFormatting>
  <conditionalFormatting sqref="AJ910">
    <cfRule type="cellIs" dxfId="0" priority="1940" operator="equal">
      <formula>"欠"</formula>
    </cfRule>
  </conditionalFormatting>
  <conditionalFormatting sqref="AF912">
    <cfRule type="cellIs" dxfId="0" priority="1596" operator="equal">
      <formula>"未完成"</formula>
    </cfRule>
  </conditionalFormatting>
  <conditionalFormatting sqref="AF913">
    <cfRule type="cellIs" dxfId="0" priority="1593" operator="equal">
      <formula>"未完成"</formula>
    </cfRule>
  </conditionalFormatting>
  <conditionalFormatting sqref="AF914">
    <cfRule type="cellIs" dxfId="0" priority="1595" operator="equal">
      <formula>"未完成"</formula>
    </cfRule>
  </conditionalFormatting>
  <conditionalFormatting sqref="T915:V915">
    <cfRule type="cellIs" dxfId="0" priority="7938" operator="equal">
      <formula>"欠"</formula>
    </cfRule>
  </conditionalFormatting>
  <conditionalFormatting sqref="AE915">
    <cfRule type="cellIs" dxfId="0" priority="7925" operator="equal">
      <formula>"未完成"</formula>
    </cfRule>
  </conditionalFormatting>
  <conditionalFormatting sqref="AF915">
    <cfRule type="cellIs" dxfId="0" priority="1594" operator="equal">
      <formula>"未完成"</formula>
    </cfRule>
  </conditionalFormatting>
  <conditionalFormatting sqref="AE916">
    <cfRule type="cellIs" dxfId="0" priority="7924" operator="equal">
      <formula>"未完成"</formula>
    </cfRule>
  </conditionalFormatting>
  <conditionalFormatting sqref="AF916">
    <cfRule type="cellIs" dxfId="0" priority="1592" operator="equal">
      <formula>"未完成"</formula>
    </cfRule>
  </conditionalFormatting>
  <conditionalFormatting sqref="AE917">
    <cfRule type="cellIs" dxfId="0" priority="7923" operator="equal">
      <formula>"未完成"</formula>
    </cfRule>
  </conditionalFormatting>
  <conditionalFormatting sqref="R918:V918">
    <cfRule type="cellIs" dxfId="0" priority="7931" operator="equal">
      <formula>"欠"</formula>
    </cfRule>
  </conditionalFormatting>
  <conditionalFormatting sqref="AE918">
    <cfRule type="cellIs" dxfId="0" priority="7917" operator="equal">
      <formula>"未完成"</formula>
    </cfRule>
  </conditionalFormatting>
  <conditionalFormatting sqref="AI918:AK918">
    <cfRule type="cellIs" dxfId="1" priority="7933" operator="equal">
      <formula>"未完成"</formula>
    </cfRule>
    <cfRule type="cellIs" dxfId="0" priority="7934" operator="equal">
      <formula>"未完成"</formula>
    </cfRule>
  </conditionalFormatting>
  <conditionalFormatting sqref="AE919">
    <cfRule type="cellIs" dxfId="0" priority="7919" operator="equal">
      <formula>"未完成"</formula>
    </cfRule>
  </conditionalFormatting>
  <conditionalFormatting sqref="AE920">
    <cfRule type="cellIs" dxfId="0" priority="7918" operator="equal">
      <formula>"未完成"</formula>
    </cfRule>
  </conditionalFormatting>
  <conditionalFormatting sqref="S921">
    <cfRule type="cellIs" dxfId="0" priority="7909" operator="equal">
      <formula>"欠"</formula>
    </cfRule>
  </conditionalFormatting>
  <conditionalFormatting sqref="AE921">
    <cfRule type="cellIs" dxfId="0" priority="7916" operator="equal">
      <formula>"未完成"</formula>
    </cfRule>
  </conditionalFormatting>
  <conditionalFormatting sqref="S922">
    <cfRule type="cellIs" dxfId="0" priority="7908" operator="equal">
      <formula>"欠"</formula>
    </cfRule>
  </conditionalFormatting>
  <conditionalFormatting sqref="Q534:Q536">
    <cfRule type="cellIs" dxfId="0" priority="3072" operator="equal">
      <formula>"欠"</formula>
    </cfRule>
  </conditionalFormatting>
  <conditionalFormatting sqref="Q538:Q540">
    <cfRule type="cellIs" dxfId="0" priority="3414" operator="equal">
      <formula>"欠"</formula>
    </cfRule>
  </conditionalFormatting>
  <conditionalFormatting sqref="Q563:Q569">
    <cfRule type="cellIs" dxfId="0" priority="2830" operator="equal">
      <formula>"欠"</formula>
    </cfRule>
  </conditionalFormatting>
  <conditionalFormatting sqref="Q578:Q580">
    <cfRule type="cellIs" dxfId="0" priority="3086" operator="equal">
      <formula>"欠"</formula>
    </cfRule>
  </conditionalFormatting>
  <conditionalFormatting sqref="Q594:Q601">
    <cfRule type="cellIs" dxfId="0" priority="2640" operator="equal">
      <formula>"欠"</formula>
    </cfRule>
  </conditionalFormatting>
  <conditionalFormatting sqref="Q604:Q605">
    <cfRule type="cellIs" dxfId="0" priority="2588" operator="equal">
      <formula>"欠"</formula>
    </cfRule>
  </conditionalFormatting>
  <conditionalFormatting sqref="Q644:Q646">
    <cfRule type="cellIs" dxfId="0" priority="3008" operator="equal">
      <formula>"欠"</formula>
    </cfRule>
  </conditionalFormatting>
  <conditionalFormatting sqref="Q648:Q649">
    <cfRule type="cellIs" dxfId="0" priority="3007" operator="equal">
      <formula>"欠"</formula>
    </cfRule>
  </conditionalFormatting>
  <conditionalFormatting sqref="Q659:Q660">
    <cfRule type="cellIs" dxfId="0" priority="2022" operator="equal">
      <formula>"欠"</formula>
    </cfRule>
  </conditionalFormatting>
  <conditionalFormatting sqref="Q780:Q782">
    <cfRule type="cellIs" dxfId="0" priority="1701" operator="equal">
      <formula>"欠"</formula>
    </cfRule>
  </conditionalFormatting>
  <conditionalFormatting sqref="Q815:Q816">
    <cfRule type="cellIs" dxfId="0" priority="1690" operator="equal">
      <formula>"欠"</formula>
    </cfRule>
  </conditionalFormatting>
  <conditionalFormatting sqref="Q825:Q826">
    <cfRule type="cellIs" dxfId="0" priority="1888" operator="equal">
      <formula>"欠"</formula>
    </cfRule>
  </conditionalFormatting>
  <conditionalFormatting sqref="Q834:Q837">
    <cfRule type="cellIs" dxfId="0" priority="1315" operator="equal">
      <formula>"欠"</formula>
    </cfRule>
  </conditionalFormatting>
  <conditionalFormatting sqref="Q843:Q844">
    <cfRule type="cellIs" dxfId="0" priority="1304" operator="equal">
      <formula>"欠"</formula>
    </cfRule>
  </conditionalFormatting>
  <conditionalFormatting sqref="Q851:Q852">
    <cfRule type="cellIs" dxfId="0" priority="566" operator="equal">
      <formula>"欠"</formula>
    </cfRule>
  </conditionalFormatting>
  <conditionalFormatting sqref="Q853:Q856">
    <cfRule type="cellIs" dxfId="0" priority="549" operator="equal">
      <formula>"欠"</formula>
    </cfRule>
  </conditionalFormatting>
  <conditionalFormatting sqref="Q858:Q860">
    <cfRule type="cellIs" dxfId="0" priority="80" operator="equal">
      <formula>"欠"</formula>
    </cfRule>
  </conditionalFormatting>
  <conditionalFormatting sqref="Q885:Q887">
    <cfRule type="cellIs" dxfId="0" priority="2377" operator="equal">
      <formula>"欠"</formula>
    </cfRule>
  </conditionalFormatting>
  <conditionalFormatting sqref="Q889:Q891">
    <cfRule type="cellIs" dxfId="0" priority="18" operator="equal">
      <formula>"欠"</formula>
    </cfRule>
  </conditionalFormatting>
  <conditionalFormatting sqref="Q898:Q901">
    <cfRule type="cellIs" dxfId="0" priority="2374" operator="equal">
      <formula>"欠"</formula>
    </cfRule>
  </conditionalFormatting>
  <conditionalFormatting sqref="R440:R441">
    <cfRule type="containsText" dxfId="2" priority="3149" operator="between" text="欠">
      <formula>NOT(ISERROR(SEARCH("欠",R440)))</formula>
    </cfRule>
  </conditionalFormatting>
  <conditionalFormatting sqref="R480:R481">
    <cfRule type="cellIs" dxfId="0" priority="4014" operator="equal">
      <formula>"欠"</formula>
    </cfRule>
  </conditionalFormatting>
  <conditionalFormatting sqref="R530:R531">
    <cfRule type="cellIs" dxfId="0" priority="3353" operator="equal">
      <formula>"欠"</formula>
    </cfRule>
  </conditionalFormatting>
  <conditionalFormatting sqref="R538:R539">
    <cfRule type="containsText" dxfId="2" priority="2188" operator="between" text="欠">
      <formula>NOT(ISERROR(SEARCH("欠",R538)))</formula>
    </cfRule>
    <cfRule type="cellIs" dxfId="0" priority="2189" operator="equal">
      <formula>"欠"</formula>
    </cfRule>
  </conditionalFormatting>
  <conditionalFormatting sqref="R556:R558">
    <cfRule type="containsText" dxfId="2" priority="2750" operator="between" text="欠">
      <formula>NOT(ISERROR(SEARCH("欠",R556)))</formula>
    </cfRule>
    <cfRule type="cellIs" dxfId="0" priority="2751" operator="equal">
      <formula>"欠"</formula>
    </cfRule>
  </conditionalFormatting>
  <conditionalFormatting sqref="R565:R569">
    <cfRule type="cellIs" dxfId="0" priority="2559" operator="equal">
      <formula>"欠"</formula>
    </cfRule>
    <cfRule type="containsText" dxfId="2" priority="2560" operator="between" text="欠">
      <formula>NOT(ISERROR(SEARCH("欠",R565)))</formula>
    </cfRule>
  </conditionalFormatting>
  <conditionalFormatting sqref="R570:R576">
    <cfRule type="containsText" dxfId="2" priority="2612" operator="between" text="欠">
      <formula>NOT(ISERROR(SEARCH("欠",R570)))</formula>
    </cfRule>
    <cfRule type="cellIs" dxfId="0" priority="2613" operator="equal">
      <formula>"欠"</formula>
    </cfRule>
  </conditionalFormatting>
  <conditionalFormatting sqref="R579:R580">
    <cfRule type="cellIs" dxfId="0" priority="2501" operator="equal">
      <formula>"欠"</formula>
    </cfRule>
    <cfRule type="containsText" dxfId="2" priority="2502" operator="between" text="欠">
      <formula>NOT(ISERROR(SEARCH("欠",R579)))</formula>
    </cfRule>
  </conditionalFormatting>
  <conditionalFormatting sqref="R592:R593">
    <cfRule type="containsText" dxfId="2" priority="2513" operator="between" text="欠">
      <formula>NOT(ISERROR(SEARCH("欠",R592)))</formula>
    </cfRule>
    <cfRule type="cellIs" dxfId="0" priority="2514" operator="equal">
      <formula>"欠"</formula>
    </cfRule>
  </conditionalFormatting>
  <conditionalFormatting sqref="R595:R601">
    <cfRule type="cellIs" dxfId="0" priority="2507" operator="equal">
      <formula>"欠"</formula>
    </cfRule>
    <cfRule type="containsText" dxfId="2" priority="2508" operator="between" text="欠">
      <formula>NOT(ISERROR(SEARCH("欠",R595)))</formula>
    </cfRule>
  </conditionalFormatting>
  <conditionalFormatting sqref="R610:R612">
    <cfRule type="containsText" dxfId="2" priority="2511" operator="between" text="欠">
      <formula>NOT(ISERROR(SEARCH("欠",R610)))</formula>
    </cfRule>
    <cfRule type="cellIs" dxfId="0" priority="2512" operator="equal">
      <formula>"欠"</formula>
    </cfRule>
  </conditionalFormatting>
  <conditionalFormatting sqref="R616:R618">
    <cfRule type="cellIs" dxfId="0" priority="2925" operator="equal">
      <formula>"欠"</formula>
    </cfRule>
    <cfRule type="containsText" dxfId="2" priority="2926" operator="between" text="欠">
      <formula>NOT(ISERROR(SEARCH("欠",R616)))</formula>
    </cfRule>
  </conditionalFormatting>
  <conditionalFormatting sqref="R625:R626">
    <cfRule type="containsText" dxfId="2" priority="3370" operator="between" text="欠">
      <formula>NOT(ISERROR(SEARCH("欠",R625)))</formula>
    </cfRule>
    <cfRule type="cellIs" dxfId="0" priority="3371" operator="equal">
      <formula>"欠"</formula>
    </cfRule>
  </conditionalFormatting>
  <conditionalFormatting sqref="R638:R639">
    <cfRule type="containsText" dxfId="2" priority="2447" operator="between" text="欠">
      <formula>NOT(ISERROR(SEARCH("欠",R638)))</formula>
    </cfRule>
    <cfRule type="cellIs" dxfId="0" priority="2448" operator="equal">
      <formula>"欠"</formula>
    </cfRule>
  </conditionalFormatting>
  <conditionalFormatting sqref="R659:R660">
    <cfRule type="containsText" dxfId="2" priority="2013" operator="between" text="欠">
      <formula>NOT(ISERROR(SEARCH("欠",R659)))</formula>
    </cfRule>
    <cfRule type="cellIs" dxfId="0" priority="2014" operator="equal">
      <formula>"欠"</formula>
    </cfRule>
  </conditionalFormatting>
  <conditionalFormatting sqref="R780:R782">
    <cfRule type="containsText" dxfId="2" priority="1673" operator="between" text="欠">
      <formula>NOT(ISERROR(SEARCH("欠",R780)))</formula>
    </cfRule>
    <cfRule type="cellIs" dxfId="0" priority="1675" operator="equal">
      <formula>"欠"</formula>
    </cfRule>
  </conditionalFormatting>
  <conditionalFormatting sqref="R791:R797">
    <cfRule type="containsText" dxfId="2" priority="1677" operator="between" text="欠">
      <formula>NOT(ISERROR(SEARCH("欠",R791)))</formula>
    </cfRule>
    <cfRule type="cellIs" dxfId="0" priority="1678" operator="equal">
      <formula>"欠"</formula>
    </cfRule>
  </conditionalFormatting>
  <conditionalFormatting sqref="R815:R816">
    <cfRule type="containsText" dxfId="2" priority="1681" operator="between" text="欠">
      <formula>NOT(ISERROR(SEARCH("欠",R815)))</formula>
    </cfRule>
    <cfRule type="cellIs" dxfId="0" priority="1685" operator="equal">
      <formula>"欠"</formula>
    </cfRule>
  </conditionalFormatting>
  <conditionalFormatting sqref="R822:R823">
    <cfRule type="containsText" dxfId="2" priority="1607" operator="between" text="欠">
      <formula>NOT(ISERROR(SEARCH("欠",R822)))</formula>
    </cfRule>
    <cfRule type="cellIs" dxfId="0" priority="1609" operator="equal">
      <formula>"欠"</formula>
    </cfRule>
  </conditionalFormatting>
  <conditionalFormatting sqref="R834:R837">
    <cfRule type="containsText" dxfId="2" priority="1243" operator="between" text="欠">
      <formula>NOT(ISERROR(SEARCH("欠",R834)))</formula>
    </cfRule>
    <cfRule type="cellIs" dxfId="0" priority="1244" operator="equal">
      <formula>"欠"</formula>
    </cfRule>
  </conditionalFormatting>
  <conditionalFormatting sqref="R851:R852">
    <cfRule type="containsText" dxfId="2" priority="570" operator="between" text="欠">
      <formula>NOT(ISERROR(SEARCH("欠",R851)))</formula>
    </cfRule>
    <cfRule type="cellIs" dxfId="0" priority="571" operator="equal">
      <formula>"欠"</formula>
    </cfRule>
  </conditionalFormatting>
  <conditionalFormatting sqref="R853:R856">
    <cfRule type="containsText" dxfId="2" priority="540" operator="between" text="欠">
      <formula>NOT(ISERROR(SEARCH("欠",R853)))</formula>
    </cfRule>
    <cfRule type="cellIs" dxfId="0" priority="541" operator="equal">
      <formula>"欠"</formula>
    </cfRule>
  </conditionalFormatting>
  <conditionalFormatting sqref="R858:R860">
    <cfRule type="containsText" dxfId="2" priority="70" operator="between" text="欠">
      <formula>NOT(ISERROR(SEARCH("欠",R858)))</formula>
    </cfRule>
    <cfRule type="cellIs" dxfId="0" priority="71" operator="equal">
      <formula>"欠"</formula>
    </cfRule>
  </conditionalFormatting>
  <conditionalFormatting sqref="R873:R874">
    <cfRule type="containsText" dxfId="2" priority="529" operator="between" text="欠">
      <formula>NOT(ISERROR(SEARCH("欠",R873)))</formula>
    </cfRule>
    <cfRule type="cellIs" dxfId="0" priority="533" operator="equal">
      <formula>"欠"</formula>
    </cfRule>
  </conditionalFormatting>
  <conditionalFormatting sqref="R889:R891">
    <cfRule type="containsText" dxfId="2" priority="10" operator="between" text="欠">
      <formula>NOT(ISERROR(SEARCH("欠",R889)))</formula>
    </cfRule>
    <cfRule type="cellIs" dxfId="0" priority="11" operator="equal">
      <formula>"欠"</formula>
    </cfRule>
  </conditionalFormatting>
  <conditionalFormatting sqref="R912:R914">
    <cfRule type="cellIs" dxfId="0" priority="6879" operator="equal">
      <formula>"欠"</formula>
    </cfRule>
  </conditionalFormatting>
  <conditionalFormatting sqref="S478:S479">
    <cfRule type="cellIs" dxfId="0" priority="3848" operator="equal">
      <formula>"欠"</formula>
    </cfRule>
  </conditionalFormatting>
  <conditionalFormatting sqref="S572:S576">
    <cfRule type="cellIs" dxfId="0" priority="2554" operator="equal">
      <formula>"欠"</formula>
    </cfRule>
  </conditionalFormatting>
  <conditionalFormatting sqref="S579:S580">
    <cfRule type="cellIs" dxfId="0" priority="2504" operator="equal">
      <formula>"欠"</formula>
    </cfRule>
  </conditionalFormatting>
  <conditionalFormatting sqref="S595:S601">
    <cfRule type="cellIs" dxfId="0" priority="2510" operator="equal">
      <formula>"欠"</formula>
    </cfRule>
  </conditionalFormatting>
  <conditionalFormatting sqref="S611:S612">
    <cfRule type="cellIs" dxfId="0" priority="2497" operator="equal">
      <formula>"欠"</formula>
    </cfRule>
  </conditionalFormatting>
  <conditionalFormatting sqref="S638:S639">
    <cfRule type="cellIs" dxfId="0" priority="2449" operator="equal">
      <formula>"欠"</formula>
    </cfRule>
  </conditionalFormatting>
  <conditionalFormatting sqref="S834:S837">
    <cfRule type="cellIs" dxfId="0" priority="1305" operator="equal">
      <formula>"欠"</formula>
    </cfRule>
  </conditionalFormatting>
  <conditionalFormatting sqref="S851:S852">
    <cfRule type="cellIs" dxfId="0" priority="567" operator="equal">
      <formula>"欠"</formula>
    </cfRule>
  </conditionalFormatting>
  <conditionalFormatting sqref="S854:S856">
    <cfRule type="cellIs" dxfId="0" priority="550" operator="equal">
      <formula>"欠"</formula>
    </cfRule>
  </conditionalFormatting>
  <conditionalFormatting sqref="S858:S860">
    <cfRule type="cellIs" dxfId="0" priority="81" operator="equal">
      <formula>"欠"</formula>
    </cfRule>
  </conditionalFormatting>
  <conditionalFormatting sqref="S889:S891">
    <cfRule type="cellIs" dxfId="0" priority="19" operator="equal">
      <formula>"欠"</formula>
    </cfRule>
  </conditionalFormatting>
  <conditionalFormatting sqref="S915:S917">
    <cfRule type="cellIs" dxfId="0" priority="7911" operator="equal">
      <formula>"欠"</formula>
    </cfRule>
  </conditionalFormatting>
  <conditionalFormatting sqref="S919:S920">
    <cfRule type="cellIs" dxfId="0" priority="7910" operator="equal">
      <formula>"欠"</formula>
    </cfRule>
  </conditionalFormatting>
  <conditionalFormatting sqref="T440:T441">
    <cfRule type="containsText" dxfId="2" priority="3178" operator="between" text="欠">
      <formula>NOT(ISERROR(SEARCH("欠",T440)))</formula>
    </cfRule>
  </conditionalFormatting>
  <conditionalFormatting sqref="T476:T477">
    <cfRule type="cellIs" dxfId="0" priority="3991" operator="equal">
      <formula>"欠"</formula>
    </cfRule>
  </conditionalFormatting>
  <conditionalFormatting sqref="T538:T540">
    <cfRule type="containsText" dxfId="2" priority="3407" operator="between" text="欠">
      <formula>NOT(ISERROR(SEARCH("欠",T538)))</formula>
    </cfRule>
    <cfRule type="containsText" dxfId="3" priority="3408" operator="between" text="欠">
      <formula>NOT(ISERROR(SEARCH("欠",T538)))</formula>
    </cfRule>
    <cfRule type="cellIs" dxfId="0" priority="3409" operator="equal">
      <formula>"欠"</formula>
    </cfRule>
  </conditionalFormatting>
  <conditionalFormatting sqref="T565:T569">
    <cfRule type="cellIs" dxfId="0" priority="2192" operator="equal">
      <formula>"欠"</formula>
    </cfRule>
  </conditionalFormatting>
  <conditionalFormatting sqref="T573:T576">
    <cfRule type="containsText" dxfId="2" priority="2557" operator="between" text="欠">
      <formula>NOT(ISERROR(SEARCH("欠",T573)))</formula>
    </cfRule>
    <cfRule type="cellIs" dxfId="0" priority="2558" operator="equal">
      <formula>"欠"</formula>
    </cfRule>
  </conditionalFormatting>
  <conditionalFormatting sqref="T579:T580">
    <cfRule type="cellIs" dxfId="0" priority="2191" operator="equal">
      <formula>"欠"</formula>
    </cfRule>
  </conditionalFormatting>
  <conditionalFormatting sqref="T595:T601">
    <cfRule type="cellIs" dxfId="0" priority="2190" operator="equal">
      <formula>"欠"</formula>
    </cfRule>
  </conditionalFormatting>
  <conditionalFormatting sqref="T604:T605">
    <cfRule type="containsText" dxfId="2" priority="2582" operator="between" text="欠">
      <formula>NOT(ISERROR(SEARCH("欠",T604)))</formula>
    </cfRule>
    <cfRule type="containsText" dxfId="3" priority="2583" operator="between" text="欠">
      <formula>NOT(ISERROR(SEARCH("欠",T604)))</formula>
    </cfRule>
    <cfRule type="cellIs" dxfId="0" priority="2584" operator="equal">
      <formula>"欠"</formula>
    </cfRule>
  </conditionalFormatting>
  <conditionalFormatting sqref="T610:T612">
    <cfRule type="containsText" dxfId="2" priority="2517" operator="between" text="欠">
      <formula>NOT(ISERROR(SEARCH("欠",T610)))</formula>
    </cfRule>
    <cfRule type="containsText" dxfId="3" priority="2518" operator="between" text="欠">
      <formula>NOT(ISERROR(SEARCH("欠",T610)))</formula>
    </cfRule>
    <cfRule type="cellIs" dxfId="0" priority="2519" operator="equal">
      <formula>"欠"</formula>
    </cfRule>
  </conditionalFormatting>
  <conditionalFormatting sqref="T625:T626">
    <cfRule type="containsText" dxfId="2" priority="3372" operator="between" text="欠">
      <formula>NOT(ISERROR(SEARCH("欠",T625)))</formula>
    </cfRule>
    <cfRule type="containsText" dxfId="3" priority="3373" operator="between" text="欠">
      <formula>NOT(ISERROR(SEARCH("欠",T625)))</formula>
    </cfRule>
    <cfRule type="cellIs" dxfId="0" priority="3374" operator="equal">
      <formula>"欠"</formula>
    </cfRule>
  </conditionalFormatting>
  <conditionalFormatting sqref="T643:T644">
    <cfRule type="cellIs" dxfId="0" priority="2179" operator="equal">
      <formula>"欠"</formula>
    </cfRule>
  </conditionalFormatting>
  <conditionalFormatting sqref="T650:T652">
    <cfRule type="cellIs" dxfId="0" priority="2174" operator="equal">
      <formula>"欠"</formula>
    </cfRule>
  </conditionalFormatting>
  <conditionalFormatting sqref="T655:T658">
    <cfRule type="containsText" dxfId="2" priority="2933" operator="between" text="欠">
      <formula>NOT(ISERROR(SEARCH("欠",T655)))</formula>
    </cfRule>
    <cfRule type="containsText" dxfId="3" priority="2934" operator="between" text="欠">
      <formula>NOT(ISERROR(SEARCH("欠",T655)))</formula>
    </cfRule>
    <cfRule type="cellIs" dxfId="0" priority="2935" operator="equal">
      <formula>"欠"</formula>
    </cfRule>
  </conditionalFormatting>
  <conditionalFormatting sqref="T659:T660">
    <cfRule type="cellIs" dxfId="0" priority="2015" operator="equal">
      <formula>"欠"</formula>
    </cfRule>
  </conditionalFormatting>
  <conditionalFormatting sqref="T780:T782">
    <cfRule type="containsText" dxfId="2" priority="1693" operator="between" text="欠">
      <formula>NOT(ISERROR(SEARCH("欠",T780)))</formula>
    </cfRule>
    <cfRule type="cellIs" dxfId="0" priority="1694" operator="equal">
      <formula>"欠"</formula>
    </cfRule>
  </conditionalFormatting>
  <conditionalFormatting sqref="T815:T816">
    <cfRule type="containsText" dxfId="2" priority="1682" operator="between" text="欠">
      <formula>NOT(ISERROR(SEARCH("欠",T815)))</formula>
    </cfRule>
    <cfRule type="cellIs" dxfId="0" priority="1683" operator="equal">
      <formula>"欠"</formula>
    </cfRule>
  </conditionalFormatting>
  <conditionalFormatting sqref="T822:T823">
    <cfRule type="containsText" dxfId="2" priority="1613" operator="between" text="欠">
      <formula>NOT(ISERROR(SEARCH("欠",T822)))</formula>
    </cfRule>
    <cfRule type="cellIs" dxfId="0" priority="1623" operator="equal">
      <formula>"欠"</formula>
    </cfRule>
  </conditionalFormatting>
  <conditionalFormatting sqref="T834:T837">
    <cfRule type="containsText" dxfId="2" priority="1307" operator="between" text="欠">
      <formula>NOT(ISERROR(SEARCH("欠",T834)))</formula>
    </cfRule>
    <cfRule type="cellIs" dxfId="0" priority="1308" operator="equal">
      <formula>"欠"</formula>
    </cfRule>
  </conditionalFormatting>
  <conditionalFormatting sqref="T851:T852">
    <cfRule type="containsText" dxfId="2" priority="568" operator="between" text="欠">
      <formula>NOT(ISERROR(SEARCH("欠",T851)))</formula>
    </cfRule>
    <cfRule type="cellIs" dxfId="0" priority="569" operator="equal">
      <formula>"欠"</formula>
    </cfRule>
  </conditionalFormatting>
  <conditionalFormatting sqref="T853:T856">
    <cfRule type="containsText" dxfId="2" priority="543" operator="between" text="欠">
      <formula>NOT(ISERROR(SEARCH("欠",T853)))</formula>
    </cfRule>
    <cfRule type="cellIs" dxfId="0" priority="544" operator="equal">
      <formula>"欠"</formula>
    </cfRule>
  </conditionalFormatting>
  <conditionalFormatting sqref="T873:T874">
    <cfRule type="containsText" dxfId="2" priority="530" operator="between" text="欠">
      <formula>NOT(ISERROR(SEARCH("欠",T873)))</formula>
    </cfRule>
    <cfRule type="cellIs" dxfId="0" priority="531" operator="equal">
      <formula>"欠"</formula>
    </cfRule>
  </conditionalFormatting>
  <conditionalFormatting sqref="T878:T879">
    <cfRule type="containsText" dxfId="2" priority="41" operator="between" text="欠">
      <formula>NOT(ISERROR(SEARCH("欠",T878)))</formula>
    </cfRule>
    <cfRule type="cellIs" dxfId="0" priority="43" operator="equal">
      <formula>"欠"</formula>
    </cfRule>
  </conditionalFormatting>
  <conditionalFormatting sqref="T889:T891">
    <cfRule type="containsText" dxfId="2" priority="12" operator="between" text="欠">
      <formula>NOT(ISERROR(SEARCH("欠",T889)))</formula>
    </cfRule>
    <cfRule type="cellIs" dxfId="0" priority="13" operator="equal">
      <formula>"欠"</formula>
    </cfRule>
  </conditionalFormatting>
  <conditionalFormatting sqref="U565:U569">
    <cfRule type="cellIs" dxfId="0" priority="2561" operator="equal">
      <formula>"欠"</formula>
    </cfRule>
  </conditionalFormatting>
  <conditionalFormatting sqref="U579:U580">
    <cfRule type="cellIs" dxfId="0" priority="2503" operator="equal">
      <formula>"欠"</formula>
    </cfRule>
  </conditionalFormatting>
  <conditionalFormatting sqref="U595:U601">
    <cfRule type="cellIs" dxfId="0" priority="2509" operator="equal">
      <formula>"欠"</formula>
    </cfRule>
  </conditionalFormatting>
  <conditionalFormatting sqref="U659:U660">
    <cfRule type="cellIs" dxfId="0" priority="2018" operator="equal">
      <formula>"欠"</formula>
    </cfRule>
  </conditionalFormatting>
  <conditionalFormatting sqref="U780:U782">
    <cfRule type="cellIs" dxfId="0" priority="1697" operator="equal">
      <formula>"欠"</formula>
    </cfRule>
  </conditionalFormatting>
  <conditionalFormatting sqref="U815:U816">
    <cfRule type="cellIs" dxfId="0" priority="1686" operator="equal">
      <formula>"欠"</formula>
    </cfRule>
  </conditionalFormatting>
  <conditionalFormatting sqref="U825:U826">
    <cfRule type="cellIs" dxfId="0" priority="1884" operator="equal">
      <formula>"欠"</formula>
    </cfRule>
  </conditionalFormatting>
  <conditionalFormatting sqref="U834:U837">
    <cfRule type="cellIs" dxfId="0" priority="1311" operator="equal">
      <formula>"欠"</formula>
    </cfRule>
  </conditionalFormatting>
  <conditionalFormatting sqref="U843:U844">
    <cfRule type="cellIs" dxfId="0" priority="1300" operator="equal">
      <formula>"欠"</formula>
    </cfRule>
  </conditionalFormatting>
  <conditionalFormatting sqref="U851:U852">
    <cfRule type="cellIs" dxfId="0" priority="562" operator="equal">
      <formula>"欠"</formula>
    </cfRule>
  </conditionalFormatting>
  <conditionalFormatting sqref="U853:U856">
    <cfRule type="cellIs" dxfId="0" priority="545" operator="equal">
      <formula>"欠"</formula>
    </cfRule>
  </conditionalFormatting>
  <conditionalFormatting sqref="U858:U860">
    <cfRule type="cellIs" dxfId="0" priority="76" operator="equal">
      <formula>"欠"</formula>
    </cfRule>
  </conditionalFormatting>
  <conditionalFormatting sqref="U885:U887">
    <cfRule type="cellIs" dxfId="0" priority="2277" operator="equal">
      <formula>"欠"</formula>
    </cfRule>
  </conditionalFormatting>
  <conditionalFormatting sqref="U889:U891">
    <cfRule type="cellIs" dxfId="0" priority="14" operator="equal">
      <formula>"欠"</formula>
    </cfRule>
  </conditionalFormatting>
  <conditionalFormatting sqref="U898:U901">
    <cfRule type="cellIs" dxfId="0" priority="2274" operator="equal">
      <formula>"欠"</formula>
    </cfRule>
  </conditionalFormatting>
  <conditionalFormatting sqref="V379:V380">
    <cfRule type="cellIs" dxfId="0" priority="4305" operator="equal">
      <formula>"欠"</formula>
    </cfRule>
  </conditionalFormatting>
  <conditionalFormatting sqref="V405:V407">
    <cfRule type="cellIs" dxfId="0" priority="6882" operator="equal">
      <formula>"欠"</formula>
    </cfRule>
  </conditionalFormatting>
  <conditionalFormatting sqref="V414:V417">
    <cfRule type="cellIs" dxfId="0" priority="4414" operator="equal">
      <formula>"欠"</formula>
    </cfRule>
  </conditionalFormatting>
  <conditionalFormatting sqref="V418:V419">
    <cfRule type="cellIs" dxfId="0" priority="3965" operator="equal">
      <formula>"欠"</formula>
    </cfRule>
  </conditionalFormatting>
  <conditionalFormatting sqref="AC500:AC501">
    <cfRule type="cellIs" dxfId="0" priority="3996" operator="equal">
      <formula>"未完成"</formula>
    </cfRule>
  </conditionalFormatting>
  <conditionalFormatting sqref="AE18:AE19">
    <cfRule type="cellIs" dxfId="0" priority="6516" operator="equal">
      <formula>"未完成"</formula>
    </cfRule>
  </conditionalFormatting>
  <conditionalFormatting sqref="AE21:AE87">
    <cfRule type="cellIs" dxfId="0" priority="5215" operator="equal">
      <formula>"未完成"</formula>
    </cfRule>
  </conditionalFormatting>
  <conditionalFormatting sqref="AE95:AE97">
    <cfRule type="cellIs" dxfId="0" priority="6289" operator="equal">
      <formula>"未完成"</formula>
    </cfRule>
  </conditionalFormatting>
  <conditionalFormatting sqref="AE176:AE201">
    <cfRule type="cellIs" dxfId="0" priority="4939" operator="equal">
      <formula>"未完成"</formula>
    </cfRule>
  </conditionalFormatting>
  <conditionalFormatting sqref="AE204:AE249">
    <cfRule type="cellIs" dxfId="0" priority="4787" operator="equal">
      <formula>"未完成"</formula>
    </cfRule>
  </conditionalFormatting>
  <conditionalFormatting sqref="AE374:AE375">
    <cfRule type="cellIs" dxfId="0" priority="4995" operator="equal">
      <formula>"未完成"</formula>
    </cfRule>
  </conditionalFormatting>
  <conditionalFormatting sqref="AE379:AE380">
    <cfRule type="cellIs" dxfId="0" priority="4308" operator="equal">
      <formula>"未完成"</formula>
    </cfRule>
  </conditionalFormatting>
  <conditionalFormatting sqref="AE414:AE417">
    <cfRule type="cellIs" dxfId="0" priority="4417" operator="equal">
      <formula>"未完成"</formula>
    </cfRule>
  </conditionalFormatting>
  <conditionalFormatting sqref="AE418:AE419">
    <cfRule type="cellIs" dxfId="0" priority="3968" operator="equal">
      <formula>"未完成"</formula>
    </cfRule>
  </conditionalFormatting>
  <conditionalFormatting sqref="AF18:AF19">
    <cfRule type="cellIs" dxfId="0" priority="1574" operator="equal">
      <formula>"未完成"</formula>
    </cfRule>
  </conditionalFormatting>
  <conditionalFormatting sqref="AF21:AF87">
    <cfRule type="cellIs" dxfId="0" priority="1538" operator="equal">
      <formula>"未完成"</formula>
    </cfRule>
  </conditionalFormatting>
  <conditionalFormatting sqref="AF95:AF97">
    <cfRule type="cellIs" dxfId="0" priority="1572" operator="equal">
      <formula>"未完成"</formula>
    </cfRule>
  </conditionalFormatting>
  <conditionalFormatting sqref="AF176:AF201">
    <cfRule type="cellIs" dxfId="0" priority="1505" operator="equal">
      <formula>"未完成"</formula>
    </cfRule>
  </conditionalFormatting>
  <conditionalFormatting sqref="AF204:AF249">
    <cfRule type="cellIs" dxfId="0" priority="1501" operator="equal">
      <formula>"未完成"</formula>
    </cfRule>
  </conditionalFormatting>
  <conditionalFormatting sqref="AF374:AF375">
    <cfRule type="cellIs" dxfId="0" priority="1511" operator="equal">
      <formula>"未完成"</formula>
    </cfRule>
  </conditionalFormatting>
  <conditionalFormatting sqref="AF379:AF380">
    <cfRule type="cellIs" dxfId="0" priority="1481" operator="equal">
      <formula>"未完成"</formula>
    </cfRule>
  </conditionalFormatting>
  <conditionalFormatting sqref="AF414:AF417">
    <cfRule type="cellIs" dxfId="0" priority="1493" operator="equal">
      <formula>"未完成"</formula>
    </cfRule>
  </conditionalFormatting>
  <conditionalFormatting sqref="AF418:AF419">
    <cfRule type="cellIs" dxfId="0" priority="1439" operator="equal">
      <formula>"未完成"</formula>
    </cfRule>
  </conditionalFormatting>
  <conditionalFormatting sqref="AG916:AG922">
    <cfRule type="cellIs" dxfId="1" priority="7410" operator="equal">
      <formula>"未完成"</formula>
    </cfRule>
    <cfRule type="cellIs" dxfId="0" priority="7411" operator="equal">
      <formula>"未完成"</formula>
    </cfRule>
  </conditionalFormatting>
  <conditionalFormatting sqref="AH915:AH922">
    <cfRule type="cellIs" dxfId="1" priority="7055" operator="equal">
      <formula>"未完成"</formula>
    </cfRule>
    <cfRule type="cellIs" dxfId="0" priority="7060" operator="equal">
      <formula>"未完成"</formula>
    </cfRule>
  </conditionalFormatting>
  <conditionalFormatting sqref="AI534:AI536">
    <cfRule type="cellIs" dxfId="1" priority="3066" operator="equal">
      <formula>"未完成"</formula>
    </cfRule>
    <cfRule type="cellIs" dxfId="0" priority="3069" operator="equal">
      <formula>"未完成"</formula>
    </cfRule>
  </conditionalFormatting>
  <conditionalFormatting sqref="AI538:AI540">
    <cfRule type="cellIs" dxfId="1" priority="3411" operator="equal">
      <formula>"未完成"</formula>
    </cfRule>
    <cfRule type="cellIs" dxfId="0" priority="3412" operator="equal">
      <formula>"未完成"</formula>
    </cfRule>
  </conditionalFormatting>
  <conditionalFormatting sqref="AI563:AI569">
    <cfRule type="cellIs" dxfId="1" priority="2828" operator="equal">
      <formula>"未完成"</formula>
    </cfRule>
    <cfRule type="cellIs" dxfId="0" priority="2829" operator="equal">
      <formula>"未完成"</formula>
    </cfRule>
  </conditionalFormatting>
  <conditionalFormatting sqref="AI578:AI580">
    <cfRule type="cellIs" dxfId="1" priority="3084" operator="equal">
      <formula>"未完成"</formula>
    </cfRule>
    <cfRule type="cellIs" dxfId="0" priority="3085" operator="equal">
      <formula>"未完成"</formula>
    </cfRule>
  </conditionalFormatting>
  <conditionalFormatting sqref="AI594:AI601">
    <cfRule type="cellIs" dxfId="1" priority="2634" operator="equal">
      <formula>"未完成"</formula>
    </cfRule>
    <cfRule type="cellIs" dxfId="0" priority="2637" operator="equal">
      <formula>"未完成"</formula>
    </cfRule>
  </conditionalFormatting>
  <conditionalFormatting sqref="AI604:AI605">
    <cfRule type="cellIs" dxfId="1" priority="2586" operator="equal">
      <formula>"未完成"</formula>
    </cfRule>
    <cfRule type="cellIs" dxfId="0" priority="2587" operator="equal">
      <formula>"未完成"</formula>
    </cfRule>
  </conditionalFormatting>
  <conditionalFormatting sqref="AI648:AI649">
    <cfRule type="cellIs" dxfId="1" priority="2993" operator="equal">
      <formula>"未完成"</formula>
    </cfRule>
    <cfRule type="cellIs" dxfId="0" priority="3000" operator="equal">
      <formula>"未完成"</formula>
    </cfRule>
  </conditionalFormatting>
  <conditionalFormatting sqref="AI653:AI654">
    <cfRule type="cellIs" dxfId="1" priority="2458" operator="equal">
      <formula>"未完成"</formula>
    </cfRule>
    <cfRule type="cellIs" dxfId="0" priority="2459" operator="equal">
      <formula>"未完成"</formula>
    </cfRule>
  </conditionalFormatting>
  <conditionalFormatting sqref="AI659:AI660">
    <cfRule type="cellIs" dxfId="1" priority="2020" operator="equal">
      <formula>"未完成"</formula>
    </cfRule>
    <cfRule type="cellIs" dxfId="0" priority="2021" operator="equal">
      <formula>"未完成"</formula>
    </cfRule>
  </conditionalFormatting>
  <conditionalFormatting sqref="AI780:AI782">
    <cfRule type="cellIs" dxfId="1" priority="1699" operator="equal">
      <formula>"未完成"</formula>
    </cfRule>
    <cfRule type="cellIs" dxfId="0" priority="1700" operator="equal">
      <formula>"未完成"</formula>
    </cfRule>
  </conditionalFormatting>
  <conditionalFormatting sqref="AI815:AI816">
    <cfRule type="cellIs" dxfId="1" priority="1688" operator="equal">
      <formula>"未完成"</formula>
    </cfRule>
    <cfRule type="cellIs" dxfId="0" priority="1689" operator="equal">
      <formula>"未完成"</formula>
    </cfRule>
  </conditionalFormatting>
  <conditionalFormatting sqref="AI825:AI826">
    <cfRule type="cellIs" dxfId="1" priority="1886" operator="equal">
      <formula>"未完成"</formula>
    </cfRule>
    <cfRule type="cellIs" dxfId="0" priority="1887" operator="equal">
      <formula>"未完成"</formula>
    </cfRule>
  </conditionalFormatting>
  <conditionalFormatting sqref="AI834:AI837">
    <cfRule type="cellIs" dxfId="1" priority="1313" operator="equal">
      <formula>"未完成"</formula>
    </cfRule>
    <cfRule type="cellIs" dxfId="0" priority="1314" operator="equal">
      <formula>"未完成"</formula>
    </cfRule>
  </conditionalFormatting>
  <conditionalFormatting sqref="AI843:AI844">
    <cfRule type="cellIs" dxfId="1" priority="1302" operator="equal">
      <formula>"未完成"</formula>
    </cfRule>
    <cfRule type="cellIs" dxfId="0" priority="1303" operator="equal">
      <formula>"未完成"</formula>
    </cfRule>
  </conditionalFormatting>
  <conditionalFormatting sqref="AI851:AI852">
    <cfRule type="cellIs" dxfId="1" priority="564" operator="equal">
      <formula>"未完成"</formula>
    </cfRule>
    <cfRule type="cellIs" dxfId="0" priority="565" operator="equal">
      <formula>"未完成"</formula>
    </cfRule>
  </conditionalFormatting>
  <conditionalFormatting sqref="AI853:AI856">
    <cfRule type="cellIs" dxfId="1" priority="547" operator="equal">
      <formula>"未完成"</formula>
    </cfRule>
    <cfRule type="cellIs" dxfId="0" priority="548" operator="equal">
      <formula>"未完成"</formula>
    </cfRule>
  </conditionalFormatting>
  <conditionalFormatting sqref="AI858:AI860">
    <cfRule type="cellIs" dxfId="1" priority="78" operator="equal">
      <formula>"未完成"</formula>
    </cfRule>
    <cfRule type="cellIs" dxfId="0" priority="79" operator="equal">
      <formula>"未完成"</formula>
    </cfRule>
  </conditionalFormatting>
  <conditionalFormatting sqref="AI889:AI891">
    <cfRule type="cellIs" dxfId="1" priority="16" operator="equal">
      <formula>"未完成"</formula>
    </cfRule>
    <cfRule type="cellIs" dxfId="0" priority="17" operator="equal">
      <formula>"未完成"</formula>
    </cfRule>
  </conditionalFormatting>
  <conditionalFormatting sqref="AJ374:AJ375">
    <cfRule type="cellIs" dxfId="1" priority="4996" operator="equal">
      <formula>"未完成"</formula>
    </cfRule>
    <cfRule type="cellIs" dxfId="0" priority="4997" operator="equal">
      <formula>"未完成"</formula>
    </cfRule>
  </conditionalFormatting>
  <conditionalFormatting sqref="AJ534:AJ536">
    <cfRule type="cellIs" dxfId="0" priority="3063" operator="equal">
      <formula>"欠"</formula>
    </cfRule>
  </conditionalFormatting>
  <conditionalFormatting sqref="AJ538:AJ540">
    <cfRule type="cellIs" dxfId="0" priority="3410" operator="equal">
      <formula>"欠"</formula>
    </cfRule>
  </conditionalFormatting>
  <conditionalFormatting sqref="AJ563:AJ569">
    <cfRule type="cellIs" dxfId="0" priority="2827" operator="equal">
      <formula>"欠"</formula>
    </cfRule>
  </conditionalFormatting>
  <conditionalFormatting sqref="AJ578:AJ580">
    <cfRule type="cellIs" dxfId="0" priority="3083" operator="equal">
      <formula>"欠"</formula>
    </cfRule>
  </conditionalFormatting>
  <conditionalFormatting sqref="AJ594:AJ601">
    <cfRule type="cellIs" dxfId="0" priority="2631" operator="equal">
      <formula>"欠"</formula>
    </cfRule>
  </conditionalFormatting>
  <conditionalFormatting sqref="AJ604:AJ605">
    <cfRule type="cellIs" dxfId="0" priority="2585" operator="equal">
      <formula>"欠"</formula>
    </cfRule>
  </conditionalFormatting>
  <conditionalFormatting sqref="AJ644:AJ646">
    <cfRule type="cellIs" dxfId="0" priority="2987" operator="equal">
      <formula>"欠"</formula>
    </cfRule>
  </conditionalFormatting>
  <conditionalFormatting sqref="AJ648:AJ649">
    <cfRule type="cellIs" dxfId="0" priority="2986" operator="equal">
      <formula>"欠"</formula>
    </cfRule>
  </conditionalFormatting>
  <conditionalFormatting sqref="AJ653:AJ654">
    <cfRule type="cellIs" dxfId="0" priority="2457" operator="equal">
      <formula>"欠"</formula>
    </cfRule>
  </conditionalFormatting>
  <conditionalFormatting sqref="AJ659:AJ660">
    <cfRule type="cellIs" dxfId="0" priority="2019" operator="equal">
      <formula>"欠"</formula>
    </cfRule>
  </conditionalFormatting>
  <conditionalFormatting sqref="AJ780:AJ782">
    <cfRule type="cellIs" dxfId="0" priority="1698" operator="equal">
      <formula>"欠"</formula>
    </cfRule>
  </conditionalFormatting>
  <conditionalFormatting sqref="AJ815:AJ816">
    <cfRule type="cellIs" dxfId="0" priority="1687" operator="equal">
      <formula>"欠"</formula>
    </cfRule>
  </conditionalFormatting>
  <conditionalFormatting sqref="AJ825:AJ826">
    <cfRule type="cellIs" dxfId="0" priority="1885" operator="equal">
      <formula>"欠"</formula>
    </cfRule>
  </conditionalFormatting>
  <conditionalFormatting sqref="AJ834:AJ837">
    <cfRule type="cellIs" dxfId="0" priority="1312" operator="equal">
      <formula>"欠"</formula>
    </cfRule>
  </conditionalFormatting>
  <conditionalFormatting sqref="AJ843:AJ844">
    <cfRule type="cellIs" dxfId="0" priority="1301" operator="equal">
      <formula>"欠"</formula>
    </cfRule>
  </conditionalFormatting>
  <conditionalFormatting sqref="AJ851:AJ852">
    <cfRule type="cellIs" dxfId="0" priority="563" operator="equal">
      <formula>"欠"</formula>
    </cfRule>
  </conditionalFormatting>
  <conditionalFormatting sqref="AJ853:AJ856">
    <cfRule type="cellIs" dxfId="0" priority="546" operator="equal">
      <formula>"欠"</formula>
    </cfRule>
  </conditionalFormatting>
  <conditionalFormatting sqref="AJ858:AJ860">
    <cfRule type="cellIs" dxfId="0" priority="77" operator="equal">
      <formula>"欠"</formula>
    </cfRule>
  </conditionalFormatting>
  <conditionalFormatting sqref="AJ889:AJ891">
    <cfRule type="cellIs" dxfId="0" priority="15" operator="equal">
      <formula>"欠"</formula>
    </cfRule>
  </conditionalFormatting>
  <conditionalFormatting sqref="R1:R423 R451:R473 R476:R490 R492:R504 R507:R512 R515:R523 R525:R531 R537 R541:R542 R578 R590:R591 R608 R615 R634 R645:R647 R912:R1048576">
    <cfRule type="containsText" dxfId="2" priority="3416" operator="between" text="欠">
      <formula>NOT(ISERROR(SEARCH("欠",R1)))</formula>
    </cfRule>
  </conditionalFormatting>
  <conditionalFormatting sqref="R1:R626 R628:R661 R772 R776:R779 R784:R789 R791:R797 R799:R811 R828:R833 R875:R877 R872 R842 R838:R840 R884:R885 R887:R888 R814 R817:R818 R820 R824 R894:R904 R908:R909 R906 R912:R1048576">
    <cfRule type="containsText" dxfId="2" priority="2005" operator="between" text="欠">
      <formula>NOT(ISERROR(SEARCH("欠",R1)))</formula>
    </cfRule>
  </conditionalFormatting>
  <conditionalFormatting sqref="T1:T84 T86:T223 T912:T1048576">
    <cfRule type="containsText" dxfId="3" priority="4679" operator="between" text="欠">
      <formula>NOT(ISERROR(SEARCH("欠",T1)))</formula>
    </cfRule>
  </conditionalFormatting>
  <conditionalFormatting sqref="T1:T84 T86:T326 T363:T424 T451:T452 T454:T463 T465:T473 T476:T485 T487:T490 T492:T498 T500:T504 T509:T512 T516:T523 T525:T527 T532:T534 T546:T552 T556:T558 T578 T582:T583 T585 T624 T645:T646 T912:T1048576">
    <cfRule type="containsText" dxfId="2" priority="3806" operator="between" text="欠">
      <formula>NOT(ISERROR(SEARCH("欠",T1)))</formula>
    </cfRule>
  </conditionalFormatting>
  <conditionalFormatting sqref="T1:T626 T628:T661 T682:T683 T714:T715 T772 T777:T779 T786:T797 T799:T811 T814 T817:T818 T820 T824 T828:T833 T838:T840 T842 T872 T875:T877 T884:T885 T894:T904 T912:T1048576 T908:T909 T906">
    <cfRule type="containsText" dxfId="2" priority="2006" operator="between" text="欠">
      <formula>NOT(ISERROR(SEARCH("欠",T1)))</formula>
    </cfRule>
  </conditionalFormatting>
  <conditionalFormatting sqref="AE1 AE922:AE925 AE930:AE1048576">
    <cfRule type="cellIs" dxfId="0" priority="7935" operator="equal">
      <formula>"未完成"</formula>
    </cfRule>
  </conditionalFormatting>
  <conditionalFormatting sqref="AF1 AF917:AF920 AF925:AF1048576">
    <cfRule type="cellIs" dxfId="0" priority="1599" operator="equal">
      <formula>"未完成"</formula>
    </cfRule>
  </conditionalFormatting>
  <conditionalFormatting sqref="R2 T2:V2 T919:V921 R919:R921 R915:R917 T916:V917">
    <cfRule type="cellIs" dxfId="0" priority="7939" operator="equal">
      <formula>"欠"</formula>
    </cfRule>
  </conditionalFormatting>
  <conditionalFormatting sqref="AJ2:AK2 AJ915:AK917 AI919 AI916 AI921:AI922 AJ919:AK922">
    <cfRule type="cellIs" dxfId="1" priority="7943" operator="equal">
      <formula>"未完成"</formula>
    </cfRule>
    <cfRule type="cellIs" dxfId="0" priority="7944" operator="equal">
      <formula>"未完成"</formula>
    </cfRule>
  </conditionalFormatting>
  <conditionalFormatting sqref="R3 T3:V3">
    <cfRule type="cellIs" dxfId="0" priority="6579" operator="equal">
      <formula>"欠"</formula>
    </cfRule>
  </conditionalFormatting>
  <conditionalFormatting sqref="R4 T4:V4">
    <cfRule type="cellIs" dxfId="0" priority="6578" operator="equal">
      <formula>"欠"</formula>
    </cfRule>
  </conditionalFormatting>
  <conditionalFormatting sqref="R5 T5:V5">
    <cfRule type="cellIs" dxfId="0" priority="6577" operator="equal">
      <formula>"欠"</formula>
    </cfRule>
  </conditionalFormatting>
  <conditionalFormatting sqref="R6 T6:V6">
    <cfRule type="cellIs" dxfId="0" priority="6576" operator="equal">
      <formula>"欠"</formula>
    </cfRule>
  </conditionalFormatting>
  <conditionalFormatting sqref="R7 T7:V7">
    <cfRule type="cellIs" dxfId="0" priority="6575" operator="equal">
      <formula>"欠"</formula>
    </cfRule>
  </conditionalFormatting>
  <conditionalFormatting sqref="R8 T8:V8">
    <cfRule type="cellIs" dxfId="0" priority="6574" operator="equal">
      <formula>"欠"</formula>
    </cfRule>
  </conditionalFormatting>
  <conditionalFormatting sqref="R9 T9:V9">
    <cfRule type="cellIs" dxfId="0" priority="6573" operator="equal">
      <formula>"欠"</formula>
    </cfRule>
  </conditionalFormatting>
  <conditionalFormatting sqref="R10 T10:V10">
    <cfRule type="cellIs" dxfId="0" priority="6572" operator="equal">
      <formula>"欠"</formula>
    </cfRule>
  </conditionalFormatting>
  <conditionalFormatting sqref="R11 T11:V11">
    <cfRule type="cellIs" dxfId="0" priority="6571" operator="equal">
      <formula>"欠"</formula>
    </cfRule>
  </conditionalFormatting>
  <conditionalFormatting sqref="R12 T12:V12">
    <cfRule type="cellIs" dxfId="0" priority="6570" operator="equal">
      <formula>"欠"</formula>
    </cfRule>
  </conditionalFormatting>
  <conditionalFormatting sqref="R13 T13:V13 T14">
    <cfRule type="cellIs" dxfId="0" priority="6569" operator="equal">
      <formula>"欠"</formula>
    </cfRule>
  </conditionalFormatting>
  <conditionalFormatting sqref="R14 U14:V14">
    <cfRule type="cellIs" dxfId="0" priority="6568" operator="equal">
      <formula>"欠"</formula>
    </cfRule>
  </conditionalFormatting>
  <conditionalFormatting sqref="R15 V15 T15:T16 T21 T34 T44:T48">
    <cfRule type="cellIs" dxfId="0" priority="6527" operator="equal">
      <formula>"欠"</formula>
    </cfRule>
  </conditionalFormatting>
  <conditionalFormatting sqref="U15:U16 U385:U386 U368:U369 U345:U349 U333:U334 U315:U319 U309 U300:U301 U275:U278 U243:U255 U237:U238 U218:U222 U211:U212 U196:U199 U189:U190 U169 U155 U135:U139 U117:U118 U86:U90 U69 U63 U44:U48 U34 U21">
    <cfRule type="cellIs" dxfId="0" priority="3557" operator="equal">
      <formula>"欠"</formula>
    </cfRule>
  </conditionalFormatting>
  <conditionalFormatting sqref="R16 V16">
    <cfRule type="cellIs" dxfId="0" priority="6526" operator="equal">
      <formula>"欠"</formula>
    </cfRule>
  </conditionalFormatting>
  <conditionalFormatting sqref="R17 T17:V17">
    <cfRule type="cellIs" dxfId="0" priority="6525" operator="equal">
      <formula>"欠"</formula>
    </cfRule>
  </conditionalFormatting>
  <conditionalFormatting sqref="R18 T18:V18 T38:T39">
    <cfRule type="cellIs" dxfId="0" priority="6524" operator="equal">
      <formula>"欠"</formula>
    </cfRule>
  </conditionalFormatting>
  <conditionalFormatting sqref="R19 T19:V19">
    <cfRule type="cellIs" dxfId="0" priority="6225" operator="equal">
      <formula>"欠"</formula>
    </cfRule>
  </conditionalFormatting>
  <conditionalFormatting sqref="R20 T20:V20">
    <cfRule type="cellIs" dxfId="0" priority="6224" operator="equal">
      <formula>"欠"</formula>
    </cfRule>
  </conditionalFormatting>
  <conditionalFormatting sqref="R21 V21">
    <cfRule type="cellIs" dxfId="0" priority="6223" operator="equal">
      <formula>"欠"</formula>
    </cfRule>
  </conditionalFormatting>
  <conditionalFormatting sqref="R22 T22:V22">
    <cfRule type="cellIs" dxfId="0" priority="6222" operator="equal">
      <formula>"欠"</formula>
    </cfRule>
  </conditionalFormatting>
  <conditionalFormatting sqref="R23 T23:V23">
    <cfRule type="cellIs" dxfId="0" priority="6221" operator="equal">
      <formula>"欠"</formula>
    </cfRule>
  </conditionalFormatting>
  <conditionalFormatting sqref="R24 T24:V24">
    <cfRule type="cellIs" dxfId="0" priority="6220" operator="equal">
      <formula>"欠"</formula>
    </cfRule>
  </conditionalFormatting>
  <conditionalFormatting sqref="R25 T25:V25">
    <cfRule type="cellIs" dxfId="0" priority="6219" operator="equal">
      <formula>"欠"</formula>
    </cfRule>
  </conditionalFormatting>
  <conditionalFormatting sqref="R26 T26:V26">
    <cfRule type="cellIs" dxfId="0" priority="6218" operator="equal">
      <formula>"欠"</formula>
    </cfRule>
  </conditionalFormatting>
  <conditionalFormatting sqref="R27 T27:V27">
    <cfRule type="cellIs" dxfId="0" priority="6217" operator="equal">
      <formula>"欠"</formula>
    </cfRule>
  </conditionalFormatting>
  <conditionalFormatting sqref="R28 T28:V28">
    <cfRule type="cellIs" dxfId="0" priority="6216" operator="equal">
      <formula>"欠"</formula>
    </cfRule>
  </conditionalFormatting>
  <conditionalFormatting sqref="R29 T29:V29">
    <cfRule type="cellIs" dxfId="0" priority="6215" operator="equal">
      <formula>"欠"</formula>
    </cfRule>
  </conditionalFormatting>
  <conditionalFormatting sqref="R30 T30:V30">
    <cfRule type="cellIs" dxfId="0" priority="6214" operator="equal">
      <formula>"欠"</formula>
    </cfRule>
  </conditionalFormatting>
  <conditionalFormatting sqref="R31 T31:V31">
    <cfRule type="cellIs" dxfId="0" priority="6213" operator="equal">
      <formula>"欠"</formula>
    </cfRule>
  </conditionalFormatting>
  <conditionalFormatting sqref="R32 T32:V32">
    <cfRule type="cellIs" dxfId="0" priority="6212" operator="equal">
      <formula>"欠"</formula>
    </cfRule>
  </conditionalFormatting>
  <conditionalFormatting sqref="R33 T33:V33">
    <cfRule type="cellIs" dxfId="0" priority="6211" operator="equal">
      <formula>"欠"</formula>
    </cfRule>
  </conditionalFormatting>
  <conditionalFormatting sqref="R34 V34">
    <cfRule type="cellIs" dxfId="0" priority="6210" operator="equal">
      <formula>"欠"</formula>
    </cfRule>
  </conditionalFormatting>
  <conditionalFormatting sqref="R35 T35:V35">
    <cfRule type="cellIs" dxfId="0" priority="6209" operator="equal">
      <formula>"欠"</formula>
    </cfRule>
  </conditionalFormatting>
  <conditionalFormatting sqref="R36 T36:V36">
    <cfRule type="cellIs" dxfId="0" priority="6138" operator="equal">
      <formula>"欠"</formula>
    </cfRule>
  </conditionalFormatting>
  <conditionalFormatting sqref="R37 T37:V37">
    <cfRule type="cellIs" dxfId="0" priority="6137" operator="equal">
      <formula>"欠"</formula>
    </cfRule>
  </conditionalFormatting>
  <conditionalFormatting sqref="R38 U38:V38">
    <cfRule type="cellIs" dxfId="0" priority="6136" operator="equal">
      <formula>"欠"</formula>
    </cfRule>
  </conditionalFormatting>
  <conditionalFormatting sqref="R39 U39:V39">
    <cfRule type="cellIs" dxfId="0" priority="6135" operator="equal">
      <formula>"欠"</formula>
    </cfRule>
  </conditionalFormatting>
  <conditionalFormatting sqref="R40 T40:V40">
    <cfRule type="cellIs" dxfId="0" priority="6134" operator="equal">
      <formula>"欠"</formula>
    </cfRule>
  </conditionalFormatting>
  <conditionalFormatting sqref="R41 T41:V41">
    <cfRule type="cellIs" dxfId="0" priority="6133" operator="equal">
      <formula>"欠"</formula>
    </cfRule>
  </conditionalFormatting>
  <conditionalFormatting sqref="R42 T42:V42">
    <cfRule type="cellIs" dxfId="0" priority="6132" operator="equal">
      <formula>"欠"</formula>
    </cfRule>
  </conditionalFormatting>
  <conditionalFormatting sqref="R43 T43:V43">
    <cfRule type="cellIs" dxfId="0" priority="6131" operator="equal">
      <formula>"欠"</formula>
    </cfRule>
  </conditionalFormatting>
  <conditionalFormatting sqref="R44 V44">
    <cfRule type="cellIs" dxfId="0" priority="6130" operator="equal">
      <formula>"欠"</formula>
    </cfRule>
  </conditionalFormatting>
  <conditionalFormatting sqref="R45 V45">
    <cfRule type="cellIs" dxfId="0" priority="6129" operator="equal">
      <formula>"欠"</formula>
    </cfRule>
  </conditionalFormatting>
  <conditionalFormatting sqref="R46 V46">
    <cfRule type="cellIs" dxfId="0" priority="6128" operator="equal">
      <formula>"欠"</formula>
    </cfRule>
  </conditionalFormatting>
  <conditionalFormatting sqref="R47 V47">
    <cfRule type="cellIs" dxfId="0" priority="6127" operator="equal">
      <formula>"欠"</formula>
    </cfRule>
  </conditionalFormatting>
  <conditionalFormatting sqref="R48 V48">
    <cfRule type="cellIs" dxfId="0" priority="6126" operator="equal">
      <formula>"欠"</formula>
    </cfRule>
  </conditionalFormatting>
  <conditionalFormatting sqref="R49 T49:V49">
    <cfRule type="cellIs" dxfId="0" priority="6125" operator="equal">
      <formula>"欠"</formula>
    </cfRule>
  </conditionalFormatting>
  <conditionalFormatting sqref="R50 T50:V50">
    <cfRule type="cellIs" dxfId="0" priority="6124" operator="equal">
      <formula>"欠"</formula>
    </cfRule>
  </conditionalFormatting>
  <conditionalFormatting sqref="R51 T51:V51">
    <cfRule type="cellIs" dxfId="0" priority="6123" operator="equal">
      <formula>"欠"</formula>
    </cfRule>
  </conditionalFormatting>
  <conditionalFormatting sqref="R52 T52:V52">
    <cfRule type="cellIs" dxfId="0" priority="6122" operator="equal">
      <formula>"欠"</formula>
    </cfRule>
  </conditionalFormatting>
  <conditionalFormatting sqref="R53 T53:V53">
    <cfRule type="cellIs" dxfId="0" priority="6121" operator="equal">
      <formula>"欠"</formula>
    </cfRule>
  </conditionalFormatting>
  <conditionalFormatting sqref="R54 T54:V54">
    <cfRule type="cellIs" dxfId="0" priority="6043" operator="equal">
      <formula>"欠"</formula>
    </cfRule>
  </conditionalFormatting>
  <conditionalFormatting sqref="R55 T55:V55">
    <cfRule type="cellIs" dxfId="0" priority="6042" operator="equal">
      <formula>"欠"</formula>
    </cfRule>
  </conditionalFormatting>
  <conditionalFormatting sqref="R56 T56:V56">
    <cfRule type="cellIs" dxfId="0" priority="6041" operator="equal">
      <formula>"欠"</formula>
    </cfRule>
  </conditionalFormatting>
  <conditionalFormatting sqref="R57 T57:V57">
    <cfRule type="cellIs" dxfId="0" priority="6040" operator="equal">
      <formula>"欠"</formula>
    </cfRule>
  </conditionalFormatting>
  <conditionalFormatting sqref="R58 T58:V58">
    <cfRule type="cellIs" dxfId="0" priority="6039" operator="equal">
      <formula>"欠"</formula>
    </cfRule>
  </conditionalFormatting>
  <conditionalFormatting sqref="R59 T59:V59">
    <cfRule type="cellIs" dxfId="0" priority="6024" operator="equal">
      <formula>"欠"</formula>
    </cfRule>
  </conditionalFormatting>
  <conditionalFormatting sqref="R60 T60:V60">
    <cfRule type="cellIs" dxfId="0" priority="6023" operator="equal">
      <formula>"欠"</formula>
    </cfRule>
  </conditionalFormatting>
  <conditionalFormatting sqref="R61 T61:V61">
    <cfRule type="cellIs" dxfId="0" priority="5844" operator="equal">
      <formula>"欠"</formula>
    </cfRule>
  </conditionalFormatting>
  <conditionalFormatting sqref="R62 T62:V62">
    <cfRule type="cellIs" dxfId="0" priority="5843" operator="equal">
      <formula>"欠"</formula>
    </cfRule>
  </conditionalFormatting>
  <conditionalFormatting sqref="R63 V63 T63">
    <cfRule type="cellIs" dxfId="0" priority="5842" operator="equal">
      <formula>"欠"</formula>
    </cfRule>
  </conditionalFormatting>
  <conditionalFormatting sqref="R64 T64:V64">
    <cfRule type="cellIs" dxfId="0" priority="5841" operator="equal">
      <formula>"欠"</formula>
    </cfRule>
  </conditionalFormatting>
  <conditionalFormatting sqref="R65 T65:V65">
    <cfRule type="cellIs" dxfId="0" priority="5840" operator="equal">
      <formula>"欠"</formula>
    </cfRule>
  </conditionalFormatting>
  <conditionalFormatting sqref="R66 T66:V66">
    <cfRule type="cellIs" dxfId="0" priority="5839" operator="equal">
      <formula>"欠"</formula>
    </cfRule>
  </conditionalFormatting>
  <conditionalFormatting sqref="R67 T67:V67">
    <cfRule type="cellIs" dxfId="0" priority="5838" operator="equal">
      <formula>"欠"</formula>
    </cfRule>
  </conditionalFormatting>
  <conditionalFormatting sqref="R68 T68:V68">
    <cfRule type="cellIs" dxfId="0" priority="5837" operator="equal">
      <formula>"欠"</formula>
    </cfRule>
  </conditionalFormatting>
  <conditionalFormatting sqref="R69 V69 T69">
    <cfRule type="cellIs" dxfId="0" priority="5836" operator="equal">
      <formula>"欠"</formula>
    </cfRule>
  </conditionalFormatting>
  <conditionalFormatting sqref="R70 T70:V70">
    <cfRule type="cellIs" dxfId="0" priority="5835" operator="equal">
      <formula>"欠"</formula>
    </cfRule>
  </conditionalFormatting>
  <conditionalFormatting sqref="R71 T71:V71">
    <cfRule type="cellIs" dxfId="0" priority="5834" operator="equal">
      <formula>"欠"</formula>
    </cfRule>
  </conditionalFormatting>
  <conditionalFormatting sqref="R72 T72:V72">
    <cfRule type="cellIs" dxfId="0" priority="5833" operator="equal">
      <formula>"欠"</formula>
    </cfRule>
  </conditionalFormatting>
  <conditionalFormatting sqref="R73 T73:V73">
    <cfRule type="cellIs" dxfId="0" priority="5832" operator="equal">
      <formula>"欠"</formula>
    </cfRule>
  </conditionalFormatting>
  <conditionalFormatting sqref="R74 T74:V74">
    <cfRule type="cellIs" dxfId="0" priority="5831" operator="equal">
      <formula>"欠"</formula>
    </cfRule>
  </conditionalFormatting>
  <conditionalFormatting sqref="R75 T75:V75">
    <cfRule type="cellIs" dxfId="0" priority="5830" operator="equal">
      <formula>"欠"</formula>
    </cfRule>
  </conditionalFormatting>
  <conditionalFormatting sqref="R76 T76:V76">
    <cfRule type="cellIs" dxfId="0" priority="5829" operator="equal">
      <formula>"欠"</formula>
    </cfRule>
  </conditionalFormatting>
  <conditionalFormatting sqref="R77 T77:V77">
    <cfRule type="cellIs" dxfId="0" priority="5761" operator="equal">
      <formula>"欠"</formula>
    </cfRule>
  </conditionalFormatting>
  <conditionalFormatting sqref="R78 T78:V78">
    <cfRule type="cellIs" dxfId="0" priority="5760" operator="equal">
      <formula>"欠"</formula>
    </cfRule>
  </conditionalFormatting>
  <conditionalFormatting sqref="R79 T79:V79">
    <cfRule type="cellIs" dxfId="0" priority="5759" operator="equal">
      <formula>"欠"</formula>
    </cfRule>
  </conditionalFormatting>
  <conditionalFormatting sqref="R80 T80:V80">
    <cfRule type="cellIs" dxfId="0" priority="5758" operator="equal">
      <formula>"欠"</formula>
    </cfRule>
  </conditionalFormatting>
  <conditionalFormatting sqref="R81 T81:V81">
    <cfRule type="cellIs" dxfId="0" priority="5757" operator="equal">
      <formula>"欠"</formula>
    </cfRule>
  </conditionalFormatting>
  <conditionalFormatting sqref="R82 T82:V82">
    <cfRule type="cellIs" dxfId="0" priority="5754" operator="equal">
      <formula>"欠"</formula>
    </cfRule>
  </conditionalFormatting>
  <conditionalFormatting sqref="R83 T83:V83">
    <cfRule type="cellIs" dxfId="0" priority="5753" operator="equal">
      <formula>"欠"</formula>
    </cfRule>
  </conditionalFormatting>
  <conditionalFormatting sqref="R84 T84:V84">
    <cfRule type="cellIs" dxfId="0" priority="5732" operator="equal">
      <formula>"欠"</formula>
    </cfRule>
  </conditionalFormatting>
  <conditionalFormatting sqref="R85 U85:V85">
    <cfRule type="cellIs" dxfId="0" priority="5686" operator="equal">
      <formula>"欠"</formula>
    </cfRule>
  </conditionalFormatting>
  <conditionalFormatting sqref="R86 V86 T86:T90 T117:T118">
    <cfRule type="cellIs" dxfId="0" priority="5671" operator="equal">
      <formula>"欠"</formula>
    </cfRule>
  </conditionalFormatting>
  <conditionalFormatting sqref="R87 V87">
    <cfRule type="cellIs" dxfId="0" priority="5670" operator="equal">
      <formula>"欠"</formula>
    </cfRule>
  </conditionalFormatting>
  <conditionalFormatting sqref="R88 V88">
    <cfRule type="cellIs" dxfId="0" priority="5669" operator="equal">
      <formula>"欠"</formula>
    </cfRule>
  </conditionalFormatting>
  <conditionalFormatting sqref="R89 V89">
    <cfRule type="cellIs" dxfId="0" priority="5668" operator="equal">
      <formula>"欠"</formula>
    </cfRule>
  </conditionalFormatting>
  <conditionalFormatting sqref="R90 V90">
    <cfRule type="cellIs" dxfId="0" priority="5667" operator="equal">
      <formula>"欠"</formula>
    </cfRule>
  </conditionalFormatting>
  <conditionalFormatting sqref="R91 T91:V91">
    <cfRule type="cellIs" dxfId="0" priority="5666" operator="equal">
      <formula>"欠"</formula>
    </cfRule>
  </conditionalFormatting>
  <conditionalFormatting sqref="R92 T92:V92">
    <cfRule type="cellIs" dxfId="0" priority="5651" operator="equal">
      <formula>"欠"</formula>
    </cfRule>
  </conditionalFormatting>
  <conditionalFormatting sqref="R93 T93:V93">
    <cfRule type="cellIs" dxfId="0" priority="4952" operator="equal">
      <formula>"欠"</formula>
    </cfRule>
  </conditionalFormatting>
  <conditionalFormatting sqref="R94 T94:V94">
    <cfRule type="cellIs" dxfId="0" priority="4951" operator="equal">
      <formula>"欠"</formula>
    </cfRule>
  </conditionalFormatting>
  <conditionalFormatting sqref="R95 T95:V95">
    <cfRule type="cellIs" dxfId="0" priority="5646" operator="equal">
      <formula>"欠"</formula>
    </cfRule>
  </conditionalFormatting>
  <conditionalFormatting sqref="R96 T96:V96">
    <cfRule type="cellIs" dxfId="0" priority="5632" operator="equal">
      <formula>"欠"</formula>
    </cfRule>
  </conditionalFormatting>
  <conditionalFormatting sqref="R97 T97:V97">
    <cfRule type="cellIs" dxfId="0" priority="5533" operator="equal">
      <formula>"欠"</formula>
    </cfRule>
  </conditionalFormatting>
  <conditionalFormatting sqref="R98 T98:V98">
    <cfRule type="cellIs" dxfId="0" priority="5532" operator="equal">
      <formula>"欠"</formula>
    </cfRule>
  </conditionalFormatting>
  <conditionalFormatting sqref="R99 T99:V99">
    <cfRule type="cellIs" dxfId="0" priority="5531" operator="equal">
      <formula>"欠"</formula>
    </cfRule>
  </conditionalFormatting>
  <conditionalFormatting sqref="R100 T100:V100">
    <cfRule type="cellIs" dxfId="0" priority="5530" operator="equal">
      <formula>"欠"</formula>
    </cfRule>
  </conditionalFormatting>
  <conditionalFormatting sqref="R101 T101:V101">
    <cfRule type="cellIs" dxfId="0" priority="5529" operator="equal">
      <formula>"欠"</formula>
    </cfRule>
  </conditionalFormatting>
  <conditionalFormatting sqref="R102 T102:V102">
    <cfRule type="cellIs" dxfId="0" priority="5528" operator="equal">
      <formula>"欠"</formula>
    </cfRule>
  </conditionalFormatting>
  <conditionalFormatting sqref="R103 T103:V103">
    <cfRule type="cellIs" dxfId="0" priority="5527" operator="equal">
      <formula>"欠"</formula>
    </cfRule>
  </conditionalFormatting>
  <conditionalFormatting sqref="R104 T104:V104">
    <cfRule type="cellIs" dxfId="0" priority="5526" operator="equal">
      <formula>"欠"</formula>
    </cfRule>
  </conditionalFormatting>
  <conditionalFormatting sqref="R105 T105:V105">
    <cfRule type="cellIs" dxfId="0" priority="5525" operator="equal">
      <formula>"欠"</formula>
    </cfRule>
  </conditionalFormatting>
  <conditionalFormatting sqref="R106 T106:V106">
    <cfRule type="cellIs" dxfId="0" priority="5524" operator="equal">
      <formula>"欠"</formula>
    </cfRule>
  </conditionalFormatting>
  <conditionalFormatting sqref="R107 T107:V107">
    <cfRule type="cellIs" dxfId="0" priority="5522" operator="equal">
      <formula>"欠"</formula>
    </cfRule>
  </conditionalFormatting>
  <conditionalFormatting sqref="R108 T108:V108">
    <cfRule type="cellIs" dxfId="0" priority="5521" operator="equal">
      <formula>"欠"</formula>
    </cfRule>
  </conditionalFormatting>
  <conditionalFormatting sqref="R109 T109:V109">
    <cfRule type="cellIs" dxfId="0" priority="5520" operator="equal">
      <formula>"欠"</formula>
    </cfRule>
  </conditionalFormatting>
  <conditionalFormatting sqref="R110 T110:V110">
    <cfRule type="cellIs" dxfId="0" priority="5519" operator="equal">
      <formula>"欠"</formula>
    </cfRule>
  </conditionalFormatting>
  <conditionalFormatting sqref="R111 T111:V111">
    <cfRule type="cellIs" dxfId="0" priority="5518" operator="equal">
      <formula>"欠"</formula>
    </cfRule>
  </conditionalFormatting>
  <conditionalFormatting sqref="R112 T112:V112">
    <cfRule type="cellIs" dxfId="0" priority="5517" operator="equal">
      <formula>"欠"</formula>
    </cfRule>
  </conditionalFormatting>
  <conditionalFormatting sqref="R113 T113:V113">
    <cfRule type="cellIs" dxfId="0" priority="5516" operator="equal">
      <formula>"欠"</formula>
    </cfRule>
  </conditionalFormatting>
  <conditionalFormatting sqref="R114 T114:V114">
    <cfRule type="cellIs" dxfId="0" priority="5515" operator="equal">
      <formula>"欠"</formula>
    </cfRule>
  </conditionalFormatting>
  <conditionalFormatting sqref="R115 T115:V115">
    <cfRule type="cellIs" dxfId="0" priority="5514" operator="equal">
      <formula>"欠"</formula>
    </cfRule>
  </conditionalFormatting>
  <conditionalFormatting sqref="R116 T116:V116">
    <cfRule type="cellIs" dxfId="0" priority="5513" operator="equal">
      <formula>"欠"</formula>
    </cfRule>
  </conditionalFormatting>
  <conditionalFormatting sqref="R117 V117">
    <cfRule type="cellIs" dxfId="0" priority="5512" operator="equal">
      <formula>"欠"</formula>
    </cfRule>
  </conditionalFormatting>
  <conditionalFormatting sqref="R118 V118">
    <cfRule type="cellIs" dxfId="0" priority="5511" operator="equal">
      <formula>"欠"</formula>
    </cfRule>
  </conditionalFormatting>
  <conditionalFormatting sqref="R119 T119:V119">
    <cfRule type="cellIs" dxfId="0" priority="5523" operator="equal">
      <formula>"欠"</formula>
    </cfRule>
  </conditionalFormatting>
  <conditionalFormatting sqref="R120 T120:V120">
    <cfRule type="cellIs" dxfId="0" priority="5510" operator="equal">
      <formula>"欠"</formula>
    </cfRule>
  </conditionalFormatting>
  <conditionalFormatting sqref="R121 T121:V121">
    <cfRule type="cellIs" dxfId="0" priority="5509" operator="equal">
      <formula>"欠"</formula>
    </cfRule>
  </conditionalFormatting>
  <conditionalFormatting sqref="R122 T122:V122">
    <cfRule type="cellIs" dxfId="0" priority="5508" operator="equal">
      <formula>"欠"</formula>
    </cfRule>
  </conditionalFormatting>
  <conditionalFormatting sqref="R123 T123:V123">
    <cfRule type="cellIs" dxfId="0" priority="5507" operator="equal">
      <formula>"欠"</formula>
    </cfRule>
  </conditionalFormatting>
  <conditionalFormatting sqref="AE123:AE147 AE268 AE259">
    <cfRule type="cellIs" dxfId="0" priority="5588" operator="equal">
      <formula>"未完成"</formula>
    </cfRule>
  </conditionalFormatting>
  <conditionalFormatting sqref="AF123:AF147 AF268 AF259">
    <cfRule type="cellIs" dxfId="0" priority="1540" operator="equal">
      <formula>"未完成"</formula>
    </cfRule>
  </conditionalFormatting>
  <conditionalFormatting sqref="R124 T124:V124">
    <cfRule type="cellIs" dxfId="0" priority="5427" operator="equal">
      <formula>"欠"</formula>
    </cfRule>
  </conditionalFormatting>
  <conditionalFormatting sqref="R125 T125:V125">
    <cfRule type="cellIs" dxfId="0" priority="5401" operator="equal">
      <formula>"欠"</formula>
    </cfRule>
  </conditionalFormatting>
  <conditionalFormatting sqref="R126 T126:V126">
    <cfRule type="cellIs" dxfId="0" priority="5400" operator="equal">
      <formula>"欠"</formula>
    </cfRule>
  </conditionalFormatting>
  <conditionalFormatting sqref="R127 T127:V127">
    <cfRule type="cellIs" dxfId="0" priority="5399" operator="equal">
      <formula>"欠"</formula>
    </cfRule>
  </conditionalFormatting>
  <conditionalFormatting sqref="R128 T128:V128">
    <cfRule type="cellIs" dxfId="0" priority="5398" operator="equal">
      <formula>"欠"</formula>
    </cfRule>
  </conditionalFormatting>
  <conditionalFormatting sqref="R129 T129:V129">
    <cfRule type="cellIs" dxfId="0" priority="5397" operator="equal">
      <formula>"欠"</formula>
    </cfRule>
  </conditionalFormatting>
  <conditionalFormatting sqref="R130 T130:V130">
    <cfRule type="cellIs" dxfId="0" priority="5396" operator="equal">
      <formula>"欠"</formula>
    </cfRule>
  </conditionalFormatting>
  <conditionalFormatting sqref="R131 T131:V131">
    <cfRule type="cellIs" dxfId="0" priority="5395" operator="equal">
      <formula>"欠"</formula>
    </cfRule>
  </conditionalFormatting>
  <conditionalFormatting sqref="R132 T132:V132">
    <cfRule type="cellIs" dxfId="0" priority="5394" operator="equal">
      <formula>"欠"</formula>
    </cfRule>
  </conditionalFormatting>
  <conditionalFormatting sqref="R133 T133:V133">
    <cfRule type="cellIs" dxfId="0" priority="5246" operator="equal">
      <formula>"欠"</formula>
    </cfRule>
  </conditionalFormatting>
  <conditionalFormatting sqref="R134 T134:V134">
    <cfRule type="cellIs" dxfId="0" priority="5245" operator="equal">
      <formula>"欠"</formula>
    </cfRule>
  </conditionalFormatting>
  <conditionalFormatting sqref="R135 V135 T135">
    <cfRule type="cellIs" dxfId="0" priority="5244" operator="equal">
      <formula>"欠"</formula>
    </cfRule>
  </conditionalFormatting>
  <conditionalFormatting sqref="R136 V136 T136">
    <cfRule type="cellIs" dxfId="0" priority="5243" operator="equal">
      <formula>"欠"</formula>
    </cfRule>
  </conditionalFormatting>
  <conditionalFormatting sqref="R137 V137 T137">
    <cfRule type="cellIs" dxfId="0" priority="5242" operator="equal">
      <formula>"欠"</formula>
    </cfRule>
  </conditionalFormatting>
  <conditionalFormatting sqref="R138 V138 T138">
    <cfRule type="cellIs" dxfId="0" priority="5241" operator="equal">
      <formula>"欠"</formula>
    </cfRule>
  </conditionalFormatting>
  <conditionalFormatting sqref="R139 V139 T139">
    <cfRule type="cellIs" dxfId="0" priority="5240" operator="equal">
      <formula>"欠"</formula>
    </cfRule>
  </conditionalFormatting>
  <conditionalFormatting sqref="R140 T140:V140">
    <cfRule type="cellIs" dxfId="0" priority="5239" operator="equal">
      <formula>"欠"</formula>
    </cfRule>
  </conditionalFormatting>
  <conditionalFormatting sqref="R141 T141:V141">
    <cfRule type="cellIs" dxfId="0" priority="5238" operator="equal">
      <formula>"欠"</formula>
    </cfRule>
  </conditionalFormatting>
  <conditionalFormatting sqref="R142 T142:V142">
    <cfRule type="cellIs" dxfId="0" priority="5237" operator="equal">
      <formula>"欠"</formula>
    </cfRule>
  </conditionalFormatting>
  <conditionalFormatting sqref="R143 T143:V143">
    <cfRule type="cellIs" dxfId="0" priority="5236" operator="equal">
      <formula>"欠"</formula>
    </cfRule>
  </conditionalFormatting>
  <conditionalFormatting sqref="R144 T144:V144">
    <cfRule type="cellIs" dxfId="0" priority="5235" operator="equal">
      <formula>"欠"</formula>
    </cfRule>
  </conditionalFormatting>
  <conditionalFormatting sqref="R145 T145:V145">
    <cfRule type="cellIs" dxfId="0" priority="5234" operator="equal">
      <formula>"欠"</formula>
    </cfRule>
  </conditionalFormatting>
  <conditionalFormatting sqref="R146 T146:V146">
    <cfRule type="cellIs" dxfId="0" priority="5233" operator="equal">
      <formula>"欠"</formula>
    </cfRule>
  </conditionalFormatting>
  <conditionalFormatting sqref="S146:S147 S396 S427:S428 S538:S539 S544:S545 S561 S581 S602 S628:S630 S696:S698 S700 S702">
    <cfRule type="cellIs" dxfId="0" priority="5218" operator="equal">
      <formula>"欠"</formula>
    </cfRule>
  </conditionalFormatting>
  <conditionalFormatting sqref="R147 T147:V147">
    <cfRule type="cellIs" dxfId="0" priority="5232" operator="equal">
      <formula>"欠"</formula>
    </cfRule>
  </conditionalFormatting>
  <conditionalFormatting sqref="R148 T148:V148">
    <cfRule type="cellIs" dxfId="0" priority="5161" operator="equal">
      <formula>"欠"</formula>
    </cfRule>
  </conditionalFormatting>
  <conditionalFormatting sqref="R149 T149:V149">
    <cfRule type="cellIs" dxfId="0" priority="5160" operator="equal">
      <formula>"欠"</formula>
    </cfRule>
  </conditionalFormatting>
  <conditionalFormatting sqref="R150 T150:V150">
    <cfRule type="cellIs" dxfId="0" priority="5159" operator="equal">
      <formula>"欠"</formula>
    </cfRule>
  </conditionalFormatting>
  <conditionalFormatting sqref="R151 T151:V151">
    <cfRule type="cellIs" dxfId="0" priority="5158" operator="equal">
      <formula>"欠"</formula>
    </cfRule>
  </conditionalFormatting>
  <conditionalFormatting sqref="R152 T152:V152">
    <cfRule type="cellIs" dxfId="0" priority="5157" operator="equal">
      <formula>"欠"</formula>
    </cfRule>
  </conditionalFormatting>
  <conditionalFormatting sqref="R153 T153:V153">
    <cfRule type="cellIs" dxfId="0" priority="5156" operator="equal">
      <formula>"欠"</formula>
    </cfRule>
  </conditionalFormatting>
  <conditionalFormatting sqref="R154 T154:V154">
    <cfRule type="cellIs" dxfId="0" priority="5155" operator="equal">
      <formula>"欠"</formula>
    </cfRule>
  </conditionalFormatting>
  <conditionalFormatting sqref="R155 V155 T155">
    <cfRule type="cellIs" dxfId="0" priority="5154" operator="equal">
      <formula>"欠"</formula>
    </cfRule>
  </conditionalFormatting>
  <conditionalFormatting sqref="R156 T156:V156">
    <cfRule type="cellIs" dxfId="0" priority="5153" operator="equal">
      <formula>"欠"</formula>
    </cfRule>
  </conditionalFormatting>
  <conditionalFormatting sqref="R157 T157:V157">
    <cfRule type="cellIs" dxfId="0" priority="5152" operator="equal">
      <formula>"欠"</formula>
    </cfRule>
  </conditionalFormatting>
  <conditionalFormatting sqref="R158 T158:V158">
    <cfRule type="cellIs" dxfId="0" priority="5151" operator="equal">
      <formula>"欠"</formula>
    </cfRule>
  </conditionalFormatting>
  <conditionalFormatting sqref="R159 T159:V159">
    <cfRule type="cellIs" dxfId="0" priority="5150" operator="equal">
      <formula>"欠"</formula>
    </cfRule>
  </conditionalFormatting>
  <conditionalFormatting sqref="R160 T160:V160">
    <cfRule type="cellIs" dxfId="0" priority="5149" operator="equal">
      <formula>"欠"</formula>
    </cfRule>
  </conditionalFormatting>
  <conditionalFormatting sqref="R161 T161:V161">
    <cfRule type="cellIs" dxfId="0" priority="5148" operator="equal">
      <formula>"欠"</formula>
    </cfRule>
  </conditionalFormatting>
  <conditionalFormatting sqref="R162 T162:V162">
    <cfRule type="cellIs" dxfId="0" priority="5127" operator="equal">
      <formula>"欠"</formula>
    </cfRule>
  </conditionalFormatting>
  <conditionalFormatting sqref="R163 T163:V163">
    <cfRule type="cellIs" dxfId="0" priority="5126" operator="equal">
      <formula>"欠"</formula>
    </cfRule>
  </conditionalFormatting>
  <conditionalFormatting sqref="R164 T164:V164">
    <cfRule type="cellIs" dxfId="0" priority="5117" operator="equal">
      <formula>"欠"</formula>
    </cfRule>
  </conditionalFormatting>
  <conditionalFormatting sqref="R165 T165:V165">
    <cfRule type="cellIs" dxfId="0" priority="5116" operator="equal">
      <formula>"欠"</formula>
    </cfRule>
  </conditionalFormatting>
  <conditionalFormatting sqref="R166 T166:V166">
    <cfRule type="cellIs" dxfId="0" priority="5018" operator="equal">
      <formula>"欠"</formula>
    </cfRule>
  </conditionalFormatting>
  <conditionalFormatting sqref="R167 T167:V167">
    <cfRule type="cellIs" dxfId="0" priority="5017" operator="equal">
      <formula>"欠"</formula>
    </cfRule>
  </conditionalFormatting>
  <conditionalFormatting sqref="R168 T168:V168">
    <cfRule type="cellIs" dxfId="0" priority="5016" operator="equal">
      <formula>"欠"</formula>
    </cfRule>
  </conditionalFormatting>
  <conditionalFormatting sqref="R169 V169 T169">
    <cfRule type="cellIs" dxfId="0" priority="5015" operator="equal">
      <formula>"欠"</formula>
    </cfRule>
  </conditionalFormatting>
  <conditionalFormatting sqref="R170 T170:V170">
    <cfRule type="cellIs" dxfId="0" priority="5014" operator="equal">
      <formula>"欠"</formula>
    </cfRule>
  </conditionalFormatting>
  <conditionalFormatting sqref="R171 T171:V171">
    <cfRule type="cellIs" dxfId="0" priority="5013" operator="equal">
      <formula>"欠"</formula>
    </cfRule>
  </conditionalFormatting>
  <conditionalFormatting sqref="R172 T172:V172">
    <cfRule type="cellIs" dxfId="0" priority="5012" operator="equal">
      <formula>"欠"</formula>
    </cfRule>
  </conditionalFormatting>
  <conditionalFormatting sqref="R173 T173:V173">
    <cfRule type="cellIs" dxfId="0" priority="5011" operator="equal">
      <formula>"欠"</formula>
    </cfRule>
  </conditionalFormatting>
  <conditionalFormatting sqref="R174 T174:V174">
    <cfRule type="cellIs" dxfId="0" priority="4860" operator="equal">
      <formula>"欠"</formula>
    </cfRule>
  </conditionalFormatting>
  <conditionalFormatting sqref="R175 T175:V175">
    <cfRule type="cellIs" dxfId="0" priority="4859" operator="equal">
      <formula>"欠"</formula>
    </cfRule>
  </conditionalFormatting>
  <conditionalFormatting sqref="R176 T176:V176">
    <cfRule type="cellIs" dxfId="0" priority="4858" operator="equal">
      <formula>"欠"</formula>
    </cfRule>
  </conditionalFormatting>
  <conditionalFormatting sqref="R177 T177:V177">
    <cfRule type="cellIs" dxfId="0" priority="4857" operator="equal">
      <formula>"欠"</formula>
    </cfRule>
  </conditionalFormatting>
  <conditionalFormatting sqref="R178 T178:V178">
    <cfRule type="cellIs" dxfId="0" priority="4856" operator="equal">
      <formula>"欠"</formula>
    </cfRule>
  </conditionalFormatting>
  <conditionalFormatting sqref="R179 T179:V179">
    <cfRule type="cellIs" dxfId="0" priority="4855" operator="equal">
      <formula>"欠"</formula>
    </cfRule>
  </conditionalFormatting>
  <conditionalFormatting sqref="R180 T180:V180">
    <cfRule type="cellIs" dxfId="0" priority="4854" operator="equal">
      <formula>"欠"</formula>
    </cfRule>
  </conditionalFormatting>
  <conditionalFormatting sqref="R181 T181:V181">
    <cfRule type="cellIs" dxfId="0" priority="4853" operator="equal">
      <formula>"欠"</formula>
    </cfRule>
  </conditionalFormatting>
  <conditionalFormatting sqref="R182 T182:V182">
    <cfRule type="cellIs" dxfId="0" priority="4852" operator="equal">
      <formula>"欠"</formula>
    </cfRule>
  </conditionalFormatting>
  <conditionalFormatting sqref="R183 T183:V183">
    <cfRule type="cellIs" dxfId="0" priority="4851" operator="equal">
      <formula>"欠"</formula>
    </cfRule>
  </conditionalFormatting>
  <conditionalFormatting sqref="R184 T184:V184">
    <cfRule type="cellIs" dxfId="0" priority="4850" operator="equal">
      <formula>"欠"</formula>
    </cfRule>
  </conditionalFormatting>
  <conditionalFormatting sqref="R185 T185:V185">
    <cfRule type="cellIs" dxfId="0" priority="4849" operator="equal">
      <formula>"欠"</formula>
    </cfRule>
  </conditionalFormatting>
  <conditionalFormatting sqref="R186 T186:V186">
    <cfRule type="cellIs" dxfId="0" priority="4848" operator="equal">
      <formula>"欠"</formula>
    </cfRule>
  </conditionalFormatting>
  <conditionalFormatting sqref="R187 T187:V187">
    <cfRule type="cellIs" dxfId="0" priority="4847" operator="equal">
      <formula>"欠"</formula>
    </cfRule>
  </conditionalFormatting>
  <conditionalFormatting sqref="R188 T188:V188">
    <cfRule type="cellIs" dxfId="0" priority="4846" operator="equal">
      <formula>"欠"</formula>
    </cfRule>
  </conditionalFormatting>
  <conditionalFormatting sqref="R189 V189 T189">
    <cfRule type="cellIs" dxfId="0" priority="4845" operator="equal">
      <formula>"欠"</formula>
    </cfRule>
  </conditionalFormatting>
  <conditionalFormatting sqref="R190 V190 T190">
    <cfRule type="cellIs" dxfId="0" priority="4844" operator="equal">
      <formula>"欠"</formula>
    </cfRule>
  </conditionalFormatting>
  <conditionalFormatting sqref="R191 T191:V191">
    <cfRule type="cellIs" dxfId="0" priority="4843" operator="equal">
      <formula>"欠"</formula>
    </cfRule>
  </conditionalFormatting>
  <conditionalFormatting sqref="R192 T192:V192">
    <cfRule type="cellIs" dxfId="0" priority="4842" operator="equal">
      <formula>"欠"</formula>
    </cfRule>
  </conditionalFormatting>
  <conditionalFormatting sqref="R193 T193:V193">
    <cfRule type="cellIs" dxfId="0" priority="4841" operator="equal">
      <formula>"欠"</formula>
    </cfRule>
  </conditionalFormatting>
  <conditionalFormatting sqref="R194 T194:V194">
    <cfRule type="cellIs" dxfId="0" priority="4840" operator="equal">
      <formula>"欠"</formula>
    </cfRule>
  </conditionalFormatting>
  <conditionalFormatting sqref="R195 T195:V195">
    <cfRule type="cellIs" dxfId="0" priority="4839" operator="equal">
      <formula>"欠"</formula>
    </cfRule>
  </conditionalFormatting>
  <conditionalFormatting sqref="R196 V196 T196">
    <cfRule type="cellIs" dxfId="0" priority="4838" operator="equal">
      <formula>"欠"</formula>
    </cfRule>
  </conditionalFormatting>
  <conditionalFormatting sqref="R197 V197 T197">
    <cfRule type="cellIs" dxfId="0" priority="4837" operator="equal">
      <formula>"欠"</formula>
    </cfRule>
  </conditionalFormatting>
  <conditionalFormatting sqref="R198 V198 T198">
    <cfRule type="cellIs" dxfId="0" priority="4836" operator="equal">
      <formula>"欠"</formula>
    </cfRule>
  </conditionalFormatting>
  <conditionalFormatting sqref="R199 V199 T199">
    <cfRule type="cellIs" dxfId="0" priority="4835" operator="equal">
      <formula>"欠"</formula>
    </cfRule>
  </conditionalFormatting>
  <conditionalFormatting sqref="R200 T200:V200">
    <cfRule type="cellIs" dxfId="0" priority="4834" operator="equal">
      <formula>"欠"</formula>
    </cfRule>
  </conditionalFormatting>
  <conditionalFormatting sqref="R201 T201:V201">
    <cfRule type="cellIs" dxfId="0" priority="4803" operator="equal">
      <formula>"欠"</formula>
    </cfRule>
  </conditionalFormatting>
  <conditionalFormatting sqref="R202 T202:V202">
    <cfRule type="cellIs" dxfId="0" priority="4741" operator="equal">
      <formula>"欠"</formula>
    </cfRule>
  </conditionalFormatting>
  <conditionalFormatting sqref="R203 T203:V203">
    <cfRule type="cellIs" dxfId="0" priority="4740" operator="equal">
      <formula>"欠"</formula>
    </cfRule>
  </conditionalFormatting>
  <conditionalFormatting sqref="R204 T204:V204">
    <cfRule type="cellIs" dxfId="0" priority="4739" operator="equal">
      <formula>"欠"</formula>
    </cfRule>
  </conditionalFormatting>
  <conditionalFormatting sqref="R205 T205:V205">
    <cfRule type="cellIs" dxfId="0" priority="4738" operator="equal">
      <formula>"欠"</formula>
    </cfRule>
  </conditionalFormatting>
  <conditionalFormatting sqref="R206 T206:V206">
    <cfRule type="cellIs" dxfId="0" priority="4737" operator="equal">
      <formula>"欠"</formula>
    </cfRule>
  </conditionalFormatting>
  <conditionalFormatting sqref="R207 T207:V207">
    <cfRule type="cellIs" dxfId="0" priority="4736" operator="equal">
      <formula>"欠"</formula>
    </cfRule>
  </conditionalFormatting>
  <conditionalFormatting sqref="R208 T208:V208">
    <cfRule type="cellIs" dxfId="0" priority="4735" operator="equal">
      <formula>"欠"</formula>
    </cfRule>
  </conditionalFormatting>
  <conditionalFormatting sqref="R209 T209:V209">
    <cfRule type="cellIs" dxfId="0" priority="4734" operator="equal">
      <formula>"欠"</formula>
    </cfRule>
  </conditionalFormatting>
  <conditionalFormatting sqref="R210 T210:V210">
    <cfRule type="cellIs" dxfId="0" priority="4733" operator="equal">
      <formula>"欠"</formula>
    </cfRule>
  </conditionalFormatting>
  <conditionalFormatting sqref="R211 V211 T211">
    <cfRule type="cellIs" dxfId="0" priority="4732" operator="equal">
      <formula>"欠"</formula>
    </cfRule>
  </conditionalFormatting>
  <conditionalFormatting sqref="R212 V212 T212">
    <cfRule type="cellIs" dxfId="0" priority="4731" operator="equal">
      <formula>"欠"</formula>
    </cfRule>
  </conditionalFormatting>
  <conditionalFormatting sqref="R213 T213:V213">
    <cfRule type="cellIs" dxfId="0" priority="4730" operator="equal">
      <formula>"欠"</formula>
    </cfRule>
  </conditionalFormatting>
  <conditionalFormatting sqref="R214 T214:V214">
    <cfRule type="cellIs" dxfId="0" priority="4729" operator="equal">
      <formula>"欠"</formula>
    </cfRule>
  </conditionalFormatting>
  <conditionalFormatting sqref="R215 T215:V215">
    <cfRule type="cellIs" dxfId="0" priority="4728" operator="equal">
      <formula>"欠"</formula>
    </cfRule>
  </conditionalFormatting>
  <conditionalFormatting sqref="R216 T216:V216">
    <cfRule type="cellIs" dxfId="0" priority="4727" operator="equal">
      <formula>"欠"</formula>
    </cfRule>
  </conditionalFormatting>
  <conditionalFormatting sqref="R217 T217:V217">
    <cfRule type="cellIs" dxfId="0" priority="4726" operator="equal">
      <formula>"欠"</formula>
    </cfRule>
  </conditionalFormatting>
  <conditionalFormatting sqref="R218 V218 T218">
    <cfRule type="cellIs" dxfId="0" priority="4694" operator="equal">
      <formula>"欠"</formula>
    </cfRule>
  </conditionalFormatting>
  <conditionalFormatting sqref="R219 V219 T219">
    <cfRule type="cellIs" dxfId="0" priority="4693" operator="equal">
      <formula>"欠"</formula>
    </cfRule>
  </conditionalFormatting>
  <conditionalFormatting sqref="R220 V220 T220">
    <cfRule type="cellIs" dxfId="0" priority="4692" operator="equal">
      <formula>"欠"</formula>
    </cfRule>
  </conditionalFormatting>
  <conditionalFormatting sqref="R221 V221 T221">
    <cfRule type="cellIs" dxfId="0" priority="4691" operator="equal">
      <formula>"欠"</formula>
    </cfRule>
  </conditionalFormatting>
  <conditionalFormatting sqref="R222 V222 T222">
    <cfRule type="cellIs" dxfId="0" priority="4690" operator="equal">
      <formula>"欠"</formula>
    </cfRule>
  </conditionalFormatting>
  <conditionalFormatting sqref="R223 T223:V223">
    <cfRule type="cellIs" dxfId="0" priority="4681" operator="equal">
      <formula>"欠"</formula>
    </cfRule>
  </conditionalFormatting>
  <conditionalFormatting sqref="R224 T224:V224">
    <cfRule type="cellIs" dxfId="0" priority="4658" operator="equal">
      <formula>"欠"</formula>
    </cfRule>
  </conditionalFormatting>
  <conditionalFormatting sqref="R225 T225:V225">
    <cfRule type="cellIs" dxfId="0" priority="4657" operator="equal">
      <formula>"欠"</formula>
    </cfRule>
  </conditionalFormatting>
  <conditionalFormatting sqref="R226 T226:V226">
    <cfRule type="cellIs" dxfId="0" priority="4656" operator="equal">
      <formula>"欠"</formula>
    </cfRule>
  </conditionalFormatting>
  <conditionalFormatting sqref="R227 T227:V227">
    <cfRule type="cellIs" dxfId="0" priority="4654" operator="equal">
      <formula>"欠"</formula>
    </cfRule>
  </conditionalFormatting>
  <conditionalFormatting sqref="R228 T228:V228">
    <cfRule type="cellIs" dxfId="0" priority="4653" operator="equal">
      <formula>"欠"</formula>
    </cfRule>
  </conditionalFormatting>
  <conditionalFormatting sqref="R229 T229:V229">
    <cfRule type="cellIs" dxfId="0" priority="4655" operator="equal">
      <formula>"欠"</formula>
    </cfRule>
  </conditionalFormatting>
  <conditionalFormatting sqref="R230 T230:V230">
    <cfRule type="cellIs" dxfId="0" priority="4549" operator="equal">
      <formula>"欠"</formula>
    </cfRule>
  </conditionalFormatting>
  <conditionalFormatting sqref="R231 T231:V231">
    <cfRule type="cellIs" dxfId="0" priority="4548" operator="equal">
      <formula>"欠"</formula>
    </cfRule>
  </conditionalFormatting>
  <conditionalFormatting sqref="R232 T232:V232">
    <cfRule type="cellIs" dxfId="0" priority="4547" operator="equal">
      <formula>"欠"</formula>
    </cfRule>
  </conditionalFormatting>
  <conditionalFormatting sqref="R233 T233:V233">
    <cfRule type="cellIs" dxfId="0" priority="4546" operator="equal">
      <formula>"欠"</formula>
    </cfRule>
  </conditionalFormatting>
  <conditionalFormatting sqref="R234 T234:V234">
    <cfRule type="cellIs" dxfId="0" priority="4545" operator="equal">
      <formula>"欠"</formula>
    </cfRule>
  </conditionalFormatting>
  <conditionalFormatting sqref="R235 T235:V235">
    <cfRule type="cellIs" dxfId="0" priority="4544" operator="equal">
      <formula>"欠"</formula>
    </cfRule>
  </conditionalFormatting>
  <conditionalFormatting sqref="R236 T236:V236">
    <cfRule type="cellIs" dxfId="0" priority="4543" operator="equal">
      <formula>"欠"</formula>
    </cfRule>
  </conditionalFormatting>
  <conditionalFormatting sqref="R237 V237 T237">
    <cfRule type="cellIs" dxfId="0" priority="4542" operator="equal">
      <formula>"欠"</formula>
    </cfRule>
  </conditionalFormatting>
  <conditionalFormatting sqref="R238 V238 T238">
    <cfRule type="cellIs" dxfId="0" priority="4541" operator="equal">
      <formula>"欠"</formula>
    </cfRule>
  </conditionalFormatting>
  <conditionalFormatting sqref="R239 T239:V239">
    <cfRule type="cellIs" dxfId="0" priority="4540" operator="equal">
      <formula>"欠"</formula>
    </cfRule>
  </conditionalFormatting>
  <conditionalFormatting sqref="R240 T240:V240">
    <cfRule type="cellIs" dxfId="0" priority="4539" operator="equal">
      <formula>"欠"</formula>
    </cfRule>
  </conditionalFormatting>
  <conditionalFormatting sqref="R241 T241:V241">
    <cfRule type="cellIs" dxfId="0" priority="4538" operator="equal">
      <formula>"欠"</formula>
    </cfRule>
  </conditionalFormatting>
  <conditionalFormatting sqref="R242 T242:V242">
    <cfRule type="cellIs" dxfId="0" priority="4537" operator="equal">
      <formula>"欠"</formula>
    </cfRule>
  </conditionalFormatting>
  <conditionalFormatting sqref="R243 V243 T243">
    <cfRule type="cellIs" dxfId="0" priority="4536" operator="equal">
      <formula>"欠"</formula>
    </cfRule>
  </conditionalFormatting>
  <conditionalFormatting sqref="R244 V244 T244">
    <cfRule type="cellIs" dxfId="0" priority="4489" operator="equal">
      <formula>"欠"</formula>
    </cfRule>
  </conditionalFormatting>
  <conditionalFormatting sqref="R245 V245 T245">
    <cfRule type="cellIs" dxfId="0" priority="4488" operator="equal">
      <formula>"欠"</formula>
    </cfRule>
  </conditionalFormatting>
  <conditionalFormatting sqref="R246 V246 T246">
    <cfRule type="cellIs" dxfId="0" priority="4487" operator="equal">
      <formula>"欠"</formula>
    </cfRule>
  </conditionalFormatting>
  <conditionalFormatting sqref="R247 V247 T247">
    <cfRule type="cellIs" dxfId="0" priority="4486" operator="equal">
      <formula>"欠"</formula>
    </cfRule>
  </conditionalFormatting>
  <conditionalFormatting sqref="R248 V248 T248">
    <cfRule type="cellIs" dxfId="0" priority="4485" operator="equal">
      <formula>"欠"</formula>
    </cfRule>
  </conditionalFormatting>
  <conditionalFormatting sqref="R249 V249 T249">
    <cfRule type="cellIs" dxfId="0" priority="4484" operator="equal">
      <formula>"欠"</formula>
    </cfRule>
  </conditionalFormatting>
  <conditionalFormatting sqref="R250 V250 T250">
    <cfRule type="cellIs" dxfId="0" priority="4449" operator="equal">
      <formula>"欠"</formula>
    </cfRule>
  </conditionalFormatting>
  <conditionalFormatting sqref="R251 V251 T251">
    <cfRule type="cellIs" dxfId="0" priority="4448" operator="equal">
      <formula>"欠"</formula>
    </cfRule>
  </conditionalFormatting>
  <conditionalFormatting sqref="R252 V252 T252">
    <cfRule type="cellIs" dxfId="0" priority="4447" operator="equal">
      <formula>"欠"</formula>
    </cfRule>
  </conditionalFormatting>
  <conditionalFormatting sqref="R253 V253 T253">
    <cfRule type="cellIs" dxfId="0" priority="4446" operator="equal">
      <formula>"欠"</formula>
    </cfRule>
  </conditionalFormatting>
  <conditionalFormatting sqref="R254 V254 T254">
    <cfRule type="cellIs" dxfId="0" priority="4445" operator="equal">
      <formula>"欠"</formula>
    </cfRule>
  </conditionalFormatting>
  <conditionalFormatting sqref="R255 V255 T255">
    <cfRule type="cellIs" dxfId="0" priority="4444" operator="equal">
      <formula>"欠"</formula>
    </cfRule>
  </conditionalFormatting>
  <conditionalFormatting sqref="R256 T256:V256">
    <cfRule type="cellIs" dxfId="0" priority="4443" operator="equal">
      <formula>"欠"</formula>
    </cfRule>
  </conditionalFormatting>
  <conditionalFormatting sqref="R257 T257:V257">
    <cfRule type="cellIs" dxfId="0" priority="4362" operator="equal">
      <formula>"欠"</formula>
    </cfRule>
  </conditionalFormatting>
  <conditionalFormatting sqref="R258 T258:V258">
    <cfRule type="cellIs" dxfId="0" priority="4361" operator="equal">
      <formula>"欠"</formula>
    </cfRule>
  </conditionalFormatting>
  <conditionalFormatting sqref="R259 T259:V259">
    <cfRule type="cellIs" dxfId="0" priority="4360" operator="equal">
      <formula>"欠"</formula>
    </cfRule>
  </conditionalFormatting>
  <conditionalFormatting sqref="R260 T260:V260">
    <cfRule type="cellIs" dxfId="0" priority="4359" operator="equal">
      <formula>"欠"</formula>
    </cfRule>
  </conditionalFormatting>
  <conditionalFormatting sqref="R261 T261:V261">
    <cfRule type="cellIs" dxfId="0" priority="4358" operator="equal">
      <formula>"欠"</formula>
    </cfRule>
  </conditionalFormatting>
  <conditionalFormatting sqref="R262 T262:V262">
    <cfRule type="cellIs" dxfId="0" priority="4357" operator="equal">
      <formula>"欠"</formula>
    </cfRule>
  </conditionalFormatting>
  <conditionalFormatting sqref="R263 T263:V263">
    <cfRule type="cellIs" dxfId="0" priority="4356" operator="equal">
      <formula>"欠"</formula>
    </cfRule>
  </conditionalFormatting>
  <conditionalFormatting sqref="R264 T264:V264">
    <cfRule type="cellIs" dxfId="0" priority="4355" operator="equal">
      <formula>"欠"</formula>
    </cfRule>
  </conditionalFormatting>
  <conditionalFormatting sqref="R265 T265:V265">
    <cfRule type="cellIs" dxfId="0" priority="4354" operator="equal">
      <formula>"欠"</formula>
    </cfRule>
  </conditionalFormatting>
  <conditionalFormatting sqref="R266 T266:V266">
    <cfRule type="cellIs" dxfId="0" priority="4353" operator="equal">
      <formula>"欠"</formula>
    </cfRule>
  </conditionalFormatting>
  <conditionalFormatting sqref="R267 T267:V267">
    <cfRule type="cellIs" dxfId="0" priority="4352" operator="equal">
      <formula>"欠"</formula>
    </cfRule>
  </conditionalFormatting>
  <conditionalFormatting sqref="R268 T268:V268">
    <cfRule type="cellIs" dxfId="0" priority="4351" operator="equal">
      <formula>"欠"</formula>
    </cfRule>
  </conditionalFormatting>
  <conditionalFormatting sqref="R269 T269:V269">
    <cfRule type="cellIs" dxfId="0" priority="4350" operator="equal">
      <formula>"欠"</formula>
    </cfRule>
  </conditionalFormatting>
  <conditionalFormatting sqref="R270 T270:V270">
    <cfRule type="cellIs" dxfId="0" priority="4218" operator="equal">
      <formula>"欠"</formula>
    </cfRule>
  </conditionalFormatting>
  <conditionalFormatting sqref="R271 T271:V271">
    <cfRule type="cellIs" dxfId="0" priority="4217" operator="equal">
      <formula>"欠"</formula>
    </cfRule>
  </conditionalFormatting>
  <conditionalFormatting sqref="R272 T272:V272">
    <cfRule type="cellIs" dxfId="0" priority="4216" operator="equal">
      <formula>"欠"</formula>
    </cfRule>
  </conditionalFormatting>
  <conditionalFormatting sqref="R273 T273:V273">
    <cfRule type="cellIs" dxfId="0" priority="4215" operator="equal">
      <formula>"欠"</formula>
    </cfRule>
  </conditionalFormatting>
  <conditionalFormatting sqref="R274 T274:V274">
    <cfRule type="cellIs" dxfId="0" priority="4214" operator="equal">
      <formula>"欠"</formula>
    </cfRule>
  </conditionalFormatting>
  <conditionalFormatting sqref="R275 V275 T275">
    <cfRule type="cellIs" dxfId="0" priority="4213" operator="equal">
      <formula>"欠"</formula>
    </cfRule>
  </conditionalFormatting>
  <conditionalFormatting sqref="R276 V276 T276">
    <cfRule type="cellIs" dxfId="0" priority="4212" operator="equal">
      <formula>"欠"</formula>
    </cfRule>
  </conditionalFormatting>
  <conditionalFormatting sqref="R277 V277 T277">
    <cfRule type="cellIs" dxfId="0" priority="4211" operator="equal">
      <formula>"欠"</formula>
    </cfRule>
  </conditionalFormatting>
  <conditionalFormatting sqref="R278 V278 T278">
    <cfRule type="cellIs" dxfId="0" priority="4210" operator="equal">
      <formula>"欠"</formula>
    </cfRule>
  </conditionalFormatting>
  <conditionalFormatting sqref="R279 T279:V279">
    <cfRule type="cellIs" dxfId="0" priority="4209" operator="equal">
      <formula>"欠"</formula>
    </cfRule>
  </conditionalFormatting>
  <conditionalFormatting sqref="R280 T280:V280">
    <cfRule type="cellIs" dxfId="0" priority="4208" operator="equal">
      <formula>"欠"</formula>
    </cfRule>
  </conditionalFormatting>
  <conditionalFormatting sqref="R281 T281:V281">
    <cfRule type="cellIs" dxfId="0" priority="4207" operator="equal">
      <formula>"欠"</formula>
    </cfRule>
  </conditionalFormatting>
  <conditionalFormatting sqref="R282 T282:V282">
    <cfRule type="cellIs" dxfId="0" priority="4206" operator="equal">
      <formula>"欠"</formula>
    </cfRule>
  </conditionalFormatting>
  <conditionalFormatting sqref="R283 T283:V283">
    <cfRule type="cellIs" dxfId="0" priority="4205" operator="equal">
      <formula>"欠"</formula>
    </cfRule>
  </conditionalFormatting>
  <conditionalFormatting sqref="R284 T284:V284">
    <cfRule type="cellIs" dxfId="0" priority="4204" operator="equal">
      <formula>"欠"</formula>
    </cfRule>
  </conditionalFormatting>
  <conditionalFormatting sqref="R285 T285:V285">
    <cfRule type="cellIs" dxfId="0" priority="4203" operator="equal">
      <formula>"欠"</formula>
    </cfRule>
  </conditionalFormatting>
  <conditionalFormatting sqref="R286 T286:V286">
    <cfRule type="cellIs" dxfId="0" priority="4202" operator="equal">
      <formula>"欠"</formula>
    </cfRule>
  </conditionalFormatting>
  <conditionalFormatting sqref="R287 T287:V287">
    <cfRule type="cellIs" dxfId="0" priority="4201" operator="equal">
      <formula>"欠"</formula>
    </cfRule>
  </conditionalFormatting>
  <conditionalFormatting sqref="R288 T288:V288">
    <cfRule type="cellIs" dxfId="0" priority="4200" operator="equal">
      <formula>"欠"</formula>
    </cfRule>
  </conditionalFormatting>
  <conditionalFormatting sqref="R289 T289:V289">
    <cfRule type="cellIs" dxfId="0" priority="4199" operator="equal">
      <formula>"欠"</formula>
    </cfRule>
  </conditionalFormatting>
  <conditionalFormatting sqref="R290 T290:V290">
    <cfRule type="cellIs" dxfId="0" priority="4198" operator="equal">
      <formula>"欠"</formula>
    </cfRule>
  </conditionalFormatting>
  <conditionalFormatting sqref="R291 T462 T291:V291">
    <cfRule type="cellIs" dxfId="0" priority="4197" operator="equal">
      <formula>"欠"</formula>
    </cfRule>
  </conditionalFormatting>
  <conditionalFormatting sqref="S291 S462">
    <cfRule type="cellIs" dxfId="0" priority="4171" operator="equal">
      <formula>"欠"</formula>
    </cfRule>
  </conditionalFormatting>
  <conditionalFormatting sqref="T291 T462">
    <cfRule type="containsText" dxfId="3" priority="4145" operator="between" text="欠">
      <formula>NOT(ISERROR(SEARCH("欠",T291)))</formula>
    </cfRule>
  </conditionalFormatting>
  <conditionalFormatting sqref="R292 T292:V292">
    <cfRule type="cellIs" dxfId="0" priority="4196" operator="equal">
      <formula>"欠"</formula>
    </cfRule>
  </conditionalFormatting>
  <conditionalFormatting sqref="R293 T293:V293 R608">
    <cfRule type="cellIs" dxfId="0" priority="4195" operator="equal">
      <formula>"欠"</formula>
    </cfRule>
  </conditionalFormatting>
  <conditionalFormatting sqref="S293 S608">
    <cfRule type="cellIs" dxfId="0" priority="4169" operator="equal">
      <formula>"欠"</formula>
    </cfRule>
  </conditionalFormatting>
  <conditionalFormatting sqref="R294 T294:V294">
    <cfRule type="cellIs" dxfId="0" priority="4194" operator="equal">
      <formula>"欠"</formula>
    </cfRule>
  </conditionalFormatting>
  <conditionalFormatting sqref="R295 T295:V295">
    <cfRule type="cellIs" dxfId="0" priority="4193" operator="equal">
      <formula>"欠"</formula>
    </cfRule>
  </conditionalFormatting>
  <conditionalFormatting sqref="R296 T296:V296">
    <cfRule type="cellIs" dxfId="0" priority="4092" operator="equal">
      <formula>"欠"</formula>
    </cfRule>
  </conditionalFormatting>
  <conditionalFormatting sqref="R297 T297:V297">
    <cfRule type="cellIs" dxfId="0" priority="4091" operator="equal">
      <formula>"欠"</formula>
    </cfRule>
  </conditionalFormatting>
  <conditionalFormatting sqref="R298 T298:V298">
    <cfRule type="cellIs" dxfId="0" priority="4090" operator="equal">
      <formula>"欠"</formula>
    </cfRule>
  </conditionalFormatting>
  <conditionalFormatting sqref="R299 T299:V299">
    <cfRule type="cellIs" dxfId="0" priority="4089" operator="equal">
      <formula>"欠"</formula>
    </cfRule>
  </conditionalFormatting>
  <conditionalFormatting sqref="R300 V300 T300">
    <cfRule type="cellIs" dxfId="0" priority="4088" operator="equal">
      <formula>"欠"</formula>
    </cfRule>
  </conditionalFormatting>
  <conditionalFormatting sqref="R301 V301 T301">
    <cfRule type="cellIs" dxfId="0" priority="4087" operator="equal">
      <formula>"欠"</formula>
    </cfRule>
  </conditionalFormatting>
  <conditionalFormatting sqref="R302 T302:V302">
    <cfRule type="cellIs" dxfId="0" priority="4086" operator="equal">
      <formula>"欠"</formula>
    </cfRule>
  </conditionalFormatting>
  <conditionalFormatting sqref="R303 T303:V303">
    <cfRule type="cellIs" dxfId="0" priority="4085" operator="equal">
      <formula>"欠"</formula>
    </cfRule>
  </conditionalFormatting>
  <conditionalFormatting sqref="R304 T304:V304">
    <cfRule type="cellIs" dxfId="0" priority="4084" operator="equal">
      <formula>"欠"</formula>
    </cfRule>
  </conditionalFormatting>
  <conditionalFormatting sqref="R305 T305:V305">
    <cfRule type="cellIs" dxfId="0" priority="4083" operator="equal">
      <formula>"欠"</formula>
    </cfRule>
  </conditionalFormatting>
  <conditionalFormatting sqref="R306 T306:V306">
    <cfRule type="cellIs" dxfId="0" priority="4082" operator="equal">
      <formula>"欠"</formula>
    </cfRule>
  </conditionalFormatting>
  <conditionalFormatting sqref="R307 T307:V307">
    <cfRule type="cellIs" dxfId="0" priority="4081" operator="equal">
      <formula>"欠"</formula>
    </cfRule>
  </conditionalFormatting>
  <conditionalFormatting sqref="R308 T308:V308">
    <cfRule type="cellIs" dxfId="0" priority="4080" operator="equal">
      <formula>"欠"</formula>
    </cfRule>
  </conditionalFormatting>
  <conditionalFormatting sqref="R309 V309 T309">
    <cfRule type="cellIs" dxfId="0" priority="3915" operator="equal">
      <formula>"欠"</formula>
    </cfRule>
  </conditionalFormatting>
  <conditionalFormatting sqref="R310 T310:V310">
    <cfRule type="cellIs" dxfId="0" priority="3914" operator="equal">
      <formula>"欠"</formula>
    </cfRule>
  </conditionalFormatting>
  <conditionalFormatting sqref="R311 T311:V311">
    <cfRule type="cellIs" dxfId="0" priority="3913" operator="equal">
      <formula>"欠"</formula>
    </cfRule>
  </conditionalFormatting>
  <conditionalFormatting sqref="R312 T312:V312">
    <cfRule type="cellIs" dxfId="0" priority="3912" operator="equal">
      <formula>"欠"</formula>
    </cfRule>
  </conditionalFormatting>
  <conditionalFormatting sqref="R313 T313:V313">
    <cfRule type="cellIs" dxfId="0" priority="3911" operator="equal">
      <formula>"欠"</formula>
    </cfRule>
  </conditionalFormatting>
  <conditionalFormatting sqref="R314 T578 T526:T527 T480:T481 T500:T502 T314:V314">
    <cfRule type="cellIs" dxfId="0" priority="3910" operator="equal">
      <formula>"欠"</formula>
    </cfRule>
  </conditionalFormatting>
  <conditionalFormatting sqref="S314 S480:S481">
    <cfRule type="cellIs" dxfId="0" priority="3895" operator="equal">
      <formula>"欠"</formula>
    </cfRule>
  </conditionalFormatting>
  <conditionalFormatting sqref="T314 T578 T526:T527 T480:T481 T500:T502">
    <cfRule type="containsText" dxfId="3" priority="3880" operator="between" text="欠">
      <formula>NOT(ISERROR(SEARCH("欠",T314)))</formula>
    </cfRule>
  </conditionalFormatting>
  <conditionalFormatting sqref="R315 V315 T315">
    <cfRule type="cellIs" dxfId="0" priority="3909" operator="equal">
      <formula>"欠"</formula>
    </cfRule>
  </conditionalFormatting>
  <conditionalFormatting sqref="R316 V316 T316">
    <cfRule type="cellIs" dxfId="0" priority="3908" operator="equal">
      <formula>"欠"</formula>
    </cfRule>
  </conditionalFormatting>
  <conditionalFormatting sqref="R317 V317 T317">
    <cfRule type="cellIs" dxfId="0" priority="3907" operator="equal">
      <formula>"欠"</formula>
    </cfRule>
  </conditionalFormatting>
  <conditionalFormatting sqref="R318 V318 T318">
    <cfRule type="cellIs" dxfId="0" priority="3906" operator="equal">
      <formula>"欠"</formula>
    </cfRule>
  </conditionalFormatting>
  <conditionalFormatting sqref="R319 V319 T319">
    <cfRule type="cellIs" dxfId="0" priority="3905" operator="equal">
      <formula>"欠"</formula>
    </cfRule>
  </conditionalFormatting>
  <conditionalFormatting sqref="R320 T320:V320">
    <cfRule type="cellIs" dxfId="0" priority="3904" operator="equal">
      <formula>"欠"</formula>
    </cfRule>
  </conditionalFormatting>
  <conditionalFormatting sqref="R321 T321:V321">
    <cfRule type="cellIs" dxfId="0" priority="3903" operator="equal">
      <formula>"欠"</formula>
    </cfRule>
  </conditionalFormatting>
  <conditionalFormatting sqref="R322 T322:V322">
    <cfRule type="cellIs" dxfId="0" priority="3902" operator="equal">
      <formula>"欠"</formula>
    </cfRule>
  </conditionalFormatting>
  <conditionalFormatting sqref="R323 T323:V323">
    <cfRule type="cellIs" dxfId="0" priority="3901" operator="equal">
      <formula>"欠"</formula>
    </cfRule>
  </conditionalFormatting>
  <conditionalFormatting sqref="R324 T324:V324">
    <cfRule type="cellIs" dxfId="0" priority="3867" operator="equal">
      <formula>"欠"</formula>
    </cfRule>
  </conditionalFormatting>
  <conditionalFormatting sqref="R325 T325:V325">
    <cfRule type="cellIs" dxfId="0" priority="3858" operator="equal">
      <formula>"欠"</formula>
    </cfRule>
  </conditionalFormatting>
  <conditionalFormatting sqref="R326 T326:V326">
    <cfRule type="cellIs" dxfId="0" priority="3857" operator="equal">
      <formula>"欠"</formula>
    </cfRule>
  </conditionalFormatting>
  <conditionalFormatting sqref="R327 T327:V327">
    <cfRule type="cellIs" dxfId="0" priority="3727" operator="equal">
      <formula>"欠"</formula>
    </cfRule>
  </conditionalFormatting>
  <conditionalFormatting sqref="R328 T328:V328">
    <cfRule type="cellIs" dxfId="0" priority="3726" operator="equal">
      <formula>"欠"</formula>
    </cfRule>
  </conditionalFormatting>
  <conditionalFormatting sqref="R329 T329:V329">
    <cfRule type="cellIs" dxfId="0" priority="3725" operator="equal">
      <formula>"欠"</formula>
    </cfRule>
  </conditionalFormatting>
  <conditionalFormatting sqref="R330 T330:V330">
    <cfRule type="cellIs" dxfId="0" priority="3724" operator="equal">
      <formula>"欠"</formula>
    </cfRule>
  </conditionalFormatting>
  <conditionalFormatting sqref="R331 T331:V331">
    <cfRule type="cellIs" dxfId="0" priority="3723" operator="equal">
      <formula>"欠"</formula>
    </cfRule>
  </conditionalFormatting>
  <conditionalFormatting sqref="R332 T499 T332:V332">
    <cfRule type="cellIs" dxfId="0" priority="3722" operator="equal">
      <formula>"欠"</formula>
    </cfRule>
  </conditionalFormatting>
  <conditionalFormatting sqref="S332 S499">
    <cfRule type="cellIs" dxfId="0" priority="3696" operator="equal">
      <formula>"欠"</formula>
    </cfRule>
  </conditionalFormatting>
  <conditionalFormatting sqref="T332 T499">
    <cfRule type="containsText" dxfId="2" priority="3644" operator="between" text="欠">
      <formula>NOT(ISERROR(SEARCH("欠",T332)))</formula>
    </cfRule>
    <cfRule type="containsText" dxfId="3" priority="3670" operator="between" text="欠">
      <formula>NOT(ISERROR(SEARCH("欠",T332)))</formula>
    </cfRule>
  </conditionalFormatting>
  <conditionalFormatting sqref="R333 V333 T333">
    <cfRule type="cellIs" dxfId="0" priority="3721" operator="equal">
      <formula>"欠"</formula>
    </cfRule>
  </conditionalFormatting>
  <conditionalFormatting sqref="R334 V334 T334">
    <cfRule type="cellIs" dxfId="0" priority="3720" operator="equal">
      <formula>"欠"</formula>
    </cfRule>
  </conditionalFormatting>
  <conditionalFormatting sqref="R335 T335:V335">
    <cfRule type="cellIs" dxfId="0" priority="3719" operator="equal">
      <formula>"欠"</formula>
    </cfRule>
  </conditionalFormatting>
  <conditionalFormatting sqref="R336 T336:V336">
    <cfRule type="cellIs" dxfId="0" priority="3718" operator="equal">
      <formula>"欠"</formula>
    </cfRule>
  </conditionalFormatting>
  <conditionalFormatting sqref="R337 T337:V337">
    <cfRule type="cellIs" dxfId="0" priority="3717" operator="equal">
      <formula>"欠"</formula>
    </cfRule>
  </conditionalFormatting>
  <conditionalFormatting sqref="R338 T338:V338">
    <cfRule type="cellIs" dxfId="0" priority="3716" operator="equal">
      <formula>"欠"</formula>
    </cfRule>
  </conditionalFormatting>
  <conditionalFormatting sqref="R339 T339:V339">
    <cfRule type="cellIs" dxfId="0" priority="3715" operator="equal">
      <formula>"欠"</formula>
    </cfRule>
  </conditionalFormatting>
  <conditionalFormatting sqref="R340 T340:V340">
    <cfRule type="cellIs" dxfId="0" priority="3714" operator="equal">
      <formula>"欠"</formula>
    </cfRule>
  </conditionalFormatting>
  <conditionalFormatting sqref="R341 T341:V341">
    <cfRule type="cellIs" dxfId="0" priority="3713" operator="equal">
      <formula>"欠"</formula>
    </cfRule>
  </conditionalFormatting>
  <conditionalFormatting sqref="R342 T342:V342">
    <cfRule type="cellIs" dxfId="0" priority="3712" operator="equal">
      <formula>"欠"</formula>
    </cfRule>
  </conditionalFormatting>
  <conditionalFormatting sqref="R343 T343:V343">
    <cfRule type="cellIs" dxfId="0" priority="3711" operator="equal">
      <formula>"欠"</formula>
    </cfRule>
  </conditionalFormatting>
  <conditionalFormatting sqref="R344 T344:V344">
    <cfRule type="cellIs" dxfId="0" priority="3710" operator="equal">
      <formula>"欠"</formula>
    </cfRule>
  </conditionalFormatting>
  <conditionalFormatting sqref="R345 V345 T345">
    <cfRule type="cellIs" dxfId="0" priority="3709" operator="equal">
      <formula>"欠"</formula>
    </cfRule>
  </conditionalFormatting>
  <conditionalFormatting sqref="R346 V346 T346">
    <cfRule type="cellIs" dxfId="0" priority="3708" operator="equal">
      <formula>"欠"</formula>
    </cfRule>
  </conditionalFormatting>
  <conditionalFormatting sqref="R347 V347 T347">
    <cfRule type="cellIs" dxfId="0" priority="3707" operator="equal">
      <formula>"欠"</formula>
    </cfRule>
  </conditionalFormatting>
  <conditionalFormatting sqref="R348 V348 T348">
    <cfRule type="cellIs" dxfId="0" priority="3706" operator="equal">
      <formula>"欠"</formula>
    </cfRule>
  </conditionalFormatting>
  <conditionalFormatting sqref="R349 V349 T349">
    <cfRule type="cellIs" dxfId="0" priority="3705" operator="equal">
      <formula>"欠"</formula>
    </cfRule>
  </conditionalFormatting>
  <conditionalFormatting sqref="R350 T350:V350">
    <cfRule type="cellIs" dxfId="0" priority="3704" operator="equal">
      <formula>"欠"</formula>
    </cfRule>
  </conditionalFormatting>
  <conditionalFormatting sqref="R351 T351:V351">
    <cfRule type="cellIs" dxfId="0" priority="3703" operator="equal">
      <formula>"欠"</formula>
    </cfRule>
  </conditionalFormatting>
  <conditionalFormatting sqref="R352 T352:V352">
    <cfRule type="cellIs" dxfId="0" priority="3702" operator="equal">
      <formula>"欠"</formula>
    </cfRule>
  </conditionalFormatting>
  <conditionalFormatting sqref="R353 T353:V353">
    <cfRule type="cellIs" dxfId="0" priority="3611" operator="equal">
      <formula>"欠"</formula>
    </cfRule>
  </conditionalFormatting>
  <conditionalFormatting sqref="R354 T354:V354">
    <cfRule type="cellIs" dxfId="0" priority="3610" operator="equal">
      <formula>"欠"</formula>
    </cfRule>
  </conditionalFormatting>
  <conditionalFormatting sqref="R355 T355:V355">
    <cfRule type="cellIs" dxfId="0" priority="3506" operator="equal">
      <formula>"欠"</formula>
    </cfRule>
  </conditionalFormatting>
  <conditionalFormatting sqref="R356 T356:V356">
    <cfRule type="cellIs" dxfId="0" priority="3505" operator="equal">
      <formula>"欠"</formula>
    </cfRule>
  </conditionalFormatting>
  <conditionalFormatting sqref="R357 T357:V357">
    <cfRule type="cellIs" dxfId="0" priority="3504" operator="equal">
      <formula>"欠"</formula>
    </cfRule>
  </conditionalFormatting>
  <conditionalFormatting sqref="R358 T358:V358">
    <cfRule type="cellIs" dxfId="0" priority="3503" operator="equal">
      <formula>"欠"</formula>
    </cfRule>
  </conditionalFormatting>
  <conditionalFormatting sqref="R359 T359:V359">
    <cfRule type="cellIs" dxfId="0" priority="3502" operator="equal">
      <formula>"欠"</formula>
    </cfRule>
  </conditionalFormatting>
  <conditionalFormatting sqref="R360 T360:V360">
    <cfRule type="cellIs" dxfId="0" priority="3501" operator="equal">
      <formula>"欠"</formula>
    </cfRule>
  </conditionalFormatting>
  <conditionalFormatting sqref="R361 T361:V361">
    <cfRule type="cellIs" dxfId="0" priority="3500" operator="equal">
      <formula>"欠"</formula>
    </cfRule>
  </conditionalFormatting>
  <conditionalFormatting sqref="R362 T362:V362">
    <cfRule type="cellIs" dxfId="0" priority="3499" operator="equal">
      <formula>"欠"</formula>
    </cfRule>
  </conditionalFormatting>
  <conditionalFormatting sqref="R363:U367 R368:T369 R370:U384 R385:T386 R387:U395 R396 T396:U396 R397:U423 T424 R451:S451 U451 S452:T452 R454:T455 R456:U458 T459 R460:S461 S464 S466:T466 R468:T468 R469:R471 R472:S473 S475 R476:R477 R484:T485 R489:S490 S491:S492 R493:T498 R503:T504 S505 S510:S511 S516 R517:T523 S525 S528:S531 S532:T534 S535 S537 S540:S542 S546:T552 S553 S556:T558 S560:T560 S563:S571 S577 T582:T583 T585 S586:S593 S606:S607 S609:S610 S613:S618 S622:S623 T624 S625:S626 S631 S633:S634 S636:S637 S645:T646 S653:S655 S789:S790 S799 S807 S809:S811">
    <cfRule type="cellIs" dxfId="0" priority="3849" operator="equal">
      <formula>"欠"</formula>
    </cfRule>
  </conditionalFormatting>
  <conditionalFormatting sqref="V363:V364 T912:V914">
    <cfRule type="cellIs" dxfId="0" priority="6875" operator="equal">
      <formula>"欠"</formula>
    </cfRule>
  </conditionalFormatting>
  <conditionalFormatting sqref="AE377:AE378 AE381:AE382 AE420 AE423 AE397:AE409 AE390:AE394 AE451 AE456:AE457 AE387:AE388 AE363:AE364 AE912:AE914">
    <cfRule type="cellIs" dxfId="0" priority="6874" operator="equal">
      <formula>"未完成"</formula>
    </cfRule>
  </conditionalFormatting>
  <conditionalFormatting sqref="AF377:AF378 AF381:AF382 AF420 AF423 AF397:AF409 AF390:AF394 AF451 AF456:AF457 AF387:AF388 AF363:AF364 AF907:AF909">
    <cfRule type="cellIs" dxfId="0" priority="1591" operator="equal">
      <formula>"未完成"</formula>
    </cfRule>
  </conditionalFormatting>
  <conditionalFormatting sqref="AJ377:AK378 AJ381:AK382 AJ363:AK364 AK410:AK413 AJ423:AK423 AJ397:AK409 AJ387:AK388 AJ390:AK394 AJ456:AK457 AJ451:AK451 AJ420:AK420 AJ912:AK914">
    <cfRule type="cellIs" dxfId="1" priority="6876" operator="equal">
      <formula>"未完成"</formula>
    </cfRule>
    <cfRule type="cellIs" dxfId="0" priority="6877" operator="equal">
      <formula>"未完成"</formula>
    </cfRule>
  </conditionalFormatting>
  <conditionalFormatting sqref="V365:V366 V368:V370">
    <cfRule type="cellIs" dxfId="0" priority="5380" operator="equal">
      <formula>"欠"</formula>
    </cfRule>
  </conditionalFormatting>
  <conditionalFormatting sqref="AE368:AE370 AE373 AE365:AE366">
    <cfRule type="cellIs" dxfId="0" priority="5381" operator="equal">
      <formula>"未完成"</formula>
    </cfRule>
  </conditionalFormatting>
  <conditionalFormatting sqref="AF368:AF370 AF373 AF365:AF366">
    <cfRule type="cellIs" dxfId="0" priority="1539" operator="equal">
      <formula>"未完成"</formula>
    </cfRule>
  </conditionalFormatting>
  <conditionalFormatting sqref="AJ368:AJ370 AJ365:AJ366 AJ373">
    <cfRule type="cellIs" dxfId="1" priority="5382" operator="equal">
      <formula>"未完成"</formula>
    </cfRule>
    <cfRule type="cellIs" dxfId="0" priority="5383" operator="equal">
      <formula>"未完成"</formula>
    </cfRule>
  </conditionalFormatting>
  <conditionalFormatting sqref="AK368:AK370 AK365:AK366 AK373">
    <cfRule type="cellIs" dxfId="1" priority="5384" operator="equal">
      <formula>"未完成"</formula>
    </cfRule>
    <cfRule type="cellIs" dxfId="0" priority="5385" operator="equal">
      <formula>"未完成"</formula>
    </cfRule>
  </conditionalFormatting>
  <conditionalFormatting sqref="V367 V410:V413 V372">
    <cfRule type="cellIs" dxfId="0" priority="5295" operator="equal">
      <formula>"欠"</formula>
    </cfRule>
  </conditionalFormatting>
  <conditionalFormatting sqref="AE371:AE372 AE410:AE413 AE383:AE384 AE367">
    <cfRule type="cellIs" dxfId="0" priority="4968" operator="equal">
      <formula>"未完成"</formula>
    </cfRule>
  </conditionalFormatting>
  <conditionalFormatting sqref="AF371:AF372 AF410:AF413 AF383:AF384 AF367">
    <cfRule type="cellIs" dxfId="0" priority="1510" operator="equal">
      <formula>"未完成"</formula>
    </cfRule>
  </conditionalFormatting>
  <conditionalFormatting sqref="AJ371:AJ372 AJ367 AJ383:AJ384 AJ410:AJ413">
    <cfRule type="cellIs" dxfId="1" priority="4969" operator="equal">
      <formula>"未完成"</formula>
    </cfRule>
    <cfRule type="cellIs" dxfId="0" priority="4970" operator="equal">
      <formula>"未完成"</formula>
    </cfRule>
  </conditionalFormatting>
  <conditionalFormatting sqref="AK371:AK372 AK367">
    <cfRule type="cellIs" dxfId="1" priority="4971" operator="equal">
      <formula>"未完成"</formula>
    </cfRule>
    <cfRule type="cellIs" dxfId="0" priority="4972" operator="equal">
      <formula>"未完成"</formula>
    </cfRule>
  </conditionalFormatting>
  <conditionalFormatting sqref="V373:V375 V456:V457 V451 V371">
    <cfRule type="cellIs" dxfId="0" priority="4967" operator="equal">
      <formula>"欠"</formula>
    </cfRule>
  </conditionalFormatting>
  <conditionalFormatting sqref="AK374:AK375 AK535:AK536">
    <cfRule type="cellIs" dxfId="1" priority="4998" operator="equal">
      <formula>"未完成"</formula>
    </cfRule>
    <cfRule type="cellIs" dxfId="0" priority="4999" operator="equal">
      <formula>"未完成"</formula>
    </cfRule>
  </conditionalFormatting>
  <conditionalFormatting sqref="V376 V395 V383:V384">
    <cfRule type="cellIs" dxfId="0" priority="4795" operator="equal">
      <formula>"欠"</formula>
    </cfRule>
  </conditionalFormatting>
  <conditionalFormatting sqref="AE376 AE395">
    <cfRule type="cellIs" dxfId="0" priority="4797" operator="equal">
      <formula>"未完成"</formula>
    </cfRule>
  </conditionalFormatting>
  <conditionalFormatting sqref="AF376 AF395">
    <cfRule type="cellIs" dxfId="0" priority="1504" operator="equal">
      <formula>"未完成"</formula>
    </cfRule>
  </conditionalFormatting>
  <conditionalFormatting sqref="AJ376 AJ395">
    <cfRule type="cellIs" dxfId="1" priority="4798" operator="equal">
      <formula>"未完成"</formula>
    </cfRule>
    <cfRule type="cellIs" dxfId="0" priority="4799" operator="equal">
      <formula>"未完成"</formula>
    </cfRule>
  </conditionalFormatting>
  <conditionalFormatting sqref="AK376 AK383:AK384 AK395">
    <cfRule type="cellIs" dxfId="1" priority="4800" operator="equal">
      <formula>"未完成"</formula>
    </cfRule>
    <cfRule type="cellIs" dxfId="0" priority="4801" operator="equal">
      <formula>"未完成"</formula>
    </cfRule>
  </conditionalFormatting>
  <conditionalFormatting sqref="V381:V382 V377:V378 V390:V392 V397:V404 V387:V388">
    <cfRule type="cellIs" dxfId="0" priority="6871" operator="equal">
      <formula>"欠"</formula>
    </cfRule>
  </conditionalFormatting>
  <conditionalFormatting sqref="AJ379:AK380">
    <cfRule type="cellIs" dxfId="1" priority="4309" operator="equal">
      <formula>"未完成"</formula>
    </cfRule>
    <cfRule type="cellIs" dxfId="0" priority="4310" operator="equal">
      <formula>"未完成"</formula>
    </cfRule>
  </conditionalFormatting>
  <conditionalFormatting sqref="V396 V423 V420 V408:V409 V385:V386 V393:V394">
    <cfRule type="cellIs" dxfId="0" priority="6314" operator="equal">
      <formula>"欠"</formula>
    </cfRule>
  </conditionalFormatting>
  <conditionalFormatting sqref="AE385:AE386 AE396">
    <cfRule type="cellIs" dxfId="0" priority="6317" operator="equal">
      <formula>"未完成"</formula>
    </cfRule>
  </conditionalFormatting>
  <conditionalFormatting sqref="AF385:AF386 AF396">
    <cfRule type="cellIs" dxfId="0" priority="1573" operator="equal">
      <formula>"未完成"</formula>
    </cfRule>
  </conditionalFormatting>
  <conditionalFormatting sqref="AJ385:AK386 AJ396:AK396">
    <cfRule type="cellIs" dxfId="1" priority="6318" operator="equal">
      <formula>"未完成"</formula>
    </cfRule>
    <cfRule type="cellIs" dxfId="0" priority="6319" operator="equal">
      <formula>"未完成"</formula>
    </cfRule>
  </conditionalFormatting>
  <conditionalFormatting sqref="AJ414:AK417">
    <cfRule type="cellIs" dxfId="1" priority="4418" operator="equal">
      <formula>"未完成"</formula>
    </cfRule>
    <cfRule type="cellIs" dxfId="0" priority="4419" operator="equal">
      <formula>"未完成"</formula>
    </cfRule>
  </conditionalFormatting>
  <conditionalFormatting sqref="AJ418:AK419">
    <cfRule type="cellIs" dxfId="1" priority="3969" operator="equal">
      <formula>"未完成"</formula>
    </cfRule>
    <cfRule type="cellIs" dxfId="0" priority="3970" operator="equal">
      <formula>"未完成"</formula>
    </cfRule>
  </conditionalFormatting>
  <conditionalFormatting sqref="Q421 Q458">
    <cfRule type="cellIs" dxfId="0" priority="4410" operator="equal">
      <formula>"欠"</formula>
    </cfRule>
  </conditionalFormatting>
  <conditionalFormatting sqref="AI421 AI458">
    <cfRule type="cellIs" dxfId="1" priority="4407" operator="equal">
      <formula>"未完成"</formula>
    </cfRule>
    <cfRule type="cellIs" dxfId="0" priority="4408" operator="equal">
      <formula>"未完成"</formula>
    </cfRule>
  </conditionalFormatting>
  <conditionalFormatting sqref="AJ421 AJ458">
    <cfRule type="cellIs" dxfId="0" priority="4404" operator="equal">
      <formula>"欠"</formula>
    </cfRule>
  </conditionalFormatting>
  <conditionalFormatting sqref="R424:S424 U424">
    <cfRule type="cellIs" dxfId="0" priority="3227" operator="equal">
      <formula>"欠"</formula>
    </cfRule>
  </conditionalFormatting>
  <conditionalFormatting sqref="R427 T427:U427">
    <cfRule type="cellIs" dxfId="0" priority="3223" operator="equal">
      <formula>"欠"</formula>
    </cfRule>
  </conditionalFormatting>
  <conditionalFormatting sqref="R428 T428:U428">
    <cfRule type="cellIs" dxfId="0" priority="3222" operator="equal">
      <formula>"欠"</formula>
    </cfRule>
  </conditionalFormatting>
  <conditionalFormatting sqref="R440:U440 R441 T441">
    <cfRule type="cellIs" dxfId="0" priority="3207" operator="equal">
      <formula>"欠"</formula>
    </cfRule>
  </conditionalFormatting>
  <conditionalFormatting sqref="S441 U441">
    <cfRule type="cellIs" dxfId="0" priority="3206" operator="equal">
      <formula>"欠"</formula>
    </cfRule>
  </conditionalFormatting>
  <conditionalFormatting sqref="Q453 Q455">
    <cfRule type="cellIs" dxfId="0" priority="3594" operator="equal">
      <formula>"欠"</formula>
    </cfRule>
  </conditionalFormatting>
  <conditionalFormatting sqref="AI453 AI455">
    <cfRule type="cellIs" dxfId="1" priority="3591" operator="equal">
      <formula>"未完成"</formula>
    </cfRule>
    <cfRule type="cellIs" dxfId="0" priority="3592" operator="equal">
      <formula>"未完成"</formula>
    </cfRule>
  </conditionalFormatting>
  <conditionalFormatting sqref="AJ453 AJ455">
    <cfRule type="cellIs" dxfId="0" priority="3590" operator="equal">
      <formula>"欠"</formula>
    </cfRule>
  </conditionalFormatting>
  <conditionalFormatting sqref="U454:U455 U546:U552 U517:U523 U503:U504 U484:U485 U532:U534 U493:U498 U468">
    <cfRule type="cellIs" dxfId="0" priority="3833" operator="equal">
      <formula>"欠"</formula>
    </cfRule>
  </conditionalFormatting>
  <conditionalFormatting sqref="Q459:Q463 Q503:Q504 Q517:Q520 Q465:Q468 Q472:Q473 Q484 Q493:Q498">
    <cfRule type="cellIs" dxfId="0" priority="4025" operator="equal">
      <formula>"欠"</formula>
    </cfRule>
  </conditionalFormatting>
  <conditionalFormatting sqref="R459 R462:R463 R465:R467 R482:R483 R500:R502 R509 R526:R529 R578 R591 R615 R634 R645:R647">
    <cfRule type="cellIs" dxfId="0" priority="4019" operator="equal">
      <formula>"欠"</formula>
    </cfRule>
  </conditionalFormatting>
  <conditionalFormatting sqref="S459 S463 S465 S467 S482:S483 S500:S502 S524 S526:S527 S578 S820">
    <cfRule type="containsText" dxfId="2" priority="3977" operator="between" text="欠">
      <formula>NOT(ISERROR(SEARCH("欠",S459)))</formula>
    </cfRule>
    <cfRule type="cellIs" dxfId="0" priority="3983" operator="equal">
      <formula>"欠"</formula>
    </cfRule>
  </conditionalFormatting>
  <conditionalFormatting sqref="AI459:AI463 AI465:AI468 AI472:AI473">
    <cfRule type="cellIs" dxfId="1" priority="4007" operator="equal">
      <formula>"未完成"</formula>
    </cfRule>
    <cfRule type="cellIs" dxfId="0" priority="4013" operator="equal">
      <formula>"未完成"</formula>
    </cfRule>
  </conditionalFormatting>
  <conditionalFormatting sqref="AJ459:AJ463 AJ465:AJ468 AJ472:AJ473">
    <cfRule type="cellIs" dxfId="0" priority="3989" operator="equal">
      <formula>"欠"</formula>
    </cfRule>
  </conditionalFormatting>
  <conditionalFormatting sqref="T460:T461 T472:T473">
    <cfRule type="cellIs" dxfId="0" priority="3995" operator="equal">
      <formula>"欠"</formula>
    </cfRule>
  </conditionalFormatting>
  <conditionalFormatting sqref="U460:U461 U472:U473">
    <cfRule type="cellIs" dxfId="0" priority="3846" operator="equal">
      <formula>"欠"</formula>
    </cfRule>
  </conditionalFormatting>
  <conditionalFormatting sqref="T465 T482:T483 T463 T467">
    <cfRule type="cellIs" dxfId="0" priority="3971" operator="equal">
      <formula>"欠"</formula>
    </cfRule>
  </conditionalFormatting>
  <conditionalFormatting sqref="S474 S512 S507:S509">
    <cfRule type="cellIs" dxfId="0" priority="3385" operator="equal">
      <formula>"欠"</formula>
    </cfRule>
  </conditionalFormatting>
  <conditionalFormatting sqref="Q485 Q509 Q500:Q502 Q526:Q529 Q480:Q483 Q477:Q478">
    <cfRule type="cellIs" dxfId="0" priority="4020" operator="equal">
      <formula>"欠"</formula>
    </cfRule>
  </conditionalFormatting>
  <conditionalFormatting sqref="AI480:AI485 AI477:AI478 AI526:AI527 AI500:AI504 AI509">
    <cfRule type="cellIs" dxfId="1" priority="4002" operator="equal">
      <formula>"未完成"</formula>
    </cfRule>
    <cfRule type="cellIs" dxfId="0" priority="4008" operator="equal">
      <formula>"未完成"</formula>
    </cfRule>
  </conditionalFormatting>
  <conditionalFormatting sqref="AJ480:AJ485 AJ477:AJ478 AJ526:AJ527 AJ500:AJ504 AJ509">
    <cfRule type="cellIs" dxfId="0" priority="3984" operator="equal">
      <formula>"欠"</formula>
    </cfRule>
  </conditionalFormatting>
  <conditionalFormatting sqref="Q486 Q515">
    <cfRule type="cellIs" dxfId="0" priority="3556" operator="equal">
      <formula>"欠"</formula>
    </cfRule>
  </conditionalFormatting>
  <conditionalFormatting sqref="R486 R515">
    <cfRule type="cellIs" dxfId="0" priority="3555" operator="equal">
      <formula>"欠"</formula>
    </cfRule>
  </conditionalFormatting>
  <conditionalFormatting sqref="S486 S515">
    <cfRule type="containsText" dxfId="2" priority="3550" operator="between" text="欠">
      <formula>NOT(ISERROR(SEARCH("欠",S486)))</formula>
    </cfRule>
    <cfRule type="cellIs" dxfId="0" priority="3551" operator="equal">
      <formula>"欠"</formula>
    </cfRule>
  </conditionalFormatting>
  <conditionalFormatting sqref="T486 T515">
    <cfRule type="containsText" dxfId="2" priority="3547" operator="between" text="欠">
      <formula>NOT(ISERROR(SEARCH("欠",T486)))</formula>
    </cfRule>
    <cfRule type="containsText" dxfId="3" priority="3548" operator="between" text="欠">
      <formula>NOT(ISERROR(SEARCH("欠",T486)))</formula>
    </cfRule>
    <cfRule type="cellIs" dxfId="0" priority="3549" operator="equal">
      <formula>"欠"</formula>
    </cfRule>
  </conditionalFormatting>
  <conditionalFormatting sqref="AI486 AI515">
    <cfRule type="cellIs" dxfId="1" priority="3553" operator="equal">
      <formula>"未完成"</formula>
    </cfRule>
    <cfRule type="cellIs" dxfId="0" priority="3554" operator="equal">
      <formula>"未完成"</formula>
    </cfRule>
  </conditionalFormatting>
  <conditionalFormatting sqref="AJ486 AJ515">
    <cfRule type="cellIs" dxfId="0" priority="3552" operator="equal">
      <formula>"欠"</formula>
    </cfRule>
  </conditionalFormatting>
  <conditionalFormatting sqref="Q487:Q490 Q499">
    <cfRule type="cellIs" dxfId="0" priority="3823" operator="equal">
      <formula>"欠"</formula>
    </cfRule>
  </conditionalFormatting>
  <conditionalFormatting sqref="T487:T490 T510:T512 T516 T492 T525">
    <cfRule type="cellIs" dxfId="0" priority="3618" operator="equal">
      <formula>"欠"</formula>
    </cfRule>
  </conditionalFormatting>
  <conditionalFormatting sqref="AI487:AI490 AI492:AI499">
    <cfRule type="cellIs" dxfId="1" priority="3820" operator="equal">
      <formula>"未完成"</formula>
    </cfRule>
    <cfRule type="cellIs" dxfId="0" priority="3821" operator="equal">
      <formula>"未完成"</formula>
    </cfRule>
  </conditionalFormatting>
  <conditionalFormatting sqref="AJ487:AJ490 AJ492:AJ499">
    <cfRule type="cellIs" dxfId="0" priority="3818" operator="equal">
      <formula>"欠"</formula>
    </cfRule>
  </conditionalFormatting>
  <conditionalFormatting sqref="R488 R499 R492">
    <cfRule type="cellIs" dxfId="0" priority="3620" operator="equal">
      <formula>"欠"</formula>
    </cfRule>
  </conditionalFormatting>
  <conditionalFormatting sqref="R491 R661 R635 R561 R581 R623 R602 R577 R564 R628:R630">
    <cfRule type="containsText" dxfId="2" priority="3386" operator="between" text="欠">
      <formula>NOT(ISERROR(SEARCH("欠",R491)))</formula>
    </cfRule>
    <cfRule type="cellIs" dxfId="0" priority="3393" operator="equal">
      <formula>"欠"</formula>
    </cfRule>
  </conditionalFormatting>
  <conditionalFormatting sqref="R505 T505">
    <cfRule type="cellIs" dxfId="0" priority="3365" operator="equal">
      <formula>"欠"</formula>
    </cfRule>
  </conditionalFormatting>
  <conditionalFormatting sqref="R506 T506">
    <cfRule type="cellIs" dxfId="0" priority="3357" operator="equal">
      <formula>"欠"</formula>
    </cfRule>
  </conditionalFormatting>
  <conditionalFormatting sqref="Q507:Q508 Q628 Q537 Q541:Q542 Q530:Q531">
    <cfRule type="cellIs" dxfId="0" priority="3462" operator="equal">
      <formula>"欠"</formula>
    </cfRule>
  </conditionalFormatting>
  <conditionalFormatting sqref="R537 R507:R508">
    <cfRule type="cellIs" dxfId="0" priority="3461" operator="equal">
      <formula>"欠"</formula>
    </cfRule>
  </conditionalFormatting>
  <conditionalFormatting sqref="T507 T634 T628 T564 T577 T581 T541:T542 T528:T531 T561 T537 T602">
    <cfRule type="containsText" dxfId="2" priority="3421" operator="between" text="欠">
      <formula>NOT(ISERROR(SEARCH("欠",T507)))</formula>
    </cfRule>
    <cfRule type="containsText" dxfId="3" priority="3426" operator="between" text="欠">
      <formula>NOT(ISERROR(SEARCH("欠",T507)))</formula>
    </cfRule>
    <cfRule type="cellIs" dxfId="0" priority="3431" operator="equal">
      <formula>"欠"</formula>
    </cfRule>
  </conditionalFormatting>
  <conditionalFormatting sqref="AI507:AI508 AI528:AI531 AI541:AI542 AI537 AI628">
    <cfRule type="cellIs" dxfId="1" priority="3447" operator="equal">
      <formula>"未完成"</formula>
    </cfRule>
    <cfRule type="cellIs" dxfId="0" priority="3452" operator="equal">
      <formula>"未完成"</formula>
    </cfRule>
  </conditionalFormatting>
  <conditionalFormatting sqref="AJ507:AJ508 AJ528:AJ531 AJ541:AJ542 AJ537 AJ628">
    <cfRule type="cellIs" dxfId="0" priority="3442" operator="equal">
      <formula>"欠"</formula>
    </cfRule>
  </conditionalFormatting>
  <conditionalFormatting sqref="R525 R510:R512 R516">
    <cfRule type="cellIs" dxfId="0" priority="3541" operator="equal">
      <formula>"欠"</formula>
    </cfRule>
  </conditionalFormatting>
  <conditionalFormatting sqref="Q525 Q511:Q512 Q521:Q523 Q516">
    <cfRule type="cellIs" dxfId="0" priority="3538" operator="equal">
      <formula>"欠"</formula>
    </cfRule>
  </conditionalFormatting>
  <conditionalFormatting sqref="AI525 AI516:AI523 AI511:AI512">
    <cfRule type="cellIs" dxfId="1" priority="3536" operator="equal">
      <formula>"未完成"</formula>
    </cfRule>
    <cfRule type="cellIs" dxfId="0" priority="3537" operator="equal">
      <formula>"未完成"</formula>
    </cfRule>
  </conditionalFormatting>
  <conditionalFormatting sqref="AJ525 AJ516:AJ523 AJ511:AJ512">
    <cfRule type="cellIs" dxfId="0" priority="3535" operator="equal">
      <formula>"欠"</formula>
    </cfRule>
  </conditionalFormatting>
  <conditionalFormatting sqref="T524 T820">
    <cfRule type="containsText" dxfId="2" priority="3118" operator="between" text="欠">
      <formula>NOT(ISERROR(SEARCH("欠",T524)))</formula>
    </cfRule>
    <cfRule type="containsText" dxfId="3" priority="3119" operator="between" text="欠">
      <formula>NOT(ISERROR(SEARCH("欠",T524)))</formula>
    </cfRule>
    <cfRule type="cellIs" dxfId="0" priority="3120" operator="equal">
      <formula>"欠"</formula>
    </cfRule>
  </conditionalFormatting>
  <conditionalFormatting sqref="R532:R536 R621 R546:R552 R607">
    <cfRule type="cellIs" dxfId="0" priority="3050" operator="equal">
      <formula>"欠"</formula>
    </cfRule>
    <cfRule type="containsText" dxfId="2" priority="3053" operator="between" text="欠">
      <formula>NOT(ISERROR(SEARCH("欠",R532)))</formula>
    </cfRule>
  </conditionalFormatting>
  <conditionalFormatting sqref="T535 T622 T613:T614 T588:T589 T607">
    <cfRule type="containsText" dxfId="2" priority="2928" operator="between" text="欠">
      <formula>NOT(ISERROR(SEARCH("欠",T535)))</formula>
    </cfRule>
    <cfRule type="containsText" dxfId="3" priority="2929" operator="between" text="欠">
      <formula>NOT(ISERROR(SEARCH("欠",T535)))</formula>
    </cfRule>
    <cfRule type="cellIs" dxfId="0" priority="2930" operator="equal">
      <formula>"欠"</formula>
    </cfRule>
  </conditionalFormatting>
  <conditionalFormatting sqref="R540 R587">
    <cfRule type="containsText" dxfId="2" priority="3381" operator="between" text="欠">
      <formula>NOT(ISERROR(SEARCH("欠",R540)))</formula>
    </cfRule>
    <cfRule type="cellIs" dxfId="0" priority="3382" operator="equal">
      <formula>"欠"</formula>
    </cfRule>
  </conditionalFormatting>
  <conditionalFormatting sqref="R541:R542 R590">
    <cfRule type="cellIs" dxfId="0" priority="3380" operator="equal">
      <formula>"欠"</formula>
    </cfRule>
  </conditionalFormatting>
  <conditionalFormatting sqref="Q543 Q554:Q555">
    <cfRule type="cellIs" dxfId="0" priority="3114" operator="equal">
      <formula>"欠"</formula>
    </cfRule>
  </conditionalFormatting>
  <conditionalFormatting sqref="R543 R554:R555">
    <cfRule type="containsText" dxfId="2" priority="3109" operator="between" text="欠">
      <formula>NOT(ISERROR(SEARCH("欠",R543)))</formula>
    </cfRule>
    <cfRule type="cellIs" dxfId="0" priority="3113" operator="equal">
      <formula>"欠"</formula>
    </cfRule>
  </conditionalFormatting>
  <conditionalFormatting sqref="S543:T543 S559 S554:T555">
    <cfRule type="cellIs" dxfId="0" priority="3115" operator="equal">
      <formula>"欠"</formula>
    </cfRule>
  </conditionalFormatting>
  <conditionalFormatting sqref="U543 U554:U555">
    <cfRule type="cellIs" dxfId="0" priority="3108" operator="equal">
      <formula>"欠"</formula>
    </cfRule>
  </conditionalFormatting>
  <conditionalFormatting sqref="AI543 AI554:AI555">
    <cfRule type="cellIs" dxfId="1" priority="3111" operator="equal">
      <formula>"未完成"</formula>
    </cfRule>
    <cfRule type="cellIs" dxfId="0" priority="3112" operator="equal">
      <formula>"未完成"</formula>
    </cfRule>
  </conditionalFormatting>
  <conditionalFormatting sqref="AJ543 AJ554:AJ555">
    <cfRule type="cellIs" dxfId="0" priority="3110" operator="equal">
      <formula>"欠"</formula>
    </cfRule>
  </conditionalFormatting>
  <conditionalFormatting sqref="Q553 Q560 Q556:Q558">
    <cfRule type="cellIs" dxfId="0" priority="3130" operator="equal">
      <formula>"欠"</formula>
    </cfRule>
  </conditionalFormatting>
  <conditionalFormatting sqref="R553 R560">
    <cfRule type="containsText" dxfId="2" priority="3122" operator="between" text="欠">
      <formula>NOT(ISERROR(SEARCH("欠",R553)))</formula>
    </cfRule>
    <cfRule type="cellIs" dxfId="0" priority="3129" operator="equal">
      <formula>"欠"</formula>
    </cfRule>
  </conditionalFormatting>
  <conditionalFormatting sqref="AI553 AI556:AI558 AI560">
    <cfRule type="cellIs" dxfId="1" priority="3127" operator="equal">
      <formula>"未完成"</formula>
    </cfRule>
    <cfRule type="cellIs" dxfId="0" priority="3128" operator="equal">
      <formula>"未完成"</formula>
    </cfRule>
  </conditionalFormatting>
  <conditionalFormatting sqref="AJ553 AJ556:AJ558 AJ560">
    <cfRule type="cellIs" dxfId="0" priority="3126" operator="equal">
      <formula>"欠"</formula>
    </cfRule>
  </conditionalFormatting>
  <conditionalFormatting sqref="U556:U558 U560">
    <cfRule type="cellIs" dxfId="0" priority="3116" operator="equal">
      <formula>"欠"</formula>
    </cfRule>
  </conditionalFormatting>
  <conditionalFormatting sqref="Q573:Q576 Q616:Q618 Q570:Q571 Q562">
    <cfRule type="cellIs" dxfId="0" priority="3046" operator="equal">
      <formula>"欠"</formula>
    </cfRule>
  </conditionalFormatting>
  <conditionalFormatting sqref="T570:T571 T616:T618 T562">
    <cfRule type="containsText" dxfId="2" priority="3040" operator="between" text="欠">
      <formula>NOT(ISERROR(SEARCH("欠",T562)))</formula>
    </cfRule>
    <cfRule type="containsText" dxfId="3" priority="3041" operator="between" text="欠">
      <formula>NOT(ISERROR(SEARCH("欠",T562)))</formula>
    </cfRule>
    <cfRule type="cellIs" dxfId="0" priority="3042" operator="equal">
      <formula>"欠"</formula>
    </cfRule>
  </conditionalFormatting>
  <conditionalFormatting sqref="AI573:AI576 AI562 AI570:AI571 AI616:AI618">
    <cfRule type="cellIs" dxfId="1" priority="3044" operator="equal">
      <formula>"未完成"</formula>
    </cfRule>
    <cfRule type="cellIs" dxfId="0" priority="3045" operator="equal">
      <formula>"未完成"</formula>
    </cfRule>
  </conditionalFormatting>
  <conditionalFormatting sqref="AJ573:AJ576 AJ562 AJ570:AJ571 AJ616:AJ618">
    <cfRule type="cellIs" dxfId="0" priority="3043" operator="equal">
      <formula>"欠"</formula>
    </cfRule>
  </conditionalFormatting>
  <conditionalFormatting sqref="Q585 Q577 Q581:Q583">
    <cfRule type="cellIs" dxfId="0" priority="3464" operator="equal">
      <formula>"欠"</formula>
    </cfRule>
  </conditionalFormatting>
  <conditionalFormatting sqref="AI585 AI581:AI583 AI577">
    <cfRule type="cellIs" dxfId="1" priority="3449" operator="equal">
      <formula>"未完成"</formula>
    </cfRule>
    <cfRule type="cellIs" dxfId="0" priority="3454" operator="equal">
      <formula>"未完成"</formula>
    </cfRule>
  </conditionalFormatting>
  <conditionalFormatting sqref="AJ585 AJ581:AJ583 AJ577">
    <cfRule type="cellIs" dxfId="0" priority="3444" operator="equal">
      <formula>"欠"</formula>
    </cfRule>
  </conditionalFormatting>
  <conditionalFormatting sqref="R585 R582:R583">
    <cfRule type="containsText" dxfId="2" priority="2809" operator="between" text="欠">
      <formula>NOT(ISERROR(SEARCH("欠",R582)))</formula>
    </cfRule>
    <cfRule type="cellIs" dxfId="0" priority="2810" operator="equal">
      <formula>"欠"</formula>
    </cfRule>
  </conditionalFormatting>
  <conditionalFormatting sqref="S585 S582:S583">
    <cfRule type="cellIs" dxfId="0" priority="2752" operator="equal">
      <formula>"欠"</formula>
    </cfRule>
  </conditionalFormatting>
  <conditionalFormatting sqref="Q586 Q609">
    <cfRule type="cellIs" dxfId="0" priority="3036" operator="equal">
      <formula>"欠"</formula>
    </cfRule>
  </conditionalFormatting>
  <conditionalFormatting sqref="R586 R609">
    <cfRule type="containsText" dxfId="2" priority="3028" operator="between" text="欠">
      <formula>NOT(ISERROR(SEARCH("欠",R586)))</formula>
    </cfRule>
    <cfRule type="cellIs" dxfId="0" priority="3029" operator="equal">
      <formula>"欠"</formula>
    </cfRule>
  </conditionalFormatting>
  <conditionalFormatting sqref="T586 T609">
    <cfRule type="containsText" dxfId="2" priority="3030" operator="between" text="欠">
      <formula>NOT(ISERROR(SEARCH("欠",T586)))</formula>
    </cfRule>
    <cfRule type="containsText" dxfId="3" priority="3031" operator="between" text="欠">
      <formula>NOT(ISERROR(SEARCH("欠",T586)))</formula>
    </cfRule>
    <cfRule type="cellIs" dxfId="0" priority="3032" operator="equal">
      <formula>"欠"</formula>
    </cfRule>
  </conditionalFormatting>
  <conditionalFormatting sqref="AI586 AI609">
    <cfRule type="cellIs" dxfId="1" priority="3034" operator="equal">
      <formula>"未完成"</formula>
    </cfRule>
    <cfRule type="cellIs" dxfId="0" priority="3035" operator="equal">
      <formula>"未完成"</formula>
    </cfRule>
  </conditionalFormatting>
  <conditionalFormatting sqref="AJ586 AJ609">
    <cfRule type="cellIs" dxfId="0" priority="3033" operator="equal">
      <formula>"欠"</formula>
    </cfRule>
  </conditionalFormatting>
  <conditionalFormatting sqref="Q621:Q622 Q610:Q614 Q588:Q589 Q607">
    <cfRule type="cellIs" dxfId="0" priority="2946" operator="equal">
      <formula>"欠"</formula>
    </cfRule>
  </conditionalFormatting>
  <conditionalFormatting sqref="R624 R632 R613:R614 R588:R589">
    <cfRule type="containsText" dxfId="2" priority="2495" operator="between" text="欠">
      <formula>NOT(ISERROR(SEARCH("欠",R588)))</formula>
    </cfRule>
    <cfRule type="cellIs" dxfId="0" priority="2496" operator="equal">
      <formula>"欠"</formula>
    </cfRule>
  </conditionalFormatting>
  <conditionalFormatting sqref="AI621:AI622 AI610:AI614 AI588:AI589 AI607">
    <cfRule type="cellIs" dxfId="1" priority="2944" operator="equal">
      <formula>"未完成"</formula>
    </cfRule>
    <cfRule type="cellIs" dxfId="0" priority="2945" operator="equal">
      <formula>"未完成"</formula>
    </cfRule>
  </conditionalFormatting>
  <conditionalFormatting sqref="AJ621:AJ622 AJ610:AJ614 AJ588:AJ589 AJ607">
    <cfRule type="cellIs" dxfId="0" priority="2943" operator="equal">
      <formula>"欠"</formula>
    </cfRule>
  </conditionalFormatting>
  <conditionalFormatting sqref="T590 T653:T654 T682:T683 T714:T715">
    <cfRule type="containsText" dxfId="2" priority="2742" operator="between" text="欠">
      <formula>NOT(ISERROR(SEARCH("欠",T590)))</formula>
    </cfRule>
    <cfRule type="containsText" dxfId="3" priority="2743" operator="between" text="欠">
      <formula>NOT(ISERROR(SEARCH("欠",T590)))</formula>
    </cfRule>
    <cfRule type="cellIs" dxfId="0" priority="2744" operator="equal">
      <formula>"欠"</formula>
    </cfRule>
  </conditionalFormatting>
  <conditionalFormatting sqref="Q591:Q593 Q615 Q661">
    <cfRule type="cellIs" dxfId="0" priority="3026" operator="equal">
      <formula>"欠"</formula>
    </cfRule>
  </conditionalFormatting>
  <conditionalFormatting sqref="T591:T593 T615">
    <cfRule type="containsText" dxfId="2" priority="3020" operator="between" text="欠">
      <formula>NOT(ISERROR(SEARCH("欠",T591)))</formula>
    </cfRule>
    <cfRule type="containsText" dxfId="3" priority="3021" operator="between" text="欠">
      <formula>NOT(ISERROR(SEARCH("欠",T591)))</formula>
    </cfRule>
    <cfRule type="cellIs" dxfId="0" priority="3022" operator="equal">
      <formula>"欠"</formula>
    </cfRule>
  </conditionalFormatting>
  <conditionalFormatting sqref="AI591:AI593 AI615 AI661">
    <cfRule type="cellIs" dxfId="1" priority="3024" operator="equal">
      <formula>"未完成"</formula>
    </cfRule>
    <cfRule type="cellIs" dxfId="0" priority="3025" operator="equal">
      <formula>"未完成"</formula>
    </cfRule>
  </conditionalFormatting>
  <conditionalFormatting sqref="AJ591:AJ593 AJ615 AJ661">
    <cfRule type="cellIs" dxfId="0" priority="3023" operator="equal">
      <formula>"欠"</formula>
    </cfRule>
  </conditionalFormatting>
  <conditionalFormatting sqref="Q626 Q634 Q602">
    <cfRule type="cellIs" dxfId="0" priority="3463" operator="equal">
      <formula>"欠"</formula>
    </cfRule>
  </conditionalFormatting>
  <conditionalFormatting sqref="AI626 AI637:AI639 AI645 AI634 AI602">
    <cfRule type="cellIs" dxfId="1" priority="3448" operator="equal">
      <formula>"未完成"</formula>
    </cfRule>
    <cfRule type="cellIs" dxfId="0" priority="3453" operator="equal">
      <formula>"未完成"</formula>
    </cfRule>
  </conditionalFormatting>
  <conditionalFormatting sqref="AJ626 AJ634 AJ602">
    <cfRule type="cellIs" dxfId="0" priority="3443" operator="equal">
      <formula>"欠"</formula>
    </cfRule>
  </conditionalFormatting>
  <conditionalFormatting sqref="S620 S603:S605">
    <cfRule type="cellIs" dxfId="0" priority="2641" operator="equal">
      <formula>"欠"</formula>
    </cfRule>
  </conditionalFormatting>
  <conditionalFormatting sqref="R620 R604:R605">
    <cfRule type="containsText" dxfId="2" priority="2610" operator="between" text="欠">
      <formula>NOT(ISERROR(SEARCH("欠",R604)))</formula>
    </cfRule>
    <cfRule type="cellIs" dxfId="0" priority="2611" operator="equal">
      <formula>"欠"</formula>
    </cfRule>
  </conditionalFormatting>
  <conditionalFormatting sqref="Q630 Q641 Q635 Q623">
    <cfRule type="cellIs" dxfId="0" priority="3104" operator="equal">
      <formula>"欠"</formula>
    </cfRule>
  </conditionalFormatting>
  <conditionalFormatting sqref="T630 T641 T635 T623">
    <cfRule type="containsText" dxfId="2" priority="3090" operator="between" text="欠">
      <formula>NOT(ISERROR(SEARCH("欠",T623)))</formula>
    </cfRule>
    <cfRule type="containsText" dxfId="3" priority="3092" operator="between" text="欠">
      <formula>NOT(ISERROR(SEARCH("欠",T623)))</formula>
    </cfRule>
    <cfRule type="cellIs" dxfId="0" priority="3094" operator="equal">
      <formula>"欠"</formula>
    </cfRule>
  </conditionalFormatting>
  <conditionalFormatting sqref="AI630 AI641 AI635 AI623">
    <cfRule type="cellIs" dxfId="1" priority="3098" operator="equal">
      <formula>"未完成"</formula>
    </cfRule>
    <cfRule type="cellIs" dxfId="0" priority="3100" operator="equal">
      <formula>"未完成"</formula>
    </cfRule>
  </conditionalFormatting>
  <conditionalFormatting sqref="AJ630 AJ641 AJ635 AJ623">
    <cfRule type="cellIs" dxfId="0" priority="3096" operator="equal">
      <formula>"欠"</formula>
    </cfRule>
  </conditionalFormatting>
  <conditionalFormatting sqref="Q624 Q632">
    <cfRule type="cellIs" dxfId="0" priority="2800" operator="equal">
      <formula>"欠"</formula>
    </cfRule>
  </conditionalFormatting>
  <conditionalFormatting sqref="AI624 AI632">
    <cfRule type="cellIs" dxfId="1" priority="2798" operator="equal">
      <formula>"未完成"</formula>
    </cfRule>
    <cfRule type="cellIs" dxfId="0" priority="2799" operator="equal">
      <formula>"未完成"</formula>
    </cfRule>
  </conditionalFormatting>
  <conditionalFormatting sqref="AJ624 AJ632">
    <cfRule type="cellIs" dxfId="0" priority="2797" operator="equal">
      <formula>"欠"</formula>
    </cfRule>
  </conditionalFormatting>
  <conditionalFormatting sqref="Q631 Q637:Q639">
    <cfRule type="cellIs" dxfId="0" priority="2726" operator="equal">
      <formula>"欠"</formula>
    </cfRule>
  </conditionalFormatting>
  <conditionalFormatting sqref="R631 R637">
    <cfRule type="containsText" dxfId="2" priority="2599" operator="between" text="欠">
      <formula>NOT(ISERROR(SEARCH("欠",R631)))</formula>
    </cfRule>
    <cfRule type="cellIs" dxfId="0" priority="2600" operator="equal">
      <formula>"欠"</formula>
    </cfRule>
  </conditionalFormatting>
  <conditionalFormatting sqref="T631 T638:T639">
    <cfRule type="containsText" dxfId="2" priority="2720" operator="between" text="欠">
      <formula>NOT(ISERROR(SEARCH("欠",T631)))</formula>
    </cfRule>
    <cfRule type="containsText" dxfId="3" priority="2721" operator="between" text="欠">
      <formula>NOT(ISERROR(SEARCH("欠",T631)))</formula>
    </cfRule>
    <cfRule type="cellIs" dxfId="0" priority="2722" operator="equal">
      <formula>"欠"</formula>
    </cfRule>
  </conditionalFormatting>
  <conditionalFormatting sqref="AJ631 AJ637:AJ639">
    <cfRule type="cellIs" dxfId="0" priority="2723" operator="equal">
      <formula>"欠"</formula>
    </cfRule>
  </conditionalFormatting>
  <conditionalFormatting sqref="S635 S641">
    <cfRule type="cellIs" dxfId="0" priority="3106" operator="equal">
      <formula>"欠"</formula>
    </cfRule>
  </conditionalFormatting>
  <conditionalFormatting sqref="Q636 Q807">
    <cfRule type="cellIs" dxfId="0" priority="2426" operator="equal">
      <formula>"欠"</formula>
    </cfRule>
  </conditionalFormatting>
  <conditionalFormatting sqref="R636 R807">
    <cfRule type="containsText" dxfId="2" priority="2158" operator="between" text="欠">
      <formula>NOT(ISERROR(SEARCH("欠",R636)))</formula>
    </cfRule>
    <cfRule type="cellIs" dxfId="0" priority="2159" operator="equal">
      <formula>"欠"</formula>
    </cfRule>
  </conditionalFormatting>
  <conditionalFormatting sqref="T636 T807">
    <cfRule type="containsText" dxfId="2" priority="2420" operator="between" text="欠">
      <formula>NOT(ISERROR(SEARCH("欠",T636)))</formula>
    </cfRule>
    <cfRule type="containsText" dxfId="3" priority="2421" operator="between" text="欠">
      <formula>NOT(ISERROR(SEARCH("欠",T636)))</formula>
    </cfRule>
    <cfRule type="cellIs" dxfId="0" priority="2422" operator="equal">
      <formula>"欠"</formula>
    </cfRule>
  </conditionalFormatting>
  <conditionalFormatting sqref="AI636 AI807">
    <cfRule type="cellIs" dxfId="1" priority="2424" operator="equal">
      <formula>"未完成"</formula>
    </cfRule>
    <cfRule type="cellIs" dxfId="0" priority="2425" operator="equal">
      <formula>"未完成"</formula>
    </cfRule>
  </conditionalFormatting>
  <conditionalFormatting sqref="AJ636 AJ807">
    <cfRule type="cellIs" dxfId="0" priority="2423" operator="equal">
      <formula>"欠"</formula>
    </cfRule>
  </conditionalFormatting>
  <conditionalFormatting sqref="R642:R644 R648 R650:R652 R654:R658">
    <cfRule type="cellIs" dxfId="0" priority="2936" operator="equal">
      <formula>"欠"</formula>
    </cfRule>
    <cfRule type="containsText" dxfId="2" priority="2937" operator="between" text="欠">
      <formula>NOT(ISERROR(SEARCH("欠",R642)))</formula>
    </cfRule>
  </conditionalFormatting>
  <conditionalFormatting sqref="U643:U646 U648:U652 U654:U656 U658 U784:U788">
    <cfRule type="cellIs" dxfId="0" priority="2932" operator="equal">
      <formula>"欠"</formula>
    </cfRule>
  </conditionalFormatting>
  <conditionalFormatting sqref="S644 S648 S650:S652 S658:S660 S777 S784 S786 S805:S806 S872:S877 S853 S842 S838:S840 S882 S884:S885 S814 S817:S818 S824 S826 S828:S829 S832 S894:S904 S908:S909 S906 S913">
    <cfRule type="cellIs" dxfId="0" priority="3015" operator="equal">
      <formula>"欠"</formula>
    </cfRule>
  </conditionalFormatting>
  <conditionalFormatting sqref="AI644 AI646">
    <cfRule type="cellIs" dxfId="1" priority="2994" operator="equal">
      <formula>"未完成"</formula>
    </cfRule>
    <cfRule type="cellIs" dxfId="0" priority="3001" operator="equal">
      <formula>"未完成"</formula>
    </cfRule>
  </conditionalFormatting>
  <conditionalFormatting sqref="S647 S649">
    <cfRule type="cellIs" dxfId="0" priority="3107" operator="equal">
      <formula>"欠"</formula>
    </cfRule>
  </conditionalFormatting>
  <conditionalFormatting sqref="T647 T649">
    <cfRule type="containsText" dxfId="2" priority="2543" operator="between" text="欠">
      <formula>NOT(ISERROR(SEARCH("欠",T647)))</formula>
    </cfRule>
    <cfRule type="cellIs" dxfId="0" priority="2544" operator="equal">
      <formula>"欠"</formula>
    </cfRule>
  </conditionalFormatting>
  <conditionalFormatting sqref="Q652 Q654:Q656 Q658 Q784:Q788">
    <cfRule type="cellIs" dxfId="0" priority="3004" operator="equal">
      <formula>"欠"</formula>
    </cfRule>
  </conditionalFormatting>
  <conditionalFormatting sqref="AI652 AI655:AI656 AI658 AI784:AI788">
    <cfRule type="cellIs" dxfId="1" priority="2990" operator="equal">
      <formula>"未完成"</formula>
    </cfRule>
    <cfRule type="cellIs" dxfId="0" priority="2997" operator="equal">
      <formula>"未完成"</formula>
    </cfRule>
  </conditionalFormatting>
  <conditionalFormatting sqref="AJ652 AJ655:AJ656 AJ658 AJ784:AJ788">
    <cfRule type="cellIs" dxfId="0" priority="2983" operator="equal">
      <formula>"欠"</formula>
    </cfRule>
  </conditionalFormatting>
  <conditionalFormatting sqref="T719:T720 T723">
    <cfRule type="cellIs" dxfId="0" priority="586" operator="equal">
      <formula>"欠"</formula>
    </cfRule>
    <cfRule type="containsText" dxfId="2" priority="578" operator="between" text="欠">
      <formula>NOT(ISERROR(SEARCH("欠",T719)))</formula>
    </cfRule>
  </conditionalFormatting>
  <conditionalFormatting sqref="Q773 Q775">
    <cfRule type="cellIs" dxfId="0" priority="1963" operator="equal">
      <formula>"欠"</formula>
    </cfRule>
  </conditionalFormatting>
  <conditionalFormatting sqref="R773 R775">
    <cfRule type="containsText" dxfId="2" priority="1858" operator="between" text="欠">
      <formula>NOT(ISERROR(SEARCH("欠",R773)))</formula>
    </cfRule>
    <cfRule type="cellIs" dxfId="0" priority="1859" operator="equal">
      <formula>"欠"</formula>
    </cfRule>
  </conditionalFormatting>
  <conditionalFormatting sqref="S773 S775">
    <cfRule type="cellIs" dxfId="0" priority="1827" operator="equal">
      <formula>"欠"</formula>
    </cfRule>
  </conditionalFormatting>
  <conditionalFormatting sqref="T773 T775">
    <cfRule type="cellIs" dxfId="0" priority="1826" operator="equal">
      <formula>"欠"</formula>
    </cfRule>
  </conditionalFormatting>
  <conditionalFormatting sqref="U775:U776 U800:U804 U817 U808 U894:U895">
    <cfRule type="cellIs" dxfId="0" priority="2290" operator="equal">
      <formula>"欠"</formula>
    </cfRule>
  </conditionalFormatting>
  <conditionalFormatting sqref="AI775:AI779 AI800:AI806 AI875:AI877 AI838:AI842 AI828:AI833 AI883:AI887 AI808 AI814 AI817:AI818 AI820 AI824 AI894:AI904 AI908:AI909 AI906">
    <cfRule type="cellIs" dxfId="1" priority="2342" operator="equal">
      <formula>"未完成"</formula>
    </cfRule>
    <cfRule type="cellIs" dxfId="0" priority="2367" operator="equal">
      <formula>"未完成"</formula>
    </cfRule>
  </conditionalFormatting>
  <conditionalFormatting sqref="AJ775:AJ779 AJ800:AJ806 AJ875:AJ877 AJ838:AJ842 AJ828:AJ833 AJ883:AJ887 AJ808 AJ814 AJ817:AJ818 AJ820 AJ824 AJ894:AJ904 AJ908:AJ909 AJ906">
    <cfRule type="cellIs" dxfId="0" priority="2317" operator="equal">
      <formula>"欠"</formula>
    </cfRule>
  </conditionalFormatting>
  <conditionalFormatting sqref="Q776 Q800:Q804 Q817 Q808 Q894:Q895">
    <cfRule type="cellIs" dxfId="0" priority="2390" operator="equal">
      <formula>"欠"</formula>
    </cfRule>
  </conditionalFormatting>
  <conditionalFormatting sqref="R776:R777 R800:R804 R894:R895">
    <cfRule type="containsText" dxfId="2" priority="2049" operator="between" text="欠">
      <formula>NOT(ISERROR(SEARCH("欠",R776)))</formula>
    </cfRule>
    <cfRule type="cellIs" dxfId="0" priority="2051" operator="equal">
      <formula>"欠"</formula>
    </cfRule>
  </conditionalFormatting>
  <conditionalFormatting sqref="Q777 Q909">
    <cfRule type="cellIs" dxfId="0" priority="2368" operator="equal">
      <formula>"欠"</formula>
    </cfRule>
  </conditionalFormatting>
  <conditionalFormatting sqref="T777 T786:T788">
    <cfRule type="containsText" dxfId="2" priority="2552" operator="between" text="欠">
      <formula>NOT(ISERROR(SEARCH("欠",T777)))</formula>
    </cfRule>
    <cfRule type="cellIs" dxfId="0" priority="2553" operator="equal">
      <formula>"欠"</formula>
    </cfRule>
  </conditionalFormatting>
  <conditionalFormatting sqref="U777 U909">
    <cfRule type="cellIs" dxfId="0" priority="2268" operator="equal">
      <formula>"欠"</formula>
    </cfRule>
  </conditionalFormatting>
  <conditionalFormatting sqref="Q778:Q779 Q806 Q820 Q824">
    <cfRule type="cellIs" dxfId="0" priority="2388" operator="equal">
      <formula>"欠"</formula>
    </cfRule>
  </conditionalFormatting>
  <conditionalFormatting sqref="R778:R779 R784 R786:R788 R805:R806 R828:R833 R875:R877 R838:R840 R884:R885 R887:R888 R808 R814 R817:R818 R820 R896:R904 R906 R908:R909">
    <cfRule type="containsText" dxfId="2" priority="2242" operator="between" text="欠">
      <formula>NOT(ISERROR(SEARCH("欠",R778)))</formula>
    </cfRule>
    <cfRule type="cellIs" dxfId="0" priority="2267" operator="equal">
      <formula>"欠"</formula>
    </cfRule>
  </conditionalFormatting>
  <conditionalFormatting sqref="S778:S782 S787 S802:S803 S813">
    <cfRule type="cellIs" dxfId="0" priority="1749" operator="equal">
      <formula>"欠"</formula>
    </cfRule>
  </conditionalFormatting>
  <conditionalFormatting sqref="T778:T779 T805:T806 T828:T833 T875:T877 T872 T884:T885 T808 T814 T817:T818 T824 T838:T840 T842 T896:T904 T906 T908:T909">
    <cfRule type="cellIs" dxfId="0" priority="2186" operator="equal">
      <formula>"欠"</formula>
    </cfRule>
  </conditionalFormatting>
  <conditionalFormatting sqref="U778:U779 U806 U820 U824">
    <cfRule type="cellIs" dxfId="0" priority="2288" operator="equal">
      <formula>"欠"</formula>
    </cfRule>
  </conditionalFormatting>
  <conditionalFormatting sqref="T784 T826">
    <cfRule type="cellIs" dxfId="0" priority="1724" operator="equal">
      <formula>"欠"</formula>
    </cfRule>
  </conditionalFormatting>
  <conditionalFormatting sqref="S785 S798 S815:S816 S830:S831">
    <cfRule type="cellIs" dxfId="0" priority="2606" operator="equal">
      <formula>"欠"</formula>
    </cfRule>
  </conditionalFormatting>
  <conditionalFormatting sqref="S788 S808">
    <cfRule type="cellIs" dxfId="0" priority="1679" operator="equal">
      <formula>"欠"</formula>
    </cfRule>
  </conditionalFormatting>
  <conditionalFormatting sqref="Q789 Q791:Q797 Q799 Q809:Q811">
    <cfRule type="cellIs" dxfId="0" priority="2098" operator="equal">
      <formula>"欠"</formula>
    </cfRule>
  </conditionalFormatting>
  <conditionalFormatting sqref="R789 R799 R809:R811">
    <cfRule type="containsText" dxfId="2" priority="2125" operator="between" text="欠">
      <formula>NOT(ISERROR(SEARCH("欠",R789)))</formula>
    </cfRule>
    <cfRule type="cellIs" dxfId="0" priority="2127" operator="equal">
      <formula>"欠"</formula>
    </cfRule>
  </conditionalFormatting>
  <conditionalFormatting sqref="T789:T797 T799 T809:T811">
    <cfRule type="cellIs" dxfId="0" priority="2123" operator="equal">
      <formula>"欠"</formula>
    </cfRule>
  </conditionalFormatting>
  <conditionalFormatting sqref="AI789 AI791:AI797 AI799 AI809:AI811">
    <cfRule type="cellIs" dxfId="1" priority="2096" operator="equal">
      <formula>"未完成"</formula>
    </cfRule>
    <cfRule type="cellIs" dxfId="0" priority="2097" operator="equal">
      <formula>"未完成"</formula>
    </cfRule>
  </conditionalFormatting>
  <conditionalFormatting sqref="AJ789 AJ791:AJ797 AJ799 AJ809:AJ811">
    <cfRule type="cellIs" dxfId="0" priority="2095" operator="equal">
      <formula>"欠"</formula>
    </cfRule>
  </conditionalFormatting>
  <conditionalFormatting sqref="S791:S797 S822:S823">
    <cfRule type="cellIs" dxfId="0" priority="1676" operator="equal">
      <formula>"欠"</formula>
    </cfRule>
  </conditionalFormatting>
  <conditionalFormatting sqref="S800:S801 S804">
    <cfRule type="cellIs" dxfId="0" priority="2012" operator="equal">
      <formula>"欠"</formula>
    </cfRule>
  </conditionalFormatting>
  <conditionalFormatting sqref="T800:T804 T894:T895">
    <cfRule type="containsText" dxfId="2" priority="2042" operator="between" text="欠">
      <formula>NOT(ISERROR(SEARCH("欠",T800)))</formula>
    </cfRule>
    <cfRule type="containsText" dxfId="3" priority="2043" operator="between" text="欠">
      <formula>NOT(ISERROR(SEARCH("欠",T800)))</formula>
    </cfRule>
    <cfRule type="cellIs" dxfId="0" priority="2044" operator="equal">
      <formula>"欠"</formula>
    </cfRule>
  </conditionalFormatting>
  <conditionalFormatting sqref="R824 R842 R872">
    <cfRule type="containsText" dxfId="2" priority="1602" operator="between" text="欠">
      <formula>NOT(ISERROR(SEARCH("欠",R824)))</formula>
    </cfRule>
    <cfRule type="cellIs" dxfId="0" priority="1603" operator="equal">
      <formula>"欠"</formula>
    </cfRule>
  </conditionalFormatting>
  <conditionalFormatting sqref="R871 R861:R868 R883 R886 R825:R826 R841 R907 R910:R911">
    <cfRule type="containsText" dxfId="2" priority="1821" operator="between" text="欠">
      <formula>NOT(ISERROR(SEARCH("欠",R825)))</formula>
    </cfRule>
    <cfRule type="cellIs" dxfId="0" priority="1822" operator="equal">
      <formula>"欠"</formula>
    </cfRule>
  </conditionalFormatting>
  <conditionalFormatting sqref="S870:S871 S861:S868 S883 S886:S888 S825 S841 S907 S910:S911">
    <cfRule type="cellIs" dxfId="0" priority="1825" operator="equal">
      <formula>"欠"</formula>
    </cfRule>
  </conditionalFormatting>
  <conditionalFormatting sqref="T870:T871 T861:T868 T883 T886:T888 T825 T841 T907 T910:T911">
    <cfRule type="containsText" dxfId="2" priority="1823" operator="between" text="欠">
      <formula>NOT(ISERROR(SEARCH("欠",T825)))</formula>
    </cfRule>
    <cfRule type="cellIs" dxfId="0" priority="1824" operator="equal">
      <formula>"欠"</formula>
    </cfRule>
  </conditionalFormatting>
  <conditionalFormatting sqref="Q829:Q833 Q841:Q842">
    <cfRule type="cellIs" dxfId="0" priority="2384" operator="equal">
      <formula>"欠"</formula>
    </cfRule>
  </conditionalFormatting>
  <conditionalFormatting sqref="U829:U833 U841:U842">
    <cfRule type="cellIs" dxfId="0" priority="2284" operator="equal">
      <formula>"欠"</formula>
    </cfRule>
  </conditionalFormatting>
  <conditionalFormatting sqref="R843:R844 R846:R849">
    <cfRule type="containsText" dxfId="2" priority="1298" operator="between" text="欠">
      <formula>NOT(ISERROR(SEARCH("欠",R843)))</formula>
    </cfRule>
    <cfRule type="cellIs" dxfId="0" priority="1299" operator="equal">
      <formula>"欠"</formula>
    </cfRule>
  </conditionalFormatting>
  <conditionalFormatting sqref="S843:S844 S846:S849">
    <cfRule type="cellIs" dxfId="0" priority="1295" operator="equal">
      <formula>"欠"</formula>
    </cfRule>
  </conditionalFormatting>
  <conditionalFormatting sqref="T843:T844 T846:T849">
    <cfRule type="containsText" dxfId="2" priority="1296" operator="between" text="欠">
      <formula>NOT(ISERROR(SEARCH("欠",T843)))</formula>
    </cfRule>
    <cfRule type="cellIs" dxfId="0" priority="1297" operator="equal">
      <formula>"欠"</formula>
    </cfRule>
  </conditionalFormatting>
  <conditionalFormatting sqref="Q850 Q857">
    <cfRule type="cellIs" dxfId="0" priority="1208" operator="equal">
      <formula>"欠"</formula>
    </cfRule>
  </conditionalFormatting>
  <conditionalFormatting sqref="R850 R857">
    <cfRule type="containsText" dxfId="2" priority="1212" operator="between" text="欠">
      <formula>NOT(ISERROR(SEARCH("欠",R850)))</formula>
    </cfRule>
    <cfRule type="cellIs" dxfId="0" priority="1213" operator="equal">
      <formula>"欠"</formula>
    </cfRule>
  </conditionalFormatting>
  <conditionalFormatting sqref="S850 S857">
    <cfRule type="cellIs" dxfId="0" priority="1209" operator="equal">
      <formula>"欠"</formula>
    </cfRule>
  </conditionalFormatting>
  <conditionalFormatting sqref="T850 T857:T860">
    <cfRule type="containsText" dxfId="2" priority="1210" operator="between" text="欠">
      <formula>NOT(ISERROR(SEARCH("欠",T850)))</formula>
    </cfRule>
    <cfRule type="cellIs" dxfId="0" priority="1211" operator="equal">
      <formula>"欠"</formula>
    </cfRule>
  </conditionalFormatting>
  <conditionalFormatting sqref="U850 U857">
    <cfRule type="cellIs" dxfId="0" priority="1204" operator="equal">
      <formula>"欠"</formula>
    </cfRule>
  </conditionalFormatting>
  <conditionalFormatting sqref="AI850 AI857">
    <cfRule type="cellIs" dxfId="1" priority="1206" operator="equal">
      <formula>"未完成"</formula>
    </cfRule>
    <cfRule type="cellIs" dxfId="0" priority="1207" operator="equal">
      <formula>"未完成"</formula>
    </cfRule>
  </conditionalFormatting>
  <conditionalFormatting sqref="AJ850 AJ857">
    <cfRule type="cellIs" dxfId="0" priority="1205" operator="equal">
      <formula>"欠"</formula>
    </cfRule>
  </conditionalFormatting>
  <conditionalFormatting sqref="Q861:Q868 Q872">
    <cfRule type="cellIs" dxfId="0" priority="1921" operator="equal">
      <formula>"欠"</formula>
    </cfRule>
  </conditionalFormatting>
  <conditionalFormatting sqref="U861:U868 U872">
    <cfRule type="cellIs" dxfId="0" priority="1917" operator="equal">
      <formula>"欠"</formula>
    </cfRule>
  </conditionalFormatting>
  <conditionalFormatting sqref="AI861:AI868 AI872">
    <cfRule type="cellIs" dxfId="1" priority="1919" operator="equal">
      <formula>"未完成"</formula>
    </cfRule>
    <cfRule type="cellIs" dxfId="0" priority="1920" operator="equal">
      <formula>"未完成"</formula>
    </cfRule>
  </conditionalFormatting>
  <conditionalFormatting sqref="AJ861:AJ868 AJ872">
    <cfRule type="cellIs" dxfId="0" priority="1918" operator="equal">
      <formula>"欠"</formula>
    </cfRule>
  </conditionalFormatting>
  <conditionalFormatting sqref="Q870:Q871 Q911">
    <cfRule type="cellIs" dxfId="0" priority="1932" operator="equal">
      <formula>"欠"</formula>
    </cfRule>
  </conditionalFormatting>
  <conditionalFormatting sqref="U870:U871 U911">
    <cfRule type="cellIs" dxfId="0" priority="1928" operator="equal">
      <formula>"欠"</formula>
    </cfRule>
  </conditionalFormatting>
  <conditionalFormatting sqref="AF870:AF871 AF911">
    <cfRule type="cellIs" dxfId="0" priority="1597" operator="equal">
      <formula>"未完成"</formula>
    </cfRule>
  </conditionalFormatting>
  <conditionalFormatting sqref="AI870:AI871 AI911">
    <cfRule type="cellIs" dxfId="1" priority="1930" operator="equal">
      <formula>"未完成"</formula>
    </cfRule>
    <cfRule type="cellIs" dxfId="0" priority="1931" operator="equal">
      <formula>"未完成"</formula>
    </cfRule>
  </conditionalFormatting>
  <conditionalFormatting sqref="AJ870:AJ871 AJ911">
    <cfRule type="cellIs" dxfId="0" priority="1929" operator="equal">
      <formula>"欠"</formula>
    </cfRule>
  </conditionalFormatting>
  <conditionalFormatting sqref="Q883 Q876:Q877">
    <cfRule type="cellIs" dxfId="0" priority="2379" operator="equal">
      <formula>"欠"</formula>
    </cfRule>
  </conditionalFormatting>
  <conditionalFormatting sqref="U883 U876:U877">
    <cfRule type="cellIs" dxfId="0" priority="2279" operator="equal">
      <formula>"欠"</formula>
    </cfRule>
  </conditionalFormatting>
  <conditionalFormatting sqref="R878:R879 R893">
    <cfRule type="containsText" dxfId="2" priority="55" operator="between" text="欠">
      <formula>NOT(ISERROR(SEARCH("欠",R878)))</formula>
    </cfRule>
    <cfRule type="cellIs" dxfId="0" priority="57" operator="equal">
      <formula>"欠"</formula>
    </cfRule>
  </conditionalFormatting>
  <conditionalFormatting sqref="S878:S879 S893">
    <cfRule type="cellIs" dxfId="0" priority="45" operator="equal">
      <formula>"欠"</formula>
    </cfRule>
  </conditionalFormatting>
  <conditionalFormatting sqref="S912 S914">
    <cfRule type="cellIs" dxfId="0" priority="6878" operator="equal">
      <formula>"欠"</formula>
    </cfRule>
  </conditionalFormatting>
  <conditionalFormatting sqref="R922 T922:V922">
    <cfRule type="cellIs" dxfId="0" priority="7942" operator="equal">
      <formula>"欠"</formula>
    </cfRule>
  </conditionalFormatting>
  <dataValidations count="1">
    <dataValidation type="list" allowBlank="1" showInputMessage="1" showErrorMessage="1" sqref="AD271:AF271 AE623 AF723 AE807 AE861 AE588:AE589 AE591:AE593 AE613:AE615 AE630:AE631 AE635:AE661 AE663:AE691 AE693:AE723 AE726:AE733 AE812:AE818 AE820:AE849 AE912:AE925 AE930:AE1048576 AF707:AF708 AF714:AF715 AF731:AF733 AF830:AF831 AF834:AF837 AF843:AF861 AF912:AF920 AF925:AF1048576 AG850:AG860 AE2:AF19 AE21:AF270 AE272:AF420 AE423:AF451 AE456:AF457 AE724:AF725 AE513:AF514 AE734:AF764 AE766:AF806 AE808:AF811 AE862:AF911">
      <formula1>"未完成,已完成,OK"</formula1>
    </dataValidation>
  </dataValidations>
  <hyperlinks>
    <hyperlink ref="X513" r:id="rId3" display="Candy@zuru.com"/>
  </hyperlinks>
  <pageMargins left="0.0784722222222222" right="0.118055555555556" top="0.196527777777778" bottom="0.196527777777778" header="0.156944444444444" footer="0.0784722222222222"/>
  <pageSetup paperSize="9" scale="49" orientation="landscape" horizontalDpi="6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X1270"/>
  <sheetViews>
    <sheetView tabSelected="1" zoomScale="70" zoomScaleNormal="70" workbookViewId="0">
      <pane xSplit="14" ySplit="1" topLeftCell="U1169" activePane="bottomRight" state="frozen"/>
      <selection/>
      <selection pane="topRight"/>
      <selection pane="bottomLeft"/>
      <selection pane="bottomRight" activeCell="AK1178" sqref="AK1178"/>
    </sheetView>
  </sheetViews>
  <sheetFormatPr defaultColWidth="9" defaultRowHeight="13.5"/>
  <cols>
    <col min="1" max="1" width="17.35" style="438" customWidth="1"/>
    <col min="2" max="2" width="14.1083333333333" style="424" customWidth="1"/>
    <col min="3" max="3" width="11.0583333333333" style="424" customWidth="1"/>
    <col min="4" max="4" width="14.7583333333333" style="424" customWidth="1"/>
    <col min="5" max="5" width="15.175" style="439" customWidth="1"/>
    <col min="6" max="6" width="16.8916666666667" style="424" customWidth="1"/>
    <col min="7" max="7" width="22.875" style="424" customWidth="1"/>
    <col min="8" max="8" width="13.75" style="424" customWidth="1"/>
    <col min="9" max="9" width="7.75" style="424" customWidth="1"/>
    <col min="10" max="10" width="6.75" style="424" customWidth="1"/>
    <col min="11" max="11" width="9.2" style="424" customWidth="1"/>
    <col min="12" max="12" width="6.50833333333333" style="424" customWidth="1"/>
    <col min="13" max="14" width="17.125" style="424" customWidth="1"/>
    <col min="15" max="15" width="11.9583333333333" style="424" customWidth="1"/>
    <col min="16" max="16" width="15.35" style="424" customWidth="1"/>
    <col min="17" max="17" width="14.6083333333333" style="424" customWidth="1"/>
    <col min="18" max="18" width="13.1833333333333" style="424" customWidth="1"/>
    <col min="19" max="19" width="9.55833333333333" style="424" customWidth="1"/>
    <col min="20" max="21" width="11.5916666666667" style="424" customWidth="1"/>
    <col min="22" max="22" width="37.1166666666667" style="424" customWidth="1"/>
    <col min="23" max="23" width="12.2583333333333" style="424" customWidth="1"/>
    <col min="24" max="24" width="12.675" style="440" customWidth="1"/>
    <col min="25" max="25" width="10.525" style="441" customWidth="1"/>
    <col min="26" max="26" width="16.425" style="442" customWidth="1"/>
    <col min="27" max="27" width="17.5916666666667" style="443" customWidth="1"/>
    <col min="28" max="28" width="9.99166666666667" style="444" customWidth="1"/>
    <col min="29" max="29" width="12.225" style="442" customWidth="1"/>
    <col min="30" max="31" width="11.0583333333333" style="424" customWidth="1"/>
    <col min="32" max="32" width="10.35" style="445" customWidth="1"/>
    <col min="33" max="33" width="8.96666666666667" style="445" customWidth="1"/>
    <col min="34" max="34" width="8.94166666666667" style="446" customWidth="1"/>
    <col min="35" max="35" width="7.85833333333333" style="447" customWidth="1"/>
    <col min="36" max="36" width="6.6" style="446" customWidth="1"/>
    <col min="37" max="40" width="9" style="424" customWidth="1"/>
    <col min="41" max="41" width="11.8916666666667" style="448"/>
    <col min="42" max="45" width="9" style="424" customWidth="1"/>
    <col min="46" max="46" width="9.95833333333333" style="448" customWidth="1"/>
    <col min="47" max="47" width="9" style="424" customWidth="1"/>
    <col min="48" max="48" width="10.9416666666667" style="424" customWidth="1"/>
    <col min="49" max="50" width="9" style="424" customWidth="1"/>
    <col min="51" max="51" width="9" style="449" customWidth="1"/>
    <col min="52" max="59" width="9" style="424" customWidth="1"/>
    <col min="60" max="60" width="9" style="424"/>
    <col min="61" max="61" width="12.6083333333333" style="424" customWidth="1"/>
    <col min="62" max="62" width="11.5916666666667" style="424" customWidth="1"/>
    <col min="63" max="63" width="11.5916666666667" style="450" customWidth="1"/>
    <col min="64" max="64" width="11.5916666666667" style="424" customWidth="1"/>
    <col min="65" max="71" width="10.9416666666667" style="424" customWidth="1"/>
    <col min="72" max="72" width="11.2666666666667" style="448" customWidth="1"/>
    <col min="73" max="73" width="10.9416666666667" style="424" customWidth="1"/>
    <col min="74" max="74" width="9.38333333333333" style="448"/>
    <col min="75" max="76" width="10.9416666666667" style="424" customWidth="1"/>
    <col min="77" max="79" width="9" style="424" customWidth="1"/>
    <col min="80" max="80" width="11.8916666666667" style="424"/>
    <col min="81" max="87" width="9" style="424"/>
    <col min="88" max="91" width="11.8916666666667" style="424"/>
    <col min="92" max="94" width="10.65" style="448" customWidth="1"/>
    <col min="95" max="96" width="10.65" style="424" customWidth="1"/>
    <col min="97" max="97" width="13.5416666666667" style="424"/>
    <col min="98" max="99" width="9" style="448"/>
    <col min="100" max="100" width="11.8916666666667" style="448"/>
    <col min="101" max="101" width="10.375" style="448"/>
    <col min="102" max="102" width="9" style="448"/>
    <col min="103" max="16383" width="9" style="424"/>
    <col min="16384" max="16384" width="9" style="451"/>
  </cols>
  <sheetData>
    <row r="1" s="424" customFormat="1" ht="63" customHeight="1" spans="1:102">
      <c r="A1" s="452" t="s">
        <v>0</v>
      </c>
      <c r="B1" s="453" t="s">
        <v>1</v>
      </c>
      <c r="C1" s="453" t="s">
        <v>2</v>
      </c>
      <c r="D1" s="453" t="s">
        <v>3</v>
      </c>
      <c r="E1" s="454" t="s">
        <v>4</v>
      </c>
      <c r="F1" s="454" t="s">
        <v>5</v>
      </c>
      <c r="G1" s="453" t="s">
        <v>6</v>
      </c>
      <c r="H1" s="453" t="s">
        <v>7</v>
      </c>
      <c r="I1" s="453" t="s">
        <v>8</v>
      </c>
      <c r="J1" s="453" t="s">
        <v>9</v>
      </c>
      <c r="K1" s="453" t="s">
        <v>10</v>
      </c>
      <c r="L1" s="453" t="s">
        <v>11</v>
      </c>
      <c r="M1" s="460" t="s">
        <v>12</v>
      </c>
      <c r="N1" s="460" t="s">
        <v>13</v>
      </c>
      <c r="O1" s="461" t="s">
        <v>14</v>
      </c>
      <c r="P1" s="461" t="s">
        <v>15</v>
      </c>
      <c r="Q1" s="453" t="s">
        <v>16</v>
      </c>
      <c r="R1" s="469" t="s">
        <v>17</v>
      </c>
      <c r="S1" s="469" t="s">
        <v>18</v>
      </c>
      <c r="T1" s="469" t="s">
        <v>19</v>
      </c>
      <c r="U1" s="469" t="s">
        <v>3081</v>
      </c>
      <c r="V1" s="470" t="s">
        <v>22</v>
      </c>
      <c r="W1" s="453" t="s">
        <v>23</v>
      </c>
      <c r="X1" s="471" t="s">
        <v>24</v>
      </c>
      <c r="Y1" s="477" t="s">
        <v>25</v>
      </c>
      <c r="Z1" s="478" t="s">
        <v>26</v>
      </c>
      <c r="AA1" s="478" t="s">
        <v>27</v>
      </c>
      <c r="AB1" s="461" t="s">
        <v>28</v>
      </c>
      <c r="AC1" s="461" t="s">
        <v>29</v>
      </c>
      <c r="AD1" s="461" t="s">
        <v>30</v>
      </c>
      <c r="AE1" s="461" t="s">
        <v>31</v>
      </c>
      <c r="AF1" s="479" t="s">
        <v>32</v>
      </c>
      <c r="AG1" s="479" t="s">
        <v>33</v>
      </c>
      <c r="AH1" s="485" t="s">
        <v>34</v>
      </c>
      <c r="AI1" s="486" t="s">
        <v>35</v>
      </c>
      <c r="AJ1" s="485" t="s">
        <v>36</v>
      </c>
      <c r="AK1" s="487" t="s">
        <v>3082</v>
      </c>
      <c r="AL1" s="487" t="s">
        <v>3083</v>
      </c>
      <c r="AM1" s="487" t="s">
        <v>3084</v>
      </c>
      <c r="AN1" s="488" t="s">
        <v>3085</v>
      </c>
      <c r="AO1" s="488" t="s">
        <v>3086</v>
      </c>
      <c r="AP1" s="491" t="s">
        <v>3087</v>
      </c>
      <c r="AQ1" s="492" t="s">
        <v>3088</v>
      </c>
      <c r="AR1" s="487" t="s">
        <v>3089</v>
      </c>
      <c r="AS1" s="492" t="s">
        <v>3090</v>
      </c>
      <c r="AT1" s="493" t="s">
        <v>3091</v>
      </c>
      <c r="AU1" s="492" t="s">
        <v>3092</v>
      </c>
      <c r="AV1" s="494" t="s">
        <v>3093</v>
      </c>
      <c r="AW1" s="492" t="s">
        <v>3094</v>
      </c>
      <c r="AX1" s="492" t="s">
        <v>46</v>
      </c>
      <c r="AY1" s="496" t="s">
        <v>3095</v>
      </c>
      <c r="AZ1" s="487" t="s">
        <v>3096</v>
      </c>
      <c r="BA1" s="497" t="s">
        <v>3097</v>
      </c>
      <c r="BB1" s="491" t="s">
        <v>3098</v>
      </c>
      <c r="BC1" s="491" t="s">
        <v>3099</v>
      </c>
      <c r="BD1" s="491" t="s">
        <v>3100</v>
      </c>
      <c r="BE1" s="491" t="s">
        <v>3101</v>
      </c>
      <c r="BF1" s="491" t="s">
        <v>3102</v>
      </c>
      <c r="BG1" s="487" t="s">
        <v>3103</v>
      </c>
      <c r="BH1" s="500" t="s">
        <v>3104</v>
      </c>
      <c r="BI1" s="491" t="s">
        <v>3105</v>
      </c>
      <c r="BJ1" s="487" t="s">
        <v>3106</v>
      </c>
      <c r="BK1" s="500" t="s">
        <v>3107</v>
      </c>
      <c r="BL1" s="491" t="s">
        <v>3108</v>
      </c>
      <c r="BM1" s="494" t="s">
        <v>3109</v>
      </c>
      <c r="BN1" s="494" t="s">
        <v>3110</v>
      </c>
      <c r="BO1" s="487" t="s">
        <v>3111</v>
      </c>
      <c r="BP1" s="487" t="s">
        <v>3112</v>
      </c>
      <c r="BQ1" s="494" t="s">
        <v>3113</v>
      </c>
      <c r="BR1" s="494" t="s">
        <v>3114</v>
      </c>
      <c r="BS1" s="494" t="s">
        <v>3115</v>
      </c>
      <c r="BT1" s="487" t="s">
        <v>3116</v>
      </c>
      <c r="BU1" s="487" t="s">
        <v>3117</v>
      </c>
      <c r="BV1" s="487" t="s">
        <v>3118</v>
      </c>
      <c r="BW1" s="491" t="s">
        <v>3119</v>
      </c>
      <c r="BX1" s="494" t="s">
        <v>3120</v>
      </c>
      <c r="BY1" s="491" t="s">
        <v>3121</v>
      </c>
      <c r="BZ1" s="491" t="s">
        <v>3122</v>
      </c>
      <c r="CA1" s="501" t="s">
        <v>3123</v>
      </c>
      <c r="CB1" s="501" t="s">
        <v>3124</v>
      </c>
      <c r="CC1" s="502" t="s">
        <v>3125</v>
      </c>
      <c r="CD1" s="502" t="s">
        <v>3126</v>
      </c>
      <c r="CE1" s="501" t="s">
        <v>3127</v>
      </c>
      <c r="CF1" s="491" t="s">
        <v>3128</v>
      </c>
      <c r="CG1" s="491" t="s">
        <v>3129</v>
      </c>
      <c r="CH1" s="503" t="s">
        <v>3130</v>
      </c>
      <c r="CI1" s="487" t="s">
        <v>3131</v>
      </c>
      <c r="CJ1" s="491" t="s">
        <v>3132</v>
      </c>
      <c r="CK1" s="504" t="s">
        <v>3133</v>
      </c>
      <c r="CL1" s="504" t="s">
        <v>3134</v>
      </c>
      <c r="CM1" s="504" t="s">
        <v>3135</v>
      </c>
      <c r="CN1" s="493"/>
      <c r="CO1" s="493"/>
      <c r="CP1" s="493"/>
      <c r="CQ1" s="487"/>
      <c r="CR1" s="487"/>
      <c r="CS1" s="503"/>
      <c r="CT1" s="505"/>
      <c r="CU1" s="493"/>
      <c r="CV1" s="493"/>
      <c r="CW1" s="493"/>
      <c r="CX1" s="506"/>
    </row>
    <row r="2" s="425" customFormat="1" ht="31" customHeight="1" spans="1:102">
      <c r="A2" s="455">
        <v>45651</v>
      </c>
      <c r="B2" s="456"/>
      <c r="C2" s="457" t="s">
        <v>3136</v>
      </c>
      <c r="D2" s="425" t="s">
        <v>3137</v>
      </c>
      <c r="E2" s="457"/>
      <c r="G2" s="458" t="s">
        <v>3138</v>
      </c>
      <c r="H2" s="458" t="s">
        <v>3139</v>
      </c>
      <c r="I2" s="458">
        <v>500</v>
      </c>
      <c r="J2" s="458">
        <v>0</v>
      </c>
      <c r="K2" s="458">
        <v>24</v>
      </c>
      <c r="L2" s="462">
        <f>I2/K2</f>
        <v>20.8333333333333</v>
      </c>
      <c r="M2" s="463"/>
      <c r="N2" s="463"/>
      <c r="O2" s="464"/>
      <c r="P2" s="464"/>
      <c r="Q2" s="458"/>
      <c r="R2" s="472" t="s">
        <v>1144</v>
      </c>
      <c r="S2" s="472" t="s">
        <v>66</v>
      </c>
      <c r="T2" s="472" t="s">
        <v>66</v>
      </c>
      <c r="U2" s="472"/>
      <c r="V2" s="473" t="s">
        <v>3140</v>
      </c>
      <c r="W2" s="473" t="s">
        <v>85</v>
      </c>
      <c r="X2" s="473"/>
      <c r="Y2" s="480"/>
      <c r="Z2" s="458"/>
      <c r="AA2" s="458" t="s">
        <v>68</v>
      </c>
      <c r="AB2" s="458" t="s">
        <v>68</v>
      </c>
      <c r="AC2" s="458"/>
      <c r="AD2" s="458" t="s">
        <v>69</v>
      </c>
      <c r="AE2" s="458"/>
      <c r="AF2" s="458"/>
      <c r="AG2" s="482">
        <f>AF2-I2</f>
        <v>-500</v>
      </c>
      <c r="AH2" s="489"/>
      <c r="AI2" s="458"/>
      <c r="AJ2" s="458"/>
      <c r="AK2" s="458">
        <f>I2</f>
        <v>500</v>
      </c>
      <c r="AO2" s="495"/>
      <c r="AT2" s="495"/>
      <c r="AY2" s="498"/>
      <c r="BT2" s="495"/>
      <c r="BV2" s="495"/>
      <c r="CK2" s="425">
        <f>BM2+BL2+BK2+BJ2+BS2</f>
        <v>0</v>
      </c>
      <c r="CL2" s="425">
        <f>CA2+CB2+CC2+CD2+CE2+CG2+CF2</f>
        <v>0</v>
      </c>
      <c r="CM2" s="425">
        <f>BY2+BZ2</f>
        <v>0</v>
      </c>
      <c r="CN2" s="495"/>
      <c r="CO2" s="495"/>
      <c r="CP2" s="495"/>
      <c r="CT2" s="495"/>
      <c r="CU2" s="495"/>
      <c r="CV2" s="495"/>
      <c r="CW2" s="495"/>
      <c r="CX2" s="495"/>
    </row>
    <row r="3" s="426" customFormat="1" ht="31" customHeight="1" spans="1:102">
      <c r="A3" s="455">
        <v>45651</v>
      </c>
      <c r="B3" s="456"/>
      <c r="C3" s="457" t="s">
        <v>3136</v>
      </c>
      <c r="D3" s="425" t="s">
        <v>3137</v>
      </c>
      <c r="E3" s="457"/>
      <c r="G3" s="459" t="s">
        <v>3138</v>
      </c>
      <c r="H3" s="458" t="s">
        <v>3139</v>
      </c>
      <c r="I3" s="457" t="s">
        <v>3141</v>
      </c>
      <c r="J3" s="458">
        <v>0</v>
      </c>
      <c r="K3" s="458">
        <v>24</v>
      </c>
      <c r="L3" s="462"/>
      <c r="M3" s="465"/>
      <c r="N3" s="465"/>
      <c r="O3" s="466"/>
      <c r="P3" s="466"/>
      <c r="Q3" s="457"/>
      <c r="R3" s="472" t="s">
        <v>1144</v>
      </c>
      <c r="S3" s="472" t="s">
        <v>66</v>
      </c>
      <c r="T3" s="472" t="s">
        <v>66</v>
      </c>
      <c r="U3" s="472"/>
      <c r="V3" s="474" t="s">
        <v>3142</v>
      </c>
      <c r="W3" s="473" t="s">
        <v>85</v>
      </c>
      <c r="X3" s="475"/>
      <c r="Y3" s="481"/>
      <c r="Z3" s="457"/>
      <c r="AA3" s="458" t="s">
        <v>68</v>
      </c>
      <c r="AB3" s="458" t="s">
        <v>68</v>
      </c>
      <c r="AC3" s="457"/>
      <c r="AD3" s="458" t="s">
        <v>69</v>
      </c>
      <c r="AE3" s="458"/>
      <c r="AF3" s="458"/>
      <c r="AG3" s="458"/>
      <c r="AH3" s="489"/>
      <c r="AI3" s="490"/>
      <c r="AJ3" s="457"/>
      <c r="AO3" s="495"/>
      <c r="AT3" s="495"/>
      <c r="AY3" s="499"/>
      <c r="BT3" s="495"/>
      <c r="BU3" s="425"/>
      <c r="BV3" s="495"/>
      <c r="CK3" s="425">
        <f t="shared" ref="CK3:CK66" si="0">BM3+BL3+BK3+BJ3+BS3</f>
        <v>0</v>
      </c>
      <c r="CL3" s="425">
        <f t="shared" ref="CL3:CL66" si="1">CA3+CB3+CC3+CD3+CE3+CG3+CF3</f>
        <v>0</v>
      </c>
      <c r="CM3" s="425">
        <f t="shared" ref="CM3:CM66" si="2">BY3+BZ3</f>
        <v>0</v>
      </c>
      <c r="CN3" s="495"/>
      <c r="CO3" s="495"/>
      <c r="CP3" s="495"/>
      <c r="CQ3" s="425"/>
      <c r="CR3" s="425"/>
      <c r="CS3" s="425"/>
      <c r="CT3" s="495"/>
      <c r="CU3" s="495"/>
      <c r="CV3" s="495"/>
      <c r="CW3" s="495"/>
      <c r="CX3" s="507"/>
    </row>
    <row r="4" s="426" customFormat="1" ht="31" customHeight="1" spans="1:102">
      <c r="A4" s="455">
        <v>45651</v>
      </c>
      <c r="B4" s="456"/>
      <c r="C4" s="457" t="s">
        <v>3136</v>
      </c>
      <c r="D4" s="425" t="s">
        <v>3137</v>
      </c>
      <c r="E4" s="457"/>
      <c r="G4" s="459" t="s">
        <v>3143</v>
      </c>
      <c r="H4" s="458" t="s">
        <v>3144</v>
      </c>
      <c r="I4" s="457">
        <v>200</v>
      </c>
      <c r="J4" s="458">
        <v>0</v>
      </c>
      <c r="K4" s="458">
        <v>24</v>
      </c>
      <c r="L4" s="462">
        <f>I4/K4</f>
        <v>8.33333333333333</v>
      </c>
      <c r="M4" s="465"/>
      <c r="N4" s="465"/>
      <c r="O4" s="466"/>
      <c r="P4" s="466"/>
      <c r="Q4" s="457"/>
      <c r="R4" s="472" t="s">
        <v>1144</v>
      </c>
      <c r="S4" s="472" t="s">
        <v>66</v>
      </c>
      <c r="T4" s="472" t="s">
        <v>66</v>
      </c>
      <c r="U4" s="472"/>
      <c r="V4" s="473" t="s">
        <v>3145</v>
      </c>
      <c r="W4" s="473" t="s">
        <v>85</v>
      </c>
      <c r="X4" s="475"/>
      <c r="Y4" s="481"/>
      <c r="Z4" s="457"/>
      <c r="AA4" s="458" t="s">
        <v>68</v>
      </c>
      <c r="AB4" s="458" t="s">
        <v>68</v>
      </c>
      <c r="AC4" s="457"/>
      <c r="AD4" s="458" t="s">
        <v>69</v>
      </c>
      <c r="AE4" s="458"/>
      <c r="AF4" s="458"/>
      <c r="AG4" s="482">
        <f>AF4-I4</f>
        <v>-200</v>
      </c>
      <c r="AH4" s="489"/>
      <c r="AI4" s="490"/>
      <c r="AJ4" s="457"/>
      <c r="AK4" s="458"/>
      <c r="AL4" s="426">
        <f>I4</f>
        <v>200</v>
      </c>
      <c r="AO4" s="495"/>
      <c r="AT4" s="495"/>
      <c r="AY4" s="499"/>
      <c r="BT4" s="495"/>
      <c r="BU4" s="425"/>
      <c r="BV4" s="495"/>
      <c r="CK4" s="425">
        <f t="shared" si="0"/>
        <v>0</v>
      </c>
      <c r="CL4" s="425">
        <f t="shared" si="1"/>
        <v>0</v>
      </c>
      <c r="CM4" s="425">
        <f t="shared" si="2"/>
        <v>0</v>
      </c>
      <c r="CN4" s="495"/>
      <c r="CO4" s="495"/>
      <c r="CP4" s="495"/>
      <c r="CQ4" s="425"/>
      <c r="CR4" s="425"/>
      <c r="CS4" s="425"/>
      <c r="CT4" s="495"/>
      <c r="CU4" s="495"/>
      <c r="CV4" s="495"/>
      <c r="CW4" s="495"/>
      <c r="CX4" s="507"/>
    </row>
    <row r="5" s="426" customFormat="1" ht="31" customHeight="1" spans="1:102">
      <c r="A5" s="455">
        <v>45651</v>
      </c>
      <c r="B5" s="456"/>
      <c r="C5" s="457" t="s">
        <v>3136</v>
      </c>
      <c r="D5" s="425" t="s">
        <v>3137</v>
      </c>
      <c r="E5" s="457"/>
      <c r="G5" s="459" t="s">
        <v>3143</v>
      </c>
      <c r="H5" s="458" t="s">
        <v>3144</v>
      </c>
      <c r="I5" s="457" t="s">
        <v>3141</v>
      </c>
      <c r="J5" s="458">
        <v>0</v>
      </c>
      <c r="K5" s="458">
        <v>24</v>
      </c>
      <c r="L5" s="467"/>
      <c r="M5" s="465"/>
      <c r="N5" s="465"/>
      <c r="O5" s="466"/>
      <c r="P5" s="466"/>
      <c r="Q5" s="457"/>
      <c r="R5" s="472" t="s">
        <v>1144</v>
      </c>
      <c r="S5" s="472" t="s">
        <v>66</v>
      </c>
      <c r="T5" s="472" t="s">
        <v>66</v>
      </c>
      <c r="U5" s="472"/>
      <c r="V5" s="474" t="s">
        <v>3142</v>
      </c>
      <c r="W5" s="473" t="s">
        <v>85</v>
      </c>
      <c r="X5" s="475"/>
      <c r="Y5" s="481"/>
      <c r="Z5" s="457"/>
      <c r="AA5" s="458" t="s">
        <v>68</v>
      </c>
      <c r="AB5" s="458" t="s">
        <v>68</v>
      </c>
      <c r="AC5" s="457"/>
      <c r="AD5" s="458" t="s">
        <v>69</v>
      </c>
      <c r="AE5" s="458"/>
      <c r="AF5" s="458"/>
      <c r="AG5" s="458"/>
      <c r="AH5" s="489"/>
      <c r="AI5" s="490"/>
      <c r="AJ5" s="457"/>
      <c r="AO5" s="495"/>
      <c r="AT5" s="495"/>
      <c r="AY5" s="499"/>
      <c r="BT5" s="495"/>
      <c r="BU5" s="425"/>
      <c r="BV5" s="495"/>
      <c r="CK5" s="425">
        <f t="shared" si="0"/>
        <v>0</v>
      </c>
      <c r="CL5" s="425">
        <f t="shared" si="1"/>
        <v>0</v>
      </c>
      <c r="CM5" s="425">
        <f t="shared" si="2"/>
        <v>0</v>
      </c>
      <c r="CN5" s="495"/>
      <c r="CO5" s="495"/>
      <c r="CP5" s="495"/>
      <c r="CQ5" s="425"/>
      <c r="CR5" s="425"/>
      <c r="CS5" s="425"/>
      <c r="CT5" s="495"/>
      <c r="CU5" s="495"/>
      <c r="CV5" s="495"/>
      <c r="CW5" s="495"/>
      <c r="CX5" s="507"/>
    </row>
    <row r="6" s="425" customFormat="1" ht="31" customHeight="1" spans="1:102">
      <c r="A6" s="455">
        <v>45652</v>
      </c>
      <c r="B6" s="456"/>
      <c r="C6" s="457" t="s">
        <v>3136</v>
      </c>
      <c r="D6" s="425" t="s">
        <v>3146</v>
      </c>
      <c r="E6" s="457"/>
      <c r="G6" s="458" t="s">
        <v>3138</v>
      </c>
      <c r="H6" s="458" t="s">
        <v>3139</v>
      </c>
      <c r="I6" s="458">
        <v>504</v>
      </c>
      <c r="J6" s="458">
        <v>0</v>
      </c>
      <c r="K6" s="458">
        <v>24</v>
      </c>
      <c r="L6" s="462">
        <f>I6/K6</f>
        <v>21</v>
      </c>
      <c r="M6" s="463"/>
      <c r="N6" s="463"/>
      <c r="O6" s="464"/>
      <c r="P6" s="464"/>
      <c r="Q6" s="458"/>
      <c r="R6" s="472" t="s">
        <v>1144</v>
      </c>
      <c r="S6" s="472" t="s">
        <v>66</v>
      </c>
      <c r="T6" s="472" t="s">
        <v>66</v>
      </c>
      <c r="U6" s="472"/>
      <c r="V6" s="473" t="s">
        <v>3147</v>
      </c>
      <c r="W6" s="473" t="s">
        <v>85</v>
      </c>
      <c r="X6" s="473"/>
      <c r="Y6" s="480"/>
      <c r="Z6" s="458"/>
      <c r="AA6" s="458" t="s">
        <v>68</v>
      </c>
      <c r="AB6" s="458" t="s">
        <v>68</v>
      </c>
      <c r="AC6" s="458"/>
      <c r="AD6" s="458" t="s">
        <v>69</v>
      </c>
      <c r="AE6" s="458"/>
      <c r="AF6" s="458"/>
      <c r="AG6" s="458"/>
      <c r="AH6" s="489"/>
      <c r="AI6" s="458"/>
      <c r="AJ6" s="458"/>
      <c r="AK6" s="458">
        <f>I6</f>
        <v>504</v>
      </c>
      <c r="AO6" s="495"/>
      <c r="AT6" s="495"/>
      <c r="AY6" s="498"/>
      <c r="BT6" s="495"/>
      <c r="BV6" s="495"/>
      <c r="CK6" s="425">
        <f t="shared" si="0"/>
        <v>0</v>
      </c>
      <c r="CL6" s="425">
        <f t="shared" si="1"/>
        <v>0</v>
      </c>
      <c r="CM6" s="425">
        <f t="shared" si="2"/>
        <v>0</v>
      </c>
      <c r="CN6" s="495"/>
      <c r="CO6" s="495"/>
      <c r="CP6" s="495"/>
      <c r="CT6" s="495"/>
      <c r="CU6" s="495"/>
      <c r="CV6" s="495"/>
      <c r="CW6" s="495"/>
      <c r="CX6" s="495"/>
    </row>
    <row r="7" s="425" customFormat="1" ht="31" customHeight="1" spans="1:102">
      <c r="A7" s="455">
        <v>45652</v>
      </c>
      <c r="B7" s="456"/>
      <c r="C7" s="457" t="s">
        <v>3136</v>
      </c>
      <c r="D7" s="425" t="s">
        <v>3146</v>
      </c>
      <c r="E7" s="457"/>
      <c r="G7" s="458" t="s">
        <v>3138</v>
      </c>
      <c r="H7" s="458" t="s">
        <v>3139</v>
      </c>
      <c r="I7" s="458" t="s">
        <v>3148</v>
      </c>
      <c r="J7" s="458">
        <v>0</v>
      </c>
      <c r="K7" s="458">
        <v>24</v>
      </c>
      <c r="L7" s="462"/>
      <c r="M7" s="463"/>
      <c r="N7" s="463"/>
      <c r="O7" s="464"/>
      <c r="P7" s="464"/>
      <c r="Q7" s="458"/>
      <c r="R7" s="472" t="s">
        <v>1144</v>
      </c>
      <c r="S7" s="472" t="s">
        <v>66</v>
      </c>
      <c r="T7" s="472" t="s">
        <v>66</v>
      </c>
      <c r="U7" s="472"/>
      <c r="V7" s="473" t="s">
        <v>3149</v>
      </c>
      <c r="W7" s="473" t="s">
        <v>85</v>
      </c>
      <c r="X7" s="473"/>
      <c r="Y7" s="480"/>
      <c r="Z7" s="458"/>
      <c r="AA7" s="458" t="s">
        <v>68</v>
      </c>
      <c r="AB7" s="458" t="s">
        <v>68</v>
      </c>
      <c r="AC7" s="458"/>
      <c r="AD7" s="458" t="s">
        <v>69</v>
      </c>
      <c r="AE7" s="458"/>
      <c r="AF7" s="458"/>
      <c r="AG7" s="458"/>
      <c r="AH7" s="489"/>
      <c r="AI7" s="458"/>
      <c r="AJ7" s="458"/>
      <c r="AK7" s="472"/>
      <c r="AO7" s="495"/>
      <c r="AT7" s="495"/>
      <c r="AY7" s="498"/>
      <c r="BT7" s="495"/>
      <c r="BV7" s="495"/>
      <c r="CK7" s="425">
        <f t="shared" si="0"/>
        <v>0</v>
      </c>
      <c r="CL7" s="425">
        <f t="shared" si="1"/>
        <v>0</v>
      </c>
      <c r="CM7" s="425">
        <f t="shared" si="2"/>
        <v>0</v>
      </c>
      <c r="CN7" s="495"/>
      <c r="CO7" s="495"/>
      <c r="CP7" s="495"/>
      <c r="CT7" s="495"/>
      <c r="CU7" s="495"/>
      <c r="CV7" s="495"/>
      <c r="CW7" s="495"/>
      <c r="CX7" s="495"/>
    </row>
    <row r="8" s="425" customFormat="1" ht="31" customHeight="1" spans="1:102">
      <c r="A8" s="455">
        <v>45652</v>
      </c>
      <c r="B8" s="456"/>
      <c r="C8" s="457" t="s">
        <v>3136</v>
      </c>
      <c r="D8" s="425" t="s">
        <v>3146</v>
      </c>
      <c r="E8" s="457"/>
      <c r="G8" s="458" t="s">
        <v>3150</v>
      </c>
      <c r="H8" s="458" t="s">
        <v>3151</v>
      </c>
      <c r="I8" s="458" t="s">
        <v>3152</v>
      </c>
      <c r="J8" s="458"/>
      <c r="K8" s="458"/>
      <c r="L8" s="462"/>
      <c r="M8" s="463"/>
      <c r="N8" s="463"/>
      <c r="O8" s="464"/>
      <c r="P8" s="464"/>
      <c r="Q8" s="458"/>
      <c r="R8" s="472" t="s">
        <v>1144</v>
      </c>
      <c r="S8" s="472" t="s">
        <v>66</v>
      </c>
      <c r="T8" s="472" t="s">
        <v>66</v>
      </c>
      <c r="U8" s="472"/>
      <c r="V8" s="473" t="s">
        <v>3153</v>
      </c>
      <c r="W8" s="473" t="s">
        <v>85</v>
      </c>
      <c r="X8" s="473"/>
      <c r="Y8" s="480"/>
      <c r="Z8" s="458"/>
      <c r="AA8" s="458" t="s">
        <v>68</v>
      </c>
      <c r="AB8" s="458" t="s">
        <v>68</v>
      </c>
      <c r="AC8" s="458"/>
      <c r="AD8" s="458" t="s">
        <v>69</v>
      </c>
      <c r="AE8" s="458"/>
      <c r="AF8" s="458"/>
      <c r="AG8" s="458"/>
      <c r="AH8" s="489"/>
      <c r="AI8" s="458"/>
      <c r="AJ8" s="458"/>
      <c r="AK8" s="472"/>
      <c r="AO8" s="495"/>
      <c r="AT8" s="495"/>
      <c r="AY8" s="498"/>
      <c r="BH8" s="425">
        <v>20</v>
      </c>
      <c r="BT8" s="495"/>
      <c r="BV8" s="495"/>
      <c r="CK8" s="425">
        <f t="shared" si="0"/>
        <v>0</v>
      </c>
      <c r="CL8" s="425">
        <f t="shared" si="1"/>
        <v>0</v>
      </c>
      <c r="CM8" s="425">
        <f t="shared" si="2"/>
        <v>0</v>
      </c>
      <c r="CN8" s="495"/>
      <c r="CO8" s="495"/>
      <c r="CP8" s="495"/>
      <c r="CT8" s="495"/>
      <c r="CU8" s="495"/>
      <c r="CV8" s="495"/>
      <c r="CW8" s="495"/>
      <c r="CX8" s="495"/>
    </row>
    <row r="9" s="425" customFormat="1" ht="31" customHeight="1" spans="1:102">
      <c r="A9" s="455">
        <v>45652</v>
      </c>
      <c r="B9" s="456"/>
      <c r="C9" s="457" t="s">
        <v>3136</v>
      </c>
      <c r="D9" s="425" t="s">
        <v>3146</v>
      </c>
      <c r="E9" s="457"/>
      <c r="G9" s="458" t="s">
        <v>3154</v>
      </c>
      <c r="H9" s="458" t="s">
        <v>3151</v>
      </c>
      <c r="I9" s="458" t="s">
        <v>3152</v>
      </c>
      <c r="J9" s="458"/>
      <c r="K9" s="458"/>
      <c r="L9" s="462"/>
      <c r="M9" s="463"/>
      <c r="N9" s="463"/>
      <c r="O9" s="464"/>
      <c r="P9" s="464"/>
      <c r="Q9" s="458"/>
      <c r="R9" s="472" t="s">
        <v>1144</v>
      </c>
      <c r="S9" s="472" t="s">
        <v>66</v>
      </c>
      <c r="T9" s="472" t="s">
        <v>66</v>
      </c>
      <c r="U9" s="472"/>
      <c r="V9" s="473" t="s">
        <v>3155</v>
      </c>
      <c r="W9" s="473" t="s">
        <v>85</v>
      </c>
      <c r="X9" s="473"/>
      <c r="Y9" s="480"/>
      <c r="Z9" s="458"/>
      <c r="AA9" s="458" t="s">
        <v>68</v>
      </c>
      <c r="AB9" s="458" t="s">
        <v>68</v>
      </c>
      <c r="AC9" s="458"/>
      <c r="AD9" s="458" t="s">
        <v>69</v>
      </c>
      <c r="AE9" s="458"/>
      <c r="AF9" s="458"/>
      <c r="AG9" s="458"/>
      <c r="AH9" s="489"/>
      <c r="AI9" s="458"/>
      <c r="AJ9" s="458"/>
      <c r="AK9" s="472"/>
      <c r="AO9" s="495"/>
      <c r="AT9" s="495"/>
      <c r="AY9" s="498"/>
      <c r="BJ9" s="425">
        <v>20</v>
      </c>
      <c r="BT9" s="495"/>
      <c r="BV9" s="495"/>
      <c r="CK9" s="425">
        <f t="shared" si="0"/>
        <v>20</v>
      </c>
      <c r="CL9" s="425">
        <f t="shared" si="1"/>
        <v>0</v>
      </c>
      <c r="CM9" s="425">
        <f t="shared" si="2"/>
        <v>0</v>
      </c>
      <c r="CN9" s="495"/>
      <c r="CO9" s="495"/>
      <c r="CP9" s="495"/>
      <c r="CT9" s="495"/>
      <c r="CU9" s="495"/>
      <c r="CV9" s="495"/>
      <c r="CW9" s="495"/>
      <c r="CX9" s="495"/>
    </row>
    <row r="10" s="425" customFormat="1" ht="31" customHeight="1" spans="1:102">
      <c r="A10" s="455">
        <v>45652</v>
      </c>
      <c r="B10" s="456"/>
      <c r="C10" s="457" t="s">
        <v>3136</v>
      </c>
      <c r="D10" s="425" t="s">
        <v>3146</v>
      </c>
      <c r="E10" s="457"/>
      <c r="G10" s="458" t="s">
        <v>3143</v>
      </c>
      <c r="H10" s="458" t="s">
        <v>3144</v>
      </c>
      <c r="I10" s="458">
        <v>504</v>
      </c>
      <c r="J10" s="458">
        <v>0</v>
      </c>
      <c r="K10" s="458">
        <v>24</v>
      </c>
      <c r="L10" s="462">
        <f>I10/K10</f>
        <v>21</v>
      </c>
      <c r="M10" s="463"/>
      <c r="N10" s="463"/>
      <c r="O10" s="464"/>
      <c r="P10" s="464"/>
      <c r="Q10" s="458"/>
      <c r="R10" s="472" t="s">
        <v>1144</v>
      </c>
      <c r="S10" s="472" t="s">
        <v>66</v>
      </c>
      <c r="T10" s="472" t="s">
        <v>66</v>
      </c>
      <c r="U10" s="472"/>
      <c r="V10" s="473" t="s">
        <v>3156</v>
      </c>
      <c r="W10" s="473" t="s">
        <v>85</v>
      </c>
      <c r="X10" s="473"/>
      <c r="Y10" s="480"/>
      <c r="Z10" s="458"/>
      <c r="AA10" s="458" t="s">
        <v>68</v>
      </c>
      <c r="AB10" s="458" t="s">
        <v>68</v>
      </c>
      <c r="AC10" s="458"/>
      <c r="AD10" s="458" t="s">
        <v>69</v>
      </c>
      <c r="AE10" s="458"/>
      <c r="AF10" s="458"/>
      <c r="AG10" s="482">
        <f>AF10-I10</f>
        <v>-504</v>
      </c>
      <c r="AH10" s="489"/>
      <c r="AI10" s="458"/>
      <c r="AJ10" s="458"/>
      <c r="AK10" s="458"/>
      <c r="AL10" s="426">
        <f>I10</f>
        <v>504</v>
      </c>
      <c r="AO10" s="495"/>
      <c r="AT10" s="495"/>
      <c r="AY10" s="498"/>
      <c r="BT10" s="495"/>
      <c r="BV10" s="495"/>
      <c r="CK10" s="425">
        <f t="shared" si="0"/>
        <v>0</v>
      </c>
      <c r="CL10" s="425">
        <f t="shared" si="1"/>
        <v>0</v>
      </c>
      <c r="CM10" s="425">
        <f t="shared" si="2"/>
        <v>0</v>
      </c>
      <c r="CN10" s="495"/>
      <c r="CO10" s="495"/>
      <c r="CP10" s="495"/>
      <c r="CT10" s="495"/>
      <c r="CU10" s="495"/>
      <c r="CV10" s="495"/>
      <c r="CW10" s="495"/>
      <c r="CX10" s="495"/>
    </row>
    <row r="11" s="425" customFormat="1" ht="31" customHeight="1" spans="1:102">
      <c r="A11" s="455">
        <v>45652</v>
      </c>
      <c r="B11" s="456"/>
      <c r="C11" s="457" t="s">
        <v>3136</v>
      </c>
      <c r="D11" s="425" t="s">
        <v>3146</v>
      </c>
      <c r="E11" s="457"/>
      <c r="G11" s="458" t="s">
        <v>3143</v>
      </c>
      <c r="H11" s="458" t="s">
        <v>3144</v>
      </c>
      <c r="I11" s="458" t="s">
        <v>3148</v>
      </c>
      <c r="J11" s="458">
        <v>0</v>
      </c>
      <c r="K11" s="458">
        <v>24</v>
      </c>
      <c r="L11" s="462"/>
      <c r="M11" s="463"/>
      <c r="N11" s="463"/>
      <c r="O11" s="464"/>
      <c r="P11" s="464"/>
      <c r="Q11" s="458"/>
      <c r="R11" s="472" t="s">
        <v>1144</v>
      </c>
      <c r="S11" s="472" t="s">
        <v>66</v>
      </c>
      <c r="T11" s="472" t="s">
        <v>66</v>
      </c>
      <c r="U11" s="472"/>
      <c r="V11" s="473" t="s">
        <v>3157</v>
      </c>
      <c r="W11" s="473" t="s">
        <v>85</v>
      </c>
      <c r="X11" s="473"/>
      <c r="Y11" s="480"/>
      <c r="Z11" s="458"/>
      <c r="AA11" s="458" t="s">
        <v>68</v>
      </c>
      <c r="AB11" s="458" t="s">
        <v>68</v>
      </c>
      <c r="AC11" s="458"/>
      <c r="AD11" s="458" t="s">
        <v>69</v>
      </c>
      <c r="AE11" s="458"/>
      <c r="AF11" s="458"/>
      <c r="AG11" s="458"/>
      <c r="AH11" s="489"/>
      <c r="AI11" s="458"/>
      <c r="AJ11" s="458"/>
      <c r="AK11" s="472"/>
      <c r="AO11" s="495"/>
      <c r="AT11" s="495"/>
      <c r="AY11" s="498"/>
      <c r="BT11" s="495"/>
      <c r="BV11" s="495"/>
      <c r="CK11" s="425">
        <f t="shared" si="0"/>
        <v>0</v>
      </c>
      <c r="CL11" s="425">
        <f t="shared" si="1"/>
        <v>0</v>
      </c>
      <c r="CM11" s="425">
        <f t="shared" si="2"/>
        <v>0</v>
      </c>
      <c r="CN11" s="495"/>
      <c r="CO11" s="495"/>
      <c r="CP11" s="495"/>
      <c r="CT11" s="495"/>
      <c r="CU11" s="495"/>
      <c r="CV11" s="495"/>
      <c r="CW11" s="495"/>
      <c r="CX11" s="495"/>
    </row>
    <row r="12" s="425" customFormat="1" ht="31" customHeight="1" spans="1:102">
      <c r="A12" s="455">
        <v>45652</v>
      </c>
      <c r="B12" s="456"/>
      <c r="C12" s="457" t="s">
        <v>3136</v>
      </c>
      <c r="D12" s="425" t="s">
        <v>3146</v>
      </c>
      <c r="E12" s="457"/>
      <c r="G12" s="458" t="s">
        <v>3158</v>
      </c>
      <c r="H12" s="458" t="s">
        <v>3159</v>
      </c>
      <c r="I12" s="458" t="s">
        <v>3152</v>
      </c>
      <c r="J12" s="458"/>
      <c r="K12" s="458"/>
      <c r="L12" s="462"/>
      <c r="M12" s="463"/>
      <c r="N12" s="463"/>
      <c r="O12" s="464"/>
      <c r="P12" s="464"/>
      <c r="Q12" s="458"/>
      <c r="R12" s="472" t="s">
        <v>1144</v>
      </c>
      <c r="S12" s="472" t="s">
        <v>66</v>
      </c>
      <c r="T12" s="472" t="s">
        <v>66</v>
      </c>
      <c r="U12" s="472"/>
      <c r="V12" s="473" t="s">
        <v>3160</v>
      </c>
      <c r="W12" s="473" t="s">
        <v>85</v>
      </c>
      <c r="X12" s="473"/>
      <c r="Y12" s="480"/>
      <c r="Z12" s="458"/>
      <c r="AA12" s="458" t="s">
        <v>68</v>
      </c>
      <c r="AB12" s="458" t="s">
        <v>68</v>
      </c>
      <c r="AC12" s="458"/>
      <c r="AD12" s="458" t="s">
        <v>69</v>
      </c>
      <c r="AE12" s="458"/>
      <c r="AF12" s="458"/>
      <c r="AG12" s="458"/>
      <c r="AH12" s="489"/>
      <c r="AI12" s="458"/>
      <c r="AJ12" s="458"/>
      <c r="AK12" s="472"/>
      <c r="AO12" s="495"/>
      <c r="AT12" s="495"/>
      <c r="AY12" s="498"/>
      <c r="BI12" s="425">
        <v>20</v>
      </c>
      <c r="BT12" s="495"/>
      <c r="BV12" s="495"/>
      <c r="CK12" s="425">
        <f t="shared" si="0"/>
        <v>0</v>
      </c>
      <c r="CL12" s="425">
        <f t="shared" si="1"/>
        <v>0</v>
      </c>
      <c r="CM12" s="425">
        <f t="shared" si="2"/>
        <v>0</v>
      </c>
      <c r="CN12" s="495"/>
      <c r="CO12" s="495"/>
      <c r="CP12" s="495"/>
      <c r="CT12" s="495"/>
      <c r="CU12" s="495"/>
      <c r="CV12" s="495"/>
      <c r="CW12" s="495"/>
      <c r="CX12" s="495"/>
    </row>
    <row r="13" s="425" customFormat="1" ht="31" customHeight="1" spans="1:102">
      <c r="A13" s="455">
        <v>45652</v>
      </c>
      <c r="B13" s="456"/>
      <c r="C13" s="457" t="s">
        <v>3136</v>
      </c>
      <c r="D13" s="425" t="s">
        <v>3146</v>
      </c>
      <c r="E13" s="457"/>
      <c r="G13" s="458" t="s">
        <v>3161</v>
      </c>
      <c r="H13" s="458" t="s">
        <v>3151</v>
      </c>
      <c r="I13" s="458" t="s">
        <v>3152</v>
      </c>
      <c r="J13" s="458"/>
      <c r="K13" s="458"/>
      <c r="L13" s="462"/>
      <c r="M13" s="463"/>
      <c r="N13" s="463"/>
      <c r="O13" s="464"/>
      <c r="P13" s="464"/>
      <c r="Q13" s="458"/>
      <c r="R13" s="472" t="s">
        <v>1144</v>
      </c>
      <c r="S13" s="472" t="s">
        <v>66</v>
      </c>
      <c r="T13" s="472" t="s">
        <v>66</v>
      </c>
      <c r="U13" s="472"/>
      <c r="V13" s="473" t="s">
        <v>3160</v>
      </c>
      <c r="W13" s="473" t="s">
        <v>85</v>
      </c>
      <c r="X13" s="473"/>
      <c r="Y13" s="480"/>
      <c r="Z13" s="458"/>
      <c r="AA13" s="458" t="s">
        <v>68</v>
      </c>
      <c r="AB13" s="458" t="s">
        <v>68</v>
      </c>
      <c r="AC13" s="458"/>
      <c r="AD13" s="458" t="s">
        <v>69</v>
      </c>
      <c r="AE13" s="458"/>
      <c r="AF13" s="458"/>
      <c r="AG13" s="458"/>
      <c r="AH13" s="489"/>
      <c r="AI13" s="458"/>
      <c r="AJ13" s="458"/>
      <c r="AK13" s="472"/>
      <c r="AO13" s="495"/>
      <c r="AT13" s="495"/>
      <c r="AY13" s="498"/>
      <c r="BL13" s="425">
        <v>20</v>
      </c>
      <c r="BT13" s="495"/>
      <c r="BV13" s="495"/>
      <c r="CK13" s="425">
        <f t="shared" si="0"/>
        <v>20</v>
      </c>
      <c r="CL13" s="425">
        <f t="shared" si="1"/>
        <v>0</v>
      </c>
      <c r="CM13" s="425">
        <f t="shared" si="2"/>
        <v>0</v>
      </c>
      <c r="CN13" s="495"/>
      <c r="CO13" s="495"/>
      <c r="CP13" s="495"/>
      <c r="CT13" s="495"/>
      <c r="CU13" s="495"/>
      <c r="CV13" s="495"/>
      <c r="CW13" s="495"/>
      <c r="CX13" s="495"/>
    </row>
    <row r="14" s="425" customFormat="1" ht="31" customHeight="1" spans="1:102">
      <c r="A14" s="455">
        <v>45650</v>
      </c>
      <c r="B14" s="456"/>
      <c r="C14" s="457" t="s">
        <v>3162</v>
      </c>
      <c r="D14" s="425" t="s">
        <v>3163</v>
      </c>
      <c r="E14" s="457"/>
      <c r="G14" s="458" t="s">
        <v>3138</v>
      </c>
      <c r="H14" s="458" t="s">
        <v>3139</v>
      </c>
      <c r="I14" s="458">
        <v>570</v>
      </c>
      <c r="J14" s="458">
        <v>0</v>
      </c>
      <c r="K14" s="458">
        <v>24</v>
      </c>
      <c r="L14" s="462">
        <f>I14/K14</f>
        <v>23.75</v>
      </c>
      <c r="M14" s="463"/>
      <c r="N14" s="463"/>
      <c r="O14" s="464"/>
      <c r="P14" s="464"/>
      <c r="Q14" s="458"/>
      <c r="R14" s="472" t="s">
        <v>1144</v>
      </c>
      <c r="S14" s="472" t="s">
        <v>66</v>
      </c>
      <c r="T14" s="472" t="s">
        <v>66</v>
      </c>
      <c r="U14" s="472"/>
      <c r="V14" s="473"/>
      <c r="W14" s="473" t="s">
        <v>67</v>
      </c>
      <c r="X14" s="473"/>
      <c r="Y14" s="480"/>
      <c r="Z14" s="458"/>
      <c r="AA14" s="458" t="s">
        <v>68</v>
      </c>
      <c r="AB14" s="458" t="s">
        <v>68</v>
      </c>
      <c r="AC14" s="458"/>
      <c r="AD14" s="458" t="s">
        <v>69</v>
      </c>
      <c r="AE14" s="458"/>
      <c r="AF14" s="458"/>
      <c r="AG14" s="458"/>
      <c r="AH14" s="489"/>
      <c r="AI14" s="458"/>
      <c r="AJ14" s="458"/>
      <c r="AK14" s="458"/>
      <c r="AO14" s="495"/>
      <c r="AT14" s="495"/>
      <c r="AY14" s="498"/>
      <c r="BT14" s="495"/>
      <c r="BV14" s="495"/>
      <c r="CK14" s="425">
        <f t="shared" si="0"/>
        <v>0</v>
      </c>
      <c r="CL14" s="425">
        <f t="shared" si="1"/>
        <v>0</v>
      </c>
      <c r="CM14" s="425">
        <f t="shared" si="2"/>
        <v>0</v>
      </c>
      <c r="CN14" s="495"/>
      <c r="CO14" s="495"/>
      <c r="CP14" s="495"/>
      <c r="CT14" s="495"/>
      <c r="CU14" s="495"/>
      <c r="CV14" s="495"/>
      <c r="CW14" s="495"/>
      <c r="CX14" s="495"/>
    </row>
    <row r="15" s="425" customFormat="1" ht="31" customHeight="1" spans="1:102">
      <c r="A15" s="455">
        <v>45650</v>
      </c>
      <c r="B15" s="456"/>
      <c r="C15" s="457" t="s">
        <v>3162</v>
      </c>
      <c r="D15" s="425" t="s">
        <v>3163</v>
      </c>
      <c r="E15" s="457"/>
      <c r="G15" s="458" t="s">
        <v>3143</v>
      </c>
      <c r="H15" s="458" t="s">
        <v>3144</v>
      </c>
      <c r="I15" s="458">
        <v>670</v>
      </c>
      <c r="J15" s="458">
        <v>0</v>
      </c>
      <c r="K15" s="458">
        <v>24</v>
      </c>
      <c r="L15" s="462">
        <f>I15/K15</f>
        <v>27.9166666666667</v>
      </c>
      <c r="M15" s="463"/>
      <c r="N15" s="463"/>
      <c r="O15" s="464"/>
      <c r="P15" s="464"/>
      <c r="Q15" s="458"/>
      <c r="R15" s="472" t="s">
        <v>1144</v>
      </c>
      <c r="S15" s="472" t="s">
        <v>66</v>
      </c>
      <c r="T15" s="472" t="s">
        <v>66</v>
      </c>
      <c r="U15" s="472"/>
      <c r="V15" s="473"/>
      <c r="W15" s="473" t="s">
        <v>67</v>
      </c>
      <c r="X15" s="473"/>
      <c r="Y15" s="480"/>
      <c r="Z15" s="458"/>
      <c r="AA15" s="458" t="s">
        <v>68</v>
      </c>
      <c r="AB15" s="458" t="s">
        <v>68</v>
      </c>
      <c r="AC15" s="458"/>
      <c r="AD15" s="458" t="s">
        <v>69</v>
      </c>
      <c r="AE15" s="458"/>
      <c r="AF15" s="458"/>
      <c r="AG15" s="458"/>
      <c r="AH15" s="489"/>
      <c r="AI15" s="458"/>
      <c r="AJ15" s="458"/>
      <c r="AK15" s="458"/>
      <c r="AO15" s="495"/>
      <c r="AT15" s="495"/>
      <c r="AY15" s="498"/>
      <c r="BT15" s="495"/>
      <c r="BV15" s="495"/>
      <c r="CK15" s="425">
        <f t="shared" si="0"/>
        <v>0</v>
      </c>
      <c r="CL15" s="425">
        <f t="shared" si="1"/>
        <v>0</v>
      </c>
      <c r="CM15" s="425">
        <f t="shared" si="2"/>
        <v>0</v>
      </c>
      <c r="CN15" s="495"/>
      <c r="CO15" s="495"/>
      <c r="CP15" s="495"/>
      <c r="CT15" s="495"/>
      <c r="CU15" s="495"/>
      <c r="CV15" s="495"/>
      <c r="CW15" s="495"/>
      <c r="CX15" s="495"/>
    </row>
    <row r="16" s="425" customFormat="1" ht="31" customHeight="1" spans="1:102">
      <c r="A16" s="455">
        <v>45701</v>
      </c>
      <c r="B16" s="456" t="s">
        <v>70</v>
      </c>
      <c r="C16" s="457" t="s">
        <v>71</v>
      </c>
      <c r="D16" s="425">
        <v>4500157534</v>
      </c>
      <c r="E16" s="457"/>
      <c r="F16" s="425" t="s">
        <v>3164</v>
      </c>
      <c r="G16" s="458" t="s">
        <v>3165</v>
      </c>
      <c r="H16" s="458" t="s">
        <v>3166</v>
      </c>
      <c r="I16" s="468">
        <v>200</v>
      </c>
      <c r="J16" s="458">
        <v>0</v>
      </c>
      <c r="K16" s="458">
        <v>25</v>
      </c>
      <c r="L16" s="462">
        <f>I16/K16</f>
        <v>8</v>
      </c>
      <c r="M16" s="463">
        <v>45731</v>
      </c>
      <c r="N16" s="463">
        <v>45727</v>
      </c>
      <c r="O16" s="464"/>
      <c r="P16" s="464"/>
      <c r="Q16" s="458"/>
      <c r="R16" s="472">
        <v>45804</v>
      </c>
      <c r="S16" s="476" t="s">
        <v>66</v>
      </c>
      <c r="T16" s="472">
        <v>45804</v>
      </c>
      <c r="U16" s="472"/>
      <c r="V16" s="473" t="s">
        <v>3167</v>
      </c>
      <c r="W16" s="473" t="s">
        <v>75</v>
      </c>
      <c r="X16" s="473">
        <v>0.95</v>
      </c>
      <c r="Y16" s="480">
        <f>X16*I16</f>
        <v>190</v>
      </c>
      <c r="Z16" s="458"/>
      <c r="AA16" s="482" t="s">
        <v>3165</v>
      </c>
      <c r="AB16" s="458" t="s">
        <v>76</v>
      </c>
      <c r="AC16" s="458"/>
      <c r="AD16" s="458" t="s">
        <v>69</v>
      </c>
      <c r="AE16" s="458"/>
      <c r="AF16" s="458"/>
      <c r="AG16" s="458">
        <f>AF16-I16+200</f>
        <v>0</v>
      </c>
      <c r="AH16" s="489"/>
      <c r="AI16" s="458"/>
      <c r="AJ16" s="458"/>
      <c r="AK16" s="458"/>
      <c r="AL16" s="426">
        <f>I16</f>
        <v>200</v>
      </c>
      <c r="AO16" s="495"/>
      <c r="AQ16" s="425">
        <f>I16</f>
        <v>200</v>
      </c>
      <c r="AS16" s="425">
        <f>I16</f>
        <v>200</v>
      </c>
      <c r="AT16" s="495"/>
      <c r="AY16" s="498">
        <f>I16/24</f>
        <v>8.33333333333333</v>
      </c>
      <c r="BL16" s="425">
        <f>I16/25</f>
        <v>8</v>
      </c>
      <c r="BT16" s="495"/>
      <c r="BV16" s="495"/>
      <c r="CK16" s="425">
        <f t="shared" si="0"/>
        <v>8</v>
      </c>
      <c r="CL16" s="425">
        <f t="shared" si="1"/>
        <v>0</v>
      </c>
      <c r="CM16" s="425">
        <f t="shared" si="2"/>
        <v>0</v>
      </c>
      <c r="CN16" s="495"/>
      <c r="CO16" s="495"/>
      <c r="CP16" s="495"/>
      <c r="CT16" s="495"/>
      <c r="CU16" s="495"/>
      <c r="CV16" s="495"/>
      <c r="CW16" s="495"/>
      <c r="CX16" s="495"/>
    </row>
    <row r="17" s="425" customFormat="1" ht="31" customHeight="1" spans="1:102">
      <c r="A17" s="455">
        <v>45722</v>
      </c>
      <c r="B17" s="456"/>
      <c r="C17" s="457"/>
      <c r="D17" s="425" t="s">
        <v>77</v>
      </c>
      <c r="E17" s="457"/>
      <c r="G17" s="458" t="s">
        <v>3138</v>
      </c>
      <c r="H17" s="458" t="s">
        <v>3139</v>
      </c>
      <c r="I17" s="458">
        <v>1584</v>
      </c>
      <c r="J17" s="458">
        <v>0</v>
      </c>
      <c r="K17" s="458">
        <v>24</v>
      </c>
      <c r="L17" s="462">
        <f>I17/K17</f>
        <v>66</v>
      </c>
      <c r="M17" s="463">
        <v>45736</v>
      </c>
      <c r="N17" s="463">
        <v>45733</v>
      </c>
      <c r="O17" s="464"/>
      <c r="P17" s="464" t="s">
        <v>103</v>
      </c>
      <c r="Q17" s="458"/>
      <c r="R17" s="472">
        <v>45722</v>
      </c>
      <c r="S17" s="472" t="s">
        <v>66</v>
      </c>
      <c r="T17" s="472" t="s">
        <v>66</v>
      </c>
      <c r="U17" s="472"/>
      <c r="V17" s="473" t="s">
        <v>3168</v>
      </c>
      <c r="W17" s="473" t="s">
        <v>79</v>
      </c>
      <c r="X17" s="473"/>
      <c r="Y17" s="480"/>
      <c r="Z17" s="458"/>
      <c r="AA17" s="483" t="s">
        <v>3169</v>
      </c>
      <c r="AB17" s="458" t="s">
        <v>76</v>
      </c>
      <c r="AC17" s="458"/>
      <c r="AD17" s="458" t="s">
        <v>69</v>
      </c>
      <c r="AE17" s="458"/>
      <c r="AF17" s="458">
        <v>1584</v>
      </c>
      <c r="AG17" s="458">
        <f>AF17-I17</f>
        <v>0</v>
      </c>
      <c r="AH17" s="489"/>
      <c r="AI17" s="458"/>
      <c r="AJ17" s="458"/>
      <c r="AK17" s="458">
        <f>I17</f>
        <v>1584</v>
      </c>
      <c r="AM17" s="425">
        <f>I17</f>
        <v>1584</v>
      </c>
      <c r="AO17" s="495"/>
      <c r="AR17" s="425">
        <f>I17</f>
        <v>1584</v>
      </c>
      <c r="AT17" s="495"/>
      <c r="AY17" s="498">
        <f>I17/48</f>
        <v>33</v>
      </c>
      <c r="BT17" s="495"/>
      <c r="BV17" s="495"/>
      <c r="CK17" s="425">
        <f t="shared" si="0"/>
        <v>0</v>
      </c>
      <c r="CL17" s="425">
        <f t="shared" si="1"/>
        <v>0</v>
      </c>
      <c r="CM17" s="425">
        <f t="shared" si="2"/>
        <v>0</v>
      </c>
      <c r="CN17" s="495"/>
      <c r="CO17" s="495"/>
      <c r="CP17" s="495"/>
      <c r="CT17" s="495"/>
      <c r="CU17" s="495"/>
      <c r="CV17" s="495"/>
      <c r="CW17" s="495"/>
      <c r="CX17" s="495"/>
    </row>
    <row r="18" s="425" customFormat="1" ht="31" customHeight="1" spans="1:102">
      <c r="A18" s="455">
        <v>45737</v>
      </c>
      <c r="B18" s="456"/>
      <c r="C18" s="457"/>
      <c r="D18" s="425" t="s">
        <v>81</v>
      </c>
      <c r="E18" s="457"/>
      <c r="G18" s="458" t="s">
        <v>3138</v>
      </c>
      <c r="H18" s="458" t="s">
        <v>3139</v>
      </c>
      <c r="I18" s="458" t="s">
        <v>3170</v>
      </c>
      <c r="J18" s="458">
        <v>0</v>
      </c>
      <c r="K18" s="458">
        <v>20</v>
      </c>
      <c r="L18" s="462">
        <v>1</v>
      </c>
      <c r="M18" s="463">
        <v>45740</v>
      </c>
      <c r="N18" s="463">
        <v>45736</v>
      </c>
      <c r="O18" s="464"/>
      <c r="P18" s="464"/>
      <c r="Q18" s="458"/>
      <c r="R18" s="472">
        <v>45737</v>
      </c>
      <c r="S18" s="472" t="s">
        <v>66</v>
      </c>
      <c r="T18" s="472" t="s">
        <v>66</v>
      </c>
      <c r="U18" s="472"/>
      <c r="V18" s="473" t="s">
        <v>3171</v>
      </c>
      <c r="W18" s="473" t="s">
        <v>85</v>
      </c>
      <c r="X18" s="473"/>
      <c r="Y18" s="480"/>
      <c r="Z18" s="458"/>
      <c r="AA18" s="458" t="s">
        <v>68</v>
      </c>
      <c r="AB18" s="458" t="s">
        <v>68</v>
      </c>
      <c r="AC18" s="458"/>
      <c r="AD18" s="458" t="s">
        <v>69</v>
      </c>
      <c r="AE18" s="458"/>
      <c r="AF18" s="458">
        <v>20</v>
      </c>
      <c r="AG18" s="458">
        <f>AF18-K18</f>
        <v>0</v>
      </c>
      <c r="AH18" s="489"/>
      <c r="AI18" s="458"/>
      <c r="AJ18" s="458"/>
      <c r="AK18" s="458"/>
      <c r="AO18" s="495"/>
      <c r="AT18" s="495"/>
      <c r="AY18" s="498"/>
      <c r="BT18" s="495"/>
      <c r="BV18" s="495"/>
      <c r="CK18" s="425">
        <f t="shared" si="0"/>
        <v>0</v>
      </c>
      <c r="CL18" s="425">
        <f t="shared" si="1"/>
        <v>0</v>
      </c>
      <c r="CM18" s="425">
        <f t="shared" si="2"/>
        <v>0</v>
      </c>
      <c r="CN18" s="495"/>
      <c r="CO18" s="495"/>
      <c r="CP18" s="495"/>
      <c r="CT18" s="495"/>
      <c r="CU18" s="495"/>
      <c r="CV18" s="495"/>
      <c r="CW18" s="495"/>
      <c r="CX18" s="495"/>
    </row>
    <row r="19" s="425" customFormat="1" ht="31" customHeight="1" spans="1:102">
      <c r="A19" s="455">
        <v>45737</v>
      </c>
      <c r="B19" s="456"/>
      <c r="C19" s="457"/>
      <c r="D19" s="425" t="s">
        <v>81</v>
      </c>
      <c r="E19" s="457"/>
      <c r="G19" s="458" t="s">
        <v>3143</v>
      </c>
      <c r="H19" s="458" t="s">
        <v>3144</v>
      </c>
      <c r="I19" s="458" t="s">
        <v>3172</v>
      </c>
      <c r="J19" s="458">
        <v>0</v>
      </c>
      <c r="K19" s="458">
        <v>550</v>
      </c>
      <c r="L19" s="462">
        <v>2</v>
      </c>
      <c r="M19" s="463">
        <v>45740</v>
      </c>
      <c r="N19" s="463">
        <v>45736</v>
      </c>
      <c r="O19" s="464"/>
      <c r="P19" s="464"/>
      <c r="Q19" s="458"/>
      <c r="R19" s="472">
        <v>45737</v>
      </c>
      <c r="S19" s="472" t="s">
        <v>66</v>
      </c>
      <c r="T19" s="472" t="s">
        <v>66</v>
      </c>
      <c r="U19" s="472"/>
      <c r="V19" s="473" t="s">
        <v>3173</v>
      </c>
      <c r="W19" s="473" t="s">
        <v>85</v>
      </c>
      <c r="X19" s="473"/>
      <c r="Y19" s="480"/>
      <c r="Z19" s="458"/>
      <c r="AA19" s="458" t="s">
        <v>68</v>
      </c>
      <c r="AB19" s="458" t="s">
        <v>68</v>
      </c>
      <c r="AC19" s="458"/>
      <c r="AD19" s="458" t="s">
        <v>69</v>
      </c>
      <c r="AE19" s="458"/>
      <c r="AF19" s="458">
        <v>1100</v>
      </c>
      <c r="AG19" s="458">
        <f>AF19-1100</f>
        <v>0</v>
      </c>
      <c r="AH19" s="489"/>
      <c r="AI19" s="458"/>
      <c r="AJ19" s="458"/>
      <c r="AK19" s="458"/>
      <c r="AO19" s="495"/>
      <c r="AT19" s="495"/>
      <c r="AY19" s="498"/>
      <c r="BT19" s="495"/>
      <c r="BV19" s="495"/>
      <c r="CK19" s="425">
        <f t="shared" si="0"/>
        <v>0</v>
      </c>
      <c r="CL19" s="425">
        <f t="shared" si="1"/>
        <v>0</v>
      </c>
      <c r="CM19" s="425">
        <f t="shared" si="2"/>
        <v>0</v>
      </c>
      <c r="CN19" s="495"/>
      <c r="CO19" s="495"/>
      <c r="CP19" s="495"/>
      <c r="CT19" s="495"/>
      <c r="CU19" s="495"/>
      <c r="CV19" s="495"/>
      <c r="CW19" s="495"/>
      <c r="CX19" s="495"/>
    </row>
    <row r="20" s="425" customFormat="1" ht="31" customHeight="1" spans="1:102">
      <c r="A20" s="455">
        <v>45749</v>
      </c>
      <c r="B20" s="456"/>
      <c r="C20" s="457"/>
      <c r="D20" s="425" t="s">
        <v>86</v>
      </c>
      <c r="E20" s="457"/>
      <c r="G20" s="458" t="s">
        <v>3138</v>
      </c>
      <c r="H20" s="458" t="s">
        <v>3139</v>
      </c>
      <c r="I20" s="458" t="s">
        <v>87</v>
      </c>
      <c r="J20" s="458">
        <v>0</v>
      </c>
      <c r="K20" s="458">
        <v>20</v>
      </c>
      <c r="L20" s="462">
        <v>1</v>
      </c>
      <c r="M20" s="463">
        <v>45757</v>
      </c>
      <c r="N20" s="463">
        <v>45754</v>
      </c>
      <c r="O20" s="464"/>
      <c r="P20" s="464"/>
      <c r="Q20" s="458"/>
      <c r="R20" s="472">
        <v>45749</v>
      </c>
      <c r="S20" s="472" t="s">
        <v>66</v>
      </c>
      <c r="T20" s="472" t="s">
        <v>66</v>
      </c>
      <c r="U20" s="472"/>
      <c r="V20" s="473" t="s">
        <v>88</v>
      </c>
      <c r="W20" s="473" t="s">
        <v>79</v>
      </c>
      <c r="X20" s="473"/>
      <c r="Y20" s="480"/>
      <c r="Z20" s="458"/>
      <c r="AA20" s="458" t="s">
        <v>68</v>
      </c>
      <c r="AB20" s="458" t="s">
        <v>68</v>
      </c>
      <c r="AC20" s="458"/>
      <c r="AD20" s="458" t="s">
        <v>69</v>
      </c>
      <c r="AE20" s="458"/>
      <c r="AF20" s="458"/>
      <c r="AG20" s="458"/>
      <c r="AH20" s="489"/>
      <c r="AI20" s="458"/>
      <c r="AJ20" s="458"/>
      <c r="AK20" s="458"/>
      <c r="AO20" s="495"/>
      <c r="AT20" s="495"/>
      <c r="AY20" s="498"/>
      <c r="BT20" s="495"/>
      <c r="BV20" s="495"/>
      <c r="CK20" s="425">
        <f t="shared" si="0"/>
        <v>0</v>
      </c>
      <c r="CL20" s="425">
        <f t="shared" si="1"/>
        <v>0</v>
      </c>
      <c r="CM20" s="425">
        <f t="shared" si="2"/>
        <v>0</v>
      </c>
      <c r="CN20" s="495"/>
      <c r="CO20" s="495"/>
      <c r="CP20" s="495"/>
      <c r="CT20" s="495"/>
      <c r="CU20" s="495"/>
      <c r="CV20" s="495"/>
      <c r="CW20" s="495"/>
      <c r="CX20" s="495"/>
    </row>
    <row r="21" s="425" customFormat="1" ht="31" customHeight="1" spans="1:102">
      <c r="A21" s="455">
        <v>45749</v>
      </c>
      <c r="B21" s="456"/>
      <c r="C21" s="457"/>
      <c r="D21" s="425" t="s">
        <v>86</v>
      </c>
      <c r="E21" s="457"/>
      <c r="G21" s="458" t="s">
        <v>3143</v>
      </c>
      <c r="H21" s="458" t="s">
        <v>3144</v>
      </c>
      <c r="I21" s="458" t="s">
        <v>3174</v>
      </c>
      <c r="J21" s="458">
        <v>0</v>
      </c>
      <c r="K21" s="458">
        <v>550</v>
      </c>
      <c r="L21" s="462">
        <v>2</v>
      </c>
      <c r="M21" s="463">
        <v>45757</v>
      </c>
      <c r="N21" s="463">
        <v>45754</v>
      </c>
      <c r="O21" s="464"/>
      <c r="P21" s="464"/>
      <c r="Q21" s="458"/>
      <c r="R21" s="472">
        <v>45749</v>
      </c>
      <c r="S21" s="472" t="s">
        <v>66</v>
      </c>
      <c r="T21" s="472" t="s">
        <v>66</v>
      </c>
      <c r="U21" s="472"/>
      <c r="V21" s="473" t="s">
        <v>88</v>
      </c>
      <c r="W21" s="473" t="s">
        <v>79</v>
      </c>
      <c r="X21" s="473"/>
      <c r="Y21" s="480"/>
      <c r="Z21" s="458"/>
      <c r="AA21" s="458" t="s">
        <v>68</v>
      </c>
      <c r="AB21" s="458" t="s">
        <v>68</v>
      </c>
      <c r="AC21" s="458"/>
      <c r="AD21" s="458" t="s">
        <v>69</v>
      </c>
      <c r="AE21" s="458"/>
      <c r="AF21" s="458"/>
      <c r="AG21" s="458"/>
      <c r="AH21" s="489"/>
      <c r="AI21" s="458"/>
      <c r="AJ21" s="458"/>
      <c r="AK21" s="458"/>
      <c r="AO21" s="495"/>
      <c r="AT21" s="495"/>
      <c r="AY21" s="498"/>
      <c r="BT21" s="495"/>
      <c r="BV21" s="495"/>
      <c r="CK21" s="425">
        <f t="shared" si="0"/>
        <v>0</v>
      </c>
      <c r="CL21" s="425">
        <f t="shared" si="1"/>
        <v>0</v>
      </c>
      <c r="CM21" s="425">
        <f t="shared" si="2"/>
        <v>0</v>
      </c>
      <c r="CN21" s="495"/>
      <c r="CO21" s="495"/>
      <c r="CP21" s="495"/>
      <c r="CT21" s="495"/>
      <c r="CU21" s="495"/>
      <c r="CV21" s="495"/>
      <c r="CW21" s="495"/>
      <c r="CX21" s="495"/>
    </row>
    <row r="22" s="425" customFormat="1" ht="31" customHeight="1" spans="1:102">
      <c r="A22" s="455">
        <v>45740</v>
      </c>
      <c r="B22" s="456"/>
      <c r="C22" s="457"/>
      <c r="D22" s="425" t="s">
        <v>3175</v>
      </c>
      <c r="E22" s="457"/>
      <c r="G22" s="458" t="s">
        <v>3138</v>
      </c>
      <c r="H22" s="458" t="s">
        <v>3139</v>
      </c>
      <c r="I22" s="458">
        <v>600</v>
      </c>
      <c r="J22" s="458">
        <v>0</v>
      </c>
      <c r="K22" s="458">
        <v>24</v>
      </c>
      <c r="L22" s="462">
        <f>I22/K22</f>
        <v>25</v>
      </c>
      <c r="M22" s="463">
        <v>45759</v>
      </c>
      <c r="N22" s="463">
        <v>45755</v>
      </c>
      <c r="O22" s="464"/>
      <c r="P22" s="464" t="s">
        <v>103</v>
      </c>
      <c r="Q22" s="458"/>
      <c r="R22" s="472">
        <v>45740</v>
      </c>
      <c r="S22" s="472" t="s">
        <v>66</v>
      </c>
      <c r="T22" s="472" t="s">
        <v>66</v>
      </c>
      <c r="U22" s="472"/>
      <c r="V22" s="473" t="s">
        <v>3176</v>
      </c>
      <c r="W22" s="473" t="s">
        <v>85</v>
      </c>
      <c r="X22" s="473"/>
      <c r="Y22" s="480"/>
      <c r="Z22" s="458"/>
      <c r="AA22" s="483" t="s">
        <v>3169</v>
      </c>
      <c r="AB22" s="458" t="s">
        <v>76</v>
      </c>
      <c r="AC22" s="458"/>
      <c r="AD22" s="458" t="s">
        <v>69</v>
      </c>
      <c r="AE22" s="458"/>
      <c r="AF22" s="458">
        <v>600</v>
      </c>
      <c r="AG22" s="458">
        <f>AF22-I22</f>
        <v>0</v>
      </c>
      <c r="AH22" s="489"/>
      <c r="AI22" s="458"/>
      <c r="AJ22" s="458"/>
      <c r="AK22" s="458">
        <f>I22</f>
        <v>600</v>
      </c>
      <c r="AM22" s="425">
        <f>I22</f>
        <v>600</v>
      </c>
      <c r="AO22" s="495"/>
      <c r="AR22" s="425">
        <f>I22</f>
        <v>600</v>
      </c>
      <c r="AT22" s="495"/>
      <c r="AY22" s="498">
        <f>I22/48</f>
        <v>12.5</v>
      </c>
      <c r="BT22" s="495"/>
      <c r="BV22" s="495"/>
      <c r="CK22" s="425">
        <f t="shared" si="0"/>
        <v>0</v>
      </c>
      <c r="CL22" s="425">
        <f t="shared" si="1"/>
        <v>0</v>
      </c>
      <c r="CM22" s="425">
        <f t="shared" si="2"/>
        <v>0</v>
      </c>
      <c r="CN22" s="495"/>
      <c r="CO22" s="495"/>
      <c r="CP22" s="495"/>
      <c r="CT22" s="495"/>
      <c r="CU22" s="495"/>
      <c r="CV22" s="495"/>
      <c r="CW22" s="495"/>
      <c r="CX22" s="495"/>
    </row>
    <row r="23" s="425" customFormat="1" ht="31" customHeight="1" spans="1:102">
      <c r="A23" s="455">
        <v>45740</v>
      </c>
      <c r="B23" s="456"/>
      <c r="C23" s="457"/>
      <c r="D23" s="425" t="s">
        <v>3175</v>
      </c>
      <c r="E23" s="457"/>
      <c r="G23" s="458" t="s">
        <v>3138</v>
      </c>
      <c r="H23" s="458" t="s">
        <v>3139</v>
      </c>
      <c r="I23" s="458" t="s">
        <v>3174</v>
      </c>
      <c r="J23" s="458">
        <v>0</v>
      </c>
      <c r="K23" s="458">
        <v>24</v>
      </c>
      <c r="L23" s="462">
        <v>1</v>
      </c>
      <c r="M23" s="463">
        <v>45759</v>
      </c>
      <c r="N23" s="463">
        <v>45755</v>
      </c>
      <c r="O23" s="464"/>
      <c r="P23" s="464"/>
      <c r="Q23" s="458"/>
      <c r="R23" s="472">
        <v>45740</v>
      </c>
      <c r="S23" s="472" t="s">
        <v>66</v>
      </c>
      <c r="T23" s="472" t="s">
        <v>66</v>
      </c>
      <c r="U23" s="472"/>
      <c r="V23" s="473" t="s">
        <v>3177</v>
      </c>
      <c r="W23" s="473" t="s">
        <v>85</v>
      </c>
      <c r="X23" s="473"/>
      <c r="Y23" s="480"/>
      <c r="Z23" s="458"/>
      <c r="AA23" s="458" t="s">
        <v>68</v>
      </c>
      <c r="AB23" s="458" t="s">
        <v>68</v>
      </c>
      <c r="AC23" s="458"/>
      <c r="AD23" s="458" t="s">
        <v>69</v>
      </c>
      <c r="AE23" s="458"/>
      <c r="AF23" s="458">
        <v>30</v>
      </c>
      <c r="AG23" s="458">
        <v>0</v>
      </c>
      <c r="AH23" s="489"/>
      <c r="AI23" s="458"/>
      <c r="AJ23" s="458"/>
      <c r="AK23" s="458"/>
      <c r="AO23" s="495"/>
      <c r="AT23" s="495"/>
      <c r="AY23" s="498"/>
      <c r="BT23" s="495"/>
      <c r="BV23" s="495"/>
      <c r="CK23" s="425">
        <f t="shared" si="0"/>
        <v>0</v>
      </c>
      <c r="CL23" s="425">
        <f t="shared" si="1"/>
        <v>0</v>
      </c>
      <c r="CM23" s="425">
        <f t="shared" si="2"/>
        <v>0</v>
      </c>
      <c r="CN23" s="495"/>
      <c r="CO23" s="495"/>
      <c r="CP23" s="495"/>
      <c r="CT23" s="495"/>
      <c r="CU23" s="495"/>
      <c r="CV23" s="495"/>
      <c r="CW23" s="495"/>
      <c r="CX23" s="495"/>
    </row>
    <row r="24" s="425" customFormat="1" ht="31" customHeight="1" spans="1:102">
      <c r="A24" s="455">
        <v>45740</v>
      </c>
      <c r="B24" s="456"/>
      <c r="C24" s="457"/>
      <c r="D24" s="425" t="s">
        <v>3175</v>
      </c>
      <c r="E24" s="457"/>
      <c r="G24" s="458" t="s">
        <v>3143</v>
      </c>
      <c r="H24" s="458" t="s">
        <v>3144</v>
      </c>
      <c r="I24" s="458">
        <v>400</v>
      </c>
      <c r="J24" s="458">
        <v>0</v>
      </c>
      <c r="K24" s="458">
        <v>24</v>
      </c>
      <c r="L24" s="462">
        <f>I24/K24</f>
        <v>16.6666666666667</v>
      </c>
      <c r="M24" s="463">
        <v>45759</v>
      </c>
      <c r="N24" s="463">
        <v>45755</v>
      </c>
      <c r="O24" s="464"/>
      <c r="P24" s="464"/>
      <c r="Q24" s="458"/>
      <c r="R24" s="472">
        <v>45740</v>
      </c>
      <c r="S24" s="472" t="s">
        <v>66</v>
      </c>
      <c r="T24" s="472" t="s">
        <v>66</v>
      </c>
      <c r="U24" s="472"/>
      <c r="V24" s="473" t="s">
        <v>3176</v>
      </c>
      <c r="W24" s="473" t="s">
        <v>85</v>
      </c>
      <c r="X24" s="473"/>
      <c r="Y24" s="480"/>
      <c r="Z24" s="458"/>
      <c r="AA24" s="482" t="s">
        <v>3143</v>
      </c>
      <c r="AB24" s="458" t="s">
        <v>76</v>
      </c>
      <c r="AC24" s="458"/>
      <c r="AD24" s="458" t="s">
        <v>69</v>
      </c>
      <c r="AE24" s="458"/>
      <c r="AF24" s="458">
        <v>400</v>
      </c>
      <c r="AG24" s="458">
        <f>AF24-I24</f>
        <v>0</v>
      </c>
      <c r="AH24" s="489"/>
      <c r="AI24" s="458"/>
      <c r="AJ24" s="458"/>
      <c r="AK24" s="458"/>
      <c r="AL24" s="426">
        <f>I24</f>
        <v>400</v>
      </c>
      <c r="AO24" s="495"/>
      <c r="AQ24" s="425">
        <f>I24</f>
        <v>400</v>
      </c>
      <c r="AS24" s="425">
        <f>I24</f>
        <v>400</v>
      </c>
      <c r="AT24" s="495"/>
      <c r="AY24" s="498">
        <f>I24/24</f>
        <v>16.6666666666667</v>
      </c>
      <c r="BT24" s="495"/>
      <c r="BV24" s="495"/>
      <c r="CK24" s="425">
        <f t="shared" si="0"/>
        <v>0</v>
      </c>
      <c r="CL24" s="425">
        <f t="shared" si="1"/>
        <v>0</v>
      </c>
      <c r="CM24" s="425">
        <f t="shared" si="2"/>
        <v>0</v>
      </c>
      <c r="CN24" s="495"/>
      <c r="CO24" s="495"/>
      <c r="CP24" s="495"/>
      <c r="CT24" s="495"/>
      <c r="CU24" s="495"/>
      <c r="CV24" s="495"/>
      <c r="CW24" s="495"/>
      <c r="CX24" s="495"/>
    </row>
    <row r="25" s="425" customFormat="1" ht="31" customHeight="1" spans="1:102">
      <c r="A25" s="455">
        <v>45740</v>
      </c>
      <c r="B25" s="456"/>
      <c r="C25" s="457"/>
      <c r="D25" s="425" t="s">
        <v>3175</v>
      </c>
      <c r="E25" s="457"/>
      <c r="G25" s="458" t="s">
        <v>3143</v>
      </c>
      <c r="H25" s="458" t="s">
        <v>3144</v>
      </c>
      <c r="I25" s="458" t="s">
        <v>3174</v>
      </c>
      <c r="J25" s="458">
        <v>0</v>
      </c>
      <c r="K25" s="458">
        <v>24</v>
      </c>
      <c r="L25" s="462">
        <v>2</v>
      </c>
      <c r="M25" s="463">
        <v>45759</v>
      </c>
      <c r="N25" s="463">
        <v>45755</v>
      </c>
      <c r="O25" s="464"/>
      <c r="P25" s="464"/>
      <c r="Q25" s="458"/>
      <c r="R25" s="472">
        <v>45740</v>
      </c>
      <c r="S25" s="472" t="s">
        <v>66</v>
      </c>
      <c r="T25" s="472" t="s">
        <v>66</v>
      </c>
      <c r="U25" s="472"/>
      <c r="V25" s="473" t="s">
        <v>3177</v>
      </c>
      <c r="W25" s="473" t="s">
        <v>85</v>
      </c>
      <c r="X25" s="473"/>
      <c r="Y25" s="480"/>
      <c r="Z25" s="458"/>
      <c r="AA25" s="458" t="s">
        <v>68</v>
      </c>
      <c r="AB25" s="458" t="s">
        <v>68</v>
      </c>
      <c r="AC25" s="458"/>
      <c r="AD25" s="458" t="s">
        <v>69</v>
      </c>
      <c r="AE25" s="458"/>
      <c r="AF25" s="458">
        <v>30</v>
      </c>
      <c r="AG25" s="458">
        <v>0</v>
      </c>
      <c r="AH25" s="489"/>
      <c r="AI25" s="458"/>
      <c r="AJ25" s="458"/>
      <c r="AK25" s="458"/>
      <c r="AO25" s="495"/>
      <c r="AT25" s="495"/>
      <c r="AY25" s="498"/>
      <c r="BT25" s="495"/>
      <c r="BV25" s="495"/>
      <c r="CK25" s="425">
        <f t="shared" si="0"/>
        <v>0</v>
      </c>
      <c r="CL25" s="425">
        <f t="shared" si="1"/>
        <v>0</v>
      </c>
      <c r="CM25" s="425">
        <f t="shared" si="2"/>
        <v>0</v>
      </c>
      <c r="CN25" s="495"/>
      <c r="CO25" s="495"/>
      <c r="CP25" s="495"/>
      <c r="CT25" s="495"/>
      <c r="CU25" s="495"/>
      <c r="CV25" s="495"/>
      <c r="CW25" s="495"/>
      <c r="CX25" s="495"/>
    </row>
    <row r="26" s="425" customFormat="1" ht="31" customHeight="1" spans="1:102">
      <c r="A26" s="455">
        <v>45726</v>
      </c>
      <c r="B26" s="456" t="s">
        <v>89</v>
      </c>
      <c r="C26" s="457" t="s">
        <v>90</v>
      </c>
      <c r="D26" s="425">
        <v>4500159672</v>
      </c>
      <c r="E26" s="895" t="s">
        <v>3178</v>
      </c>
      <c r="F26" s="425" t="s">
        <v>3179</v>
      </c>
      <c r="G26" s="458" t="s">
        <v>3180</v>
      </c>
      <c r="H26" s="458" t="s">
        <v>3181</v>
      </c>
      <c r="I26" s="458">
        <v>3136</v>
      </c>
      <c r="J26" s="458">
        <v>0</v>
      </c>
      <c r="K26" s="458">
        <v>16</v>
      </c>
      <c r="L26" s="462">
        <f>I26/K26</f>
        <v>196</v>
      </c>
      <c r="M26" s="463">
        <v>45770</v>
      </c>
      <c r="N26" s="463">
        <v>45766</v>
      </c>
      <c r="O26" s="464" t="s">
        <v>95</v>
      </c>
      <c r="P26" s="464"/>
      <c r="Q26" s="458"/>
      <c r="R26" s="472">
        <v>45727</v>
      </c>
      <c r="S26" s="472" t="s">
        <v>66</v>
      </c>
      <c r="T26" s="472" t="s">
        <v>133</v>
      </c>
      <c r="U26" s="472"/>
      <c r="V26" s="473" t="s">
        <v>3182</v>
      </c>
      <c r="W26" s="473" t="s">
        <v>98</v>
      </c>
      <c r="X26" s="473">
        <v>1.68</v>
      </c>
      <c r="Y26" s="480">
        <f>X26*I26</f>
        <v>5268.48</v>
      </c>
      <c r="Z26" s="458"/>
      <c r="AA26" s="458" t="s">
        <v>3180</v>
      </c>
      <c r="AB26" s="458" t="s">
        <v>76</v>
      </c>
      <c r="AC26" s="458"/>
      <c r="AD26" s="458" t="s">
        <v>69</v>
      </c>
      <c r="AE26" s="458"/>
      <c r="AF26" s="458">
        <f>504+2632</f>
        <v>3136</v>
      </c>
      <c r="AG26" s="458">
        <f t="shared" ref="AG26:AG89" si="3">AF26-I26</f>
        <v>0</v>
      </c>
      <c r="AH26" s="489"/>
      <c r="AI26" s="458"/>
      <c r="AJ26" s="458"/>
      <c r="AK26" s="458">
        <f>I26</f>
        <v>3136</v>
      </c>
      <c r="AM26" s="425">
        <f>I26</f>
        <v>3136</v>
      </c>
      <c r="AO26" s="495"/>
      <c r="AR26" s="425">
        <f>I26</f>
        <v>3136</v>
      </c>
      <c r="AT26" s="495"/>
      <c r="AY26" s="498">
        <f>I26/48</f>
        <v>65.3333333333333</v>
      </c>
      <c r="BM26" s="425">
        <f>I26/16</f>
        <v>196</v>
      </c>
      <c r="BT26" s="495"/>
      <c r="BV26" s="495"/>
      <c r="CK26" s="425">
        <f t="shared" si="0"/>
        <v>196</v>
      </c>
      <c r="CL26" s="425">
        <f t="shared" si="1"/>
        <v>0</v>
      </c>
      <c r="CM26" s="425">
        <f t="shared" si="2"/>
        <v>0</v>
      </c>
      <c r="CN26" s="495"/>
      <c r="CO26" s="495"/>
      <c r="CP26" s="495"/>
      <c r="CT26" s="495"/>
      <c r="CU26" s="495"/>
      <c r="CV26" s="495"/>
      <c r="CW26" s="495"/>
      <c r="CX26" s="495"/>
    </row>
    <row r="27" s="425" customFormat="1" ht="31" customHeight="1" spans="1:102">
      <c r="A27" s="455">
        <v>45761</v>
      </c>
      <c r="B27" s="456"/>
      <c r="C27" s="457"/>
      <c r="D27" s="425" t="s">
        <v>99</v>
      </c>
      <c r="E27" s="457"/>
      <c r="G27" s="458" t="s">
        <v>3138</v>
      </c>
      <c r="H27" s="458" t="s">
        <v>3139</v>
      </c>
      <c r="I27" s="458">
        <v>816</v>
      </c>
      <c r="J27" s="458">
        <v>0</v>
      </c>
      <c r="K27" s="458">
        <v>24</v>
      </c>
      <c r="L27" s="462">
        <f>I27/K27</f>
        <v>34</v>
      </c>
      <c r="M27" s="463">
        <v>45771</v>
      </c>
      <c r="N27" s="463">
        <v>45768</v>
      </c>
      <c r="O27" s="464"/>
      <c r="P27" s="464" t="s">
        <v>103</v>
      </c>
      <c r="Q27" s="458"/>
      <c r="R27" s="472">
        <v>45761</v>
      </c>
      <c r="S27" s="472" t="s">
        <v>66</v>
      </c>
      <c r="T27" s="472" t="s">
        <v>66</v>
      </c>
      <c r="U27" s="472"/>
      <c r="V27" s="473" t="s">
        <v>3183</v>
      </c>
      <c r="W27" s="473" t="s">
        <v>85</v>
      </c>
      <c r="X27" s="473"/>
      <c r="Y27" s="480"/>
      <c r="Z27" s="458"/>
      <c r="AA27" s="483" t="s">
        <v>3169</v>
      </c>
      <c r="AB27" s="458" t="s">
        <v>76</v>
      </c>
      <c r="AC27" s="458"/>
      <c r="AD27" s="458" t="s">
        <v>69</v>
      </c>
      <c r="AE27" s="458"/>
      <c r="AF27" s="458">
        <v>816</v>
      </c>
      <c r="AG27" s="458">
        <f t="shared" si="3"/>
        <v>0</v>
      </c>
      <c r="AH27" s="489"/>
      <c r="AI27" s="458"/>
      <c r="AJ27" s="458"/>
      <c r="AK27" s="458">
        <f>I27</f>
        <v>816</v>
      </c>
      <c r="AM27" s="425">
        <f>I27</f>
        <v>816</v>
      </c>
      <c r="AO27" s="495"/>
      <c r="AR27" s="425">
        <f>I27</f>
        <v>816</v>
      </c>
      <c r="AT27" s="495"/>
      <c r="AY27" s="498">
        <f>I27/48</f>
        <v>17</v>
      </c>
      <c r="BT27" s="495"/>
      <c r="BV27" s="495"/>
      <c r="CK27" s="425">
        <f t="shared" si="0"/>
        <v>0</v>
      </c>
      <c r="CL27" s="425">
        <f t="shared" si="1"/>
        <v>0</v>
      </c>
      <c r="CM27" s="425">
        <f t="shared" si="2"/>
        <v>0</v>
      </c>
      <c r="CN27" s="495"/>
      <c r="CO27" s="495"/>
      <c r="CP27" s="495"/>
      <c r="CT27" s="495"/>
      <c r="CU27" s="495"/>
      <c r="CV27" s="495"/>
      <c r="CW27" s="495"/>
      <c r="CX27" s="495"/>
    </row>
    <row r="28" s="425" customFormat="1" ht="31" customHeight="1" spans="1:102">
      <c r="A28" s="455">
        <v>45761</v>
      </c>
      <c r="B28" s="456"/>
      <c r="C28" s="457"/>
      <c r="D28" s="425" t="s">
        <v>99</v>
      </c>
      <c r="E28" s="457"/>
      <c r="G28" s="458" t="s">
        <v>3143</v>
      </c>
      <c r="H28" s="458" t="s">
        <v>3144</v>
      </c>
      <c r="I28" s="458">
        <v>504</v>
      </c>
      <c r="J28" s="458">
        <v>0</v>
      </c>
      <c r="K28" s="458">
        <v>24</v>
      </c>
      <c r="L28" s="462">
        <v>2</v>
      </c>
      <c r="M28" s="463">
        <v>45771</v>
      </c>
      <c r="N28" s="463">
        <v>45768</v>
      </c>
      <c r="O28" s="464"/>
      <c r="P28" s="464" t="s">
        <v>103</v>
      </c>
      <c r="Q28" s="458"/>
      <c r="R28" s="472">
        <v>45761</v>
      </c>
      <c r="S28" s="472" t="s">
        <v>66</v>
      </c>
      <c r="T28" s="472" t="s">
        <v>66</v>
      </c>
      <c r="U28" s="472"/>
      <c r="V28" s="473" t="s">
        <v>3183</v>
      </c>
      <c r="W28" s="473" t="s">
        <v>85</v>
      </c>
      <c r="X28" s="473"/>
      <c r="Y28" s="480"/>
      <c r="Z28" s="458"/>
      <c r="AA28" s="458" t="s">
        <v>68</v>
      </c>
      <c r="AB28" s="458" t="s">
        <v>68</v>
      </c>
      <c r="AC28" s="458"/>
      <c r="AD28" s="458" t="s">
        <v>69</v>
      </c>
      <c r="AE28" s="458"/>
      <c r="AF28" s="458">
        <v>504</v>
      </c>
      <c r="AG28" s="458">
        <f t="shared" si="3"/>
        <v>0</v>
      </c>
      <c r="AH28" s="489"/>
      <c r="AI28" s="458"/>
      <c r="AJ28" s="458"/>
      <c r="AK28" s="458"/>
      <c r="AL28" s="426">
        <f>I28</f>
        <v>504</v>
      </c>
      <c r="AM28" s="425">
        <f>I28</f>
        <v>504</v>
      </c>
      <c r="AO28" s="495"/>
      <c r="AS28" s="425">
        <f>I28</f>
        <v>504</v>
      </c>
      <c r="AT28" s="495"/>
      <c r="AY28" s="498">
        <f>I28/24</f>
        <v>21</v>
      </c>
      <c r="BT28" s="495"/>
      <c r="BV28" s="495"/>
      <c r="CK28" s="425">
        <f t="shared" si="0"/>
        <v>0</v>
      </c>
      <c r="CL28" s="425">
        <f t="shared" si="1"/>
        <v>0</v>
      </c>
      <c r="CM28" s="425">
        <f t="shared" si="2"/>
        <v>0</v>
      </c>
      <c r="CN28" s="495"/>
      <c r="CO28" s="495"/>
      <c r="CP28" s="495"/>
      <c r="CT28" s="495"/>
      <c r="CU28" s="495"/>
      <c r="CV28" s="495"/>
      <c r="CW28" s="495"/>
      <c r="CX28" s="495"/>
    </row>
    <row r="29" s="425" customFormat="1" ht="31" customHeight="1" spans="1:102">
      <c r="A29" s="455">
        <v>45670</v>
      </c>
      <c r="B29" s="456" t="s">
        <v>230</v>
      </c>
      <c r="C29" s="457" t="s">
        <v>231</v>
      </c>
      <c r="D29" s="425">
        <v>4500155601</v>
      </c>
      <c r="E29" s="457" t="s">
        <v>3184</v>
      </c>
      <c r="F29" s="425" t="s">
        <v>3185</v>
      </c>
      <c r="G29" s="458" t="s">
        <v>3165</v>
      </c>
      <c r="H29" s="458" t="s">
        <v>3166</v>
      </c>
      <c r="I29" s="458">
        <v>9000</v>
      </c>
      <c r="J29" s="458">
        <v>0</v>
      </c>
      <c r="K29" s="458">
        <v>25</v>
      </c>
      <c r="L29" s="462">
        <f t="shared" ref="L29:L92" si="4">I29/K29</f>
        <v>360</v>
      </c>
      <c r="M29" s="463">
        <v>45772</v>
      </c>
      <c r="N29" s="463">
        <v>45768</v>
      </c>
      <c r="O29" s="464"/>
      <c r="P29" s="464" t="s">
        <v>103</v>
      </c>
      <c r="Q29" s="458"/>
      <c r="R29" s="472">
        <v>45670</v>
      </c>
      <c r="S29" s="472" t="s">
        <v>66</v>
      </c>
      <c r="T29" s="472" t="s">
        <v>3186</v>
      </c>
      <c r="U29" s="472"/>
      <c r="V29" s="473" t="s">
        <v>3187</v>
      </c>
      <c r="W29" s="473" t="s">
        <v>235</v>
      </c>
      <c r="X29" s="473">
        <v>1.24</v>
      </c>
      <c r="Y29" s="480">
        <f>X29*I29</f>
        <v>11160</v>
      </c>
      <c r="Z29" s="458"/>
      <c r="AA29" s="458" t="s">
        <v>3188</v>
      </c>
      <c r="AB29" s="458" t="s">
        <v>76</v>
      </c>
      <c r="AC29" s="458"/>
      <c r="AD29" s="458" t="s">
        <v>69</v>
      </c>
      <c r="AE29" s="458"/>
      <c r="AF29" s="458">
        <v>9000</v>
      </c>
      <c r="AG29" s="458">
        <f t="shared" si="3"/>
        <v>0</v>
      </c>
      <c r="AH29" s="489"/>
      <c r="AI29" s="458"/>
      <c r="AJ29" s="458"/>
      <c r="AK29" s="458"/>
      <c r="AL29" s="426">
        <f>I29</f>
        <v>9000</v>
      </c>
      <c r="AO29" s="495"/>
      <c r="AS29" s="425">
        <f>I29</f>
        <v>9000</v>
      </c>
      <c r="AT29" s="495"/>
      <c r="AY29" s="498">
        <f>I29/48</f>
        <v>187.5</v>
      </c>
      <c r="BB29" s="425">
        <f>I29</f>
        <v>9000</v>
      </c>
      <c r="BL29" s="425">
        <f>I29/25</f>
        <v>360</v>
      </c>
      <c r="BT29" s="495"/>
      <c r="BV29" s="495"/>
      <c r="CK29" s="425">
        <f t="shared" si="0"/>
        <v>360</v>
      </c>
      <c r="CL29" s="425">
        <f t="shared" si="1"/>
        <v>0</v>
      </c>
      <c r="CM29" s="425">
        <f t="shared" si="2"/>
        <v>0</v>
      </c>
      <c r="CN29" s="495"/>
      <c r="CO29" s="495"/>
      <c r="CP29" s="495"/>
      <c r="CT29" s="495"/>
      <c r="CU29" s="495"/>
      <c r="CV29" s="495"/>
      <c r="CW29" s="495"/>
      <c r="CX29" s="495"/>
    </row>
    <row r="30" s="425" customFormat="1" ht="31" customHeight="1" spans="1:102">
      <c r="A30" s="455">
        <v>45670</v>
      </c>
      <c r="B30" s="456" t="s">
        <v>230</v>
      </c>
      <c r="C30" s="457" t="s">
        <v>231</v>
      </c>
      <c r="D30" s="425">
        <v>4500155601</v>
      </c>
      <c r="E30" s="457" t="s">
        <v>3189</v>
      </c>
      <c r="F30" s="425" t="s">
        <v>3190</v>
      </c>
      <c r="G30" s="458" t="s">
        <v>3165</v>
      </c>
      <c r="H30" s="458" t="s">
        <v>3166</v>
      </c>
      <c r="I30" s="458">
        <v>3000</v>
      </c>
      <c r="J30" s="458">
        <v>0</v>
      </c>
      <c r="K30" s="458">
        <v>25</v>
      </c>
      <c r="L30" s="462">
        <f t="shared" si="4"/>
        <v>120</v>
      </c>
      <c r="M30" s="463">
        <v>45772</v>
      </c>
      <c r="N30" s="463">
        <v>45768</v>
      </c>
      <c r="O30" s="464"/>
      <c r="P30" s="464" t="s">
        <v>103</v>
      </c>
      <c r="Q30" s="458" t="s">
        <v>3191</v>
      </c>
      <c r="R30" s="472">
        <v>45670</v>
      </c>
      <c r="S30" s="472" t="s">
        <v>66</v>
      </c>
      <c r="T30" s="472" t="s">
        <v>3186</v>
      </c>
      <c r="U30" s="472"/>
      <c r="V30" s="473" t="s">
        <v>3187</v>
      </c>
      <c r="W30" s="473" t="s">
        <v>235</v>
      </c>
      <c r="X30" s="473">
        <v>1.24</v>
      </c>
      <c r="Y30" s="480">
        <f>X30*I30</f>
        <v>3720</v>
      </c>
      <c r="Z30" s="458"/>
      <c r="AA30" s="458" t="s">
        <v>3188</v>
      </c>
      <c r="AB30" s="458" t="s">
        <v>76</v>
      </c>
      <c r="AC30" s="458"/>
      <c r="AD30" s="458" t="s">
        <v>69</v>
      </c>
      <c r="AE30" s="458"/>
      <c r="AF30" s="458">
        <v>3000</v>
      </c>
      <c r="AG30" s="458">
        <f t="shared" si="3"/>
        <v>0</v>
      </c>
      <c r="AH30" s="489"/>
      <c r="AI30" s="458"/>
      <c r="AJ30" s="458"/>
      <c r="AK30" s="458"/>
      <c r="AL30" s="426">
        <f>I30</f>
        <v>3000</v>
      </c>
      <c r="AO30" s="495"/>
      <c r="AS30" s="425">
        <f>I30</f>
        <v>3000</v>
      </c>
      <c r="AT30" s="495"/>
      <c r="AY30" s="498">
        <f>I30/48</f>
        <v>62.5</v>
      </c>
      <c r="BB30" s="425">
        <f>I30</f>
        <v>3000</v>
      </c>
      <c r="BL30" s="425">
        <f>I30/25</f>
        <v>120</v>
      </c>
      <c r="BT30" s="495"/>
      <c r="BV30" s="495"/>
      <c r="CK30" s="425">
        <f t="shared" si="0"/>
        <v>120</v>
      </c>
      <c r="CL30" s="425">
        <f t="shared" si="1"/>
        <v>0</v>
      </c>
      <c r="CM30" s="425">
        <f t="shared" si="2"/>
        <v>0</v>
      </c>
      <c r="CN30" s="495"/>
      <c r="CO30" s="495"/>
      <c r="CP30" s="495"/>
      <c r="CT30" s="495"/>
      <c r="CU30" s="495"/>
      <c r="CV30" s="495"/>
      <c r="CW30" s="495"/>
      <c r="CX30" s="495"/>
    </row>
    <row r="31" s="425" customFormat="1" ht="31" customHeight="1" spans="1:102">
      <c r="A31" s="455">
        <v>45728</v>
      </c>
      <c r="B31" s="456" t="s">
        <v>70</v>
      </c>
      <c r="C31" s="457" t="s">
        <v>71</v>
      </c>
      <c r="D31" s="425">
        <v>4500159882</v>
      </c>
      <c r="E31" s="457"/>
      <c r="F31" s="425" t="s">
        <v>3192</v>
      </c>
      <c r="G31" s="458" t="s">
        <v>3193</v>
      </c>
      <c r="H31" s="458" t="s">
        <v>3194</v>
      </c>
      <c r="I31" s="458">
        <v>2280</v>
      </c>
      <c r="J31" s="458">
        <v>0</v>
      </c>
      <c r="K31" s="458">
        <v>60</v>
      </c>
      <c r="L31" s="462">
        <f t="shared" si="4"/>
        <v>38</v>
      </c>
      <c r="M31" s="463">
        <v>45772</v>
      </c>
      <c r="N31" s="463">
        <v>45768</v>
      </c>
      <c r="O31" s="464"/>
      <c r="P31" s="464" t="s">
        <v>103</v>
      </c>
      <c r="Q31" s="458" t="s">
        <v>104</v>
      </c>
      <c r="R31" s="472">
        <v>45735</v>
      </c>
      <c r="S31" s="472" t="s">
        <v>66</v>
      </c>
      <c r="T31" s="472">
        <v>45735</v>
      </c>
      <c r="U31" s="472"/>
      <c r="V31" s="473" t="s">
        <v>3195</v>
      </c>
      <c r="W31" s="473" t="s">
        <v>75</v>
      </c>
      <c r="X31" s="473">
        <v>63.7</v>
      </c>
      <c r="Y31" s="480">
        <f>X31*L31</f>
        <v>2420.6</v>
      </c>
      <c r="Z31" s="458"/>
      <c r="AA31" s="458" t="s">
        <v>3193</v>
      </c>
      <c r="AB31" s="458" t="s">
        <v>76</v>
      </c>
      <c r="AC31" s="458"/>
      <c r="AD31" s="458" t="s">
        <v>69</v>
      </c>
      <c r="AE31" s="458"/>
      <c r="AF31" s="458">
        <v>2280</v>
      </c>
      <c r="AG31" s="458">
        <f t="shared" si="3"/>
        <v>0</v>
      </c>
      <c r="AH31" s="489"/>
      <c r="AI31" s="458"/>
      <c r="AJ31" s="458"/>
      <c r="AK31" s="458"/>
      <c r="AL31" s="426">
        <f>I31</f>
        <v>2280</v>
      </c>
      <c r="AO31" s="495"/>
      <c r="AQ31" s="425">
        <f>I31</f>
        <v>2280</v>
      </c>
      <c r="AS31" s="425">
        <f>I31</f>
        <v>2280</v>
      </c>
      <c r="AT31" s="495"/>
      <c r="AY31" s="498">
        <f>I31/24</f>
        <v>95</v>
      </c>
      <c r="BT31" s="495"/>
      <c r="BV31" s="495"/>
      <c r="CC31" s="425">
        <f>I31/60</f>
        <v>38</v>
      </c>
      <c r="CK31" s="425">
        <f t="shared" si="0"/>
        <v>0</v>
      </c>
      <c r="CL31" s="425">
        <f t="shared" si="1"/>
        <v>38</v>
      </c>
      <c r="CM31" s="425">
        <f t="shared" si="2"/>
        <v>0</v>
      </c>
      <c r="CN31" s="495"/>
      <c r="CO31" s="495"/>
      <c r="CP31" s="495"/>
      <c r="CT31" s="495"/>
      <c r="CU31" s="495"/>
      <c r="CV31" s="495"/>
      <c r="CW31" s="495"/>
      <c r="CX31" s="495"/>
    </row>
    <row r="32" s="425" customFormat="1" ht="31" customHeight="1" spans="1:102">
      <c r="A32" s="455">
        <v>45728</v>
      </c>
      <c r="B32" s="456" t="s">
        <v>70</v>
      </c>
      <c r="C32" s="457" t="s">
        <v>71</v>
      </c>
      <c r="D32" s="425">
        <v>4500159886</v>
      </c>
      <c r="E32" s="457"/>
      <c r="F32" s="425" t="s">
        <v>3196</v>
      </c>
      <c r="G32" s="458" t="s">
        <v>3193</v>
      </c>
      <c r="H32" s="458" t="s">
        <v>3194</v>
      </c>
      <c r="I32" s="458">
        <v>720</v>
      </c>
      <c r="J32" s="458">
        <v>0</v>
      </c>
      <c r="K32" s="458">
        <v>60</v>
      </c>
      <c r="L32" s="462">
        <f t="shared" si="4"/>
        <v>12</v>
      </c>
      <c r="M32" s="463">
        <v>45772</v>
      </c>
      <c r="N32" s="463">
        <v>45768</v>
      </c>
      <c r="O32" s="464"/>
      <c r="P32" s="464" t="s">
        <v>103</v>
      </c>
      <c r="Q32" s="458"/>
      <c r="R32" s="472">
        <v>45735</v>
      </c>
      <c r="S32" s="472" t="s">
        <v>66</v>
      </c>
      <c r="T32" s="472">
        <v>45735</v>
      </c>
      <c r="U32" s="472"/>
      <c r="V32" s="473" t="s">
        <v>3195</v>
      </c>
      <c r="W32" s="473" t="s">
        <v>75</v>
      </c>
      <c r="X32" s="473">
        <v>63.7</v>
      </c>
      <c r="Y32" s="480">
        <f>X32*L32</f>
        <v>764.4</v>
      </c>
      <c r="Z32" s="458"/>
      <c r="AA32" s="458" t="s">
        <v>3193</v>
      </c>
      <c r="AB32" s="458" t="s">
        <v>76</v>
      </c>
      <c r="AC32" s="458"/>
      <c r="AD32" s="458" t="s">
        <v>69</v>
      </c>
      <c r="AE32" s="458"/>
      <c r="AF32" s="458">
        <v>720</v>
      </c>
      <c r="AG32" s="458">
        <f t="shared" si="3"/>
        <v>0</v>
      </c>
      <c r="AH32" s="489"/>
      <c r="AI32" s="458"/>
      <c r="AJ32" s="458"/>
      <c r="AK32" s="458"/>
      <c r="AL32" s="426">
        <f>I32</f>
        <v>720</v>
      </c>
      <c r="AO32" s="495"/>
      <c r="AQ32" s="425">
        <f>I32</f>
        <v>720</v>
      </c>
      <c r="AS32" s="425">
        <f>I32</f>
        <v>720</v>
      </c>
      <c r="AT32" s="495"/>
      <c r="AY32" s="498">
        <f>I32/24</f>
        <v>30</v>
      </c>
      <c r="BT32" s="495"/>
      <c r="BV32" s="495"/>
      <c r="CC32" s="425">
        <f>I32/60</f>
        <v>12</v>
      </c>
      <c r="CK32" s="425">
        <f t="shared" si="0"/>
        <v>0</v>
      </c>
      <c r="CL32" s="425">
        <f t="shared" si="1"/>
        <v>12</v>
      </c>
      <c r="CM32" s="425">
        <f t="shared" si="2"/>
        <v>0</v>
      </c>
      <c r="CN32" s="495"/>
      <c r="CO32" s="495"/>
      <c r="CP32" s="495"/>
      <c r="CT32" s="495"/>
      <c r="CU32" s="495"/>
      <c r="CV32" s="495"/>
      <c r="CW32" s="495"/>
      <c r="CX32" s="495"/>
    </row>
    <row r="33" s="425" customFormat="1" ht="31" customHeight="1" spans="1:102">
      <c r="A33" s="455">
        <v>45733</v>
      </c>
      <c r="B33" s="456" t="s">
        <v>152</v>
      </c>
      <c r="C33" s="457" t="s">
        <v>153</v>
      </c>
      <c r="D33" s="425">
        <v>4500160504</v>
      </c>
      <c r="E33" s="457">
        <v>9900923469</v>
      </c>
      <c r="F33" s="425" t="s">
        <v>3197</v>
      </c>
      <c r="G33" s="458" t="s">
        <v>3198</v>
      </c>
      <c r="H33" s="458" t="s">
        <v>3199</v>
      </c>
      <c r="I33" s="458">
        <v>10075</v>
      </c>
      <c r="J33" s="458">
        <v>0</v>
      </c>
      <c r="K33" s="458">
        <v>25</v>
      </c>
      <c r="L33" s="462">
        <f t="shared" si="4"/>
        <v>403</v>
      </c>
      <c r="M33" s="463">
        <v>45775</v>
      </c>
      <c r="N33" s="463">
        <v>45771</v>
      </c>
      <c r="O33" s="464" t="s">
        <v>3200</v>
      </c>
      <c r="P33" s="464" t="s">
        <v>103</v>
      </c>
      <c r="Q33" s="458"/>
      <c r="R33" s="472">
        <v>45748</v>
      </c>
      <c r="S33" s="472" t="s">
        <v>66</v>
      </c>
      <c r="T33" s="472">
        <v>45734</v>
      </c>
      <c r="U33" s="472"/>
      <c r="V33" s="473" t="s">
        <v>3201</v>
      </c>
      <c r="W33" s="473" t="s">
        <v>158</v>
      </c>
      <c r="X33" s="473">
        <v>0.95</v>
      </c>
      <c r="Y33" s="480">
        <f t="shared" ref="Y33:Y38" si="5">X33*I33</f>
        <v>9571.25</v>
      </c>
      <c r="Z33" s="458"/>
      <c r="AA33" s="458" t="s">
        <v>3202</v>
      </c>
      <c r="AB33" s="458" t="s">
        <v>76</v>
      </c>
      <c r="AC33" s="458"/>
      <c r="AD33" s="458" t="s">
        <v>69</v>
      </c>
      <c r="AE33" s="458"/>
      <c r="AF33" s="458">
        <v>10075</v>
      </c>
      <c r="AG33" s="458">
        <f t="shared" si="3"/>
        <v>0</v>
      </c>
      <c r="AH33" s="489"/>
      <c r="AI33" s="458"/>
      <c r="AJ33" s="458"/>
      <c r="AK33" s="458">
        <f>I33</f>
        <v>10075</v>
      </c>
      <c r="AO33" s="495"/>
      <c r="AP33" s="425">
        <f>I33</f>
        <v>10075</v>
      </c>
      <c r="AR33" s="425">
        <f>I33</f>
        <v>10075</v>
      </c>
      <c r="AT33" s="495"/>
      <c r="AY33" s="498">
        <f>I33/24</f>
        <v>419.791666666667</v>
      </c>
      <c r="BK33" s="425">
        <f>I33/25</f>
        <v>403</v>
      </c>
      <c r="BT33" s="495"/>
      <c r="BV33" s="495"/>
      <c r="CK33" s="425">
        <f t="shared" si="0"/>
        <v>403</v>
      </c>
      <c r="CL33" s="425">
        <f t="shared" si="1"/>
        <v>0</v>
      </c>
      <c r="CM33" s="425">
        <f t="shared" si="2"/>
        <v>0</v>
      </c>
      <c r="CN33" s="495"/>
      <c r="CO33" s="495"/>
      <c r="CP33" s="495"/>
      <c r="CT33" s="495"/>
      <c r="CU33" s="495"/>
      <c r="CV33" s="495"/>
      <c r="CW33" s="495"/>
      <c r="CX33" s="495"/>
    </row>
    <row r="34" s="425" customFormat="1" ht="31" customHeight="1" spans="1:102">
      <c r="A34" s="455">
        <v>45733</v>
      </c>
      <c r="B34" s="456" t="s">
        <v>3203</v>
      </c>
      <c r="C34" s="457" t="s">
        <v>71</v>
      </c>
      <c r="D34" s="425">
        <v>4500160427</v>
      </c>
      <c r="E34" s="457" t="s">
        <v>3204</v>
      </c>
      <c r="F34" s="425" t="s">
        <v>3205</v>
      </c>
      <c r="G34" s="458" t="s">
        <v>3206</v>
      </c>
      <c r="H34" s="458" t="s">
        <v>3207</v>
      </c>
      <c r="I34" s="458">
        <v>1300</v>
      </c>
      <c r="J34" s="458">
        <v>0</v>
      </c>
      <c r="K34" s="458">
        <v>13</v>
      </c>
      <c r="L34" s="462">
        <f t="shared" si="4"/>
        <v>100</v>
      </c>
      <c r="M34" s="463">
        <v>45775</v>
      </c>
      <c r="N34" s="463">
        <v>45771</v>
      </c>
      <c r="O34" s="464"/>
      <c r="P34" s="464" t="s">
        <v>103</v>
      </c>
      <c r="Q34" s="458"/>
      <c r="R34" s="472">
        <v>45740</v>
      </c>
      <c r="S34" s="472" t="s">
        <v>66</v>
      </c>
      <c r="T34" s="472">
        <v>45755</v>
      </c>
      <c r="U34" s="472"/>
      <c r="V34" s="473" t="s">
        <v>3208</v>
      </c>
      <c r="W34" s="473" t="s">
        <v>3209</v>
      </c>
      <c r="X34" s="473">
        <v>0.92</v>
      </c>
      <c r="Y34" s="480">
        <f t="shared" si="5"/>
        <v>1196</v>
      </c>
      <c r="Z34" s="458"/>
      <c r="AA34" s="458" t="s">
        <v>3206</v>
      </c>
      <c r="AB34" s="458" t="s">
        <v>76</v>
      </c>
      <c r="AC34" s="458"/>
      <c r="AD34" s="458" t="s">
        <v>69</v>
      </c>
      <c r="AE34" s="458"/>
      <c r="AF34" s="458">
        <v>1300</v>
      </c>
      <c r="AG34" s="458">
        <f t="shared" si="3"/>
        <v>0</v>
      </c>
      <c r="AH34" s="489"/>
      <c r="AI34" s="458"/>
      <c r="AJ34" s="458"/>
      <c r="AK34" s="458"/>
      <c r="AL34" s="426">
        <f t="shared" ref="AL34:AL42" si="6">I34</f>
        <v>1300</v>
      </c>
      <c r="AO34" s="495"/>
      <c r="AQ34" s="425">
        <f t="shared" ref="AQ34:AQ42" si="7">I34</f>
        <v>1300</v>
      </c>
      <c r="AS34" s="425">
        <f t="shared" ref="AS34:AS42" si="8">I34</f>
        <v>1300</v>
      </c>
      <c r="AT34" s="495"/>
      <c r="AY34" s="498">
        <f t="shared" ref="AY34:AY42" si="9">I34/24</f>
        <v>54.1666666666667</v>
      </c>
      <c r="BI34" s="425">
        <f>I34/13</f>
        <v>100</v>
      </c>
      <c r="BT34" s="495"/>
      <c r="BV34" s="495"/>
      <c r="CK34" s="425">
        <f t="shared" si="0"/>
        <v>0</v>
      </c>
      <c r="CL34" s="425">
        <f t="shared" si="1"/>
        <v>0</v>
      </c>
      <c r="CM34" s="425">
        <f t="shared" si="2"/>
        <v>0</v>
      </c>
      <c r="CN34" s="495"/>
      <c r="CO34" s="495"/>
      <c r="CP34" s="495"/>
      <c r="CT34" s="495"/>
      <c r="CU34" s="495"/>
      <c r="CV34" s="495"/>
      <c r="CW34" s="495"/>
      <c r="CX34" s="495"/>
    </row>
    <row r="35" s="425" customFormat="1" ht="31" customHeight="1" spans="1:102">
      <c r="A35" s="455">
        <v>45733</v>
      </c>
      <c r="B35" s="456" t="s">
        <v>3210</v>
      </c>
      <c r="C35" s="457" t="s">
        <v>116</v>
      </c>
      <c r="D35" s="425">
        <v>4500160492</v>
      </c>
      <c r="E35" s="457" t="s">
        <v>3211</v>
      </c>
      <c r="F35" s="425" t="s">
        <v>3212</v>
      </c>
      <c r="G35" s="458" t="s">
        <v>3213</v>
      </c>
      <c r="H35" s="458" t="s">
        <v>3214</v>
      </c>
      <c r="I35" s="458">
        <v>1146</v>
      </c>
      <c r="J35" s="458">
        <v>0</v>
      </c>
      <c r="K35" s="458">
        <v>6</v>
      </c>
      <c r="L35" s="462">
        <f t="shared" si="4"/>
        <v>191</v>
      </c>
      <c r="M35" s="463">
        <v>45775</v>
      </c>
      <c r="N35" s="463">
        <v>45771</v>
      </c>
      <c r="O35" s="464"/>
      <c r="P35" s="464" t="s">
        <v>103</v>
      </c>
      <c r="Q35" s="458"/>
      <c r="R35" s="472">
        <v>45733</v>
      </c>
      <c r="S35" s="472" t="s">
        <v>66</v>
      </c>
      <c r="T35" s="472" t="s">
        <v>66</v>
      </c>
      <c r="U35" s="472"/>
      <c r="V35" s="473" t="s">
        <v>3215</v>
      </c>
      <c r="W35" s="473" t="s">
        <v>121</v>
      </c>
      <c r="X35" s="473">
        <v>0.97</v>
      </c>
      <c r="Y35" s="480">
        <f t="shared" si="5"/>
        <v>1111.62</v>
      </c>
      <c r="Z35" s="458"/>
      <c r="AA35" s="458" t="s">
        <v>3213</v>
      </c>
      <c r="AB35" s="458" t="s">
        <v>76</v>
      </c>
      <c r="AC35" s="458"/>
      <c r="AD35" s="458" t="s">
        <v>69</v>
      </c>
      <c r="AE35" s="458"/>
      <c r="AF35" s="458">
        <v>1146</v>
      </c>
      <c r="AG35" s="458">
        <f t="shared" si="3"/>
        <v>0</v>
      </c>
      <c r="AH35" s="489"/>
      <c r="AI35" s="458"/>
      <c r="AJ35" s="458"/>
      <c r="AK35" s="458"/>
      <c r="AL35" s="426">
        <f t="shared" si="6"/>
        <v>1146</v>
      </c>
      <c r="AO35" s="495"/>
      <c r="AQ35" s="425">
        <f t="shared" si="7"/>
        <v>1146</v>
      </c>
      <c r="AS35" s="425">
        <f t="shared" si="8"/>
        <v>1146</v>
      </c>
      <c r="AT35" s="495"/>
      <c r="AY35" s="498">
        <f t="shared" si="9"/>
        <v>47.75</v>
      </c>
      <c r="BP35" s="425">
        <f>I35/6</f>
        <v>191</v>
      </c>
      <c r="BT35" s="495"/>
      <c r="BV35" s="495"/>
      <c r="BW35" s="425">
        <f>I35/6</f>
        <v>191</v>
      </c>
      <c r="CK35" s="425">
        <f t="shared" si="0"/>
        <v>0</v>
      </c>
      <c r="CL35" s="425">
        <f t="shared" si="1"/>
        <v>0</v>
      </c>
      <c r="CM35" s="425">
        <f t="shared" si="2"/>
        <v>0</v>
      </c>
      <c r="CN35" s="495"/>
      <c r="CO35" s="495"/>
      <c r="CP35" s="495"/>
      <c r="CT35" s="495"/>
      <c r="CU35" s="495"/>
      <c r="CV35" s="495"/>
      <c r="CW35" s="495"/>
      <c r="CX35" s="495"/>
    </row>
    <row r="36" s="425" customFormat="1" ht="31" customHeight="1" spans="1:102">
      <c r="A36" s="455">
        <v>45733</v>
      </c>
      <c r="B36" s="456" t="s">
        <v>3210</v>
      </c>
      <c r="C36" s="457" t="s">
        <v>116</v>
      </c>
      <c r="D36" s="425">
        <v>4500160492</v>
      </c>
      <c r="E36" s="457" t="s">
        <v>3216</v>
      </c>
      <c r="F36" s="425" t="s">
        <v>3217</v>
      </c>
      <c r="G36" s="458" t="s">
        <v>3213</v>
      </c>
      <c r="H36" s="458" t="s">
        <v>3214</v>
      </c>
      <c r="I36" s="458">
        <v>2292</v>
      </c>
      <c r="J36" s="458">
        <v>0</v>
      </c>
      <c r="K36" s="458">
        <v>6</v>
      </c>
      <c r="L36" s="462">
        <f t="shared" si="4"/>
        <v>382</v>
      </c>
      <c r="M36" s="463">
        <v>45775</v>
      </c>
      <c r="N36" s="463">
        <v>45771</v>
      </c>
      <c r="O36" s="464"/>
      <c r="P36" s="464" t="s">
        <v>103</v>
      </c>
      <c r="Q36" s="458"/>
      <c r="R36" s="472">
        <v>45733</v>
      </c>
      <c r="S36" s="472" t="s">
        <v>66</v>
      </c>
      <c r="T36" s="472" t="s">
        <v>66</v>
      </c>
      <c r="U36" s="472"/>
      <c r="V36" s="473" t="s">
        <v>3215</v>
      </c>
      <c r="W36" s="473" t="s">
        <v>121</v>
      </c>
      <c r="X36" s="473">
        <v>0.97</v>
      </c>
      <c r="Y36" s="480">
        <f t="shared" si="5"/>
        <v>2223.24</v>
      </c>
      <c r="Z36" s="458"/>
      <c r="AA36" s="458" t="s">
        <v>3213</v>
      </c>
      <c r="AB36" s="458" t="s">
        <v>76</v>
      </c>
      <c r="AC36" s="458"/>
      <c r="AD36" s="458" t="s">
        <v>69</v>
      </c>
      <c r="AE36" s="458"/>
      <c r="AF36" s="458">
        <v>2292</v>
      </c>
      <c r="AG36" s="458">
        <f t="shared" si="3"/>
        <v>0</v>
      </c>
      <c r="AH36" s="489"/>
      <c r="AI36" s="458"/>
      <c r="AJ36" s="458"/>
      <c r="AK36" s="458"/>
      <c r="AL36" s="426">
        <f t="shared" si="6"/>
        <v>2292</v>
      </c>
      <c r="AO36" s="495"/>
      <c r="AQ36" s="425">
        <f t="shared" si="7"/>
        <v>2292</v>
      </c>
      <c r="AS36" s="425">
        <f t="shared" si="8"/>
        <v>2292</v>
      </c>
      <c r="AT36" s="495"/>
      <c r="AY36" s="498">
        <f t="shared" si="9"/>
        <v>95.5</v>
      </c>
      <c r="BP36" s="425">
        <f>I36/6</f>
        <v>382</v>
      </c>
      <c r="BT36" s="495"/>
      <c r="BV36" s="495"/>
      <c r="BW36" s="425">
        <f>I36/6</f>
        <v>382</v>
      </c>
      <c r="CK36" s="425">
        <f t="shared" si="0"/>
        <v>0</v>
      </c>
      <c r="CL36" s="425">
        <f t="shared" si="1"/>
        <v>0</v>
      </c>
      <c r="CM36" s="425">
        <f t="shared" si="2"/>
        <v>0</v>
      </c>
      <c r="CN36" s="495"/>
      <c r="CO36" s="495"/>
      <c r="CP36" s="495"/>
      <c r="CT36" s="495"/>
      <c r="CU36" s="495"/>
      <c r="CV36" s="495"/>
      <c r="CW36" s="495"/>
      <c r="CX36" s="495"/>
    </row>
    <row r="37" s="425" customFormat="1" ht="31" customHeight="1" spans="1:102">
      <c r="A37" s="455">
        <v>45733</v>
      </c>
      <c r="B37" s="456" t="s">
        <v>3210</v>
      </c>
      <c r="C37" s="457" t="s">
        <v>116</v>
      </c>
      <c r="D37" s="425">
        <v>4500160492</v>
      </c>
      <c r="E37" s="457" t="s">
        <v>3218</v>
      </c>
      <c r="F37" s="425" t="s">
        <v>3219</v>
      </c>
      <c r="G37" s="458" t="s">
        <v>3213</v>
      </c>
      <c r="H37" s="458" t="s">
        <v>3214</v>
      </c>
      <c r="I37" s="458">
        <v>1146</v>
      </c>
      <c r="J37" s="458">
        <v>0</v>
      </c>
      <c r="K37" s="458">
        <v>6</v>
      </c>
      <c r="L37" s="462">
        <f t="shared" si="4"/>
        <v>191</v>
      </c>
      <c r="M37" s="463">
        <v>45775</v>
      </c>
      <c r="N37" s="463">
        <v>45771</v>
      </c>
      <c r="O37" s="464"/>
      <c r="P37" s="464" t="s">
        <v>103</v>
      </c>
      <c r="Q37" s="458"/>
      <c r="R37" s="472">
        <v>45733</v>
      </c>
      <c r="S37" s="472" t="s">
        <v>66</v>
      </c>
      <c r="T37" s="472" t="s">
        <v>66</v>
      </c>
      <c r="U37" s="472"/>
      <c r="V37" s="473" t="s">
        <v>3215</v>
      </c>
      <c r="W37" s="473" t="s">
        <v>121</v>
      </c>
      <c r="X37" s="473">
        <v>0.97</v>
      </c>
      <c r="Y37" s="480">
        <f t="shared" si="5"/>
        <v>1111.62</v>
      </c>
      <c r="Z37" s="458"/>
      <c r="AA37" s="458" t="s">
        <v>3213</v>
      </c>
      <c r="AB37" s="458" t="s">
        <v>76</v>
      </c>
      <c r="AC37" s="458"/>
      <c r="AD37" s="458" t="s">
        <v>69</v>
      </c>
      <c r="AE37" s="458"/>
      <c r="AF37" s="458">
        <v>1146</v>
      </c>
      <c r="AG37" s="458">
        <f t="shared" si="3"/>
        <v>0</v>
      </c>
      <c r="AH37" s="489"/>
      <c r="AI37" s="458"/>
      <c r="AJ37" s="458"/>
      <c r="AK37" s="458"/>
      <c r="AL37" s="426">
        <f t="shared" si="6"/>
        <v>1146</v>
      </c>
      <c r="AO37" s="495"/>
      <c r="AQ37" s="425">
        <f t="shared" si="7"/>
        <v>1146</v>
      </c>
      <c r="AS37" s="425">
        <f t="shared" si="8"/>
        <v>1146</v>
      </c>
      <c r="AT37" s="495"/>
      <c r="AY37" s="498">
        <f t="shared" si="9"/>
        <v>47.75</v>
      </c>
      <c r="BP37" s="425">
        <f>I37/6</f>
        <v>191</v>
      </c>
      <c r="BT37" s="495"/>
      <c r="BV37" s="495"/>
      <c r="BW37" s="425">
        <f>I37/6</f>
        <v>191</v>
      </c>
      <c r="CK37" s="425">
        <f t="shared" si="0"/>
        <v>0</v>
      </c>
      <c r="CL37" s="425">
        <f t="shared" si="1"/>
        <v>0</v>
      </c>
      <c r="CM37" s="425">
        <f t="shared" si="2"/>
        <v>0</v>
      </c>
      <c r="CN37" s="495"/>
      <c r="CO37" s="495"/>
      <c r="CP37" s="495"/>
      <c r="CT37" s="495"/>
      <c r="CU37" s="495"/>
      <c r="CV37" s="495"/>
      <c r="CW37" s="495"/>
      <c r="CX37" s="495"/>
    </row>
    <row r="38" s="425" customFormat="1" ht="31" customHeight="1" spans="1:102">
      <c r="A38" s="455">
        <v>45728</v>
      </c>
      <c r="B38" s="456" t="s">
        <v>115</v>
      </c>
      <c r="C38" s="457" t="s">
        <v>116</v>
      </c>
      <c r="D38" s="425">
        <v>4500159576</v>
      </c>
      <c r="E38" s="457">
        <v>83718</v>
      </c>
      <c r="F38" s="425" t="s">
        <v>3220</v>
      </c>
      <c r="G38" s="458" t="s">
        <v>3161</v>
      </c>
      <c r="H38" s="458" t="s">
        <v>3221</v>
      </c>
      <c r="I38" s="458">
        <v>5000</v>
      </c>
      <c r="J38" s="458">
        <v>0</v>
      </c>
      <c r="K38" s="458">
        <v>50</v>
      </c>
      <c r="L38" s="462">
        <f t="shared" si="4"/>
        <v>100</v>
      </c>
      <c r="M38" s="463">
        <v>45777</v>
      </c>
      <c r="N38" s="463">
        <v>45773</v>
      </c>
      <c r="O38" s="464"/>
      <c r="P38" s="464" t="s">
        <v>103</v>
      </c>
      <c r="Q38" s="458"/>
      <c r="R38" s="472">
        <v>45728</v>
      </c>
      <c r="S38" s="472" t="s">
        <v>66</v>
      </c>
      <c r="T38" s="472">
        <v>45776</v>
      </c>
      <c r="U38" s="472"/>
      <c r="V38" s="473" t="s">
        <v>3222</v>
      </c>
      <c r="W38" s="473" t="s">
        <v>121</v>
      </c>
      <c r="X38" s="473">
        <v>0.95</v>
      </c>
      <c r="Y38" s="480">
        <f t="shared" si="5"/>
        <v>4750</v>
      </c>
      <c r="Z38" s="458"/>
      <c r="AA38" s="458" t="s">
        <v>3161</v>
      </c>
      <c r="AB38" s="458" t="s">
        <v>76</v>
      </c>
      <c r="AC38" s="458"/>
      <c r="AD38" s="458" t="s">
        <v>69</v>
      </c>
      <c r="AE38" s="458"/>
      <c r="AF38" s="458">
        <v>5000</v>
      </c>
      <c r="AG38" s="458">
        <f t="shared" si="3"/>
        <v>0</v>
      </c>
      <c r="AH38" s="489"/>
      <c r="AI38" s="458"/>
      <c r="AJ38" s="458"/>
      <c r="AK38" s="458"/>
      <c r="AL38" s="426">
        <f t="shared" si="6"/>
        <v>5000</v>
      </c>
      <c r="AO38" s="495"/>
      <c r="AQ38" s="425">
        <f t="shared" si="7"/>
        <v>5000</v>
      </c>
      <c r="AS38" s="425">
        <f t="shared" si="8"/>
        <v>5000</v>
      </c>
      <c r="AT38" s="495"/>
      <c r="AY38" s="498">
        <f t="shared" si="9"/>
        <v>208.333333333333</v>
      </c>
      <c r="BL38" s="425">
        <f>I38/25</f>
        <v>200</v>
      </c>
      <c r="BT38" s="495"/>
      <c r="BV38" s="495"/>
      <c r="CK38" s="425">
        <f t="shared" si="0"/>
        <v>200</v>
      </c>
      <c r="CL38" s="425">
        <f t="shared" si="1"/>
        <v>0</v>
      </c>
      <c r="CM38" s="425">
        <f t="shared" si="2"/>
        <v>0</v>
      </c>
      <c r="CN38" s="495"/>
      <c r="CO38" s="495"/>
      <c r="CP38" s="495"/>
      <c r="CT38" s="495"/>
      <c r="CU38" s="495"/>
      <c r="CV38" s="495"/>
      <c r="CW38" s="495"/>
      <c r="CX38" s="495"/>
    </row>
    <row r="39" s="425" customFormat="1" ht="31" customHeight="1" spans="1:102">
      <c r="A39" s="455">
        <v>45728</v>
      </c>
      <c r="B39" s="456" t="s">
        <v>115</v>
      </c>
      <c r="C39" s="457" t="s">
        <v>116</v>
      </c>
      <c r="D39" s="425">
        <v>4500159576</v>
      </c>
      <c r="E39" s="457">
        <v>83718</v>
      </c>
      <c r="F39" s="425" t="s">
        <v>3223</v>
      </c>
      <c r="G39" s="458" t="s">
        <v>3193</v>
      </c>
      <c r="H39" s="458" t="s">
        <v>3194</v>
      </c>
      <c r="I39" s="458">
        <v>3600</v>
      </c>
      <c r="J39" s="458">
        <v>0</v>
      </c>
      <c r="K39" s="458">
        <v>60</v>
      </c>
      <c r="L39" s="462">
        <f t="shared" si="4"/>
        <v>60</v>
      </c>
      <c r="M39" s="463">
        <v>45777</v>
      </c>
      <c r="N39" s="463">
        <v>45773</v>
      </c>
      <c r="O39" s="464"/>
      <c r="P39" s="464" t="s">
        <v>103</v>
      </c>
      <c r="Q39" s="458"/>
      <c r="R39" s="472">
        <v>45728</v>
      </c>
      <c r="S39" s="472" t="s">
        <v>66</v>
      </c>
      <c r="T39" s="472">
        <v>45776</v>
      </c>
      <c r="U39" s="472"/>
      <c r="V39" s="473" t="s">
        <v>3224</v>
      </c>
      <c r="W39" s="473" t="s">
        <v>121</v>
      </c>
      <c r="X39" s="473">
        <v>63.7</v>
      </c>
      <c r="Y39" s="480">
        <f>X39*L39</f>
        <v>3822</v>
      </c>
      <c r="Z39" s="458"/>
      <c r="AA39" s="458" t="s">
        <v>3193</v>
      </c>
      <c r="AB39" s="458" t="s">
        <v>76</v>
      </c>
      <c r="AC39" s="458"/>
      <c r="AD39" s="458" t="s">
        <v>69</v>
      </c>
      <c r="AE39" s="458"/>
      <c r="AF39" s="458">
        <v>3600</v>
      </c>
      <c r="AG39" s="458">
        <f t="shared" si="3"/>
        <v>0</v>
      </c>
      <c r="AH39" s="489"/>
      <c r="AI39" s="458"/>
      <c r="AJ39" s="458"/>
      <c r="AK39" s="458"/>
      <c r="AL39" s="426">
        <f t="shared" si="6"/>
        <v>3600</v>
      </c>
      <c r="AO39" s="495"/>
      <c r="AQ39" s="425">
        <f t="shared" si="7"/>
        <v>3600</v>
      </c>
      <c r="AS39" s="425">
        <f t="shared" si="8"/>
        <v>3600</v>
      </c>
      <c r="AT39" s="495"/>
      <c r="AY39" s="498">
        <f t="shared" si="9"/>
        <v>150</v>
      </c>
      <c r="BT39" s="495"/>
      <c r="BV39" s="495"/>
      <c r="CC39" s="425">
        <f>I39/60</f>
        <v>60</v>
      </c>
      <c r="CK39" s="425">
        <f t="shared" si="0"/>
        <v>0</v>
      </c>
      <c r="CL39" s="425">
        <f t="shared" si="1"/>
        <v>60</v>
      </c>
      <c r="CM39" s="425">
        <f t="shared" si="2"/>
        <v>0</v>
      </c>
      <c r="CN39" s="495"/>
      <c r="CO39" s="495"/>
      <c r="CP39" s="495"/>
      <c r="CT39" s="495"/>
      <c r="CU39" s="495"/>
      <c r="CV39" s="495"/>
      <c r="CW39" s="495"/>
      <c r="CX39" s="495"/>
    </row>
    <row r="40" s="425" customFormat="1" ht="31" customHeight="1" spans="1:102">
      <c r="A40" s="455">
        <v>45729</v>
      </c>
      <c r="B40" s="456" t="s">
        <v>122</v>
      </c>
      <c r="C40" s="457" t="s">
        <v>116</v>
      </c>
      <c r="D40" s="425">
        <v>4500160026</v>
      </c>
      <c r="E40" s="457">
        <v>20627370</v>
      </c>
      <c r="F40" s="425" t="s">
        <v>3225</v>
      </c>
      <c r="G40" s="458" t="s">
        <v>3206</v>
      </c>
      <c r="H40" s="458" t="s">
        <v>3207</v>
      </c>
      <c r="I40" s="458">
        <v>10413</v>
      </c>
      <c r="J40" s="458">
        <v>0</v>
      </c>
      <c r="K40" s="458">
        <v>13</v>
      </c>
      <c r="L40" s="462">
        <f t="shared" si="4"/>
        <v>801</v>
      </c>
      <c r="M40" s="463">
        <v>45786</v>
      </c>
      <c r="N40" s="463">
        <v>45782</v>
      </c>
      <c r="O40" s="464"/>
      <c r="P40" s="464" t="s">
        <v>103</v>
      </c>
      <c r="Q40" s="458"/>
      <c r="R40" s="472">
        <v>45748</v>
      </c>
      <c r="S40" s="472" t="s">
        <v>96</v>
      </c>
      <c r="T40" s="472" t="s">
        <v>3226</v>
      </c>
      <c r="U40" s="472"/>
      <c r="V40" s="473" t="s">
        <v>3227</v>
      </c>
      <c r="W40" s="473" t="s">
        <v>121</v>
      </c>
      <c r="X40" s="473">
        <v>0.95</v>
      </c>
      <c r="Y40" s="480">
        <f t="shared" ref="Y40:Y76" si="10">X40*I40</f>
        <v>9892.35</v>
      </c>
      <c r="Z40" s="458"/>
      <c r="AA40" s="458" t="s">
        <v>3206</v>
      </c>
      <c r="AB40" s="458" t="s">
        <v>76</v>
      </c>
      <c r="AC40" s="458"/>
      <c r="AD40" s="458" t="s">
        <v>69</v>
      </c>
      <c r="AE40" s="458"/>
      <c r="AF40" s="458">
        <v>10413</v>
      </c>
      <c r="AG40" s="458">
        <f t="shared" si="3"/>
        <v>0</v>
      </c>
      <c r="AH40" s="489"/>
      <c r="AI40" s="458"/>
      <c r="AJ40" s="458"/>
      <c r="AK40" s="458"/>
      <c r="AL40" s="426">
        <f t="shared" si="6"/>
        <v>10413</v>
      </c>
      <c r="AO40" s="495"/>
      <c r="AQ40" s="425">
        <f t="shared" si="7"/>
        <v>10413</v>
      </c>
      <c r="AS40" s="425">
        <f t="shared" si="8"/>
        <v>10413</v>
      </c>
      <c r="AT40" s="495"/>
      <c r="AY40" s="498">
        <f t="shared" si="9"/>
        <v>433.875</v>
      </c>
      <c r="BI40" s="425">
        <f>I40/13</f>
        <v>801</v>
      </c>
      <c r="BT40" s="495"/>
      <c r="BV40" s="495"/>
      <c r="CK40" s="425">
        <f t="shared" si="0"/>
        <v>0</v>
      </c>
      <c r="CL40" s="425">
        <f t="shared" si="1"/>
        <v>0</v>
      </c>
      <c r="CM40" s="425">
        <f t="shared" si="2"/>
        <v>0</v>
      </c>
      <c r="CN40" s="495"/>
      <c r="CO40" s="495"/>
      <c r="CP40" s="495"/>
      <c r="CT40" s="495"/>
      <c r="CU40" s="495"/>
      <c r="CV40" s="495"/>
      <c r="CW40" s="495"/>
      <c r="CX40" s="495"/>
    </row>
    <row r="41" s="425" customFormat="1" ht="31" customHeight="1" spans="1:102">
      <c r="A41" s="455">
        <v>45729</v>
      </c>
      <c r="B41" s="456" t="s">
        <v>125</v>
      </c>
      <c r="C41" s="457" t="s">
        <v>71</v>
      </c>
      <c r="D41" s="425">
        <v>4500160027</v>
      </c>
      <c r="E41" s="457">
        <v>20627371</v>
      </c>
      <c r="F41" s="425" t="s">
        <v>3228</v>
      </c>
      <c r="G41" s="458" t="s">
        <v>3206</v>
      </c>
      <c r="H41" s="458" t="s">
        <v>3207</v>
      </c>
      <c r="I41" s="458">
        <v>1352</v>
      </c>
      <c r="J41" s="458">
        <v>0</v>
      </c>
      <c r="K41" s="458">
        <v>13</v>
      </c>
      <c r="L41" s="462">
        <f t="shared" si="4"/>
        <v>104</v>
      </c>
      <c r="M41" s="463">
        <v>45786</v>
      </c>
      <c r="N41" s="463">
        <v>45782</v>
      </c>
      <c r="O41" s="464"/>
      <c r="P41" s="464" t="s">
        <v>103</v>
      </c>
      <c r="Q41" s="458"/>
      <c r="R41" s="472">
        <v>45748</v>
      </c>
      <c r="S41" s="472" t="s">
        <v>96</v>
      </c>
      <c r="T41" s="472" t="s">
        <v>3226</v>
      </c>
      <c r="U41" s="472"/>
      <c r="V41" s="473" t="s">
        <v>3229</v>
      </c>
      <c r="W41" s="473" t="s">
        <v>121</v>
      </c>
      <c r="X41" s="473">
        <v>0.95</v>
      </c>
      <c r="Y41" s="480">
        <f t="shared" si="10"/>
        <v>1284.4</v>
      </c>
      <c r="Z41" s="458"/>
      <c r="AA41" s="458" t="s">
        <v>3206</v>
      </c>
      <c r="AB41" s="458" t="s">
        <v>76</v>
      </c>
      <c r="AC41" s="458"/>
      <c r="AD41" s="458" t="s">
        <v>69</v>
      </c>
      <c r="AE41" s="458"/>
      <c r="AF41" s="458">
        <v>1352</v>
      </c>
      <c r="AG41" s="458">
        <f t="shared" si="3"/>
        <v>0</v>
      </c>
      <c r="AH41" s="489"/>
      <c r="AI41" s="458"/>
      <c r="AJ41" s="458"/>
      <c r="AK41" s="458"/>
      <c r="AL41" s="426">
        <f t="shared" si="6"/>
        <v>1352</v>
      </c>
      <c r="AO41" s="495"/>
      <c r="AQ41" s="425">
        <f t="shared" si="7"/>
        <v>1352</v>
      </c>
      <c r="AS41" s="425">
        <f t="shared" si="8"/>
        <v>1352</v>
      </c>
      <c r="AT41" s="495"/>
      <c r="AY41" s="498">
        <f t="shared" si="9"/>
        <v>56.3333333333333</v>
      </c>
      <c r="BI41" s="425">
        <f>I41/13</f>
        <v>104</v>
      </c>
      <c r="BT41" s="495"/>
      <c r="BV41" s="495"/>
      <c r="CK41" s="425">
        <f t="shared" si="0"/>
        <v>0</v>
      </c>
      <c r="CL41" s="425">
        <f t="shared" si="1"/>
        <v>0</v>
      </c>
      <c r="CM41" s="425">
        <f t="shared" si="2"/>
        <v>0</v>
      </c>
      <c r="CN41" s="495"/>
      <c r="CO41" s="495"/>
      <c r="CP41" s="495"/>
      <c r="CT41" s="495"/>
      <c r="CU41" s="495"/>
      <c r="CV41" s="495"/>
      <c r="CW41" s="495"/>
      <c r="CX41" s="495"/>
    </row>
    <row r="42" s="425" customFormat="1" ht="31" customHeight="1" spans="1:102">
      <c r="A42" s="455">
        <v>45734</v>
      </c>
      <c r="B42" s="456" t="s">
        <v>138</v>
      </c>
      <c r="C42" s="457" t="s">
        <v>139</v>
      </c>
      <c r="D42" s="425">
        <v>4500160634</v>
      </c>
      <c r="E42" s="457">
        <v>5200006405</v>
      </c>
      <c r="F42" s="425" t="s">
        <v>3230</v>
      </c>
      <c r="G42" s="458" t="s">
        <v>3231</v>
      </c>
      <c r="H42" s="458" t="s">
        <v>3207</v>
      </c>
      <c r="I42" s="458">
        <v>2600</v>
      </c>
      <c r="J42" s="458">
        <v>0</v>
      </c>
      <c r="K42" s="458">
        <v>13</v>
      </c>
      <c r="L42" s="462">
        <f t="shared" si="4"/>
        <v>200</v>
      </c>
      <c r="M42" s="463">
        <v>45786</v>
      </c>
      <c r="N42" s="463">
        <v>45782</v>
      </c>
      <c r="O42" s="464"/>
      <c r="P42" s="464" t="s">
        <v>103</v>
      </c>
      <c r="Q42" s="458"/>
      <c r="R42" s="472">
        <v>45735</v>
      </c>
      <c r="S42" s="472" t="s">
        <v>66</v>
      </c>
      <c r="T42" s="472" t="s">
        <v>3232</v>
      </c>
      <c r="U42" s="472"/>
      <c r="V42" s="473" t="s">
        <v>3233</v>
      </c>
      <c r="W42" s="473" t="s">
        <v>145</v>
      </c>
      <c r="X42" s="473">
        <v>1.16</v>
      </c>
      <c r="Y42" s="480">
        <f t="shared" si="10"/>
        <v>3016</v>
      </c>
      <c r="Z42" s="458"/>
      <c r="AA42" s="458" t="s">
        <v>3206</v>
      </c>
      <c r="AB42" s="458" t="s">
        <v>76</v>
      </c>
      <c r="AC42" s="458"/>
      <c r="AD42" s="458" t="s">
        <v>69</v>
      </c>
      <c r="AE42" s="458"/>
      <c r="AF42" s="458">
        <v>2600</v>
      </c>
      <c r="AG42" s="458">
        <f t="shared" si="3"/>
        <v>0</v>
      </c>
      <c r="AH42" s="489"/>
      <c r="AI42" s="458"/>
      <c r="AJ42" s="458"/>
      <c r="AK42" s="458"/>
      <c r="AL42" s="426">
        <f t="shared" si="6"/>
        <v>2600</v>
      </c>
      <c r="AO42" s="495"/>
      <c r="AQ42" s="425">
        <f t="shared" si="7"/>
        <v>2600</v>
      </c>
      <c r="AS42" s="425">
        <f t="shared" si="8"/>
        <v>2600</v>
      </c>
      <c r="AT42" s="495"/>
      <c r="AY42" s="498">
        <f t="shared" si="9"/>
        <v>108.333333333333</v>
      </c>
      <c r="BI42" s="425">
        <f>I42/13</f>
        <v>200</v>
      </c>
      <c r="BT42" s="495"/>
      <c r="BV42" s="495"/>
      <c r="CK42" s="425">
        <f t="shared" si="0"/>
        <v>0</v>
      </c>
      <c r="CL42" s="425">
        <f t="shared" si="1"/>
        <v>0</v>
      </c>
      <c r="CM42" s="425">
        <f t="shared" si="2"/>
        <v>0</v>
      </c>
      <c r="CN42" s="495"/>
      <c r="CO42" s="495"/>
      <c r="CP42" s="495"/>
      <c r="CT42" s="495"/>
      <c r="CU42" s="495"/>
      <c r="CV42" s="495"/>
      <c r="CW42" s="495"/>
      <c r="CX42" s="495"/>
    </row>
    <row r="43" s="425" customFormat="1" ht="31" customHeight="1" spans="1:102">
      <c r="A43" s="455">
        <v>45734</v>
      </c>
      <c r="B43" s="456" t="s">
        <v>108</v>
      </c>
      <c r="C43" s="457" t="s">
        <v>90</v>
      </c>
      <c r="D43" s="425">
        <v>4500160498</v>
      </c>
      <c r="E43" s="457" t="s">
        <v>3234</v>
      </c>
      <c r="F43" s="425" t="s">
        <v>3235</v>
      </c>
      <c r="G43" s="458" t="s">
        <v>3236</v>
      </c>
      <c r="H43" s="458" t="s">
        <v>3237</v>
      </c>
      <c r="I43" s="458">
        <v>9348</v>
      </c>
      <c r="J43" s="458">
        <v>0</v>
      </c>
      <c r="K43" s="458">
        <v>12</v>
      </c>
      <c r="L43" s="462">
        <f t="shared" si="4"/>
        <v>779</v>
      </c>
      <c r="M43" s="463">
        <v>45777</v>
      </c>
      <c r="N43" s="463">
        <v>45773</v>
      </c>
      <c r="O43" s="464"/>
      <c r="P43" s="464" t="s">
        <v>103</v>
      </c>
      <c r="Q43" s="458"/>
      <c r="R43" s="472">
        <v>45734</v>
      </c>
      <c r="S43" s="472" t="s">
        <v>66</v>
      </c>
      <c r="T43" s="472" t="s">
        <v>66</v>
      </c>
      <c r="U43" s="472"/>
      <c r="V43" s="473" t="s">
        <v>3238</v>
      </c>
      <c r="W43" s="473" t="s">
        <v>113</v>
      </c>
      <c r="X43" s="473">
        <v>2.72</v>
      </c>
      <c r="Y43" s="480">
        <f t="shared" si="10"/>
        <v>25426.56</v>
      </c>
      <c r="Z43" s="458"/>
      <c r="AA43" s="458" t="s">
        <v>3236</v>
      </c>
      <c r="AB43" s="458" t="s">
        <v>76</v>
      </c>
      <c r="AC43" s="458"/>
      <c r="AD43" s="458" t="s">
        <v>69</v>
      </c>
      <c r="AE43" s="458"/>
      <c r="AF43" s="458">
        <f>6924+2400+24</f>
        <v>9348</v>
      </c>
      <c r="AG43" s="458">
        <f t="shared" si="3"/>
        <v>0</v>
      </c>
      <c r="AH43" s="489"/>
      <c r="AI43" s="458"/>
      <c r="AJ43" s="458"/>
      <c r="AK43" s="458">
        <f>I43*2</f>
        <v>18696</v>
      </c>
      <c r="AN43" s="425">
        <f>I43*2</f>
        <v>18696</v>
      </c>
      <c r="AO43" s="495"/>
      <c r="AR43" s="425">
        <f>I43*2</f>
        <v>18696</v>
      </c>
      <c r="AT43" s="495"/>
      <c r="AY43" s="498">
        <f>I43</f>
        <v>9348</v>
      </c>
      <c r="BT43" s="495"/>
      <c r="BV43" s="495"/>
      <c r="CH43" s="425">
        <f>I43</f>
        <v>9348</v>
      </c>
      <c r="CI43" s="425">
        <f>I43</f>
        <v>9348</v>
      </c>
      <c r="CJ43" s="425">
        <f>I43</f>
        <v>9348</v>
      </c>
      <c r="CK43" s="425">
        <f t="shared" si="0"/>
        <v>0</v>
      </c>
      <c r="CL43" s="425">
        <f t="shared" si="1"/>
        <v>0</v>
      </c>
      <c r="CM43" s="425">
        <f t="shared" si="2"/>
        <v>0</v>
      </c>
      <c r="CN43" s="495"/>
      <c r="CO43" s="495"/>
      <c r="CP43" s="495"/>
      <c r="CT43" s="495"/>
      <c r="CU43" s="495"/>
      <c r="CV43" s="495"/>
      <c r="CW43" s="495"/>
      <c r="CX43" s="495"/>
    </row>
    <row r="44" s="425" customFormat="1" ht="31" customHeight="1" spans="1:102">
      <c r="A44" s="455">
        <v>45723</v>
      </c>
      <c r="B44" s="456" t="s">
        <v>650</v>
      </c>
      <c r="C44" s="457" t="s">
        <v>249</v>
      </c>
      <c r="D44" s="425">
        <v>4500159525</v>
      </c>
      <c r="E44" s="457" t="s">
        <v>3239</v>
      </c>
      <c r="F44" s="425" t="s">
        <v>3240</v>
      </c>
      <c r="G44" s="458" t="s">
        <v>3165</v>
      </c>
      <c r="H44" s="458" t="s">
        <v>3166</v>
      </c>
      <c r="I44" s="458">
        <v>5850</v>
      </c>
      <c r="J44" s="458">
        <v>0</v>
      </c>
      <c r="K44" s="458">
        <v>25</v>
      </c>
      <c r="L44" s="462">
        <f t="shared" si="4"/>
        <v>234</v>
      </c>
      <c r="M44" s="463">
        <v>45782</v>
      </c>
      <c r="N44" s="463">
        <v>45778</v>
      </c>
      <c r="O44" s="464"/>
      <c r="P44" s="464" t="s">
        <v>103</v>
      </c>
      <c r="Q44" s="458"/>
      <c r="R44" s="472">
        <v>45727</v>
      </c>
      <c r="S44" s="472" t="s">
        <v>66</v>
      </c>
      <c r="T44" s="472" t="s">
        <v>66</v>
      </c>
      <c r="U44" s="472"/>
      <c r="V44" s="473" t="s">
        <v>3241</v>
      </c>
      <c r="W44" s="473" t="s">
        <v>1049</v>
      </c>
      <c r="X44" s="473">
        <v>0.95</v>
      </c>
      <c r="Y44" s="480">
        <f t="shared" si="10"/>
        <v>5557.5</v>
      </c>
      <c r="Z44" s="458"/>
      <c r="AA44" s="458" t="s">
        <v>3165</v>
      </c>
      <c r="AB44" s="458" t="s">
        <v>76</v>
      </c>
      <c r="AC44" s="458"/>
      <c r="AD44" s="458" t="s">
        <v>69</v>
      </c>
      <c r="AE44" s="458"/>
      <c r="AF44" s="458">
        <v>5850</v>
      </c>
      <c r="AG44" s="458">
        <f t="shared" si="3"/>
        <v>0</v>
      </c>
      <c r="AH44" s="489"/>
      <c r="AI44" s="458"/>
      <c r="AJ44" s="458"/>
      <c r="AK44" s="458"/>
      <c r="AL44" s="426">
        <f>I44</f>
        <v>5850</v>
      </c>
      <c r="AO44" s="495"/>
      <c r="AQ44" s="425">
        <f>I44</f>
        <v>5850</v>
      </c>
      <c r="AS44" s="425">
        <f>I44</f>
        <v>5850</v>
      </c>
      <c r="AT44" s="495"/>
      <c r="AY44" s="498">
        <f>I44/24</f>
        <v>243.75</v>
      </c>
      <c r="BL44" s="425">
        <f>I44/25</f>
        <v>234</v>
      </c>
      <c r="BT44" s="495"/>
      <c r="BV44" s="495"/>
      <c r="CK44" s="425">
        <f t="shared" si="0"/>
        <v>234</v>
      </c>
      <c r="CL44" s="425">
        <f t="shared" si="1"/>
        <v>0</v>
      </c>
      <c r="CM44" s="425">
        <f t="shared" si="2"/>
        <v>0</v>
      </c>
      <c r="CN44" s="495"/>
      <c r="CO44" s="495"/>
      <c r="CP44" s="495"/>
      <c r="CT44" s="495"/>
      <c r="CU44" s="495"/>
      <c r="CV44" s="495"/>
      <c r="CW44" s="495"/>
      <c r="CX44" s="495"/>
    </row>
    <row r="45" s="425" customFormat="1" ht="31" customHeight="1" spans="1:102">
      <c r="A45" s="455">
        <v>45723</v>
      </c>
      <c r="B45" s="456" t="s">
        <v>650</v>
      </c>
      <c r="C45" s="457" t="s">
        <v>249</v>
      </c>
      <c r="D45" s="425">
        <v>4500159525</v>
      </c>
      <c r="E45" s="457" t="s">
        <v>3242</v>
      </c>
      <c r="F45" s="425" t="s">
        <v>3243</v>
      </c>
      <c r="G45" s="458" t="s">
        <v>3165</v>
      </c>
      <c r="H45" s="458" t="s">
        <v>3166</v>
      </c>
      <c r="I45" s="458">
        <v>5850</v>
      </c>
      <c r="J45" s="458">
        <v>0</v>
      </c>
      <c r="K45" s="458">
        <v>25</v>
      </c>
      <c r="L45" s="462">
        <f t="shared" si="4"/>
        <v>234</v>
      </c>
      <c r="M45" s="463">
        <v>45782</v>
      </c>
      <c r="N45" s="463">
        <v>45778</v>
      </c>
      <c r="O45" s="464"/>
      <c r="P45" s="464" t="s">
        <v>103</v>
      </c>
      <c r="Q45" s="458"/>
      <c r="R45" s="472">
        <v>45727</v>
      </c>
      <c r="S45" s="472" t="s">
        <v>66</v>
      </c>
      <c r="T45" s="472" t="s">
        <v>66</v>
      </c>
      <c r="U45" s="472"/>
      <c r="V45" s="473" t="s">
        <v>3241</v>
      </c>
      <c r="W45" s="473" t="s">
        <v>1049</v>
      </c>
      <c r="X45" s="473">
        <v>0.95</v>
      </c>
      <c r="Y45" s="480">
        <f t="shared" si="10"/>
        <v>5557.5</v>
      </c>
      <c r="Z45" s="458"/>
      <c r="AA45" s="458" t="s">
        <v>3165</v>
      </c>
      <c r="AB45" s="458" t="s">
        <v>76</v>
      </c>
      <c r="AC45" s="458"/>
      <c r="AD45" s="458" t="s">
        <v>69</v>
      </c>
      <c r="AE45" s="458"/>
      <c r="AF45" s="458">
        <v>5850</v>
      </c>
      <c r="AG45" s="458">
        <f t="shared" si="3"/>
        <v>0</v>
      </c>
      <c r="AH45" s="489"/>
      <c r="AI45" s="458"/>
      <c r="AJ45" s="458"/>
      <c r="AK45" s="458"/>
      <c r="AL45" s="426">
        <f>I45</f>
        <v>5850</v>
      </c>
      <c r="AO45" s="495"/>
      <c r="AQ45" s="425">
        <f>I45</f>
        <v>5850</v>
      </c>
      <c r="AS45" s="425">
        <f>I45</f>
        <v>5850</v>
      </c>
      <c r="AT45" s="495"/>
      <c r="AY45" s="498">
        <f>I45/24</f>
        <v>243.75</v>
      </c>
      <c r="BL45" s="425">
        <f>I45/25</f>
        <v>234</v>
      </c>
      <c r="BT45" s="495"/>
      <c r="BV45" s="495"/>
      <c r="CK45" s="425">
        <f t="shared" si="0"/>
        <v>234</v>
      </c>
      <c r="CL45" s="425">
        <f t="shared" si="1"/>
        <v>0</v>
      </c>
      <c r="CM45" s="425">
        <f t="shared" si="2"/>
        <v>0</v>
      </c>
      <c r="CN45" s="495"/>
      <c r="CO45" s="495"/>
      <c r="CP45" s="495"/>
      <c r="CT45" s="495"/>
      <c r="CU45" s="495"/>
      <c r="CV45" s="495"/>
      <c r="CW45" s="495"/>
      <c r="CX45" s="495"/>
    </row>
    <row r="46" s="425" customFormat="1" ht="31" customHeight="1" spans="1:102">
      <c r="A46" s="455">
        <v>45729</v>
      </c>
      <c r="B46" s="456" t="s">
        <v>248</v>
      </c>
      <c r="C46" s="457" t="s">
        <v>249</v>
      </c>
      <c r="D46" s="425">
        <v>4500159818</v>
      </c>
      <c r="E46" s="457">
        <v>14202268</v>
      </c>
      <c r="F46" s="425" t="s">
        <v>3244</v>
      </c>
      <c r="G46" s="458" t="s">
        <v>3245</v>
      </c>
      <c r="H46" s="458" t="s">
        <v>3246</v>
      </c>
      <c r="I46" s="458">
        <v>5200</v>
      </c>
      <c r="J46" s="458">
        <v>13</v>
      </c>
      <c r="K46" s="458">
        <f>J46*8</f>
        <v>104</v>
      </c>
      <c r="L46" s="462">
        <f t="shared" si="4"/>
        <v>50</v>
      </c>
      <c r="M46" s="463">
        <v>45784</v>
      </c>
      <c r="N46" s="463">
        <v>45780</v>
      </c>
      <c r="O46" s="464"/>
      <c r="P46" s="464" t="s">
        <v>103</v>
      </c>
      <c r="Q46" s="458"/>
      <c r="R46" s="472">
        <v>45740</v>
      </c>
      <c r="S46" s="472" t="s">
        <v>66</v>
      </c>
      <c r="T46" s="472">
        <v>45730</v>
      </c>
      <c r="U46" s="472"/>
      <c r="V46" s="473" t="s">
        <v>3247</v>
      </c>
      <c r="W46" s="473" t="s">
        <v>254</v>
      </c>
      <c r="X46" s="473">
        <v>1.16</v>
      </c>
      <c r="Y46" s="480">
        <f t="shared" si="10"/>
        <v>6032</v>
      </c>
      <c r="Z46" s="458"/>
      <c r="AA46" s="458" t="s">
        <v>3245</v>
      </c>
      <c r="AB46" s="458" t="s">
        <v>76</v>
      </c>
      <c r="AC46" s="458"/>
      <c r="AD46" s="458" t="s">
        <v>69</v>
      </c>
      <c r="AE46" s="458"/>
      <c r="AF46" s="458">
        <v>5200</v>
      </c>
      <c r="AG46" s="458">
        <f t="shared" si="3"/>
        <v>0</v>
      </c>
      <c r="AH46" s="489"/>
      <c r="AI46" s="458"/>
      <c r="AJ46" s="458"/>
      <c r="AK46" s="458"/>
      <c r="AL46" s="426">
        <f>I46</f>
        <v>5200</v>
      </c>
      <c r="AO46" s="495"/>
      <c r="AQ46" s="425">
        <f>I46</f>
        <v>5200</v>
      </c>
      <c r="AS46" s="425">
        <f>I46</f>
        <v>5200</v>
      </c>
      <c r="AT46" s="495"/>
      <c r="AY46" s="498">
        <f>I46/24</f>
        <v>216.666666666667</v>
      </c>
      <c r="BI46" s="425">
        <f>I46/13</f>
        <v>400</v>
      </c>
      <c r="BT46" s="495"/>
      <c r="BV46" s="495"/>
      <c r="CK46" s="425">
        <f t="shared" si="0"/>
        <v>0</v>
      </c>
      <c r="CL46" s="425">
        <f t="shared" si="1"/>
        <v>0</v>
      </c>
      <c r="CM46" s="425">
        <f t="shared" si="2"/>
        <v>0</v>
      </c>
      <c r="CN46" s="495"/>
      <c r="CO46" s="495"/>
      <c r="CP46" s="495"/>
      <c r="CT46" s="495"/>
      <c r="CU46" s="495"/>
      <c r="CV46" s="495"/>
      <c r="CW46" s="495"/>
      <c r="CX46" s="495"/>
    </row>
    <row r="47" s="425" customFormat="1" ht="31" customHeight="1" spans="1:102">
      <c r="A47" s="455">
        <v>45748</v>
      </c>
      <c r="B47" s="456" t="s">
        <v>128</v>
      </c>
      <c r="C47" s="457" t="s">
        <v>90</v>
      </c>
      <c r="D47" s="425">
        <v>4500162160</v>
      </c>
      <c r="E47" s="457" t="s">
        <v>3248</v>
      </c>
      <c r="F47" s="425" t="s">
        <v>3249</v>
      </c>
      <c r="G47" s="458" t="s">
        <v>3180</v>
      </c>
      <c r="H47" s="458" t="s">
        <v>3181</v>
      </c>
      <c r="I47" s="458">
        <v>2624</v>
      </c>
      <c r="J47" s="458">
        <v>0</v>
      </c>
      <c r="K47" s="458">
        <v>16</v>
      </c>
      <c r="L47" s="462">
        <f t="shared" si="4"/>
        <v>164</v>
      </c>
      <c r="M47" s="463">
        <v>45785</v>
      </c>
      <c r="N47" s="463">
        <v>45781</v>
      </c>
      <c r="O47" s="464" t="s">
        <v>131</v>
      </c>
      <c r="P47" s="464" t="s">
        <v>103</v>
      </c>
      <c r="Q47" s="458"/>
      <c r="R47" s="472" t="s">
        <v>132</v>
      </c>
      <c r="S47" s="472" t="s">
        <v>66</v>
      </c>
      <c r="T47" s="472" t="s">
        <v>3250</v>
      </c>
      <c r="U47" s="472" t="s">
        <v>133</v>
      </c>
      <c r="V47" s="473" t="s">
        <v>3251</v>
      </c>
      <c r="W47" s="473" t="s">
        <v>98</v>
      </c>
      <c r="X47" s="473">
        <v>1.68</v>
      </c>
      <c r="Y47" s="480">
        <f t="shared" si="10"/>
        <v>4408.32</v>
      </c>
      <c r="Z47" s="458"/>
      <c r="AA47" s="458" t="s">
        <v>3180</v>
      </c>
      <c r="AB47" s="458" t="s">
        <v>76</v>
      </c>
      <c r="AC47" s="458"/>
      <c r="AD47" s="458" t="s">
        <v>69</v>
      </c>
      <c r="AE47" s="458"/>
      <c r="AF47" s="458">
        <v>2624</v>
      </c>
      <c r="AG47" s="458">
        <f t="shared" si="3"/>
        <v>0</v>
      </c>
      <c r="AH47" s="489"/>
      <c r="AI47" s="458"/>
      <c r="AJ47" s="458"/>
      <c r="AK47" s="458">
        <f>I47</f>
        <v>2624</v>
      </c>
      <c r="AM47" s="425">
        <f>I47</f>
        <v>2624</v>
      </c>
      <c r="AO47" s="495"/>
      <c r="AR47" s="425">
        <f>I47</f>
        <v>2624</v>
      </c>
      <c r="AT47" s="495"/>
      <c r="AY47" s="498">
        <f>I47/48</f>
        <v>54.6666666666667</v>
      </c>
      <c r="BM47" s="425">
        <f>I47/16</f>
        <v>164</v>
      </c>
      <c r="BT47" s="495"/>
      <c r="BV47" s="495"/>
      <c r="CK47" s="425">
        <f t="shared" si="0"/>
        <v>164</v>
      </c>
      <c r="CL47" s="425">
        <f t="shared" si="1"/>
        <v>0</v>
      </c>
      <c r="CM47" s="425">
        <f t="shared" si="2"/>
        <v>0</v>
      </c>
      <c r="CN47" s="495"/>
      <c r="CO47" s="495"/>
      <c r="CP47" s="495"/>
      <c r="CT47" s="495"/>
      <c r="CU47" s="495"/>
      <c r="CV47" s="495"/>
      <c r="CW47" s="495"/>
      <c r="CX47" s="495"/>
    </row>
    <row r="48" s="425" customFormat="1" ht="31" customHeight="1" spans="1:102">
      <c r="A48" s="455">
        <v>45748</v>
      </c>
      <c r="B48" s="456" t="s">
        <v>128</v>
      </c>
      <c r="C48" s="457" t="s">
        <v>90</v>
      </c>
      <c r="D48" s="425">
        <v>4500162160</v>
      </c>
      <c r="E48" s="457" t="s">
        <v>3252</v>
      </c>
      <c r="F48" s="425" t="s">
        <v>3253</v>
      </c>
      <c r="G48" s="458" t="s">
        <v>3180</v>
      </c>
      <c r="H48" s="458" t="s">
        <v>3181</v>
      </c>
      <c r="I48" s="458">
        <v>3520</v>
      </c>
      <c r="J48" s="458">
        <v>0</v>
      </c>
      <c r="K48" s="458">
        <v>16</v>
      </c>
      <c r="L48" s="462">
        <f t="shared" si="4"/>
        <v>220</v>
      </c>
      <c r="M48" s="463">
        <v>45785</v>
      </c>
      <c r="N48" s="463">
        <v>45781</v>
      </c>
      <c r="O48" s="464" t="s">
        <v>131</v>
      </c>
      <c r="P48" s="464" t="s">
        <v>103</v>
      </c>
      <c r="Q48" s="458"/>
      <c r="R48" s="472" t="s">
        <v>132</v>
      </c>
      <c r="S48" s="472" t="s">
        <v>66</v>
      </c>
      <c r="T48" s="472" t="s">
        <v>3250</v>
      </c>
      <c r="U48" s="472" t="s">
        <v>133</v>
      </c>
      <c r="V48" s="473" t="s">
        <v>3251</v>
      </c>
      <c r="W48" s="473" t="s">
        <v>98</v>
      </c>
      <c r="X48" s="473">
        <v>1.68</v>
      </c>
      <c r="Y48" s="480">
        <f t="shared" si="10"/>
        <v>5913.6</v>
      </c>
      <c r="Z48" s="458"/>
      <c r="AA48" s="458" t="s">
        <v>3180</v>
      </c>
      <c r="AB48" s="458" t="s">
        <v>76</v>
      </c>
      <c r="AC48" s="458"/>
      <c r="AD48" s="458" t="s">
        <v>69</v>
      </c>
      <c r="AE48" s="458"/>
      <c r="AF48" s="458">
        <v>3520</v>
      </c>
      <c r="AG48" s="458">
        <f t="shared" si="3"/>
        <v>0</v>
      </c>
      <c r="AH48" s="489"/>
      <c r="AI48" s="458"/>
      <c r="AJ48" s="458"/>
      <c r="AK48" s="458">
        <f>I48</f>
        <v>3520</v>
      </c>
      <c r="AM48" s="425">
        <f>I48</f>
        <v>3520</v>
      </c>
      <c r="AO48" s="495"/>
      <c r="AR48" s="425">
        <f>I48</f>
        <v>3520</v>
      </c>
      <c r="AT48" s="495"/>
      <c r="AY48" s="498">
        <f>I48/48</f>
        <v>73.3333333333333</v>
      </c>
      <c r="BM48" s="425">
        <f>I48/16</f>
        <v>220</v>
      </c>
      <c r="BT48" s="495"/>
      <c r="BV48" s="495"/>
      <c r="CK48" s="425">
        <f t="shared" si="0"/>
        <v>220</v>
      </c>
      <c r="CL48" s="425">
        <f t="shared" si="1"/>
        <v>0</v>
      </c>
      <c r="CM48" s="425">
        <f t="shared" si="2"/>
        <v>0</v>
      </c>
      <c r="CN48" s="495"/>
      <c r="CO48" s="495"/>
      <c r="CP48" s="495"/>
      <c r="CT48" s="495"/>
      <c r="CU48" s="495"/>
      <c r="CV48" s="495"/>
      <c r="CW48" s="495"/>
      <c r="CX48" s="495"/>
    </row>
    <row r="49" s="425" customFormat="1" ht="31" customHeight="1" spans="1:102">
      <c r="A49" s="455">
        <v>45695</v>
      </c>
      <c r="B49" s="456" t="s">
        <v>3254</v>
      </c>
      <c r="C49" s="457" t="s">
        <v>271</v>
      </c>
      <c r="D49" s="425">
        <v>4500156860</v>
      </c>
      <c r="E49" s="457">
        <v>4400464929</v>
      </c>
      <c r="F49" s="425" t="s">
        <v>3255</v>
      </c>
      <c r="G49" s="458" t="s">
        <v>3165</v>
      </c>
      <c r="H49" s="458" t="s">
        <v>3166</v>
      </c>
      <c r="I49" s="458">
        <v>3500</v>
      </c>
      <c r="J49" s="458">
        <v>0</v>
      </c>
      <c r="K49" s="458">
        <v>25</v>
      </c>
      <c r="L49" s="462">
        <f t="shared" si="4"/>
        <v>140</v>
      </c>
      <c r="M49" s="463">
        <v>45786</v>
      </c>
      <c r="N49" s="463">
        <v>45782</v>
      </c>
      <c r="O49" s="464"/>
      <c r="P49" s="464" t="s">
        <v>103</v>
      </c>
      <c r="Q49" s="458"/>
      <c r="R49" s="472">
        <v>45696</v>
      </c>
      <c r="S49" s="472" t="s">
        <v>66</v>
      </c>
      <c r="T49" s="472" t="s">
        <v>66</v>
      </c>
      <c r="U49" s="472"/>
      <c r="V49" s="473" t="s">
        <v>3256</v>
      </c>
      <c r="W49" s="473" t="s">
        <v>235</v>
      </c>
      <c r="X49" s="473">
        <v>1.24</v>
      </c>
      <c r="Y49" s="480">
        <f t="shared" si="10"/>
        <v>4340</v>
      </c>
      <c r="Z49" s="458"/>
      <c r="AA49" s="458" t="s">
        <v>3188</v>
      </c>
      <c r="AB49" s="458" t="s">
        <v>76</v>
      </c>
      <c r="AC49" s="458"/>
      <c r="AD49" s="458" t="s">
        <v>69</v>
      </c>
      <c r="AE49" s="458"/>
      <c r="AF49" s="458">
        <v>3500</v>
      </c>
      <c r="AG49" s="458">
        <f t="shared" si="3"/>
        <v>0</v>
      </c>
      <c r="AH49" s="489"/>
      <c r="AI49" s="458"/>
      <c r="AJ49" s="458"/>
      <c r="AK49" s="458"/>
      <c r="AL49" s="426">
        <f>I49</f>
        <v>3500</v>
      </c>
      <c r="AO49" s="495"/>
      <c r="AS49" s="425">
        <f>I49</f>
        <v>3500</v>
      </c>
      <c r="AT49" s="495"/>
      <c r="AY49" s="498">
        <f>I49/48</f>
        <v>72.9166666666667</v>
      </c>
      <c r="BB49" s="425">
        <f>I49</f>
        <v>3500</v>
      </c>
      <c r="BL49" s="425">
        <f>I49/25</f>
        <v>140</v>
      </c>
      <c r="BT49" s="495"/>
      <c r="BV49" s="495"/>
      <c r="CK49" s="425">
        <f t="shared" si="0"/>
        <v>140</v>
      </c>
      <c r="CL49" s="425">
        <f t="shared" si="1"/>
        <v>0</v>
      </c>
      <c r="CM49" s="425">
        <f t="shared" si="2"/>
        <v>0</v>
      </c>
      <c r="CN49" s="495"/>
      <c r="CO49" s="495"/>
      <c r="CP49" s="495"/>
      <c r="CT49" s="495"/>
      <c r="CU49" s="495"/>
      <c r="CV49" s="495"/>
      <c r="CW49" s="495"/>
      <c r="CX49" s="495"/>
    </row>
    <row r="50" s="425" customFormat="1" ht="31" customHeight="1" spans="1:102">
      <c r="A50" s="455">
        <v>45671</v>
      </c>
      <c r="B50" s="456" t="s">
        <v>146</v>
      </c>
      <c r="C50" s="457" t="s">
        <v>139</v>
      </c>
      <c r="D50" s="425">
        <v>4500155592</v>
      </c>
      <c r="E50" s="457">
        <v>4400459912</v>
      </c>
      <c r="F50" s="425" t="s">
        <v>3257</v>
      </c>
      <c r="G50" s="458" t="s">
        <v>3165</v>
      </c>
      <c r="H50" s="458" t="s">
        <v>3166</v>
      </c>
      <c r="I50" s="458">
        <v>8000</v>
      </c>
      <c r="J50" s="458">
        <v>0</v>
      </c>
      <c r="K50" s="458">
        <v>25</v>
      </c>
      <c r="L50" s="462">
        <f t="shared" si="4"/>
        <v>320</v>
      </c>
      <c r="M50" s="463">
        <v>45786</v>
      </c>
      <c r="N50" s="463">
        <v>45782</v>
      </c>
      <c r="O50" s="464"/>
      <c r="P50" s="464" t="s">
        <v>103</v>
      </c>
      <c r="Q50" s="458"/>
      <c r="R50" s="472">
        <v>45671</v>
      </c>
      <c r="S50" s="472" t="s">
        <v>66</v>
      </c>
      <c r="T50" s="472" t="s">
        <v>66</v>
      </c>
      <c r="U50" s="472"/>
      <c r="V50" s="473" t="s">
        <v>3258</v>
      </c>
      <c r="W50" s="473" t="s">
        <v>151</v>
      </c>
      <c r="X50" s="473">
        <v>1.24</v>
      </c>
      <c r="Y50" s="480">
        <f t="shared" si="10"/>
        <v>9920</v>
      </c>
      <c r="Z50" s="458"/>
      <c r="AA50" s="458" t="s">
        <v>3188</v>
      </c>
      <c r="AB50" s="458" t="s">
        <v>76</v>
      </c>
      <c r="AC50" s="458"/>
      <c r="AD50" s="458" t="s">
        <v>69</v>
      </c>
      <c r="AE50" s="458"/>
      <c r="AF50" s="458">
        <f>7950+50</f>
        <v>8000</v>
      </c>
      <c r="AG50" s="458">
        <f t="shared" si="3"/>
        <v>0</v>
      </c>
      <c r="AH50" s="489"/>
      <c r="AI50" s="458"/>
      <c r="AJ50" s="458"/>
      <c r="AK50" s="458"/>
      <c r="AL50" s="426">
        <f>I50</f>
        <v>8000</v>
      </c>
      <c r="AO50" s="495"/>
      <c r="AS50" s="425">
        <f>I50</f>
        <v>8000</v>
      </c>
      <c r="AT50" s="495"/>
      <c r="AY50" s="498">
        <f>I50/48</f>
        <v>166.666666666667</v>
      </c>
      <c r="BB50" s="425">
        <f>I50</f>
        <v>8000</v>
      </c>
      <c r="BL50" s="425">
        <f>I50/25</f>
        <v>320</v>
      </c>
      <c r="BT50" s="495"/>
      <c r="BV50" s="495"/>
      <c r="CK50" s="425">
        <f t="shared" si="0"/>
        <v>320</v>
      </c>
      <c r="CL50" s="425">
        <f t="shared" si="1"/>
        <v>0</v>
      </c>
      <c r="CM50" s="425">
        <f t="shared" si="2"/>
        <v>0</v>
      </c>
      <c r="CN50" s="495"/>
      <c r="CO50" s="495"/>
      <c r="CP50" s="495"/>
      <c r="CT50" s="495"/>
      <c r="CU50" s="495"/>
      <c r="CV50" s="495"/>
      <c r="CW50" s="495"/>
      <c r="CX50" s="495"/>
    </row>
    <row r="51" s="425" customFormat="1" ht="31" customHeight="1" spans="1:102">
      <c r="A51" s="455">
        <v>45707</v>
      </c>
      <c r="B51" s="456" t="s">
        <v>138</v>
      </c>
      <c r="C51" s="457" t="s">
        <v>139</v>
      </c>
      <c r="D51" s="425">
        <v>4500157858</v>
      </c>
      <c r="E51" s="457">
        <v>5200006149</v>
      </c>
      <c r="F51" s="425" t="s">
        <v>3259</v>
      </c>
      <c r="G51" s="458" t="s">
        <v>3231</v>
      </c>
      <c r="H51" s="458" t="s">
        <v>3207</v>
      </c>
      <c r="I51" s="458">
        <v>5200</v>
      </c>
      <c r="J51" s="458">
        <v>0</v>
      </c>
      <c r="K51" s="458">
        <v>13</v>
      </c>
      <c r="L51" s="462">
        <f t="shared" si="4"/>
        <v>400</v>
      </c>
      <c r="M51" s="463">
        <v>45786</v>
      </c>
      <c r="N51" s="463">
        <v>45782</v>
      </c>
      <c r="O51" s="464"/>
      <c r="P51" s="464" t="s">
        <v>103</v>
      </c>
      <c r="Q51" s="458"/>
      <c r="R51" s="472">
        <v>45707</v>
      </c>
      <c r="S51" s="472" t="s">
        <v>66</v>
      </c>
      <c r="T51" s="472">
        <v>45737</v>
      </c>
      <c r="U51" s="472"/>
      <c r="V51" s="473" t="s">
        <v>3260</v>
      </c>
      <c r="W51" s="473" t="s">
        <v>3261</v>
      </c>
      <c r="X51" s="473">
        <v>1.16</v>
      </c>
      <c r="Y51" s="480">
        <f t="shared" si="10"/>
        <v>6032</v>
      </c>
      <c r="Z51" s="458"/>
      <c r="AA51" s="458" t="s">
        <v>3206</v>
      </c>
      <c r="AB51" s="458" t="s">
        <v>76</v>
      </c>
      <c r="AC51" s="458"/>
      <c r="AD51" s="458" t="s">
        <v>69</v>
      </c>
      <c r="AE51" s="458"/>
      <c r="AF51" s="458">
        <v>5200</v>
      </c>
      <c r="AG51" s="458">
        <f t="shared" si="3"/>
        <v>0</v>
      </c>
      <c r="AH51" s="489"/>
      <c r="AI51" s="458"/>
      <c r="AJ51" s="458"/>
      <c r="AK51" s="458"/>
      <c r="AL51" s="426">
        <f>I51</f>
        <v>5200</v>
      </c>
      <c r="AO51" s="495"/>
      <c r="AQ51" s="425">
        <f>I51</f>
        <v>5200</v>
      </c>
      <c r="AS51" s="425">
        <f>I51</f>
        <v>5200</v>
      </c>
      <c r="AT51" s="495"/>
      <c r="AY51" s="498">
        <f>I51/24</f>
        <v>216.666666666667</v>
      </c>
      <c r="BI51" s="425">
        <f>I51/13</f>
        <v>400</v>
      </c>
      <c r="BT51" s="495"/>
      <c r="BV51" s="495"/>
      <c r="CK51" s="425">
        <f t="shared" si="0"/>
        <v>0</v>
      </c>
      <c r="CL51" s="425">
        <f t="shared" si="1"/>
        <v>0</v>
      </c>
      <c r="CM51" s="425">
        <f t="shared" si="2"/>
        <v>0</v>
      </c>
      <c r="CN51" s="495"/>
      <c r="CO51" s="495"/>
      <c r="CP51" s="495"/>
      <c r="CT51" s="495"/>
      <c r="CU51" s="495"/>
      <c r="CV51" s="495"/>
      <c r="CW51" s="495"/>
      <c r="CX51" s="495"/>
    </row>
    <row r="52" s="425" customFormat="1" ht="31" customHeight="1" spans="1:102">
      <c r="A52" s="455">
        <v>45742</v>
      </c>
      <c r="B52" s="456" t="s">
        <v>197</v>
      </c>
      <c r="C52" s="457" t="s">
        <v>198</v>
      </c>
      <c r="D52" s="425">
        <v>4500161426</v>
      </c>
      <c r="E52" s="457" t="s">
        <v>199</v>
      </c>
      <c r="F52" s="425" t="s">
        <v>3262</v>
      </c>
      <c r="G52" s="458" t="s">
        <v>3158</v>
      </c>
      <c r="H52" s="458" t="s">
        <v>3159</v>
      </c>
      <c r="I52" s="458">
        <v>1300</v>
      </c>
      <c r="J52" s="458">
        <v>0</v>
      </c>
      <c r="K52" s="458">
        <v>52</v>
      </c>
      <c r="L52" s="462">
        <f t="shared" si="4"/>
        <v>25</v>
      </c>
      <c r="M52" s="463">
        <v>45792</v>
      </c>
      <c r="N52" s="463">
        <v>45789</v>
      </c>
      <c r="O52" s="464"/>
      <c r="P52" s="464" t="s">
        <v>103</v>
      </c>
      <c r="Q52" s="458"/>
      <c r="R52" s="472">
        <v>45742</v>
      </c>
      <c r="S52" s="472" t="s">
        <v>66</v>
      </c>
      <c r="T52" s="472">
        <v>45750</v>
      </c>
      <c r="U52" s="472"/>
      <c r="V52" s="473" t="s">
        <v>3263</v>
      </c>
      <c r="W52" s="473" t="s">
        <v>196</v>
      </c>
      <c r="X52" s="473">
        <v>0.92</v>
      </c>
      <c r="Y52" s="480">
        <f t="shared" si="10"/>
        <v>1196</v>
      </c>
      <c r="Z52" s="458"/>
      <c r="AA52" s="484" t="s">
        <v>3158</v>
      </c>
      <c r="AB52" s="458" t="s">
        <v>76</v>
      </c>
      <c r="AC52" s="458"/>
      <c r="AD52" s="458" t="s">
        <v>69</v>
      </c>
      <c r="AE52" s="458"/>
      <c r="AF52" s="458">
        <v>1300</v>
      </c>
      <c r="AG52" s="458">
        <f t="shared" si="3"/>
        <v>0</v>
      </c>
      <c r="AH52" s="489"/>
      <c r="AI52" s="458"/>
      <c r="AJ52" s="458"/>
      <c r="AK52" s="458"/>
      <c r="AL52" s="426">
        <f>I52</f>
        <v>1300</v>
      </c>
      <c r="AO52" s="495"/>
      <c r="AQ52" s="425">
        <f>I52</f>
        <v>1300</v>
      </c>
      <c r="AS52" s="425">
        <f>I52</f>
        <v>1300</v>
      </c>
      <c r="AT52" s="495"/>
      <c r="AY52" s="498">
        <f>I52/24</f>
        <v>54.1666666666667</v>
      </c>
      <c r="BI52" s="425">
        <f>I52/13</f>
        <v>100</v>
      </c>
      <c r="BT52" s="495"/>
      <c r="BV52" s="495"/>
      <c r="CK52" s="425">
        <f t="shared" si="0"/>
        <v>0</v>
      </c>
      <c r="CL52" s="425">
        <f t="shared" si="1"/>
        <v>0</v>
      </c>
      <c r="CM52" s="425">
        <f t="shared" si="2"/>
        <v>0</v>
      </c>
      <c r="CN52" s="495"/>
      <c r="CO52" s="495"/>
      <c r="CP52" s="495"/>
      <c r="CT52" s="495"/>
      <c r="CU52" s="495"/>
      <c r="CV52" s="495"/>
      <c r="CW52" s="495"/>
      <c r="CX52" s="495"/>
    </row>
    <row r="53" s="425" customFormat="1" ht="31" customHeight="1" spans="1:102">
      <c r="A53" s="455">
        <v>45709</v>
      </c>
      <c r="B53" s="456" t="s">
        <v>220</v>
      </c>
      <c r="C53" s="457" t="s">
        <v>90</v>
      </c>
      <c r="D53" s="425">
        <v>4500158149</v>
      </c>
      <c r="E53" s="457" t="s">
        <v>227</v>
      </c>
      <c r="F53" s="425" t="s">
        <v>3264</v>
      </c>
      <c r="G53" s="458" t="s">
        <v>3198</v>
      </c>
      <c r="H53" s="458" t="s">
        <v>3199</v>
      </c>
      <c r="I53" s="458">
        <v>21900</v>
      </c>
      <c r="J53" s="458">
        <v>0</v>
      </c>
      <c r="K53" s="458">
        <v>25</v>
      </c>
      <c r="L53" s="462">
        <f t="shared" si="4"/>
        <v>876</v>
      </c>
      <c r="M53" s="463">
        <v>45775</v>
      </c>
      <c r="N53" s="463">
        <v>45789</v>
      </c>
      <c r="O53" s="464"/>
      <c r="P53" s="464" t="s">
        <v>103</v>
      </c>
      <c r="Q53" s="458"/>
      <c r="R53" s="472">
        <v>45743</v>
      </c>
      <c r="S53" s="472" t="s">
        <v>96</v>
      </c>
      <c r="T53" s="472">
        <v>45749</v>
      </c>
      <c r="U53" s="472"/>
      <c r="V53" s="473" t="s">
        <v>3265</v>
      </c>
      <c r="W53" s="473" t="s">
        <v>226</v>
      </c>
      <c r="X53" s="473">
        <v>1.65</v>
      </c>
      <c r="Y53" s="480">
        <f t="shared" si="10"/>
        <v>36135</v>
      </c>
      <c r="Z53" s="458"/>
      <c r="AA53" s="458" t="s">
        <v>3198</v>
      </c>
      <c r="AB53" s="458" t="s">
        <v>76</v>
      </c>
      <c r="AC53" s="458"/>
      <c r="AD53" s="458" t="s">
        <v>69</v>
      </c>
      <c r="AE53" s="458"/>
      <c r="AF53" s="458">
        <v>21900</v>
      </c>
      <c r="AG53" s="458">
        <f t="shared" si="3"/>
        <v>0</v>
      </c>
      <c r="AH53" s="489"/>
      <c r="AI53" s="458"/>
      <c r="AJ53" s="458"/>
      <c r="AK53" s="458">
        <f t="shared" ref="AK53:AK60" si="11">I53</f>
        <v>21900</v>
      </c>
      <c r="AM53" s="425">
        <f>I53</f>
        <v>21900</v>
      </c>
      <c r="AO53" s="495"/>
      <c r="AR53" s="425">
        <f t="shared" ref="AR53:AR60" si="12">I53</f>
        <v>21900</v>
      </c>
      <c r="AT53" s="495"/>
      <c r="AY53" s="498">
        <f>I53/48</f>
        <v>456.25</v>
      </c>
      <c r="BJ53" s="425">
        <f>I53/25</f>
        <v>876</v>
      </c>
      <c r="BT53" s="495"/>
      <c r="BV53" s="495"/>
      <c r="CK53" s="425">
        <f t="shared" si="0"/>
        <v>876</v>
      </c>
      <c r="CL53" s="425">
        <f t="shared" si="1"/>
        <v>0</v>
      </c>
      <c r="CM53" s="425">
        <f t="shared" si="2"/>
        <v>0</v>
      </c>
      <c r="CN53" s="495"/>
      <c r="CO53" s="495"/>
      <c r="CP53" s="495"/>
      <c r="CT53" s="495"/>
      <c r="CU53" s="495"/>
      <c r="CV53" s="495"/>
      <c r="CW53" s="495"/>
      <c r="CX53" s="495"/>
    </row>
    <row r="54" s="425" customFormat="1" ht="31" customHeight="1" spans="1:102">
      <c r="A54" s="455">
        <v>45723</v>
      </c>
      <c r="B54" s="456" t="s">
        <v>220</v>
      </c>
      <c r="C54" s="457" t="s">
        <v>90</v>
      </c>
      <c r="D54" s="425">
        <v>4500159315</v>
      </c>
      <c r="E54" s="457" t="s">
        <v>291</v>
      </c>
      <c r="F54" s="425" t="s">
        <v>3266</v>
      </c>
      <c r="G54" s="458" t="s">
        <v>3198</v>
      </c>
      <c r="H54" s="458" t="s">
        <v>3199</v>
      </c>
      <c r="I54" s="458">
        <v>20000</v>
      </c>
      <c r="J54" s="458">
        <v>0</v>
      </c>
      <c r="K54" s="458">
        <v>25</v>
      </c>
      <c r="L54" s="462">
        <f t="shared" si="4"/>
        <v>800</v>
      </c>
      <c r="M54" s="463">
        <v>45775</v>
      </c>
      <c r="N54" s="463">
        <v>45789</v>
      </c>
      <c r="O54" s="464"/>
      <c r="P54" s="464" t="s">
        <v>103</v>
      </c>
      <c r="Q54" s="458"/>
      <c r="R54" s="472">
        <v>45741</v>
      </c>
      <c r="S54" s="472" t="s">
        <v>96</v>
      </c>
      <c r="T54" s="472">
        <v>45749</v>
      </c>
      <c r="U54" s="472"/>
      <c r="V54" s="473" t="s">
        <v>3267</v>
      </c>
      <c r="W54" s="473" t="s">
        <v>226</v>
      </c>
      <c r="X54" s="473">
        <v>1.65</v>
      </c>
      <c r="Y54" s="480">
        <f t="shared" si="10"/>
        <v>33000</v>
      </c>
      <c r="Z54" s="458"/>
      <c r="AA54" s="458" t="s">
        <v>3198</v>
      </c>
      <c r="AB54" s="458" t="s">
        <v>76</v>
      </c>
      <c r="AC54" s="458"/>
      <c r="AD54" s="458" t="s">
        <v>69</v>
      </c>
      <c r="AE54" s="458"/>
      <c r="AF54" s="458">
        <v>20000</v>
      </c>
      <c r="AG54" s="458">
        <f t="shared" si="3"/>
        <v>0</v>
      </c>
      <c r="AH54" s="489"/>
      <c r="AI54" s="458"/>
      <c r="AJ54" s="458"/>
      <c r="AK54" s="458">
        <f t="shared" si="11"/>
        <v>20000</v>
      </c>
      <c r="AM54" s="425">
        <f>I54</f>
        <v>20000</v>
      </c>
      <c r="AO54" s="495"/>
      <c r="AR54" s="425">
        <f t="shared" si="12"/>
        <v>20000</v>
      </c>
      <c r="AT54" s="495"/>
      <c r="AY54" s="498">
        <f>I54/48</f>
        <v>416.666666666667</v>
      </c>
      <c r="BJ54" s="425">
        <f>I54/25</f>
        <v>800</v>
      </c>
      <c r="BT54" s="495"/>
      <c r="BV54" s="495"/>
      <c r="CK54" s="425">
        <f t="shared" si="0"/>
        <v>800</v>
      </c>
      <c r="CL54" s="425">
        <f t="shared" si="1"/>
        <v>0</v>
      </c>
      <c r="CM54" s="425">
        <f t="shared" si="2"/>
        <v>0</v>
      </c>
      <c r="CN54" s="495"/>
      <c r="CO54" s="495"/>
      <c r="CP54" s="495"/>
      <c r="CT54" s="495"/>
      <c r="CU54" s="495"/>
      <c r="CV54" s="495"/>
      <c r="CW54" s="495"/>
      <c r="CX54" s="495"/>
    </row>
    <row r="55" s="425" customFormat="1" ht="31" customHeight="1" spans="1:102">
      <c r="A55" s="455">
        <v>45727</v>
      </c>
      <c r="B55" s="456" t="s">
        <v>220</v>
      </c>
      <c r="C55" s="457" t="s">
        <v>90</v>
      </c>
      <c r="D55" s="425">
        <v>4500159604</v>
      </c>
      <c r="E55" s="457" t="s">
        <v>221</v>
      </c>
      <c r="F55" s="425" t="s">
        <v>3268</v>
      </c>
      <c r="G55" s="458" t="s">
        <v>3198</v>
      </c>
      <c r="H55" s="458" t="s">
        <v>3199</v>
      </c>
      <c r="I55" s="458">
        <v>30150</v>
      </c>
      <c r="J55" s="458">
        <v>0</v>
      </c>
      <c r="K55" s="458">
        <v>25</v>
      </c>
      <c r="L55" s="462">
        <f t="shared" si="4"/>
        <v>1206</v>
      </c>
      <c r="M55" s="463">
        <v>45777</v>
      </c>
      <c r="N55" s="463">
        <v>45789</v>
      </c>
      <c r="O55" s="464"/>
      <c r="P55" s="464" t="s">
        <v>103</v>
      </c>
      <c r="Q55" s="458"/>
      <c r="R55" s="472">
        <v>45743</v>
      </c>
      <c r="S55" s="472" t="s">
        <v>96</v>
      </c>
      <c r="T55" s="472">
        <v>45749</v>
      </c>
      <c r="U55" s="472"/>
      <c r="V55" s="473" t="s">
        <v>3269</v>
      </c>
      <c r="W55" s="473" t="s">
        <v>226</v>
      </c>
      <c r="X55" s="473">
        <v>1.65</v>
      </c>
      <c r="Y55" s="480">
        <f t="shared" si="10"/>
        <v>49747.5</v>
      </c>
      <c r="Z55" s="458"/>
      <c r="AA55" s="458" t="s">
        <v>3198</v>
      </c>
      <c r="AB55" s="458" t="s">
        <v>76</v>
      </c>
      <c r="AC55" s="458"/>
      <c r="AD55" s="458" t="s">
        <v>69</v>
      </c>
      <c r="AE55" s="458"/>
      <c r="AF55" s="458">
        <f>10650+19500</f>
        <v>30150</v>
      </c>
      <c r="AG55" s="458">
        <f t="shared" si="3"/>
        <v>0</v>
      </c>
      <c r="AH55" s="489"/>
      <c r="AI55" s="458"/>
      <c r="AJ55" s="458"/>
      <c r="AK55" s="458">
        <f t="shared" si="11"/>
        <v>30150</v>
      </c>
      <c r="AM55" s="425">
        <f>I55</f>
        <v>30150</v>
      </c>
      <c r="AO55" s="495"/>
      <c r="AR55" s="425">
        <f t="shared" si="12"/>
        <v>30150</v>
      </c>
      <c r="AT55" s="495"/>
      <c r="AY55" s="498">
        <f>I55/48</f>
        <v>628.125</v>
      </c>
      <c r="BJ55" s="425">
        <f>I55/25</f>
        <v>1206</v>
      </c>
      <c r="BT55" s="495"/>
      <c r="BV55" s="495"/>
      <c r="CK55" s="425">
        <f t="shared" si="0"/>
        <v>1206</v>
      </c>
      <c r="CL55" s="425">
        <f t="shared" si="1"/>
        <v>0</v>
      </c>
      <c r="CM55" s="425">
        <f t="shared" si="2"/>
        <v>0</v>
      </c>
      <c r="CN55" s="495"/>
      <c r="CO55" s="495"/>
      <c r="CP55" s="495"/>
      <c r="CT55" s="495"/>
      <c r="CU55" s="495"/>
      <c r="CV55" s="495"/>
      <c r="CW55" s="495"/>
      <c r="CX55" s="495"/>
    </row>
    <row r="56" s="425" customFormat="1" ht="31" customHeight="1" spans="1:102">
      <c r="A56" s="455">
        <v>45726</v>
      </c>
      <c r="B56" s="456" t="s">
        <v>159</v>
      </c>
      <c r="C56" s="457" t="s">
        <v>153</v>
      </c>
      <c r="D56" s="425">
        <v>4500159666</v>
      </c>
      <c r="E56" s="457" t="s">
        <v>3270</v>
      </c>
      <c r="F56" s="425" t="s">
        <v>3271</v>
      </c>
      <c r="G56" s="458" t="s">
        <v>3272</v>
      </c>
      <c r="H56" s="458" t="s">
        <v>3207</v>
      </c>
      <c r="I56" s="458">
        <v>16133</v>
      </c>
      <c r="J56" s="458">
        <v>0</v>
      </c>
      <c r="K56" s="458">
        <v>13</v>
      </c>
      <c r="L56" s="462">
        <f t="shared" si="4"/>
        <v>1241</v>
      </c>
      <c r="M56" s="463">
        <v>45786</v>
      </c>
      <c r="N56" s="463">
        <v>45782</v>
      </c>
      <c r="O56" s="464"/>
      <c r="P56" s="464" t="s">
        <v>103</v>
      </c>
      <c r="Q56" s="458"/>
      <c r="R56" s="472">
        <v>45727</v>
      </c>
      <c r="S56" s="472" t="s">
        <v>66</v>
      </c>
      <c r="T56" s="472" t="s">
        <v>66</v>
      </c>
      <c r="U56" s="472"/>
      <c r="V56" s="473" t="s">
        <v>3273</v>
      </c>
      <c r="W56" s="473" t="s">
        <v>164</v>
      </c>
      <c r="X56" s="473">
        <v>0.92</v>
      </c>
      <c r="Y56" s="480">
        <f t="shared" si="10"/>
        <v>14842.36</v>
      </c>
      <c r="Z56" s="458"/>
      <c r="AA56" s="458" t="s">
        <v>3272</v>
      </c>
      <c r="AB56" s="458" t="s">
        <v>76</v>
      </c>
      <c r="AC56" s="458"/>
      <c r="AD56" s="458" t="s">
        <v>69</v>
      </c>
      <c r="AE56" s="458"/>
      <c r="AF56" s="458">
        <f>16120+13</f>
        <v>16133</v>
      </c>
      <c r="AG56" s="458">
        <f t="shared" si="3"/>
        <v>0</v>
      </c>
      <c r="AH56" s="489"/>
      <c r="AI56" s="458"/>
      <c r="AJ56" s="458"/>
      <c r="AK56" s="458">
        <f t="shared" si="11"/>
        <v>16133</v>
      </c>
      <c r="AO56" s="495"/>
      <c r="AP56" s="425">
        <f>I56</f>
        <v>16133</v>
      </c>
      <c r="AR56" s="425">
        <f t="shared" si="12"/>
        <v>16133</v>
      </c>
      <c r="AT56" s="495"/>
      <c r="AY56" s="498">
        <f>I56/24</f>
        <v>672.208333333333</v>
      </c>
      <c r="BH56" s="425">
        <f>I56/13</f>
        <v>1241</v>
      </c>
      <c r="BT56" s="495"/>
      <c r="BV56" s="495"/>
      <c r="CK56" s="425">
        <f t="shared" si="0"/>
        <v>0</v>
      </c>
      <c r="CL56" s="425">
        <f t="shared" si="1"/>
        <v>0</v>
      </c>
      <c r="CM56" s="425">
        <f t="shared" si="2"/>
        <v>0</v>
      </c>
      <c r="CN56" s="495"/>
      <c r="CO56" s="495"/>
      <c r="CP56" s="495"/>
      <c r="CT56" s="495"/>
      <c r="CU56" s="495"/>
      <c r="CV56" s="495"/>
      <c r="CW56" s="495"/>
      <c r="CX56" s="495"/>
    </row>
    <row r="57" s="425" customFormat="1" ht="31" customHeight="1" spans="1:102">
      <c r="A57" s="455">
        <v>45726</v>
      </c>
      <c r="B57" s="456" t="s">
        <v>89</v>
      </c>
      <c r="C57" s="457" t="s">
        <v>90</v>
      </c>
      <c r="D57" s="425">
        <v>4500159673</v>
      </c>
      <c r="E57" s="457" t="s">
        <v>3274</v>
      </c>
      <c r="F57" s="425" t="s">
        <v>3275</v>
      </c>
      <c r="G57" s="458" t="s">
        <v>3180</v>
      </c>
      <c r="H57" s="458" t="s">
        <v>3181</v>
      </c>
      <c r="I57" s="458">
        <v>12736</v>
      </c>
      <c r="J57" s="458">
        <v>0</v>
      </c>
      <c r="K57" s="458">
        <v>16</v>
      </c>
      <c r="L57" s="462">
        <f t="shared" si="4"/>
        <v>796</v>
      </c>
      <c r="M57" s="463">
        <v>45789</v>
      </c>
      <c r="N57" s="463">
        <v>45785</v>
      </c>
      <c r="O57" s="464" t="s">
        <v>169</v>
      </c>
      <c r="P57" s="464" t="s">
        <v>103</v>
      </c>
      <c r="Q57" s="458"/>
      <c r="R57" s="472">
        <v>45727</v>
      </c>
      <c r="S57" s="472" t="s">
        <v>96</v>
      </c>
      <c r="T57" s="472" t="s">
        <v>3276</v>
      </c>
      <c r="U57" s="472"/>
      <c r="V57" s="473" t="s">
        <v>3277</v>
      </c>
      <c r="W57" s="473" t="s">
        <v>98</v>
      </c>
      <c r="X57" s="473">
        <v>1.68</v>
      </c>
      <c r="Y57" s="480">
        <f t="shared" si="10"/>
        <v>21396.48</v>
      </c>
      <c r="Z57" s="458"/>
      <c r="AA57" s="458" t="s">
        <v>3180</v>
      </c>
      <c r="AB57" s="458" t="s">
        <v>76</v>
      </c>
      <c r="AC57" s="458"/>
      <c r="AD57" s="458" t="s">
        <v>69</v>
      </c>
      <c r="AE57" s="458"/>
      <c r="AF57" s="458">
        <v>12736</v>
      </c>
      <c r="AG57" s="458">
        <f t="shared" si="3"/>
        <v>0</v>
      </c>
      <c r="AH57" s="489"/>
      <c r="AI57" s="458"/>
      <c r="AJ57" s="458"/>
      <c r="AK57" s="458">
        <f t="shared" si="11"/>
        <v>12736</v>
      </c>
      <c r="AM57" s="425">
        <f>I57</f>
        <v>12736</v>
      </c>
      <c r="AO57" s="495"/>
      <c r="AR57" s="425">
        <f t="shared" si="12"/>
        <v>12736</v>
      </c>
      <c r="AT57" s="495"/>
      <c r="AY57" s="498">
        <f>I57/48</f>
        <v>265.333333333333</v>
      </c>
      <c r="BM57" s="425">
        <f>I57/16</f>
        <v>796</v>
      </c>
      <c r="BT57" s="495"/>
      <c r="BV57" s="495"/>
      <c r="CK57" s="425">
        <f t="shared" si="0"/>
        <v>796</v>
      </c>
      <c r="CL57" s="425">
        <f t="shared" si="1"/>
        <v>0</v>
      </c>
      <c r="CM57" s="425">
        <f t="shared" si="2"/>
        <v>0</v>
      </c>
      <c r="CN57" s="495"/>
      <c r="CO57" s="495"/>
      <c r="CP57" s="495"/>
      <c r="CT57" s="495"/>
      <c r="CU57" s="495"/>
      <c r="CV57" s="495"/>
      <c r="CW57" s="495"/>
      <c r="CX57" s="495"/>
    </row>
    <row r="58" s="425" customFormat="1" ht="31" customHeight="1" spans="1:102">
      <c r="A58" s="455">
        <v>45726</v>
      </c>
      <c r="B58" s="456" t="s">
        <v>89</v>
      </c>
      <c r="C58" s="457" t="s">
        <v>90</v>
      </c>
      <c r="D58" s="425">
        <v>4500159673</v>
      </c>
      <c r="E58" s="457" t="s">
        <v>3278</v>
      </c>
      <c r="F58" s="425" t="s">
        <v>3279</v>
      </c>
      <c r="G58" s="458" t="s">
        <v>3180</v>
      </c>
      <c r="H58" s="458" t="s">
        <v>3181</v>
      </c>
      <c r="I58" s="458">
        <v>16960</v>
      </c>
      <c r="J58" s="458">
        <v>0</v>
      </c>
      <c r="K58" s="458">
        <v>16</v>
      </c>
      <c r="L58" s="462">
        <f t="shared" si="4"/>
        <v>1060</v>
      </c>
      <c r="M58" s="463">
        <v>45789</v>
      </c>
      <c r="N58" s="463">
        <v>45785</v>
      </c>
      <c r="O58" s="464" t="s">
        <v>169</v>
      </c>
      <c r="P58" s="464" t="s">
        <v>103</v>
      </c>
      <c r="Q58" s="458"/>
      <c r="R58" s="472">
        <v>45727</v>
      </c>
      <c r="S58" s="472" t="s">
        <v>96</v>
      </c>
      <c r="T58" s="472" t="s">
        <v>3276</v>
      </c>
      <c r="U58" s="472"/>
      <c r="V58" s="473" t="s">
        <v>3277</v>
      </c>
      <c r="W58" s="473" t="s">
        <v>98</v>
      </c>
      <c r="X58" s="473">
        <v>1.68</v>
      </c>
      <c r="Y58" s="480">
        <f t="shared" si="10"/>
        <v>28492.8</v>
      </c>
      <c r="Z58" s="458"/>
      <c r="AA58" s="458" t="s">
        <v>3180</v>
      </c>
      <c r="AB58" s="458" t="s">
        <v>76</v>
      </c>
      <c r="AC58" s="458"/>
      <c r="AD58" s="458" t="s">
        <v>3280</v>
      </c>
      <c r="AE58" s="458"/>
      <c r="AF58" s="458">
        <v>16960</v>
      </c>
      <c r="AG58" s="458">
        <f t="shared" si="3"/>
        <v>0</v>
      </c>
      <c r="AH58" s="489"/>
      <c r="AI58" s="458"/>
      <c r="AJ58" s="458"/>
      <c r="AK58" s="458">
        <f t="shared" si="11"/>
        <v>16960</v>
      </c>
      <c r="AM58" s="425">
        <f>I58</f>
        <v>16960</v>
      </c>
      <c r="AO58" s="495"/>
      <c r="AR58" s="425">
        <f t="shared" si="12"/>
        <v>16960</v>
      </c>
      <c r="AT58" s="495"/>
      <c r="AY58" s="498">
        <f>I58/48</f>
        <v>353.333333333333</v>
      </c>
      <c r="BM58" s="425">
        <f>I58/16</f>
        <v>1060</v>
      </c>
      <c r="BT58" s="495"/>
      <c r="BV58" s="495"/>
      <c r="CK58" s="425">
        <f t="shared" si="0"/>
        <v>1060</v>
      </c>
      <c r="CL58" s="425">
        <f t="shared" si="1"/>
        <v>0</v>
      </c>
      <c r="CM58" s="425">
        <f t="shared" si="2"/>
        <v>0</v>
      </c>
      <c r="CN58" s="495"/>
      <c r="CO58" s="495"/>
      <c r="CP58" s="495"/>
      <c r="CT58" s="495"/>
      <c r="CU58" s="495"/>
      <c r="CV58" s="495"/>
      <c r="CW58" s="495"/>
      <c r="CX58" s="495"/>
    </row>
    <row r="59" s="425" customFormat="1" ht="31" customHeight="1" spans="1:102">
      <c r="A59" s="455">
        <v>45726</v>
      </c>
      <c r="B59" s="456" t="s">
        <v>89</v>
      </c>
      <c r="C59" s="457" t="s">
        <v>90</v>
      </c>
      <c r="D59" s="425">
        <v>4500159673</v>
      </c>
      <c r="E59" s="457" t="s">
        <v>3281</v>
      </c>
      <c r="F59" s="425" t="s">
        <v>3282</v>
      </c>
      <c r="G59" s="458" t="s">
        <v>3180</v>
      </c>
      <c r="H59" s="458" t="s">
        <v>3181</v>
      </c>
      <c r="I59" s="458">
        <v>15104</v>
      </c>
      <c r="J59" s="458">
        <v>0</v>
      </c>
      <c r="K59" s="458">
        <v>16</v>
      </c>
      <c r="L59" s="462">
        <f t="shared" si="4"/>
        <v>944</v>
      </c>
      <c r="M59" s="463">
        <v>45789</v>
      </c>
      <c r="N59" s="463">
        <v>45785</v>
      </c>
      <c r="O59" s="464" t="s">
        <v>169</v>
      </c>
      <c r="P59" s="464" t="s">
        <v>103</v>
      </c>
      <c r="Q59" s="458"/>
      <c r="R59" s="472">
        <v>45727</v>
      </c>
      <c r="S59" s="472" t="s">
        <v>96</v>
      </c>
      <c r="T59" s="472" t="s">
        <v>3276</v>
      </c>
      <c r="U59" s="472"/>
      <c r="V59" s="473" t="s">
        <v>3277</v>
      </c>
      <c r="W59" s="473" t="s">
        <v>98</v>
      </c>
      <c r="X59" s="473">
        <v>1.68</v>
      </c>
      <c r="Y59" s="480">
        <f t="shared" si="10"/>
        <v>25374.72</v>
      </c>
      <c r="Z59" s="458"/>
      <c r="AA59" s="458" t="s">
        <v>3180</v>
      </c>
      <c r="AB59" s="458" t="s">
        <v>76</v>
      </c>
      <c r="AC59" s="458"/>
      <c r="AD59" s="458" t="s">
        <v>3280</v>
      </c>
      <c r="AE59" s="458"/>
      <c r="AF59" s="458">
        <v>15104</v>
      </c>
      <c r="AG59" s="458">
        <f t="shared" si="3"/>
        <v>0</v>
      </c>
      <c r="AH59" s="489"/>
      <c r="AI59" s="458"/>
      <c r="AJ59" s="458"/>
      <c r="AK59" s="458">
        <f t="shared" si="11"/>
        <v>15104</v>
      </c>
      <c r="AM59" s="425">
        <f>I59</f>
        <v>15104</v>
      </c>
      <c r="AO59" s="495"/>
      <c r="AR59" s="425">
        <f t="shared" si="12"/>
        <v>15104</v>
      </c>
      <c r="AT59" s="495"/>
      <c r="AY59" s="498">
        <f>I59/48</f>
        <v>314.666666666667</v>
      </c>
      <c r="BM59" s="425">
        <f>I59/16</f>
        <v>944</v>
      </c>
      <c r="BT59" s="495"/>
      <c r="BV59" s="495"/>
      <c r="CK59" s="425">
        <f t="shared" si="0"/>
        <v>944</v>
      </c>
      <c r="CL59" s="425">
        <f t="shared" si="1"/>
        <v>0</v>
      </c>
      <c r="CM59" s="425">
        <f t="shared" si="2"/>
        <v>0</v>
      </c>
      <c r="CN59" s="495"/>
      <c r="CO59" s="495"/>
      <c r="CP59" s="495"/>
      <c r="CT59" s="495"/>
      <c r="CU59" s="495"/>
      <c r="CV59" s="495"/>
      <c r="CW59" s="495"/>
      <c r="CX59" s="495"/>
    </row>
    <row r="60" s="425" customFormat="1" ht="31" customHeight="1" spans="1:102">
      <c r="A60" s="455">
        <v>45748</v>
      </c>
      <c r="B60" s="456" t="s">
        <v>128</v>
      </c>
      <c r="C60" s="457" t="s">
        <v>90</v>
      </c>
      <c r="D60" s="425">
        <v>4500162161</v>
      </c>
      <c r="E60" s="895" t="s">
        <v>3283</v>
      </c>
      <c r="F60" s="425" t="s">
        <v>3284</v>
      </c>
      <c r="G60" s="458" t="s">
        <v>3180</v>
      </c>
      <c r="H60" s="458" t="s">
        <v>3181</v>
      </c>
      <c r="I60" s="458">
        <v>4032</v>
      </c>
      <c r="J60" s="458">
        <v>0</v>
      </c>
      <c r="K60" s="458">
        <v>16</v>
      </c>
      <c r="L60" s="462">
        <f t="shared" si="4"/>
        <v>252</v>
      </c>
      <c r="M60" s="463">
        <v>45789</v>
      </c>
      <c r="N60" s="463">
        <v>45785</v>
      </c>
      <c r="O60" s="464" t="s">
        <v>169</v>
      </c>
      <c r="P60" s="464" t="s">
        <v>103</v>
      </c>
      <c r="Q60" s="458"/>
      <c r="R60" s="472" t="s">
        <v>132</v>
      </c>
      <c r="S60" s="472" t="s">
        <v>66</v>
      </c>
      <c r="T60" s="472" t="s">
        <v>3250</v>
      </c>
      <c r="U60" s="472" t="s">
        <v>133</v>
      </c>
      <c r="V60" s="473" t="s">
        <v>3251</v>
      </c>
      <c r="W60" s="473" t="s">
        <v>98</v>
      </c>
      <c r="X60" s="473">
        <v>1.68</v>
      </c>
      <c r="Y60" s="480">
        <f t="shared" si="10"/>
        <v>6773.76</v>
      </c>
      <c r="Z60" s="458"/>
      <c r="AA60" s="458" t="s">
        <v>3180</v>
      </c>
      <c r="AB60" s="458" t="s">
        <v>76</v>
      </c>
      <c r="AC60" s="458"/>
      <c r="AD60" s="458" t="s">
        <v>69</v>
      </c>
      <c r="AE60" s="458"/>
      <c r="AF60" s="458">
        <v>4032</v>
      </c>
      <c r="AG60" s="458">
        <f t="shared" si="3"/>
        <v>0</v>
      </c>
      <c r="AH60" s="489"/>
      <c r="AI60" s="458"/>
      <c r="AJ60" s="458"/>
      <c r="AK60" s="458">
        <f t="shared" si="11"/>
        <v>4032</v>
      </c>
      <c r="AM60" s="425">
        <f>I60</f>
        <v>4032</v>
      </c>
      <c r="AO60" s="495"/>
      <c r="AR60" s="425">
        <f t="shared" si="12"/>
        <v>4032</v>
      </c>
      <c r="AT60" s="495"/>
      <c r="AY60" s="498">
        <f>I60/48</f>
        <v>84</v>
      </c>
      <c r="BM60" s="425">
        <f>I60/16</f>
        <v>252</v>
      </c>
      <c r="BT60" s="495"/>
      <c r="BV60" s="495"/>
      <c r="CK60" s="425">
        <f t="shared" si="0"/>
        <v>252</v>
      </c>
      <c r="CL60" s="425">
        <f t="shared" si="1"/>
        <v>0</v>
      </c>
      <c r="CM60" s="425">
        <f t="shared" si="2"/>
        <v>0</v>
      </c>
      <c r="CN60" s="495"/>
      <c r="CO60" s="495"/>
      <c r="CP60" s="495"/>
      <c r="CT60" s="495"/>
      <c r="CU60" s="495"/>
      <c r="CV60" s="495"/>
      <c r="CW60" s="495"/>
      <c r="CX60" s="495"/>
    </row>
    <row r="61" s="425" customFormat="1" ht="31" customHeight="1" spans="1:102">
      <c r="A61" s="455">
        <v>45748</v>
      </c>
      <c r="B61" s="456" t="s">
        <v>539</v>
      </c>
      <c r="C61" s="457" t="s">
        <v>356</v>
      </c>
      <c r="D61" s="425">
        <v>4500162134</v>
      </c>
      <c r="E61" s="457"/>
      <c r="F61" s="425" t="s">
        <v>3285</v>
      </c>
      <c r="G61" s="458" t="s">
        <v>3161</v>
      </c>
      <c r="H61" s="458" t="s">
        <v>3221</v>
      </c>
      <c r="I61" s="458">
        <v>2000</v>
      </c>
      <c r="J61" s="458">
        <v>0</v>
      </c>
      <c r="K61" s="458">
        <v>50</v>
      </c>
      <c r="L61" s="462">
        <f t="shared" si="4"/>
        <v>40</v>
      </c>
      <c r="M61" s="463">
        <v>45789</v>
      </c>
      <c r="N61" s="463">
        <v>45785</v>
      </c>
      <c r="O61" s="464" t="s">
        <v>3286</v>
      </c>
      <c r="P61" s="464" t="s">
        <v>103</v>
      </c>
      <c r="Q61" s="458" t="s">
        <v>3287</v>
      </c>
      <c r="R61" s="472">
        <v>45761</v>
      </c>
      <c r="S61" s="472" t="s">
        <v>66</v>
      </c>
      <c r="T61" s="472">
        <v>45768</v>
      </c>
      <c r="U61" s="472" t="s">
        <v>3288</v>
      </c>
      <c r="V61" s="473" t="s">
        <v>3289</v>
      </c>
      <c r="W61" s="473" t="s">
        <v>395</v>
      </c>
      <c r="X61" s="473">
        <v>0.95</v>
      </c>
      <c r="Y61" s="480">
        <f t="shared" si="10"/>
        <v>1900</v>
      </c>
      <c r="Z61" s="458"/>
      <c r="AA61" s="458" t="s">
        <v>3161</v>
      </c>
      <c r="AB61" s="458" t="s">
        <v>76</v>
      </c>
      <c r="AC61" s="458"/>
      <c r="AD61" s="458" t="s">
        <v>69</v>
      </c>
      <c r="AE61" s="458"/>
      <c r="AF61" s="458">
        <v>2000</v>
      </c>
      <c r="AG61" s="458">
        <f t="shared" si="3"/>
        <v>0</v>
      </c>
      <c r="AH61" s="489"/>
      <c r="AI61" s="458"/>
      <c r="AJ61" s="458"/>
      <c r="AK61" s="458"/>
      <c r="AL61" s="426">
        <f>I61</f>
        <v>2000</v>
      </c>
      <c r="AO61" s="495"/>
      <c r="AQ61" s="425">
        <f>I61</f>
        <v>2000</v>
      </c>
      <c r="AS61" s="425">
        <f>I61</f>
        <v>2000</v>
      </c>
      <c r="AT61" s="495"/>
      <c r="AY61" s="498">
        <f t="shared" ref="AY61:AY67" si="13">I61/24</f>
        <v>83.3333333333333</v>
      </c>
      <c r="BL61" s="425">
        <f>I61/25</f>
        <v>80</v>
      </c>
      <c r="BT61" s="495"/>
      <c r="BV61" s="495"/>
      <c r="CK61" s="425">
        <f t="shared" si="0"/>
        <v>80</v>
      </c>
      <c r="CL61" s="425">
        <f t="shared" si="1"/>
        <v>0</v>
      </c>
      <c r="CM61" s="425">
        <f t="shared" si="2"/>
        <v>0</v>
      </c>
      <c r="CN61" s="495"/>
      <c r="CO61" s="495"/>
      <c r="CP61" s="495"/>
      <c r="CT61" s="495"/>
      <c r="CU61" s="495"/>
      <c r="CV61" s="495"/>
      <c r="CW61" s="495"/>
      <c r="CX61" s="495"/>
    </row>
    <row r="62" s="425" customFormat="1" ht="31" customHeight="1" spans="1:102">
      <c r="A62" s="455">
        <v>45755</v>
      </c>
      <c r="B62" s="456" t="s">
        <v>178</v>
      </c>
      <c r="C62" s="457" t="s">
        <v>179</v>
      </c>
      <c r="D62" s="425">
        <v>4500162820</v>
      </c>
      <c r="E62" s="457">
        <v>5200006528</v>
      </c>
      <c r="F62" s="425" t="s">
        <v>3290</v>
      </c>
      <c r="G62" s="458" t="s">
        <v>3231</v>
      </c>
      <c r="H62" s="458" t="s">
        <v>3207</v>
      </c>
      <c r="I62" s="458">
        <v>6604</v>
      </c>
      <c r="J62" s="458">
        <v>0</v>
      </c>
      <c r="K62" s="458">
        <v>13</v>
      </c>
      <c r="L62" s="462">
        <f t="shared" si="4"/>
        <v>508</v>
      </c>
      <c r="M62" s="463">
        <v>45789</v>
      </c>
      <c r="N62" s="463">
        <v>45785</v>
      </c>
      <c r="O62" s="464"/>
      <c r="P62" s="464" t="s">
        <v>103</v>
      </c>
      <c r="Q62" s="458"/>
      <c r="R62" s="472">
        <v>45757</v>
      </c>
      <c r="S62" s="472" t="s">
        <v>66</v>
      </c>
      <c r="T62" s="472" t="s">
        <v>66</v>
      </c>
      <c r="U62" s="472"/>
      <c r="V62" s="473" t="s">
        <v>3291</v>
      </c>
      <c r="W62" s="473" t="s">
        <v>145</v>
      </c>
      <c r="X62" s="473">
        <v>1.16</v>
      </c>
      <c r="Y62" s="480">
        <f t="shared" si="10"/>
        <v>7660.64</v>
      </c>
      <c r="Z62" s="458"/>
      <c r="AA62" s="458" t="s">
        <v>3206</v>
      </c>
      <c r="AB62" s="458" t="s">
        <v>76</v>
      </c>
      <c r="AC62" s="458"/>
      <c r="AD62" s="458" t="s">
        <v>69</v>
      </c>
      <c r="AE62" s="458"/>
      <c r="AF62" s="458">
        <v>6604</v>
      </c>
      <c r="AG62" s="458">
        <f t="shared" si="3"/>
        <v>0</v>
      </c>
      <c r="AH62" s="489"/>
      <c r="AI62" s="458"/>
      <c r="AJ62" s="458"/>
      <c r="AK62" s="458"/>
      <c r="AL62" s="426">
        <f>I62</f>
        <v>6604</v>
      </c>
      <c r="AO62" s="495"/>
      <c r="AQ62" s="425">
        <f>I62</f>
        <v>6604</v>
      </c>
      <c r="AS62" s="425">
        <f>I62</f>
        <v>6604</v>
      </c>
      <c r="AT62" s="495"/>
      <c r="AY62" s="498">
        <f t="shared" si="13"/>
        <v>275.166666666667</v>
      </c>
      <c r="BI62" s="425">
        <f>I62/13</f>
        <v>508</v>
      </c>
      <c r="BT62" s="495"/>
      <c r="BV62" s="495"/>
      <c r="CK62" s="425">
        <f t="shared" si="0"/>
        <v>0</v>
      </c>
      <c r="CL62" s="425">
        <f t="shared" si="1"/>
        <v>0</v>
      </c>
      <c r="CM62" s="425">
        <f t="shared" si="2"/>
        <v>0</v>
      </c>
      <c r="CN62" s="495"/>
      <c r="CO62" s="495"/>
      <c r="CP62" s="495"/>
      <c r="CT62" s="495"/>
      <c r="CU62" s="495"/>
      <c r="CV62" s="495"/>
      <c r="CW62" s="495"/>
      <c r="CX62" s="495"/>
    </row>
    <row r="63" s="425" customFormat="1" ht="31" customHeight="1" spans="1:102">
      <c r="A63" s="455">
        <v>45737</v>
      </c>
      <c r="B63" s="456" t="s">
        <v>190</v>
      </c>
      <c r="C63" s="457" t="s">
        <v>191</v>
      </c>
      <c r="D63" s="425">
        <v>4500160943</v>
      </c>
      <c r="E63" s="457" t="s">
        <v>192</v>
      </c>
      <c r="F63" s="425" t="s">
        <v>3292</v>
      </c>
      <c r="G63" s="458" t="s">
        <v>3206</v>
      </c>
      <c r="H63" s="458" t="s">
        <v>3207</v>
      </c>
      <c r="I63" s="458">
        <v>3016</v>
      </c>
      <c r="J63" s="458">
        <v>0</v>
      </c>
      <c r="K63" s="458">
        <v>13</v>
      </c>
      <c r="L63" s="462">
        <f t="shared" si="4"/>
        <v>232</v>
      </c>
      <c r="M63" s="463">
        <v>45792</v>
      </c>
      <c r="N63" s="463">
        <v>45789</v>
      </c>
      <c r="O63" s="464"/>
      <c r="P63" s="464" t="s">
        <v>103</v>
      </c>
      <c r="Q63" s="458"/>
      <c r="R63" s="472">
        <v>45737</v>
      </c>
      <c r="S63" s="472" t="s">
        <v>66</v>
      </c>
      <c r="T63" s="472" t="s">
        <v>3293</v>
      </c>
      <c r="U63" s="472"/>
      <c r="V63" s="473" t="s">
        <v>3294</v>
      </c>
      <c r="W63" s="473" t="s">
        <v>196</v>
      </c>
      <c r="X63" s="473">
        <v>0.92</v>
      </c>
      <c r="Y63" s="480">
        <f t="shared" si="10"/>
        <v>2774.72</v>
      </c>
      <c r="Z63" s="458"/>
      <c r="AA63" s="458" t="s">
        <v>3206</v>
      </c>
      <c r="AB63" s="458" t="s">
        <v>76</v>
      </c>
      <c r="AC63" s="458"/>
      <c r="AD63" s="458" t="s">
        <v>69</v>
      </c>
      <c r="AE63" s="458"/>
      <c r="AF63" s="458">
        <v>3016</v>
      </c>
      <c r="AG63" s="458">
        <f t="shared" si="3"/>
        <v>0</v>
      </c>
      <c r="AH63" s="489"/>
      <c r="AI63" s="458"/>
      <c r="AJ63" s="458"/>
      <c r="AK63" s="458"/>
      <c r="AL63" s="426">
        <f>I63</f>
        <v>3016</v>
      </c>
      <c r="AO63" s="495"/>
      <c r="AQ63" s="425">
        <f>I63</f>
        <v>3016</v>
      </c>
      <c r="AS63" s="425">
        <f>I63</f>
        <v>3016</v>
      </c>
      <c r="AT63" s="495"/>
      <c r="AY63" s="498">
        <f t="shared" si="13"/>
        <v>125.666666666667</v>
      </c>
      <c r="BI63" s="425">
        <f>I63/13</f>
        <v>232</v>
      </c>
      <c r="BT63" s="495"/>
      <c r="BV63" s="495"/>
      <c r="CK63" s="425">
        <f t="shared" si="0"/>
        <v>0</v>
      </c>
      <c r="CL63" s="425">
        <f t="shared" si="1"/>
        <v>0</v>
      </c>
      <c r="CM63" s="425">
        <f t="shared" si="2"/>
        <v>0</v>
      </c>
      <c r="CN63" s="495"/>
      <c r="CO63" s="495"/>
      <c r="CP63" s="495"/>
      <c r="CT63" s="495"/>
      <c r="CU63" s="495"/>
      <c r="CV63" s="495"/>
      <c r="CW63" s="495"/>
      <c r="CX63" s="495"/>
    </row>
    <row r="64" s="425" customFormat="1" ht="31" customHeight="1" spans="1:102">
      <c r="A64" s="455">
        <v>45757</v>
      </c>
      <c r="B64" s="456" t="s">
        <v>202</v>
      </c>
      <c r="C64" s="457" t="s">
        <v>203</v>
      </c>
      <c r="D64" s="425">
        <v>4500163177</v>
      </c>
      <c r="E64" s="457" t="s">
        <v>204</v>
      </c>
      <c r="F64" s="425" t="s">
        <v>3295</v>
      </c>
      <c r="G64" s="458" t="s">
        <v>3158</v>
      </c>
      <c r="H64" s="458" t="s">
        <v>3159</v>
      </c>
      <c r="I64" s="458">
        <v>2080</v>
      </c>
      <c r="J64" s="458">
        <v>0</v>
      </c>
      <c r="K64" s="458">
        <v>52</v>
      </c>
      <c r="L64" s="462">
        <f t="shared" si="4"/>
        <v>40</v>
      </c>
      <c r="M64" s="463">
        <v>45792</v>
      </c>
      <c r="N64" s="463">
        <v>45789</v>
      </c>
      <c r="O64" s="464"/>
      <c r="P64" s="464" t="s">
        <v>103</v>
      </c>
      <c r="Q64" s="458"/>
      <c r="R64" s="472">
        <v>45758</v>
      </c>
      <c r="S64" s="472" t="s">
        <v>66</v>
      </c>
      <c r="T64" s="472">
        <v>45757</v>
      </c>
      <c r="U64" s="472"/>
      <c r="V64" s="473" t="s">
        <v>3296</v>
      </c>
      <c r="W64" s="473" t="s">
        <v>207</v>
      </c>
      <c r="X64" s="473">
        <v>0.92</v>
      </c>
      <c r="Y64" s="480">
        <f t="shared" si="10"/>
        <v>1913.6</v>
      </c>
      <c r="Z64" s="458"/>
      <c r="AA64" s="484" t="s">
        <v>3158</v>
      </c>
      <c r="AB64" s="458" t="s">
        <v>76</v>
      </c>
      <c r="AC64" s="458"/>
      <c r="AD64" s="458" t="s">
        <v>69</v>
      </c>
      <c r="AE64" s="458"/>
      <c r="AF64" s="458">
        <v>2080</v>
      </c>
      <c r="AG64" s="458">
        <f t="shared" si="3"/>
        <v>0</v>
      </c>
      <c r="AH64" s="489"/>
      <c r="AI64" s="458"/>
      <c r="AJ64" s="458"/>
      <c r="AK64" s="458"/>
      <c r="AL64" s="426">
        <f>I64</f>
        <v>2080</v>
      </c>
      <c r="AO64" s="495"/>
      <c r="AQ64" s="425">
        <f>I64</f>
        <v>2080</v>
      </c>
      <c r="AS64" s="425">
        <f>I64</f>
        <v>2080</v>
      </c>
      <c r="AT64" s="495"/>
      <c r="AY64" s="498">
        <f t="shared" si="13"/>
        <v>86.6666666666667</v>
      </c>
      <c r="BI64" s="425">
        <f>I64/13</f>
        <v>160</v>
      </c>
      <c r="BT64" s="495"/>
      <c r="BV64" s="495"/>
      <c r="CK64" s="425">
        <f t="shared" si="0"/>
        <v>0</v>
      </c>
      <c r="CL64" s="425">
        <f t="shared" si="1"/>
        <v>0</v>
      </c>
      <c r="CM64" s="425">
        <f t="shared" si="2"/>
        <v>0</v>
      </c>
      <c r="CN64" s="495"/>
      <c r="CO64" s="495"/>
      <c r="CP64" s="495"/>
      <c r="CT64" s="495"/>
      <c r="CU64" s="495"/>
      <c r="CV64" s="495"/>
      <c r="CW64" s="495"/>
      <c r="CX64" s="495"/>
    </row>
    <row r="65" s="425" customFormat="1" ht="31" customHeight="1" spans="1:102">
      <c r="A65" s="455">
        <v>45733</v>
      </c>
      <c r="B65" s="456" t="s">
        <v>152</v>
      </c>
      <c r="C65" s="457" t="s">
        <v>153</v>
      </c>
      <c r="D65" s="425">
        <v>4500160504</v>
      </c>
      <c r="E65" s="457">
        <v>9900923470</v>
      </c>
      <c r="F65" s="425" t="s">
        <v>3297</v>
      </c>
      <c r="G65" s="458" t="s">
        <v>3198</v>
      </c>
      <c r="H65" s="458" t="s">
        <v>3199</v>
      </c>
      <c r="I65" s="458">
        <v>50</v>
      </c>
      <c r="J65" s="458">
        <v>0</v>
      </c>
      <c r="K65" s="458">
        <v>25</v>
      </c>
      <c r="L65" s="462">
        <f t="shared" si="4"/>
        <v>2</v>
      </c>
      <c r="M65" s="463">
        <v>45793</v>
      </c>
      <c r="N65" s="463">
        <v>45789</v>
      </c>
      <c r="O65" s="464" t="s">
        <v>3298</v>
      </c>
      <c r="P65" s="464" t="s">
        <v>103</v>
      </c>
      <c r="Q65" s="458"/>
      <c r="R65" s="472">
        <v>45748</v>
      </c>
      <c r="S65" s="472" t="s">
        <v>66</v>
      </c>
      <c r="T65" s="472">
        <v>45734</v>
      </c>
      <c r="U65" s="472"/>
      <c r="V65" s="473" t="s">
        <v>3299</v>
      </c>
      <c r="W65" s="473" t="s">
        <v>158</v>
      </c>
      <c r="X65" s="473">
        <v>0.95</v>
      </c>
      <c r="Y65" s="480">
        <f t="shared" si="10"/>
        <v>47.5</v>
      </c>
      <c r="Z65" s="458"/>
      <c r="AA65" s="458" t="s">
        <v>3202</v>
      </c>
      <c r="AB65" s="458" t="s">
        <v>76</v>
      </c>
      <c r="AC65" s="458"/>
      <c r="AD65" s="458" t="s">
        <v>69</v>
      </c>
      <c r="AE65" s="458"/>
      <c r="AF65" s="458">
        <v>50</v>
      </c>
      <c r="AG65" s="458">
        <f t="shared" si="3"/>
        <v>0</v>
      </c>
      <c r="AH65" s="489"/>
      <c r="AI65" s="458"/>
      <c r="AJ65" s="458"/>
      <c r="AK65" s="458">
        <f>I65</f>
        <v>50</v>
      </c>
      <c r="AO65" s="495"/>
      <c r="AP65" s="425">
        <f>I65</f>
        <v>50</v>
      </c>
      <c r="AR65" s="425">
        <f>I65</f>
        <v>50</v>
      </c>
      <c r="AT65" s="495"/>
      <c r="AY65" s="498">
        <f t="shared" si="13"/>
        <v>2.08333333333333</v>
      </c>
      <c r="BK65" s="425">
        <f>I65/25</f>
        <v>2</v>
      </c>
      <c r="BT65" s="495"/>
      <c r="BV65" s="495"/>
      <c r="CK65" s="425">
        <f t="shared" si="0"/>
        <v>2</v>
      </c>
      <c r="CL65" s="425">
        <f t="shared" si="1"/>
        <v>0</v>
      </c>
      <c r="CM65" s="425">
        <f t="shared" si="2"/>
        <v>0</v>
      </c>
      <c r="CN65" s="495"/>
      <c r="CO65" s="495"/>
      <c r="CP65" s="495"/>
      <c r="CT65" s="495"/>
      <c r="CU65" s="495"/>
      <c r="CV65" s="495"/>
      <c r="CW65" s="495"/>
      <c r="CX65" s="495"/>
    </row>
    <row r="66" s="425" customFormat="1" ht="31" customHeight="1" spans="1:102">
      <c r="A66" s="455">
        <v>45733</v>
      </c>
      <c r="B66" s="456" t="s">
        <v>152</v>
      </c>
      <c r="C66" s="457" t="s">
        <v>153</v>
      </c>
      <c r="D66" s="425">
        <v>4500160504</v>
      </c>
      <c r="E66" s="457">
        <v>9900924254</v>
      </c>
      <c r="F66" s="425" t="s">
        <v>3300</v>
      </c>
      <c r="G66" s="458" t="s">
        <v>3198</v>
      </c>
      <c r="H66" s="458" t="s">
        <v>3199</v>
      </c>
      <c r="I66" s="458">
        <v>10075</v>
      </c>
      <c r="J66" s="458">
        <v>0</v>
      </c>
      <c r="K66" s="458">
        <v>25</v>
      </c>
      <c r="L66" s="462">
        <f t="shared" si="4"/>
        <v>403</v>
      </c>
      <c r="M66" s="463">
        <v>45793</v>
      </c>
      <c r="N66" s="463">
        <v>45789</v>
      </c>
      <c r="O66" s="464" t="s">
        <v>3298</v>
      </c>
      <c r="P66" s="464" t="s">
        <v>103</v>
      </c>
      <c r="Q66" s="458"/>
      <c r="R66" s="472">
        <v>45748</v>
      </c>
      <c r="S66" s="472" t="s">
        <v>66</v>
      </c>
      <c r="T66" s="472">
        <v>45734</v>
      </c>
      <c r="U66" s="472"/>
      <c r="V66" s="473" t="s">
        <v>3201</v>
      </c>
      <c r="W66" s="473" t="s">
        <v>158</v>
      </c>
      <c r="X66" s="473">
        <v>0.95</v>
      </c>
      <c r="Y66" s="480">
        <f t="shared" si="10"/>
        <v>9571.25</v>
      </c>
      <c r="Z66" s="458"/>
      <c r="AA66" s="458" t="s">
        <v>3202</v>
      </c>
      <c r="AB66" s="458" t="s">
        <v>76</v>
      </c>
      <c r="AC66" s="458"/>
      <c r="AD66" s="458" t="s">
        <v>69</v>
      </c>
      <c r="AE66" s="458"/>
      <c r="AF66" s="458">
        <v>10075</v>
      </c>
      <c r="AG66" s="458">
        <f t="shared" si="3"/>
        <v>0</v>
      </c>
      <c r="AH66" s="489"/>
      <c r="AI66" s="458"/>
      <c r="AJ66" s="458"/>
      <c r="AK66" s="458">
        <f>I66</f>
        <v>10075</v>
      </c>
      <c r="AO66" s="495"/>
      <c r="AP66" s="425">
        <f>I66</f>
        <v>10075</v>
      </c>
      <c r="AR66" s="425">
        <f>I66</f>
        <v>10075</v>
      </c>
      <c r="AT66" s="495"/>
      <c r="AY66" s="498">
        <f t="shared" si="13"/>
        <v>419.791666666667</v>
      </c>
      <c r="BK66" s="425">
        <f>I66/25</f>
        <v>403</v>
      </c>
      <c r="BT66" s="495"/>
      <c r="BV66" s="495"/>
      <c r="CK66" s="425">
        <f t="shared" si="0"/>
        <v>403</v>
      </c>
      <c r="CL66" s="425">
        <f t="shared" si="1"/>
        <v>0</v>
      </c>
      <c r="CM66" s="425">
        <f t="shared" si="2"/>
        <v>0</v>
      </c>
      <c r="CN66" s="495"/>
      <c r="CO66" s="495"/>
      <c r="CP66" s="495"/>
      <c r="CT66" s="495"/>
      <c r="CU66" s="495"/>
      <c r="CV66" s="495"/>
      <c r="CW66" s="495"/>
      <c r="CX66" s="495"/>
    </row>
    <row r="67" s="425" customFormat="1" ht="31" customHeight="1" spans="1:102">
      <c r="A67" s="455">
        <v>45709</v>
      </c>
      <c r="B67" s="456" t="s">
        <v>3301</v>
      </c>
      <c r="C67" s="457" t="s">
        <v>153</v>
      </c>
      <c r="D67" s="425">
        <v>4500158159</v>
      </c>
      <c r="E67" s="457">
        <v>40824</v>
      </c>
      <c r="F67" s="425" t="s">
        <v>3302</v>
      </c>
      <c r="G67" s="458" t="s">
        <v>3198</v>
      </c>
      <c r="H67" s="458" t="s">
        <v>3303</v>
      </c>
      <c r="I67" s="458">
        <v>5000</v>
      </c>
      <c r="J67" s="458">
        <v>0</v>
      </c>
      <c r="K67" s="458">
        <v>25</v>
      </c>
      <c r="L67" s="462">
        <f t="shared" si="4"/>
        <v>200</v>
      </c>
      <c r="M67" s="463">
        <v>45793</v>
      </c>
      <c r="N67" s="463">
        <v>45789</v>
      </c>
      <c r="O67" s="464"/>
      <c r="P67" s="464" t="s">
        <v>103</v>
      </c>
      <c r="Q67" s="458"/>
      <c r="R67" s="472">
        <v>45709</v>
      </c>
      <c r="S67" s="472" t="s">
        <v>66</v>
      </c>
      <c r="T67" s="472" t="s">
        <v>66</v>
      </c>
      <c r="U67" s="472"/>
      <c r="V67" s="473" t="s">
        <v>3304</v>
      </c>
      <c r="W67" s="473" t="s">
        <v>1213</v>
      </c>
      <c r="X67" s="473">
        <v>1.65</v>
      </c>
      <c r="Y67" s="480">
        <f t="shared" si="10"/>
        <v>8250</v>
      </c>
      <c r="Z67" s="458"/>
      <c r="AA67" s="458" t="s">
        <v>3202</v>
      </c>
      <c r="AB67" s="458" t="s">
        <v>76</v>
      </c>
      <c r="AC67" s="458"/>
      <c r="AD67" s="458" t="s">
        <v>69</v>
      </c>
      <c r="AE67" s="458"/>
      <c r="AF67" s="458">
        <v>5000</v>
      </c>
      <c r="AG67" s="458">
        <f t="shared" si="3"/>
        <v>0</v>
      </c>
      <c r="AH67" s="489"/>
      <c r="AI67" s="458"/>
      <c r="AJ67" s="458"/>
      <c r="AK67" s="458">
        <f>I67</f>
        <v>5000</v>
      </c>
      <c r="AO67" s="495"/>
      <c r="AP67" s="425">
        <f>I67</f>
        <v>5000</v>
      </c>
      <c r="AR67" s="425">
        <f>I67</f>
        <v>5000</v>
      </c>
      <c r="AT67" s="495"/>
      <c r="AY67" s="498">
        <f t="shared" si="13"/>
        <v>208.333333333333</v>
      </c>
      <c r="BK67" s="425">
        <f>I67/25</f>
        <v>200</v>
      </c>
      <c r="BT67" s="495"/>
      <c r="BV67" s="495"/>
      <c r="CK67" s="425">
        <f t="shared" ref="CK67:CK130" si="14">BM67+BL67+BK67+BJ67+BS67</f>
        <v>200</v>
      </c>
      <c r="CL67" s="425">
        <f t="shared" ref="CL67:CL130" si="15">CA67+CB67+CC67+CD67+CE67+CG67+CF67</f>
        <v>0</v>
      </c>
      <c r="CM67" s="425">
        <f t="shared" ref="CM67:CM130" si="16">BY67+BZ67</f>
        <v>0</v>
      </c>
      <c r="CN67" s="495"/>
      <c r="CO67" s="495"/>
      <c r="CP67" s="495"/>
      <c r="CT67" s="495"/>
      <c r="CU67" s="495"/>
      <c r="CV67" s="495"/>
      <c r="CW67" s="495"/>
      <c r="CX67" s="495"/>
    </row>
    <row r="68" s="425" customFormat="1" ht="31" customHeight="1" spans="1:102">
      <c r="A68" s="455">
        <v>45748</v>
      </c>
      <c r="B68" s="456" t="s">
        <v>128</v>
      </c>
      <c r="C68" s="457" t="s">
        <v>90</v>
      </c>
      <c r="D68" s="425">
        <v>4500162162</v>
      </c>
      <c r="E68" s="895" t="s">
        <v>3305</v>
      </c>
      <c r="F68" s="425" t="s">
        <v>3306</v>
      </c>
      <c r="G68" s="458" t="s">
        <v>3180</v>
      </c>
      <c r="H68" s="458" t="s">
        <v>3181</v>
      </c>
      <c r="I68" s="458">
        <v>4672</v>
      </c>
      <c r="J68" s="458">
        <v>0</v>
      </c>
      <c r="K68" s="458">
        <v>16</v>
      </c>
      <c r="L68" s="462">
        <f t="shared" si="4"/>
        <v>292</v>
      </c>
      <c r="M68" s="463">
        <v>45793</v>
      </c>
      <c r="N68" s="463">
        <v>45789</v>
      </c>
      <c r="O68" s="464" t="s">
        <v>214</v>
      </c>
      <c r="P68" s="464" t="s">
        <v>103</v>
      </c>
      <c r="Q68" s="458"/>
      <c r="R68" s="472" t="s">
        <v>132</v>
      </c>
      <c r="S68" s="472" t="s">
        <v>66</v>
      </c>
      <c r="T68" s="472" t="s">
        <v>3250</v>
      </c>
      <c r="U68" s="472" t="s">
        <v>133</v>
      </c>
      <c r="V68" s="473" t="s">
        <v>3251</v>
      </c>
      <c r="W68" s="473" t="s">
        <v>98</v>
      </c>
      <c r="X68" s="473">
        <v>1.68</v>
      </c>
      <c r="Y68" s="480">
        <f t="shared" si="10"/>
        <v>7848.96</v>
      </c>
      <c r="Z68" s="458"/>
      <c r="AA68" s="458" t="s">
        <v>3180</v>
      </c>
      <c r="AB68" s="458" t="s">
        <v>76</v>
      </c>
      <c r="AC68" s="458"/>
      <c r="AD68" s="458" t="s">
        <v>69</v>
      </c>
      <c r="AE68" s="458"/>
      <c r="AF68" s="458">
        <v>4672</v>
      </c>
      <c r="AG68" s="458">
        <f t="shared" si="3"/>
        <v>0</v>
      </c>
      <c r="AH68" s="489"/>
      <c r="AI68" s="458"/>
      <c r="AJ68" s="458"/>
      <c r="AK68" s="458">
        <f>I68</f>
        <v>4672</v>
      </c>
      <c r="AM68" s="425">
        <f>I68</f>
        <v>4672</v>
      </c>
      <c r="AO68" s="495"/>
      <c r="AR68" s="425">
        <f>I68</f>
        <v>4672</v>
      </c>
      <c r="AT68" s="495"/>
      <c r="AY68" s="498">
        <f>I68/48</f>
        <v>97.3333333333333</v>
      </c>
      <c r="BM68" s="425">
        <f>I68/16</f>
        <v>292</v>
      </c>
      <c r="BT68" s="495"/>
      <c r="BV68" s="495"/>
      <c r="CK68" s="425">
        <f t="shared" si="14"/>
        <v>292</v>
      </c>
      <c r="CL68" s="425">
        <f t="shared" si="15"/>
        <v>0</v>
      </c>
      <c r="CM68" s="425">
        <f t="shared" si="16"/>
        <v>0</v>
      </c>
      <c r="CN68" s="495"/>
      <c r="CO68" s="495"/>
      <c r="CP68" s="495"/>
      <c r="CT68" s="495"/>
      <c r="CU68" s="495"/>
      <c r="CV68" s="495"/>
      <c r="CW68" s="495"/>
      <c r="CX68" s="495"/>
    </row>
    <row r="69" s="425" customFormat="1" ht="31" customHeight="1" spans="1:102">
      <c r="A69" s="455">
        <v>45723</v>
      </c>
      <c r="B69" s="456" t="s">
        <v>650</v>
      </c>
      <c r="C69" s="457" t="s">
        <v>249</v>
      </c>
      <c r="D69" s="425">
        <v>4500159525</v>
      </c>
      <c r="E69" s="457" t="s">
        <v>3307</v>
      </c>
      <c r="F69" s="425" t="s">
        <v>3308</v>
      </c>
      <c r="G69" s="458" t="s">
        <v>3165</v>
      </c>
      <c r="H69" s="458" t="s">
        <v>3166</v>
      </c>
      <c r="I69" s="458">
        <v>5850</v>
      </c>
      <c r="J69" s="458">
        <v>0</v>
      </c>
      <c r="K69" s="458">
        <v>25</v>
      </c>
      <c r="L69" s="462">
        <f t="shared" si="4"/>
        <v>234</v>
      </c>
      <c r="M69" s="463">
        <v>45796</v>
      </c>
      <c r="N69" s="463">
        <v>45792</v>
      </c>
      <c r="O69" s="464"/>
      <c r="P69" s="464" t="s">
        <v>103</v>
      </c>
      <c r="Q69" s="458"/>
      <c r="R69" s="472">
        <v>45727</v>
      </c>
      <c r="S69" s="472" t="s">
        <v>66</v>
      </c>
      <c r="T69" s="472" t="s">
        <v>66</v>
      </c>
      <c r="U69" s="472"/>
      <c r="V69" s="473" t="s">
        <v>3241</v>
      </c>
      <c r="W69" s="473" t="s">
        <v>1049</v>
      </c>
      <c r="X69" s="473">
        <v>0.95</v>
      </c>
      <c r="Y69" s="480">
        <f t="shared" si="10"/>
        <v>5557.5</v>
      </c>
      <c r="Z69" s="458"/>
      <c r="AA69" s="458" t="s">
        <v>3165</v>
      </c>
      <c r="AB69" s="458" t="s">
        <v>76</v>
      </c>
      <c r="AC69" s="458"/>
      <c r="AD69" s="458" t="s">
        <v>69</v>
      </c>
      <c r="AE69" s="458"/>
      <c r="AF69" s="458">
        <v>5850</v>
      </c>
      <c r="AG69" s="458">
        <f t="shared" si="3"/>
        <v>0</v>
      </c>
      <c r="AH69" s="489"/>
      <c r="AI69" s="458"/>
      <c r="AJ69" s="458"/>
      <c r="AK69" s="458"/>
      <c r="AL69" s="426">
        <f>I69</f>
        <v>5850</v>
      </c>
      <c r="AO69" s="495"/>
      <c r="AQ69" s="425">
        <f>I69</f>
        <v>5850</v>
      </c>
      <c r="AS69" s="425">
        <f>I69</f>
        <v>5850</v>
      </c>
      <c r="AT69" s="495"/>
      <c r="AY69" s="498">
        <f>I69/24</f>
        <v>243.75</v>
      </c>
      <c r="BL69" s="425">
        <f>I69/25</f>
        <v>234</v>
      </c>
      <c r="BT69" s="495"/>
      <c r="BV69" s="495"/>
      <c r="CK69" s="425">
        <f t="shared" si="14"/>
        <v>234</v>
      </c>
      <c r="CL69" s="425">
        <f t="shared" si="15"/>
        <v>0</v>
      </c>
      <c r="CM69" s="425">
        <f t="shared" si="16"/>
        <v>0</v>
      </c>
      <c r="CN69" s="495"/>
      <c r="CO69" s="495"/>
      <c r="CP69" s="495"/>
      <c r="CT69" s="495"/>
      <c r="CU69" s="495"/>
      <c r="CV69" s="495"/>
      <c r="CW69" s="495"/>
      <c r="CX69" s="495"/>
    </row>
    <row r="70" s="425" customFormat="1" ht="31" customHeight="1" spans="1:102">
      <c r="A70" s="455">
        <v>45723</v>
      </c>
      <c r="B70" s="456" t="s">
        <v>650</v>
      </c>
      <c r="C70" s="457" t="s">
        <v>249</v>
      </c>
      <c r="D70" s="425">
        <v>4500159525</v>
      </c>
      <c r="E70" s="457" t="s">
        <v>3309</v>
      </c>
      <c r="F70" s="425" t="s">
        <v>3310</v>
      </c>
      <c r="G70" s="458" t="s">
        <v>3165</v>
      </c>
      <c r="H70" s="458" t="s">
        <v>3166</v>
      </c>
      <c r="I70" s="458">
        <v>5850</v>
      </c>
      <c r="J70" s="458">
        <v>0</v>
      </c>
      <c r="K70" s="458">
        <v>25</v>
      </c>
      <c r="L70" s="462">
        <f t="shared" si="4"/>
        <v>234</v>
      </c>
      <c r="M70" s="463">
        <v>45796</v>
      </c>
      <c r="N70" s="463">
        <v>45792</v>
      </c>
      <c r="O70" s="464"/>
      <c r="P70" s="464" t="s">
        <v>103</v>
      </c>
      <c r="Q70" s="458"/>
      <c r="R70" s="472">
        <v>45727</v>
      </c>
      <c r="S70" s="472" t="s">
        <v>66</v>
      </c>
      <c r="T70" s="472" t="s">
        <v>66</v>
      </c>
      <c r="U70" s="472"/>
      <c r="V70" s="473" t="s">
        <v>3241</v>
      </c>
      <c r="W70" s="473" t="s">
        <v>1049</v>
      </c>
      <c r="X70" s="473">
        <v>0.95</v>
      </c>
      <c r="Y70" s="480">
        <f t="shared" si="10"/>
        <v>5557.5</v>
      </c>
      <c r="Z70" s="458"/>
      <c r="AA70" s="458" t="s">
        <v>3165</v>
      </c>
      <c r="AB70" s="458" t="s">
        <v>76</v>
      </c>
      <c r="AC70" s="458"/>
      <c r="AD70" s="458" t="s">
        <v>69</v>
      </c>
      <c r="AE70" s="458"/>
      <c r="AF70" s="458">
        <v>5850</v>
      </c>
      <c r="AG70" s="458">
        <f t="shared" si="3"/>
        <v>0</v>
      </c>
      <c r="AH70" s="489"/>
      <c r="AI70" s="458"/>
      <c r="AJ70" s="458"/>
      <c r="AK70" s="458"/>
      <c r="AL70" s="426">
        <f>I70</f>
        <v>5850</v>
      </c>
      <c r="AO70" s="495"/>
      <c r="AQ70" s="425">
        <f>I70</f>
        <v>5850</v>
      </c>
      <c r="AS70" s="425">
        <f>I70</f>
        <v>5850</v>
      </c>
      <c r="AT70" s="495"/>
      <c r="AY70" s="498">
        <f>I70/24</f>
        <v>243.75</v>
      </c>
      <c r="BL70" s="425">
        <f>I70/25</f>
        <v>234</v>
      </c>
      <c r="BT70" s="495"/>
      <c r="BV70" s="495"/>
      <c r="CK70" s="425">
        <f t="shared" si="14"/>
        <v>234</v>
      </c>
      <c r="CL70" s="425">
        <f t="shared" si="15"/>
        <v>0</v>
      </c>
      <c r="CM70" s="425">
        <f t="shared" si="16"/>
        <v>0</v>
      </c>
      <c r="CN70" s="495"/>
      <c r="CO70" s="495"/>
      <c r="CP70" s="495"/>
      <c r="CT70" s="495"/>
      <c r="CU70" s="495"/>
      <c r="CV70" s="495"/>
      <c r="CW70" s="495"/>
      <c r="CX70" s="495"/>
    </row>
    <row r="71" s="425" customFormat="1" ht="31" customHeight="1" spans="1:102">
      <c r="A71" s="455">
        <v>45754</v>
      </c>
      <c r="B71" s="456" t="s">
        <v>122</v>
      </c>
      <c r="C71" s="457" t="s">
        <v>116</v>
      </c>
      <c r="D71" s="425">
        <v>4500162690</v>
      </c>
      <c r="E71" s="457">
        <v>20756003</v>
      </c>
      <c r="F71" s="425" t="s">
        <v>3311</v>
      </c>
      <c r="G71" s="458" t="s">
        <v>3206</v>
      </c>
      <c r="H71" s="458" t="s">
        <v>3207</v>
      </c>
      <c r="I71" s="458">
        <v>2106</v>
      </c>
      <c r="J71" s="458">
        <v>0</v>
      </c>
      <c r="K71" s="458">
        <v>13</v>
      </c>
      <c r="L71" s="462">
        <f t="shared" si="4"/>
        <v>162</v>
      </c>
      <c r="M71" s="463">
        <v>45796</v>
      </c>
      <c r="N71" s="463">
        <v>45792</v>
      </c>
      <c r="O71" s="464"/>
      <c r="P71" s="464" t="s">
        <v>103</v>
      </c>
      <c r="Q71" s="458"/>
      <c r="R71" s="472">
        <v>45764</v>
      </c>
      <c r="S71" s="472" t="s">
        <v>96</v>
      </c>
      <c r="T71" s="472" t="s">
        <v>3312</v>
      </c>
      <c r="U71" s="472"/>
      <c r="V71" s="473" t="s">
        <v>3313</v>
      </c>
      <c r="W71" s="473" t="s">
        <v>121</v>
      </c>
      <c r="X71" s="473">
        <v>0.95</v>
      </c>
      <c r="Y71" s="480">
        <f t="shared" si="10"/>
        <v>2000.7</v>
      </c>
      <c r="Z71" s="458"/>
      <c r="AA71" s="458" t="s">
        <v>3206</v>
      </c>
      <c r="AB71" s="458" t="s">
        <v>76</v>
      </c>
      <c r="AC71" s="458"/>
      <c r="AD71" s="458" t="s">
        <v>69</v>
      </c>
      <c r="AE71" s="458"/>
      <c r="AF71" s="458">
        <v>2106</v>
      </c>
      <c r="AG71" s="458">
        <f t="shared" si="3"/>
        <v>0</v>
      </c>
      <c r="AH71" s="489"/>
      <c r="AI71" s="458"/>
      <c r="AJ71" s="458"/>
      <c r="AK71" s="458"/>
      <c r="AL71" s="426">
        <f>I71</f>
        <v>2106</v>
      </c>
      <c r="AO71" s="495"/>
      <c r="AQ71" s="425">
        <f>I71</f>
        <v>2106</v>
      </c>
      <c r="AS71" s="425">
        <f>I71</f>
        <v>2106</v>
      </c>
      <c r="AT71" s="495"/>
      <c r="AY71" s="498">
        <f>I71/24</f>
        <v>87.75</v>
      </c>
      <c r="BI71" s="425">
        <f>I71/13</f>
        <v>162</v>
      </c>
      <c r="BT71" s="495"/>
      <c r="BV71" s="495"/>
      <c r="CK71" s="425">
        <f t="shared" si="14"/>
        <v>0</v>
      </c>
      <c r="CL71" s="425">
        <f t="shared" si="15"/>
        <v>0</v>
      </c>
      <c r="CM71" s="425">
        <f t="shared" si="16"/>
        <v>0</v>
      </c>
      <c r="CN71" s="495"/>
      <c r="CO71" s="495"/>
      <c r="CP71" s="495"/>
      <c r="CT71" s="495"/>
      <c r="CU71" s="495"/>
      <c r="CV71" s="495"/>
      <c r="CW71" s="495"/>
      <c r="CX71" s="495"/>
    </row>
    <row r="72" s="425" customFormat="1" ht="31" customHeight="1" spans="1:102">
      <c r="A72" s="455">
        <v>45763</v>
      </c>
      <c r="B72" s="456" t="s">
        <v>178</v>
      </c>
      <c r="C72" s="457" t="s">
        <v>179</v>
      </c>
      <c r="D72" s="425">
        <v>4500163403</v>
      </c>
      <c r="E72" s="457">
        <v>5200006595</v>
      </c>
      <c r="F72" s="425" t="s">
        <v>3314</v>
      </c>
      <c r="G72" s="458" t="s">
        <v>3231</v>
      </c>
      <c r="H72" s="458" t="s">
        <v>3207</v>
      </c>
      <c r="I72" s="458">
        <v>260</v>
      </c>
      <c r="J72" s="458">
        <v>0</v>
      </c>
      <c r="K72" s="458">
        <v>13</v>
      </c>
      <c r="L72" s="462">
        <f t="shared" si="4"/>
        <v>20</v>
      </c>
      <c r="M72" s="463">
        <v>45796</v>
      </c>
      <c r="N72" s="463">
        <v>45792</v>
      </c>
      <c r="O72" s="464"/>
      <c r="P72" s="464" t="s">
        <v>103</v>
      </c>
      <c r="Q72" s="458"/>
      <c r="R72" s="472">
        <v>45757</v>
      </c>
      <c r="S72" s="472" t="s">
        <v>66</v>
      </c>
      <c r="T72" s="472" t="s">
        <v>3315</v>
      </c>
      <c r="U72" s="472"/>
      <c r="V72" s="473" t="s">
        <v>3316</v>
      </c>
      <c r="W72" s="473" t="s">
        <v>3317</v>
      </c>
      <c r="X72" s="473">
        <v>1.16</v>
      </c>
      <c r="Y72" s="480">
        <f t="shared" si="10"/>
        <v>301.6</v>
      </c>
      <c r="Z72" s="458"/>
      <c r="AA72" s="482" t="s">
        <v>3206</v>
      </c>
      <c r="AB72" s="458" t="s">
        <v>76</v>
      </c>
      <c r="AC72" s="458"/>
      <c r="AD72" s="458" t="s">
        <v>69</v>
      </c>
      <c r="AE72" s="458"/>
      <c r="AF72" s="458">
        <v>260</v>
      </c>
      <c r="AG72" s="458">
        <f t="shared" si="3"/>
        <v>0</v>
      </c>
      <c r="AH72" s="489"/>
      <c r="AI72" s="458"/>
      <c r="AJ72" s="458"/>
      <c r="AK72" s="458"/>
      <c r="AL72" s="426">
        <f>I72</f>
        <v>260</v>
      </c>
      <c r="AO72" s="495"/>
      <c r="AQ72" s="425">
        <f>I72</f>
        <v>260</v>
      </c>
      <c r="AS72" s="425">
        <f>I72</f>
        <v>260</v>
      </c>
      <c r="AT72" s="495"/>
      <c r="AY72" s="498">
        <f>I72/24</f>
        <v>10.8333333333333</v>
      </c>
      <c r="BI72" s="425">
        <f>I72/13</f>
        <v>20</v>
      </c>
      <c r="BT72" s="495"/>
      <c r="BV72" s="495"/>
      <c r="CK72" s="425">
        <f t="shared" si="14"/>
        <v>0</v>
      </c>
      <c r="CL72" s="425">
        <f t="shared" si="15"/>
        <v>0</v>
      </c>
      <c r="CM72" s="425">
        <f t="shared" si="16"/>
        <v>0</v>
      </c>
      <c r="CN72" s="495"/>
      <c r="CO72" s="495"/>
      <c r="CP72" s="495"/>
      <c r="CT72" s="495"/>
      <c r="CU72" s="495"/>
      <c r="CV72" s="495"/>
      <c r="CW72" s="495"/>
      <c r="CX72" s="495"/>
    </row>
    <row r="73" s="425" customFormat="1" ht="31" customHeight="1" spans="1:102">
      <c r="A73" s="455">
        <v>45748</v>
      </c>
      <c r="B73" s="456" t="s">
        <v>128</v>
      </c>
      <c r="C73" s="457" t="s">
        <v>90</v>
      </c>
      <c r="D73" s="425">
        <v>4500162168</v>
      </c>
      <c r="E73" s="457" t="s">
        <v>3318</v>
      </c>
      <c r="F73" s="425" t="s">
        <v>3319</v>
      </c>
      <c r="G73" s="458" t="s">
        <v>3180</v>
      </c>
      <c r="H73" s="458" t="s">
        <v>3181</v>
      </c>
      <c r="I73" s="458">
        <v>3296</v>
      </c>
      <c r="J73" s="458">
        <v>0</v>
      </c>
      <c r="K73" s="458">
        <v>16</v>
      </c>
      <c r="L73" s="462">
        <f t="shared" si="4"/>
        <v>206</v>
      </c>
      <c r="M73" s="463">
        <v>45797</v>
      </c>
      <c r="N73" s="463">
        <v>45793</v>
      </c>
      <c r="O73" s="464" t="s">
        <v>245</v>
      </c>
      <c r="P73" s="464" t="s">
        <v>103</v>
      </c>
      <c r="Q73" s="458"/>
      <c r="R73" s="472" t="s">
        <v>132</v>
      </c>
      <c r="S73" s="472" t="s">
        <v>66</v>
      </c>
      <c r="T73" s="472" t="s">
        <v>3250</v>
      </c>
      <c r="U73" s="472" t="s">
        <v>133</v>
      </c>
      <c r="V73" s="473" t="s">
        <v>3251</v>
      </c>
      <c r="W73" s="473" t="s">
        <v>98</v>
      </c>
      <c r="X73" s="473">
        <v>1.68</v>
      </c>
      <c r="Y73" s="480">
        <f t="shared" si="10"/>
        <v>5537.28</v>
      </c>
      <c r="Z73" s="458"/>
      <c r="AA73" s="458" t="s">
        <v>3180</v>
      </c>
      <c r="AB73" s="458" t="s">
        <v>76</v>
      </c>
      <c r="AC73" s="458"/>
      <c r="AD73" s="458" t="s">
        <v>69</v>
      </c>
      <c r="AE73" s="458"/>
      <c r="AF73" s="458">
        <v>3296</v>
      </c>
      <c r="AG73" s="458">
        <f t="shared" si="3"/>
        <v>0</v>
      </c>
      <c r="AH73" s="489"/>
      <c r="AI73" s="458"/>
      <c r="AJ73" s="458"/>
      <c r="AK73" s="458">
        <f>I73</f>
        <v>3296</v>
      </c>
      <c r="AM73" s="425">
        <f>I73</f>
        <v>3296</v>
      </c>
      <c r="AO73" s="495"/>
      <c r="AR73" s="425">
        <f>I73</f>
        <v>3296</v>
      </c>
      <c r="AT73" s="495"/>
      <c r="AY73" s="498">
        <f>I73/48</f>
        <v>68.6666666666667</v>
      </c>
      <c r="BM73" s="425">
        <f>I73/16</f>
        <v>206</v>
      </c>
      <c r="BT73" s="495"/>
      <c r="BV73" s="495"/>
      <c r="CK73" s="425">
        <f t="shared" si="14"/>
        <v>206</v>
      </c>
      <c r="CL73" s="425">
        <f t="shared" si="15"/>
        <v>0</v>
      </c>
      <c r="CM73" s="425">
        <f t="shared" si="16"/>
        <v>0</v>
      </c>
      <c r="CN73" s="495"/>
      <c r="CO73" s="495"/>
      <c r="CP73" s="495"/>
      <c r="CT73" s="495"/>
      <c r="CU73" s="495"/>
      <c r="CV73" s="495"/>
      <c r="CW73" s="495"/>
      <c r="CX73" s="495"/>
    </row>
    <row r="74" s="425" customFormat="1" ht="31" customHeight="1" spans="1:102">
      <c r="A74" s="455">
        <v>45748</v>
      </c>
      <c r="B74" s="456" t="s">
        <v>128</v>
      </c>
      <c r="C74" s="457" t="s">
        <v>90</v>
      </c>
      <c r="D74" s="425">
        <v>4500162168</v>
      </c>
      <c r="E74" s="457" t="s">
        <v>3320</v>
      </c>
      <c r="F74" s="425" t="s">
        <v>3321</v>
      </c>
      <c r="G74" s="458" t="s">
        <v>3180</v>
      </c>
      <c r="H74" s="458" t="s">
        <v>3181</v>
      </c>
      <c r="I74" s="458">
        <v>3184</v>
      </c>
      <c r="J74" s="458">
        <v>0</v>
      </c>
      <c r="K74" s="458">
        <v>16</v>
      </c>
      <c r="L74" s="462">
        <f t="shared" si="4"/>
        <v>199</v>
      </c>
      <c r="M74" s="463">
        <v>45797</v>
      </c>
      <c r="N74" s="463">
        <v>45793</v>
      </c>
      <c r="O74" s="464" t="s">
        <v>245</v>
      </c>
      <c r="P74" s="464" t="s">
        <v>103</v>
      </c>
      <c r="Q74" s="458"/>
      <c r="R74" s="472" t="s">
        <v>132</v>
      </c>
      <c r="S74" s="472" t="s">
        <v>66</v>
      </c>
      <c r="T74" s="472" t="s">
        <v>3250</v>
      </c>
      <c r="U74" s="472" t="s">
        <v>133</v>
      </c>
      <c r="V74" s="473" t="s">
        <v>3251</v>
      </c>
      <c r="W74" s="473" t="s">
        <v>98</v>
      </c>
      <c r="X74" s="473">
        <v>1.68</v>
      </c>
      <c r="Y74" s="480">
        <f t="shared" si="10"/>
        <v>5349.12</v>
      </c>
      <c r="Z74" s="458"/>
      <c r="AA74" s="458" t="s">
        <v>3180</v>
      </c>
      <c r="AB74" s="458" t="s">
        <v>76</v>
      </c>
      <c r="AC74" s="458"/>
      <c r="AD74" s="458" t="s">
        <v>69</v>
      </c>
      <c r="AE74" s="458"/>
      <c r="AF74" s="458">
        <v>3184</v>
      </c>
      <c r="AG74" s="458">
        <f t="shared" si="3"/>
        <v>0</v>
      </c>
      <c r="AH74" s="489"/>
      <c r="AI74" s="458"/>
      <c r="AJ74" s="458"/>
      <c r="AK74" s="458">
        <f>I74</f>
        <v>3184</v>
      </c>
      <c r="AM74" s="425">
        <f>I74</f>
        <v>3184</v>
      </c>
      <c r="AO74" s="495"/>
      <c r="AR74" s="425">
        <f>I74</f>
        <v>3184</v>
      </c>
      <c r="AT74" s="495"/>
      <c r="AY74" s="498">
        <f>I74/48</f>
        <v>66.3333333333333</v>
      </c>
      <c r="BM74" s="425">
        <f>I74/16</f>
        <v>199</v>
      </c>
      <c r="BT74" s="495"/>
      <c r="BV74" s="495"/>
      <c r="CK74" s="425">
        <f t="shared" si="14"/>
        <v>199</v>
      </c>
      <c r="CL74" s="425">
        <f t="shared" si="15"/>
        <v>0</v>
      </c>
      <c r="CM74" s="425">
        <f t="shared" si="16"/>
        <v>0</v>
      </c>
      <c r="CN74" s="495"/>
      <c r="CO74" s="495"/>
      <c r="CP74" s="495"/>
      <c r="CT74" s="495"/>
      <c r="CU74" s="495"/>
      <c r="CV74" s="495"/>
      <c r="CW74" s="495"/>
      <c r="CX74" s="495"/>
    </row>
    <row r="75" s="425" customFormat="1" ht="31" customHeight="1" spans="1:102">
      <c r="A75" s="455">
        <v>45748</v>
      </c>
      <c r="B75" s="456" t="s">
        <v>128</v>
      </c>
      <c r="C75" s="457" t="s">
        <v>90</v>
      </c>
      <c r="D75" s="425">
        <v>4500162168</v>
      </c>
      <c r="E75" s="457" t="s">
        <v>3322</v>
      </c>
      <c r="F75" s="425" t="s">
        <v>3323</v>
      </c>
      <c r="G75" s="458" t="s">
        <v>3180</v>
      </c>
      <c r="H75" s="458" t="s">
        <v>3181</v>
      </c>
      <c r="I75" s="458">
        <v>4240</v>
      </c>
      <c r="J75" s="458">
        <v>0</v>
      </c>
      <c r="K75" s="458">
        <v>16</v>
      </c>
      <c r="L75" s="462">
        <f t="shared" si="4"/>
        <v>265</v>
      </c>
      <c r="M75" s="463">
        <v>45797</v>
      </c>
      <c r="N75" s="463">
        <v>45793</v>
      </c>
      <c r="O75" s="464" t="s">
        <v>245</v>
      </c>
      <c r="P75" s="464" t="s">
        <v>103</v>
      </c>
      <c r="Q75" s="458"/>
      <c r="R75" s="472" t="s">
        <v>132</v>
      </c>
      <c r="S75" s="472" t="s">
        <v>66</v>
      </c>
      <c r="T75" s="472" t="s">
        <v>3250</v>
      </c>
      <c r="U75" s="472" t="s">
        <v>133</v>
      </c>
      <c r="V75" s="473" t="s">
        <v>3251</v>
      </c>
      <c r="W75" s="473" t="s">
        <v>98</v>
      </c>
      <c r="X75" s="473">
        <v>1.68</v>
      </c>
      <c r="Y75" s="480">
        <f t="shared" si="10"/>
        <v>7123.2</v>
      </c>
      <c r="Z75" s="458" t="s">
        <v>3324</v>
      </c>
      <c r="AA75" s="458" t="s">
        <v>3180</v>
      </c>
      <c r="AB75" s="458" t="s">
        <v>76</v>
      </c>
      <c r="AC75" s="458"/>
      <c r="AD75" s="458" t="s">
        <v>69</v>
      </c>
      <c r="AE75" s="458"/>
      <c r="AF75" s="458">
        <v>4240</v>
      </c>
      <c r="AG75" s="458">
        <f t="shared" si="3"/>
        <v>0</v>
      </c>
      <c r="AH75" s="489"/>
      <c r="AI75" s="458"/>
      <c r="AJ75" s="458"/>
      <c r="AK75" s="458">
        <f>I75</f>
        <v>4240</v>
      </c>
      <c r="AM75" s="425">
        <f>I75</f>
        <v>4240</v>
      </c>
      <c r="AO75" s="495"/>
      <c r="AR75" s="425">
        <f>I75</f>
        <v>4240</v>
      </c>
      <c r="AT75" s="495"/>
      <c r="AY75" s="498">
        <f>I75/48</f>
        <v>88.3333333333333</v>
      </c>
      <c r="BM75" s="425">
        <f>I75/16</f>
        <v>265</v>
      </c>
      <c r="BT75" s="495"/>
      <c r="BV75" s="495"/>
      <c r="CK75" s="425">
        <f t="shared" si="14"/>
        <v>265</v>
      </c>
      <c r="CL75" s="425">
        <f t="shared" si="15"/>
        <v>0</v>
      </c>
      <c r="CM75" s="425">
        <f t="shared" si="16"/>
        <v>0</v>
      </c>
      <c r="CN75" s="495"/>
      <c r="CO75" s="495"/>
      <c r="CP75" s="495"/>
      <c r="CT75" s="495"/>
      <c r="CU75" s="495"/>
      <c r="CV75" s="495"/>
      <c r="CW75" s="495"/>
      <c r="CX75" s="495"/>
    </row>
    <row r="76" s="425" customFormat="1" ht="31" customHeight="1" spans="1:102">
      <c r="A76" s="455">
        <v>45749</v>
      </c>
      <c r="B76" s="456" t="s">
        <v>266</v>
      </c>
      <c r="C76" s="457" t="s">
        <v>216</v>
      </c>
      <c r="D76" s="425">
        <v>4500162375</v>
      </c>
      <c r="E76" s="457">
        <v>20106</v>
      </c>
      <c r="F76" s="425" t="s">
        <v>3325</v>
      </c>
      <c r="G76" s="458" t="s">
        <v>3165</v>
      </c>
      <c r="H76" s="458" t="s">
        <v>3166</v>
      </c>
      <c r="I76" s="458">
        <v>475</v>
      </c>
      <c r="J76" s="458">
        <v>0</v>
      </c>
      <c r="K76" s="458">
        <v>25</v>
      </c>
      <c r="L76" s="462">
        <f t="shared" si="4"/>
        <v>19</v>
      </c>
      <c r="M76" s="463">
        <v>45797</v>
      </c>
      <c r="N76" s="463">
        <v>45793</v>
      </c>
      <c r="O76" s="464"/>
      <c r="P76" s="464" t="s">
        <v>103</v>
      </c>
      <c r="Q76" s="458"/>
      <c r="R76" s="472">
        <v>45750</v>
      </c>
      <c r="S76" s="472" t="s">
        <v>66</v>
      </c>
      <c r="T76" s="472">
        <v>45765</v>
      </c>
      <c r="U76" s="472"/>
      <c r="V76" s="473" t="s">
        <v>3326</v>
      </c>
      <c r="W76" s="473" t="s">
        <v>269</v>
      </c>
      <c r="X76" s="473">
        <v>0.95</v>
      </c>
      <c r="Y76" s="480">
        <f t="shared" si="10"/>
        <v>451.25</v>
      </c>
      <c r="Z76" s="458"/>
      <c r="AA76" s="458" t="s">
        <v>3165</v>
      </c>
      <c r="AB76" s="458" t="s">
        <v>76</v>
      </c>
      <c r="AC76" s="458"/>
      <c r="AD76" s="458" t="s">
        <v>69</v>
      </c>
      <c r="AE76" s="458"/>
      <c r="AF76" s="458">
        <v>475</v>
      </c>
      <c r="AG76" s="458">
        <f t="shared" si="3"/>
        <v>0</v>
      </c>
      <c r="AH76" s="489"/>
      <c r="AI76" s="458"/>
      <c r="AJ76" s="458"/>
      <c r="AK76" s="458"/>
      <c r="AL76" s="426">
        <f>I76</f>
        <v>475</v>
      </c>
      <c r="AO76" s="495"/>
      <c r="AQ76" s="425">
        <f>I76</f>
        <v>475</v>
      </c>
      <c r="AS76" s="425">
        <f>I76</f>
        <v>475</v>
      </c>
      <c r="AT76" s="495"/>
      <c r="AY76" s="498">
        <f>I76/24</f>
        <v>19.7916666666667</v>
      </c>
      <c r="BL76" s="425">
        <f>I76/25</f>
        <v>19</v>
      </c>
      <c r="BT76" s="495"/>
      <c r="BV76" s="495"/>
      <c r="CK76" s="425">
        <f t="shared" si="14"/>
        <v>19</v>
      </c>
      <c r="CL76" s="425">
        <f t="shared" si="15"/>
        <v>0</v>
      </c>
      <c r="CM76" s="425">
        <f t="shared" si="16"/>
        <v>0</v>
      </c>
      <c r="CN76" s="495"/>
      <c r="CO76" s="495"/>
      <c r="CP76" s="495"/>
      <c r="CT76" s="495"/>
      <c r="CU76" s="495"/>
      <c r="CV76" s="495"/>
      <c r="CW76" s="495"/>
      <c r="CX76" s="495"/>
    </row>
    <row r="77" s="425" customFormat="1" ht="31" customHeight="1" spans="1:102">
      <c r="A77" s="455">
        <v>45748</v>
      </c>
      <c r="B77" s="456" t="s">
        <v>539</v>
      </c>
      <c r="C77" s="457" t="s">
        <v>356</v>
      </c>
      <c r="D77" s="425">
        <v>4500162134</v>
      </c>
      <c r="E77" s="457"/>
      <c r="F77" s="425" t="s">
        <v>3327</v>
      </c>
      <c r="G77" s="458" t="s">
        <v>3328</v>
      </c>
      <c r="H77" s="458" t="s">
        <v>3194</v>
      </c>
      <c r="I77" s="458">
        <v>3000</v>
      </c>
      <c r="J77" s="458">
        <v>0</v>
      </c>
      <c r="K77" s="458">
        <v>30</v>
      </c>
      <c r="L77" s="462">
        <f t="shared" si="4"/>
        <v>100</v>
      </c>
      <c r="M77" s="463">
        <v>45789</v>
      </c>
      <c r="N77" s="463">
        <v>45785</v>
      </c>
      <c r="O77" s="464" t="s">
        <v>3286</v>
      </c>
      <c r="P77" s="464" t="s">
        <v>103</v>
      </c>
      <c r="Q77" s="458" t="s">
        <v>3287</v>
      </c>
      <c r="R77" s="472">
        <v>45761</v>
      </c>
      <c r="S77" s="472" t="s">
        <v>66</v>
      </c>
      <c r="T77" s="472">
        <v>45768</v>
      </c>
      <c r="U77" s="472" t="s">
        <v>3288</v>
      </c>
      <c r="V77" s="473" t="s">
        <v>3329</v>
      </c>
      <c r="W77" s="473" t="s">
        <v>395</v>
      </c>
      <c r="X77" s="473">
        <v>35.1</v>
      </c>
      <c r="Y77" s="480">
        <f>X77*L77</f>
        <v>3510</v>
      </c>
      <c r="Z77" s="458"/>
      <c r="AA77" s="458" t="s">
        <v>3328</v>
      </c>
      <c r="AB77" s="458" t="s">
        <v>76</v>
      </c>
      <c r="AC77" s="458"/>
      <c r="AD77" s="458" t="s">
        <v>69</v>
      </c>
      <c r="AE77" s="458"/>
      <c r="AF77" s="458">
        <v>3000</v>
      </c>
      <c r="AG77" s="458">
        <f t="shared" si="3"/>
        <v>0</v>
      </c>
      <c r="AH77" s="489"/>
      <c r="AI77" s="458"/>
      <c r="AJ77" s="458"/>
      <c r="AK77" s="458"/>
      <c r="AL77" s="426">
        <f>I77</f>
        <v>3000</v>
      </c>
      <c r="AO77" s="495"/>
      <c r="AQ77" s="425">
        <f>I77</f>
        <v>3000</v>
      </c>
      <c r="AS77" s="425">
        <f>I77</f>
        <v>3000</v>
      </c>
      <c r="AT77" s="495"/>
      <c r="AY77" s="498">
        <f>I77/24</f>
        <v>125</v>
      </c>
      <c r="BT77" s="495"/>
      <c r="BV77" s="495"/>
      <c r="CF77" s="425">
        <f>I77/30</f>
        <v>100</v>
      </c>
      <c r="CK77" s="425">
        <f t="shared" si="14"/>
        <v>0</v>
      </c>
      <c r="CL77" s="425">
        <f t="shared" si="15"/>
        <v>100</v>
      </c>
      <c r="CM77" s="425">
        <f t="shared" si="16"/>
        <v>0</v>
      </c>
      <c r="CN77" s="495"/>
      <c r="CO77" s="495"/>
      <c r="CP77" s="495"/>
      <c r="CT77" s="495"/>
      <c r="CU77" s="495"/>
      <c r="CV77" s="495"/>
      <c r="CW77" s="495"/>
      <c r="CX77" s="495"/>
    </row>
    <row r="78" s="425" customFormat="1" ht="31" customHeight="1" spans="1:102">
      <c r="A78" s="455">
        <v>45747</v>
      </c>
      <c r="B78" s="456" t="s">
        <v>70</v>
      </c>
      <c r="C78" s="457" t="s">
        <v>71</v>
      </c>
      <c r="D78" s="425">
        <v>4500162027</v>
      </c>
      <c r="E78" s="457">
        <v>29036564</v>
      </c>
      <c r="F78" s="425" t="s">
        <v>3330</v>
      </c>
      <c r="G78" s="458" t="s">
        <v>3193</v>
      </c>
      <c r="H78" s="458" t="s">
        <v>3194</v>
      </c>
      <c r="I78" s="458">
        <v>1140</v>
      </c>
      <c r="J78" s="458">
        <v>0</v>
      </c>
      <c r="K78" s="458">
        <v>60</v>
      </c>
      <c r="L78" s="462">
        <f t="shared" si="4"/>
        <v>19</v>
      </c>
      <c r="M78" s="463">
        <v>45796</v>
      </c>
      <c r="N78" s="463">
        <v>45792</v>
      </c>
      <c r="O78" s="464"/>
      <c r="P78" s="464" t="s">
        <v>103</v>
      </c>
      <c r="Q78" s="458"/>
      <c r="R78" s="472">
        <v>45749</v>
      </c>
      <c r="S78" s="472" t="s">
        <v>66</v>
      </c>
      <c r="T78" s="472" t="s">
        <v>66</v>
      </c>
      <c r="U78" s="472"/>
      <c r="V78" s="473" t="s">
        <v>3331</v>
      </c>
      <c r="W78" s="473" t="s">
        <v>75</v>
      </c>
      <c r="X78" s="473">
        <v>63.7</v>
      </c>
      <c r="Y78" s="480">
        <f>X78*L78</f>
        <v>1210.3</v>
      </c>
      <c r="Z78" s="458"/>
      <c r="AA78" s="458" t="s">
        <v>3193</v>
      </c>
      <c r="AB78" s="458" t="s">
        <v>76</v>
      </c>
      <c r="AC78" s="458"/>
      <c r="AD78" s="458" t="s">
        <v>69</v>
      </c>
      <c r="AE78" s="458"/>
      <c r="AF78" s="458">
        <v>1140</v>
      </c>
      <c r="AG78" s="458">
        <f t="shared" si="3"/>
        <v>0</v>
      </c>
      <c r="AH78" s="489"/>
      <c r="AI78" s="458"/>
      <c r="AJ78" s="458"/>
      <c r="AK78" s="458"/>
      <c r="AL78" s="426">
        <f>I78</f>
        <v>1140</v>
      </c>
      <c r="AO78" s="495"/>
      <c r="AQ78" s="425">
        <f>I78</f>
        <v>1140</v>
      </c>
      <c r="AS78" s="425">
        <f>I78</f>
        <v>1140</v>
      </c>
      <c r="AT78" s="495"/>
      <c r="AY78" s="498">
        <f>I78/24</f>
        <v>47.5</v>
      </c>
      <c r="BT78" s="495"/>
      <c r="BV78" s="495"/>
      <c r="CC78" s="425">
        <f>I78/60</f>
        <v>19</v>
      </c>
      <c r="CK78" s="425">
        <f t="shared" si="14"/>
        <v>0</v>
      </c>
      <c r="CL78" s="425">
        <f t="shared" si="15"/>
        <v>19</v>
      </c>
      <c r="CM78" s="425">
        <f t="shared" si="16"/>
        <v>0</v>
      </c>
      <c r="CN78" s="495"/>
      <c r="CO78" s="495"/>
      <c r="CP78" s="495"/>
      <c r="CT78" s="495"/>
      <c r="CU78" s="495"/>
      <c r="CV78" s="495"/>
      <c r="CW78" s="495"/>
      <c r="CX78" s="495"/>
    </row>
    <row r="79" s="425" customFormat="1" ht="31" customHeight="1" spans="1:102">
      <c r="A79" s="455">
        <v>45747</v>
      </c>
      <c r="B79" s="456" t="s">
        <v>70</v>
      </c>
      <c r="C79" s="457" t="s">
        <v>71</v>
      </c>
      <c r="D79" s="425">
        <v>4500162028</v>
      </c>
      <c r="E79" s="457">
        <v>29036565</v>
      </c>
      <c r="F79" s="425" t="s">
        <v>3332</v>
      </c>
      <c r="G79" s="458" t="s">
        <v>3193</v>
      </c>
      <c r="H79" s="458" t="s">
        <v>3194</v>
      </c>
      <c r="I79" s="458">
        <v>360</v>
      </c>
      <c r="J79" s="458">
        <v>0</v>
      </c>
      <c r="K79" s="458">
        <v>60</v>
      </c>
      <c r="L79" s="462">
        <f t="shared" si="4"/>
        <v>6</v>
      </c>
      <c r="M79" s="463">
        <v>45796</v>
      </c>
      <c r="N79" s="463">
        <v>45792</v>
      </c>
      <c r="O79" s="464"/>
      <c r="P79" s="464" t="s">
        <v>103</v>
      </c>
      <c r="Q79" s="458"/>
      <c r="R79" s="472">
        <v>45749</v>
      </c>
      <c r="S79" s="472" t="s">
        <v>66</v>
      </c>
      <c r="T79" s="472" t="s">
        <v>66</v>
      </c>
      <c r="U79" s="472"/>
      <c r="V79" s="473" t="s">
        <v>3331</v>
      </c>
      <c r="W79" s="473" t="s">
        <v>75</v>
      </c>
      <c r="X79" s="473">
        <v>63.7</v>
      </c>
      <c r="Y79" s="480">
        <f>X79*L79</f>
        <v>382.2</v>
      </c>
      <c r="Z79" s="458"/>
      <c r="AA79" s="458" t="s">
        <v>3193</v>
      </c>
      <c r="AB79" s="458" t="s">
        <v>76</v>
      </c>
      <c r="AC79" s="458"/>
      <c r="AD79" s="458" t="s">
        <v>69</v>
      </c>
      <c r="AE79" s="458"/>
      <c r="AF79" s="458">
        <v>360</v>
      </c>
      <c r="AG79" s="458">
        <f t="shared" si="3"/>
        <v>0</v>
      </c>
      <c r="AH79" s="489"/>
      <c r="AI79" s="458"/>
      <c r="AJ79" s="458"/>
      <c r="AK79" s="458"/>
      <c r="AL79" s="426">
        <f>I79</f>
        <v>360</v>
      </c>
      <c r="AO79" s="495"/>
      <c r="AQ79" s="425">
        <f>I79</f>
        <v>360</v>
      </c>
      <c r="AS79" s="425">
        <f>I79</f>
        <v>360</v>
      </c>
      <c r="AT79" s="495"/>
      <c r="AY79" s="498">
        <f>I79/24</f>
        <v>15</v>
      </c>
      <c r="BT79" s="495"/>
      <c r="BV79" s="495"/>
      <c r="CC79" s="425">
        <f>I79/60</f>
        <v>6</v>
      </c>
      <c r="CK79" s="425">
        <f t="shared" si="14"/>
        <v>0</v>
      </c>
      <c r="CL79" s="425">
        <f t="shared" si="15"/>
        <v>6</v>
      </c>
      <c r="CM79" s="425">
        <f t="shared" si="16"/>
        <v>0</v>
      </c>
      <c r="CN79" s="495"/>
      <c r="CO79" s="495"/>
      <c r="CP79" s="495"/>
      <c r="CT79" s="495"/>
      <c r="CU79" s="495"/>
      <c r="CV79" s="495"/>
      <c r="CW79" s="495"/>
      <c r="CX79" s="495"/>
    </row>
    <row r="80" s="425" customFormat="1" ht="31" customHeight="1" spans="1:102">
      <c r="A80" s="455">
        <v>45758</v>
      </c>
      <c r="B80" s="456" t="s">
        <v>3333</v>
      </c>
      <c r="C80" s="457" t="s">
        <v>90</v>
      </c>
      <c r="D80" s="425">
        <v>4500163327</v>
      </c>
      <c r="E80" s="457" t="s">
        <v>3334</v>
      </c>
      <c r="F80" s="425" t="s">
        <v>3335</v>
      </c>
      <c r="G80" s="458" t="s">
        <v>3138</v>
      </c>
      <c r="H80" s="458" t="s">
        <v>3139</v>
      </c>
      <c r="I80" s="458">
        <v>1512</v>
      </c>
      <c r="J80" s="458">
        <v>0</v>
      </c>
      <c r="K80" s="458">
        <v>24</v>
      </c>
      <c r="L80" s="462">
        <f t="shared" si="4"/>
        <v>63</v>
      </c>
      <c r="M80" s="463">
        <v>45796</v>
      </c>
      <c r="N80" s="463">
        <v>45792</v>
      </c>
      <c r="O80" s="464"/>
      <c r="P80" s="464" t="s">
        <v>103</v>
      </c>
      <c r="Q80" s="458"/>
      <c r="R80" s="472">
        <v>45769</v>
      </c>
      <c r="S80" s="472" t="s">
        <v>96</v>
      </c>
      <c r="T80" s="472">
        <v>45769</v>
      </c>
      <c r="U80" s="472"/>
      <c r="V80" s="473" t="s">
        <v>3336</v>
      </c>
      <c r="W80" s="473" t="s">
        <v>2868</v>
      </c>
      <c r="X80" s="473">
        <v>1</v>
      </c>
      <c r="Y80" s="480">
        <f t="shared" ref="Y80:Y110" si="17">X80*I80</f>
        <v>1512</v>
      </c>
      <c r="Z80" s="458"/>
      <c r="AA80" s="483" t="s">
        <v>3169</v>
      </c>
      <c r="AB80" s="458" t="s">
        <v>76</v>
      </c>
      <c r="AC80" s="458"/>
      <c r="AD80" s="458" t="s">
        <v>69</v>
      </c>
      <c r="AE80" s="458"/>
      <c r="AF80" s="458">
        <v>1512</v>
      </c>
      <c r="AG80" s="458">
        <f t="shared" si="3"/>
        <v>0</v>
      </c>
      <c r="AH80" s="489"/>
      <c r="AI80" s="458"/>
      <c r="AJ80" s="458"/>
      <c r="AK80" s="458">
        <f t="shared" ref="AK80:AK85" si="18">I80</f>
        <v>1512</v>
      </c>
      <c r="AM80" s="425">
        <f>I80</f>
        <v>1512</v>
      </c>
      <c r="AO80" s="495"/>
      <c r="AR80" s="425">
        <f t="shared" ref="AR80:AR85" si="19">I80</f>
        <v>1512</v>
      </c>
      <c r="AT80" s="495"/>
      <c r="AY80" s="498">
        <f>I80/48</f>
        <v>31.5</v>
      </c>
      <c r="BT80" s="495"/>
      <c r="BV80" s="495"/>
      <c r="CK80" s="425">
        <f t="shared" si="14"/>
        <v>0</v>
      </c>
      <c r="CL80" s="425">
        <f t="shared" si="15"/>
        <v>0</v>
      </c>
      <c r="CM80" s="425">
        <f t="shared" si="16"/>
        <v>0</v>
      </c>
      <c r="CN80" s="495"/>
      <c r="CO80" s="495"/>
      <c r="CP80" s="495"/>
      <c r="CT80" s="495"/>
      <c r="CU80" s="495"/>
      <c r="CV80" s="495"/>
      <c r="CW80" s="495"/>
      <c r="CX80" s="495"/>
    </row>
    <row r="81" s="425" customFormat="1" ht="31" customHeight="1" spans="1:102">
      <c r="A81" s="455">
        <v>45758</v>
      </c>
      <c r="B81" s="456" t="s">
        <v>238</v>
      </c>
      <c r="C81" s="457" t="s">
        <v>153</v>
      </c>
      <c r="D81" s="425">
        <v>4500163438</v>
      </c>
      <c r="E81" s="457">
        <v>3501527805</v>
      </c>
      <c r="F81" s="425" t="s">
        <v>3337</v>
      </c>
      <c r="G81" s="458" t="s">
        <v>3198</v>
      </c>
      <c r="H81" s="458" t="s">
        <v>3303</v>
      </c>
      <c r="I81" s="458">
        <v>2200</v>
      </c>
      <c r="J81" s="458">
        <v>0</v>
      </c>
      <c r="K81" s="458">
        <v>25</v>
      </c>
      <c r="L81" s="462">
        <f t="shared" si="4"/>
        <v>88</v>
      </c>
      <c r="M81" s="463">
        <v>45796</v>
      </c>
      <c r="N81" s="463">
        <v>45792</v>
      </c>
      <c r="O81" s="464" t="s">
        <v>240</v>
      </c>
      <c r="P81" s="464" t="s">
        <v>103</v>
      </c>
      <c r="Q81" s="458"/>
      <c r="R81" s="472">
        <v>45764</v>
      </c>
      <c r="S81" s="472" t="s">
        <v>66</v>
      </c>
      <c r="T81" s="472">
        <v>45764</v>
      </c>
      <c r="U81" s="472"/>
      <c r="V81" s="473" t="s">
        <v>3338</v>
      </c>
      <c r="W81" s="473" t="s">
        <v>242</v>
      </c>
      <c r="X81" s="473">
        <v>0.95</v>
      </c>
      <c r="Y81" s="480">
        <f t="shared" si="17"/>
        <v>2090</v>
      </c>
      <c r="Z81" s="458"/>
      <c r="AA81" s="482" t="s">
        <v>3202</v>
      </c>
      <c r="AB81" s="458" t="s">
        <v>76</v>
      </c>
      <c r="AC81" s="458"/>
      <c r="AD81" s="458" t="s">
        <v>69</v>
      </c>
      <c r="AE81" s="458"/>
      <c r="AF81" s="458">
        <v>2200</v>
      </c>
      <c r="AG81" s="458">
        <f t="shared" si="3"/>
        <v>0</v>
      </c>
      <c r="AH81" s="489"/>
      <c r="AI81" s="458"/>
      <c r="AJ81" s="458"/>
      <c r="AK81" s="458">
        <f t="shared" si="18"/>
        <v>2200</v>
      </c>
      <c r="AO81" s="495"/>
      <c r="AP81" s="425">
        <f>I81</f>
        <v>2200</v>
      </c>
      <c r="AR81" s="425">
        <f t="shared" si="19"/>
        <v>2200</v>
      </c>
      <c r="AT81" s="495"/>
      <c r="AY81" s="498">
        <f>I81/24</f>
        <v>91.6666666666667</v>
      </c>
      <c r="BK81" s="425">
        <f>I81/25</f>
        <v>88</v>
      </c>
      <c r="BT81" s="495"/>
      <c r="BV81" s="495"/>
      <c r="CK81" s="425">
        <f t="shared" si="14"/>
        <v>88</v>
      </c>
      <c r="CL81" s="425">
        <f t="shared" si="15"/>
        <v>0</v>
      </c>
      <c r="CM81" s="425">
        <f t="shared" si="16"/>
        <v>0</v>
      </c>
      <c r="CN81" s="495"/>
      <c r="CO81" s="495"/>
      <c r="CP81" s="495"/>
      <c r="CT81" s="495"/>
      <c r="CU81" s="495"/>
      <c r="CV81" s="495"/>
      <c r="CW81" s="495"/>
      <c r="CX81" s="495"/>
    </row>
    <row r="82" s="425" customFormat="1" ht="31" customHeight="1" spans="1:102">
      <c r="A82" s="455">
        <v>45726</v>
      </c>
      <c r="B82" s="456" t="s">
        <v>89</v>
      </c>
      <c r="C82" s="457" t="s">
        <v>90</v>
      </c>
      <c r="D82" s="425">
        <v>4500159675</v>
      </c>
      <c r="E82" s="457" t="s">
        <v>3339</v>
      </c>
      <c r="F82" s="425" t="s">
        <v>3340</v>
      </c>
      <c r="G82" s="458" t="s">
        <v>3180</v>
      </c>
      <c r="H82" s="458" t="s">
        <v>3181</v>
      </c>
      <c r="I82" s="458">
        <v>22656</v>
      </c>
      <c r="J82" s="458">
        <v>0</v>
      </c>
      <c r="K82" s="458">
        <v>16</v>
      </c>
      <c r="L82" s="462">
        <f t="shared" si="4"/>
        <v>1416</v>
      </c>
      <c r="M82" s="463">
        <v>45797</v>
      </c>
      <c r="N82" s="463">
        <v>45793</v>
      </c>
      <c r="O82" s="464" t="s">
        <v>245</v>
      </c>
      <c r="P82" s="464" t="s">
        <v>103</v>
      </c>
      <c r="Q82" s="458"/>
      <c r="R82" s="472">
        <v>45727</v>
      </c>
      <c r="S82" s="472" t="s">
        <v>96</v>
      </c>
      <c r="T82" s="472" t="s">
        <v>3276</v>
      </c>
      <c r="U82" s="472"/>
      <c r="V82" s="473" t="s">
        <v>3277</v>
      </c>
      <c r="W82" s="473" t="s">
        <v>98</v>
      </c>
      <c r="X82" s="473">
        <v>1.68</v>
      </c>
      <c r="Y82" s="480">
        <f t="shared" si="17"/>
        <v>38062.08</v>
      </c>
      <c r="Z82" s="458"/>
      <c r="AA82" s="458" t="s">
        <v>3180</v>
      </c>
      <c r="AB82" s="458" t="s">
        <v>76</v>
      </c>
      <c r="AC82" s="458"/>
      <c r="AD82" s="458" t="s">
        <v>69</v>
      </c>
      <c r="AE82" s="458"/>
      <c r="AF82" s="458">
        <v>22656</v>
      </c>
      <c r="AG82" s="458">
        <f t="shared" si="3"/>
        <v>0</v>
      </c>
      <c r="AH82" s="489"/>
      <c r="AI82" s="458"/>
      <c r="AJ82" s="458"/>
      <c r="AK82" s="458">
        <f t="shared" si="18"/>
        <v>22656</v>
      </c>
      <c r="AM82" s="425">
        <f>I82</f>
        <v>22656</v>
      </c>
      <c r="AO82" s="495"/>
      <c r="AR82" s="425">
        <f t="shared" si="19"/>
        <v>22656</v>
      </c>
      <c r="AT82" s="495"/>
      <c r="AY82" s="498">
        <f>I82/48</f>
        <v>472</v>
      </c>
      <c r="BM82" s="425">
        <f>I82/16</f>
        <v>1416</v>
      </c>
      <c r="BT82" s="495"/>
      <c r="BV82" s="495"/>
      <c r="CK82" s="425">
        <f t="shared" si="14"/>
        <v>1416</v>
      </c>
      <c r="CL82" s="425">
        <f t="shared" si="15"/>
        <v>0</v>
      </c>
      <c r="CM82" s="425">
        <f t="shared" si="16"/>
        <v>0</v>
      </c>
      <c r="CN82" s="495"/>
      <c r="CO82" s="495"/>
      <c r="CP82" s="495"/>
      <c r="CT82" s="495"/>
      <c r="CU82" s="495"/>
      <c r="CV82" s="495"/>
      <c r="CW82" s="495"/>
      <c r="CX82" s="495"/>
    </row>
    <row r="83" s="425" customFormat="1" ht="31" customHeight="1" spans="1:102">
      <c r="A83" s="455">
        <v>45726</v>
      </c>
      <c r="B83" s="456" t="s">
        <v>89</v>
      </c>
      <c r="C83" s="457" t="s">
        <v>90</v>
      </c>
      <c r="D83" s="425">
        <v>4500159675</v>
      </c>
      <c r="E83" s="457" t="s">
        <v>3341</v>
      </c>
      <c r="F83" s="425" t="s">
        <v>3342</v>
      </c>
      <c r="G83" s="458" t="s">
        <v>3180</v>
      </c>
      <c r="H83" s="458" t="s">
        <v>3181</v>
      </c>
      <c r="I83" s="458">
        <v>19552</v>
      </c>
      <c r="J83" s="458">
        <v>0</v>
      </c>
      <c r="K83" s="458">
        <v>16</v>
      </c>
      <c r="L83" s="462">
        <f t="shared" si="4"/>
        <v>1222</v>
      </c>
      <c r="M83" s="463">
        <v>45797</v>
      </c>
      <c r="N83" s="463">
        <v>45793</v>
      </c>
      <c r="O83" s="464" t="s">
        <v>245</v>
      </c>
      <c r="P83" s="464" t="s">
        <v>103</v>
      </c>
      <c r="Q83" s="458"/>
      <c r="R83" s="472">
        <v>45727</v>
      </c>
      <c r="S83" s="472" t="s">
        <v>96</v>
      </c>
      <c r="T83" s="472" t="s">
        <v>3276</v>
      </c>
      <c r="U83" s="472"/>
      <c r="V83" s="473" t="s">
        <v>3277</v>
      </c>
      <c r="W83" s="473" t="s">
        <v>98</v>
      </c>
      <c r="X83" s="473">
        <v>1.68</v>
      </c>
      <c r="Y83" s="480">
        <f t="shared" si="17"/>
        <v>32847.36</v>
      </c>
      <c r="Z83" s="458"/>
      <c r="AA83" s="458" t="s">
        <v>3180</v>
      </c>
      <c r="AB83" s="458" t="s">
        <v>76</v>
      </c>
      <c r="AC83" s="458"/>
      <c r="AD83" s="458" t="s">
        <v>69</v>
      </c>
      <c r="AE83" s="458"/>
      <c r="AF83" s="458">
        <v>19552</v>
      </c>
      <c r="AG83" s="458">
        <f t="shared" si="3"/>
        <v>0</v>
      </c>
      <c r="AH83" s="489"/>
      <c r="AI83" s="458"/>
      <c r="AJ83" s="458"/>
      <c r="AK83" s="458">
        <f t="shared" si="18"/>
        <v>19552</v>
      </c>
      <c r="AM83" s="425">
        <f>I83</f>
        <v>19552</v>
      </c>
      <c r="AO83" s="495"/>
      <c r="AR83" s="425">
        <f t="shared" si="19"/>
        <v>19552</v>
      </c>
      <c r="AT83" s="495"/>
      <c r="AY83" s="498">
        <f>I83/48</f>
        <v>407.333333333333</v>
      </c>
      <c r="BM83" s="425">
        <f>I83/16</f>
        <v>1222</v>
      </c>
      <c r="BT83" s="495"/>
      <c r="BV83" s="495"/>
      <c r="CK83" s="425">
        <f t="shared" si="14"/>
        <v>1222</v>
      </c>
      <c r="CL83" s="425">
        <f t="shared" si="15"/>
        <v>0</v>
      </c>
      <c r="CM83" s="425">
        <f t="shared" si="16"/>
        <v>0</v>
      </c>
      <c r="CN83" s="495"/>
      <c r="CO83" s="495"/>
      <c r="CP83" s="495"/>
      <c r="CT83" s="495"/>
      <c r="CU83" s="495"/>
      <c r="CV83" s="495"/>
      <c r="CW83" s="495"/>
      <c r="CX83" s="495"/>
    </row>
    <row r="84" s="425" customFormat="1" ht="31" customHeight="1" spans="1:102">
      <c r="A84" s="455">
        <v>45748</v>
      </c>
      <c r="B84" s="456" t="s">
        <v>128</v>
      </c>
      <c r="C84" s="457" t="s">
        <v>90</v>
      </c>
      <c r="D84" s="425">
        <v>4500162168</v>
      </c>
      <c r="E84" s="457" t="s">
        <v>3343</v>
      </c>
      <c r="F84" s="425" t="s">
        <v>3344</v>
      </c>
      <c r="G84" s="458" t="s">
        <v>3180</v>
      </c>
      <c r="H84" s="458" t="s">
        <v>3181</v>
      </c>
      <c r="I84" s="458">
        <v>3168</v>
      </c>
      <c r="J84" s="458">
        <v>0</v>
      </c>
      <c r="K84" s="458">
        <v>16</v>
      </c>
      <c r="L84" s="462">
        <f t="shared" si="4"/>
        <v>198</v>
      </c>
      <c r="M84" s="463">
        <v>45797</v>
      </c>
      <c r="N84" s="463">
        <v>45793</v>
      </c>
      <c r="O84" s="464" t="s">
        <v>245</v>
      </c>
      <c r="P84" s="464" t="s">
        <v>103</v>
      </c>
      <c r="Q84" s="458"/>
      <c r="R84" s="472" t="s">
        <v>132</v>
      </c>
      <c r="S84" s="472" t="s">
        <v>66</v>
      </c>
      <c r="T84" s="472" t="s">
        <v>3250</v>
      </c>
      <c r="U84" s="472" t="s">
        <v>133</v>
      </c>
      <c r="V84" s="473" t="s">
        <v>3251</v>
      </c>
      <c r="W84" s="473" t="s">
        <v>98</v>
      </c>
      <c r="X84" s="473">
        <v>1.68</v>
      </c>
      <c r="Y84" s="480">
        <f t="shared" si="17"/>
        <v>5322.24</v>
      </c>
      <c r="Z84" s="458"/>
      <c r="AA84" s="458" t="s">
        <v>3180</v>
      </c>
      <c r="AB84" s="458" t="s">
        <v>76</v>
      </c>
      <c r="AC84" s="458"/>
      <c r="AD84" s="458" t="s">
        <v>69</v>
      </c>
      <c r="AE84" s="458"/>
      <c r="AF84" s="458">
        <v>3168</v>
      </c>
      <c r="AG84" s="458">
        <f t="shared" si="3"/>
        <v>0</v>
      </c>
      <c r="AH84" s="489"/>
      <c r="AI84" s="458"/>
      <c r="AJ84" s="458"/>
      <c r="AK84" s="458">
        <f t="shared" si="18"/>
        <v>3168</v>
      </c>
      <c r="AM84" s="425">
        <f>I84</f>
        <v>3168</v>
      </c>
      <c r="AO84" s="495"/>
      <c r="AR84" s="425">
        <f t="shared" si="19"/>
        <v>3168</v>
      </c>
      <c r="AT84" s="495"/>
      <c r="AY84" s="498">
        <f>I84/48</f>
        <v>66</v>
      </c>
      <c r="BM84" s="425">
        <f>I84/16</f>
        <v>198</v>
      </c>
      <c r="BT84" s="495"/>
      <c r="BV84" s="495"/>
      <c r="CK84" s="425">
        <f t="shared" si="14"/>
        <v>198</v>
      </c>
      <c r="CL84" s="425">
        <f t="shared" si="15"/>
        <v>0</v>
      </c>
      <c r="CM84" s="425">
        <f t="shared" si="16"/>
        <v>0</v>
      </c>
      <c r="CN84" s="495"/>
      <c r="CO84" s="495"/>
      <c r="CP84" s="495"/>
      <c r="CT84" s="495"/>
      <c r="CU84" s="495"/>
      <c r="CV84" s="495"/>
      <c r="CW84" s="495"/>
      <c r="CX84" s="495"/>
    </row>
    <row r="85" s="425" customFormat="1" ht="31" customHeight="1" spans="1:102">
      <c r="A85" s="455">
        <v>45748</v>
      </c>
      <c r="B85" s="456" t="s">
        <v>128</v>
      </c>
      <c r="C85" s="457" t="s">
        <v>90</v>
      </c>
      <c r="D85" s="425">
        <v>4500162168</v>
      </c>
      <c r="E85" s="457" t="s">
        <v>3345</v>
      </c>
      <c r="F85" s="425" t="s">
        <v>3346</v>
      </c>
      <c r="G85" s="458" t="s">
        <v>3180</v>
      </c>
      <c r="H85" s="458" t="s">
        <v>3181</v>
      </c>
      <c r="I85" s="458">
        <v>3760</v>
      </c>
      <c r="J85" s="458">
        <v>0</v>
      </c>
      <c r="K85" s="458">
        <v>16</v>
      </c>
      <c r="L85" s="462">
        <f t="shared" si="4"/>
        <v>235</v>
      </c>
      <c r="M85" s="463">
        <v>45797</v>
      </c>
      <c r="N85" s="463">
        <v>45793</v>
      </c>
      <c r="O85" s="464" t="s">
        <v>245</v>
      </c>
      <c r="P85" s="464" t="s">
        <v>103</v>
      </c>
      <c r="Q85" s="458"/>
      <c r="R85" s="472" t="s">
        <v>132</v>
      </c>
      <c r="S85" s="472" t="s">
        <v>66</v>
      </c>
      <c r="T85" s="472" t="s">
        <v>3250</v>
      </c>
      <c r="U85" s="472" t="s">
        <v>133</v>
      </c>
      <c r="V85" s="473" t="s">
        <v>3251</v>
      </c>
      <c r="W85" s="473" t="s">
        <v>98</v>
      </c>
      <c r="X85" s="473">
        <v>1.68</v>
      </c>
      <c r="Y85" s="480">
        <f t="shared" si="17"/>
        <v>6316.8</v>
      </c>
      <c r="Z85" s="458"/>
      <c r="AA85" s="458" t="s">
        <v>3180</v>
      </c>
      <c r="AB85" s="458" t="s">
        <v>76</v>
      </c>
      <c r="AC85" s="458"/>
      <c r="AD85" s="458" t="s">
        <v>69</v>
      </c>
      <c r="AE85" s="458"/>
      <c r="AF85" s="458">
        <v>3760</v>
      </c>
      <c r="AG85" s="458">
        <f t="shared" si="3"/>
        <v>0</v>
      </c>
      <c r="AH85" s="489"/>
      <c r="AI85" s="458"/>
      <c r="AJ85" s="458"/>
      <c r="AK85" s="458">
        <f t="shared" si="18"/>
        <v>3760</v>
      </c>
      <c r="AM85" s="425">
        <f>I85</f>
        <v>3760</v>
      </c>
      <c r="AO85" s="495"/>
      <c r="AR85" s="425">
        <f t="shared" si="19"/>
        <v>3760</v>
      </c>
      <c r="AT85" s="495"/>
      <c r="AY85" s="498">
        <f>I85/48</f>
        <v>78.3333333333333</v>
      </c>
      <c r="BM85" s="425">
        <f>I85/16</f>
        <v>235</v>
      </c>
      <c r="BT85" s="495"/>
      <c r="BV85" s="495"/>
      <c r="CK85" s="425">
        <f t="shared" si="14"/>
        <v>235</v>
      </c>
      <c r="CL85" s="425">
        <f t="shared" si="15"/>
        <v>0</v>
      </c>
      <c r="CM85" s="425">
        <f t="shared" si="16"/>
        <v>0</v>
      </c>
      <c r="CN85" s="495"/>
      <c r="CO85" s="495"/>
      <c r="CP85" s="495"/>
      <c r="CT85" s="495"/>
      <c r="CU85" s="495"/>
      <c r="CV85" s="495"/>
      <c r="CW85" s="495"/>
      <c r="CX85" s="495"/>
    </row>
    <row r="86" s="425" customFormat="1" ht="31" customHeight="1" spans="1:102">
      <c r="A86" s="455">
        <v>45734</v>
      </c>
      <c r="B86" s="456" t="s">
        <v>1355</v>
      </c>
      <c r="C86" s="457" t="s">
        <v>468</v>
      </c>
      <c r="D86" s="425">
        <v>4500160573</v>
      </c>
      <c r="E86" s="457">
        <v>5251215522</v>
      </c>
      <c r="F86" s="425" t="s">
        <v>3347</v>
      </c>
      <c r="G86" s="458" t="s">
        <v>3161</v>
      </c>
      <c r="H86" s="458" t="s">
        <v>3221</v>
      </c>
      <c r="I86" s="458">
        <v>17000</v>
      </c>
      <c r="J86" s="458">
        <v>0</v>
      </c>
      <c r="K86" s="458">
        <v>50</v>
      </c>
      <c r="L86" s="462">
        <f t="shared" si="4"/>
        <v>340</v>
      </c>
      <c r="M86" s="463">
        <v>45798</v>
      </c>
      <c r="N86" s="463">
        <v>45794</v>
      </c>
      <c r="O86" s="464" t="s">
        <v>3348</v>
      </c>
      <c r="P86" s="464" t="s">
        <v>103</v>
      </c>
      <c r="Q86" s="458"/>
      <c r="R86" s="472">
        <v>45768</v>
      </c>
      <c r="S86" s="472" t="s">
        <v>66</v>
      </c>
      <c r="T86" s="472" t="s">
        <v>66</v>
      </c>
      <c r="U86" s="472" t="s">
        <v>3349</v>
      </c>
      <c r="V86" s="473" t="s">
        <v>3350</v>
      </c>
      <c r="W86" s="473" t="s">
        <v>304</v>
      </c>
      <c r="X86" s="473">
        <v>0.95</v>
      </c>
      <c r="Y86" s="480">
        <f t="shared" si="17"/>
        <v>16150</v>
      </c>
      <c r="Z86" s="458"/>
      <c r="AA86" s="458" t="s">
        <v>3161</v>
      </c>
      <c r="AB86" s="458" t="s">
        <v>76</v>
      </c>
      <c r="AC86" s="458"/>
      <c r="AD86" s="458" t="s">
        <v>69</v>
      </c>
      <c r="AE86" s="458"/>
      <c r="AF86" s="458">
        <f>11100</f>
        <v>11100</v>
      </c>
      <c r="AG86" s="458">
        <f t="shared" si="3"/>
        <v>-5900</v>
      </c>
      <c r="AH86" s="489"/>
      <c r="AI86" s="458"/>
      <c r="AJ86" s="458"/>
      <c r="AK86" s="458"/>
      <c r="AL86" s="426">
        <f>I86</f>
        <v>17000</v>
      </c>
      <c r="AO86" s="495"/>
      <c r="AQ86" s="425">
        <f>I86</f>
        <v>17000</v>
      </c>
      <c r="AS86" s="425">
        <f>I86</f>
        <v>17000</v>
      </c>
      <c r="AT86" s="495"/>
      <c r="AY86" s="498">
        <f>I86/24</f>
        <v>708.333333333333</v>
      </c>
      <c r="BL86" s="425">
        <f>I86/25</f>
        <v>680</v>
      </c>
      <c r="BT86" s="495"/>
      <c r="BV86" s="495"/>
      <c r="CK86" s="425">
        <f t="shared" si="14"/>
        <v>680</v>
      </c>
      <c r="CL86" s="425">
        <f t="shared" si="15"/>
        <v>0</v>
      </c>
      <c r="CM86" s="425">
        <f t="shared" si="16"/>
        <v>0</v>
      </c>
      <c r="CN86" s="495"/>
      <c r="CO86" s="495"/>
      <c r="CP86" s="495"/>
      <c r="CT86" s="495"/>
      <c r="CU86" s="495"/>
      <c r="CV86" s="495"/>
      <c r="CW86" s="495"/>
      <c r="CX86" s="495"/>
    </row>
    <row r="87" s="425" customFormat="1" ht="31" customHeight="1" spans="1:102">
      <c r="A87" s="455">
        <v>45750</v>
      </c>
      <c r="B87" s="456" t="s">
        <v>270</v>
      </c>
      <c r="C87" s="457" t="s">
        <v>271</v>
      </c>
      <c r="D87" s="425">
        <v>4500162314</v>
      </c>
      <c r="E87" s="457">
        <v>5200006540</v>
      </c>
      <c r="F87" s="425" t="s">
        <v>3351</v>
      </c>
      <c r="G87" s="458" t="s">
        <v>3231</v>
      </c>
      <c r="H87" s="458" t="s">
        <v>3207</v>
      </c>
      <c r="I87" s="458">
        <v>4888</v>
      </c>
      <c r="J87" s="458">
        <v>0</v>
      </c>
      <c r="K87" s="458">
        <v>13</v>
      </c>
      <c r="L87" s="462">
        <f t="shared" si="4"/>
        <v>376</v>
      </c>
      <c r="M87" s="463">
        <v>45799</v>
      </c>
      <c r="N87" s="463">
        <v>45796</v>
      </c>
      <c r="O87" s="464"/>
      <c r="P87" s="464" t="s">
        <v>103</v>
      </c>
      <c r="Q87" s="458" t="s">
        <v>3352</v>
      </c>
      <c r="R87" s="472">
        <v>45750</v>
      </c>
      <c r="S87" s="472" t="s">
        <v>66</v>
      </c>
      <c r="T87" s="472" t="s">
        <v>443</v>
      </c>
      <c r="U87" s="472"/>
      <c r="V87" s="473" t="s">
        <v>3353</v>
      </c>
      <c r="W87" s="473" t="s">
        <v>274</v>
      </c>
      <c r="X87" s="473">
        <v>1.16</v>
      </c>
      <c r="Y87" s="480">
        <f t="shared" si="17"/>
        <v>5670.08</v>
      </c>
      <c r="Z87" s="458"/>
      <c r="AA87" s="458" t="s">
        <v>3206</v>
      </c>
      <c r="AB87" s="458" t="s">
        <v>76</v>
      </c>
      <c r="AC87" s="458"/>
      <c r="AD87" s="458" t="s">
        <v>69</v>
      </c>
      <c r="AE87" s="458"/>
      <c r="AF87" s="458">
        <v>4888</v>
      </c>
      <c r="AG87" s="458">
        <f t="shared" si="3"/>
        <v>0</v>
      </c>
      <c r="AH87" s="489"/>
      <c r="AI87" s="458"/>
      <c r="AJ87" s="458"/>
      <c r="AK87" s="458"/>
      <c r="AL87" s="426">
        <f>I87</f>
        <v>4888</v>
      </c>
      <c r="AO87" s="495"/>
      <c r="AQ87" s="425">
        <f>I87</f>
        <v>4888</v>
      </c>
      <c r="AS87" s="425">
        <f>I87</f>
        <v>4888</v>
      </c>
      <c r="AT87" s="495"/>
      <c r="AY87" s="498">
        <f>I87/24</f>
        <v>203.666666666667</v>
      </c>
      <c r="BI87" s="425">
        <f>I87/13</f>
        <v>376</v>
      </c>
      <c r="BT87" s="495"/>
      <c r="BV87" s="495"/>
      <c r="CK87" s="425">
        <f t="shared" si="14"/>
        <v>0</v>
      </c>
      <c r="CL87" s="425">
        <f t="shared" si="15"/>
        <v>0</v>
      </c>
      <c r="CM87" s="425">
        <f t="shared" si="16"/>
        <v>0</v>
      </c>
      <c r="CN87" s="495"/>
      <c r="CO87" s="495"/>
      <c r="CP87" s="495"/>
      <c r="CT87" s="495"/>
      <c r="CU87" s="495"/>
      <c r="CV87" s="495"/>
      <c r="CW87" s="495"/>
      <c r="CX87" s="495"/>
    </row>
    <row r="88" s="425" customFormat="1" ht="31" customHeight="1" spans="1:102">
      <c r="A88" s="455">
        <v>45727</v>
      </c>
      <c r="B88" s="456" t="s">
        <v>280</v>
      </c>
      <c r="C88" s="457" t="s">
        <v>249</v>
      </c>
      <c r="D88" s="425">
        <v>4500159575</v>
      </c>
      <c r="E88" s="457" t="s">
        <v>281</v>
      </c>
      <c r="F88" s="425" t="s">
        <v>3354</v>
      </c>
      <c r="G88" s="458" t="s">
        <v>3158</v>
      </c>
      <c r="H88" s="458" t="s">
        <v>3159</v>
      </c>
      <c r="I88" s="458">
        <v>5512</v>
      </c>
      <c r="J88" s="458">
        <v>0</v>
      </c>
      <c r="K88" s="458">
        <v>52</v>
      </c>
      <c r="L88" s="462">
        <f t="shared" si="4"/>
        <v>106</v>
      </c>
      <c r="M88" s="463">
        <v>45800</v>
      </c>
      <c r="N88" s="463">
        <f>M88-4</f>
        <v>45796</v>
      </c>
      <c r="O88" s="464" t="s">
        <v>3355</v>
      </c>
      <c r="P88" s="464" t="s">
        <v>103</v>
      </c>
      <c r="Q88" s="458"/>
      <c r="R88" s="472">
        <v>45727</v>
      </c>
      <c r="S88" s="472" t="s">
        <v>66</v>
      </c>
      <c r="T88" s="472">
        <v>45776</v>
      </c>
      <c r="U88" s="472"/>
      <c r="V88" s="508" t="s">
        <v>3356</v>
      </c>
      <c r="W88" s="473" t="s">
        <v>285</v>
      </c>
      <c r="X88" s="473">
        <v>0.92</v>
      </c>
      <c r="Y88" s="480">
        <f t="shared" si="17"/>
        <v>5071.04</v>
      </c>
      <c r="Z88" s="458"/>
      <c r="AA88" s="484" t="s">
        <v>3357</v>
      </c>
      <c r="AB88" s="458" t="s">
        <v>76</v>
      </c>
      <c r="AC88" s="458"/>
      <c r="AD88" s="458" t="s">
        <v>69</v>
      </c>
      <c r="AE88" s="458"/>
      <c r="AF88" s="458">
        <f>5460+52</f>
        <v>5512</v>
      </c>
      <c r="AG88" s="458">
        <f t="shared" si="3"/>
        <v>0</v>
      </c>
      <c r="AH88" s="489"/>
      <c r="AI88" s="458"/>
      <c r="AJ88" s="458"/>
      <c r="AK88" s="458"/>
      <c r="AL88" s="426">
        <f>I88</f>
        <v>5512</v>
      </c>
      <c r="AM88" s="425">
        <f>I88</f>
        <v>5512</v>
      </c>
      <c r="AO88" s="495"/>
      <c r="AS88" s="425">
        <f>I88</f>
        <v>5512</v>
      </c>
      <c r="AT88" s="495"/>
      <c r="AY88" s="498">
        <f>I88/24</f>
        <v>229.666666666667</v>
      </c>
      <c r="BI88" s="425">
        <f>I88/13</f>
        <v>424</v>
      </c>
      <c r="BT88" s="495"/>
      <c r="BV88" s="495"/>
      <c r="CK88" s="425">
        <f t="shared" si="14"/>
        <v>0</v>
      </c>
      <c r="CL88" s="425">
        <f t="shared" si="15"/>
        <v>0</v>
      </c>
      <c r="CM88" s="425">
        <f t="shared" si="16"/>
        <v>0</v>
      </c>
      <c r="CN88" s="495"/>
      <c r="CO88" s="495"/>
      <c r="CP88" s="495"/>
      <c r="CT88" s="495"/>
      <c r="CU88" s="495"/>
      <c r="CV88" s="495"/>
      <c r="CW88" s="495"/>
      <c r="CX88" s="495"/>
    </row>
    <row r="89" s="425" customFormat="1" ht="31" customHeight="1" spans="1:102">
      <c r="A89" s="455">
        <v>45741</v>
      </c>
      <c r="B89" s="456" t="s">
        <v>184</v>
      </c>
      <c r="C89" s="457" t="s">
        <v>90</v>
      </c>
      <c r="D89" s="425">
        <v>4500161407</v>
      </c>
      <c r="E89" s="457">
        <v>216951853</v>
      </c>
      <c r="F89" s="425" t="s">
        <v>3358</v>
      </c>
      <c r="G89" s="458" t="s">
        <v>3272</v>
      </c>
      <c r="H89" s="458" t="s">
        <v>3207</v>
      </c>
      <c r="I89" s="458">
        <v>5200</v>
      </c>
      <c r="J89" s="458">
        <v>0</v>
      </c>
      <c r="K89" s="458">
        <v>13</v>
      </c>
      <c r="L89" s="462">
        <f t="shared" si="4"/>
        <v>400</v>
      </c>
      <c r="M89" s="463">
        <v>45790</v>
      </c>
      <c r="N89" s="463">
        <v>45797</v>
      </c>
      <c r="O89" s="464"/>
      <c r="P89" s="464" t="s">
        <v>103</v>
      </c>
      <c r="Q89" s="458"/>
      <c r="R89" s="472">
        <v>45771</v>
      </c>
      <c r="S89" s="472" t="s">
        <v>66</v>
      </c>
      <c r="T89" s="472" t="s">
        <v>66</v>
      </c>
      <c r="U89" s="472"/>
      <c r="V89" s="473" t="s">
        <v>187</v>
      </c>
      <c r="W89" s="473" t="s">
        <v>188</v>
      </c>
      <c r="X89" s="473">
        <v>0.92</v>
      </c>
      <c r="Y89" s="480">
        <f t="shared" si="17"/>
        <v>4784</v>
      </c>
      <c r="Z89" s="458"/>
      <c r="AA89" s="458" t="s">
        <v>3359</v>
      </c>
      <c r="AB89" s="458" t="s">
        <v>76</v>
      </c>
      <c r="AC89" s="458"/>
      <c r="AD89" s="458" t="s">
        <v>69</v>
      </c>
      <c r="AE89" s="458"/>
      <c r="AF89" s="458">
        <v>5200</v>
      </c>
      <c r="AG89" s="458">
        <f t="shared" si="3"/>
        <v>0</v>
      </c>
      <c r="AH89" s="489"/>
      <c r="AI89" s="458"/>
      <c r="AJ89" s="458"/>
      <c r="AK89" s="458">
        <f>I89</f>
        <v>5200</v>
      </c>
      <c r="AM89" s="425">
        <f>I89</f>
        <v>5200</v>
      </c>
      <c r="AO89" s="495"/>
      <c r="AR89" s="425">
        <f>I89</f>
        <v>5200</v>
      </c>
      <c r="AT89" s="495"/>
      <c r="AY89" s="498">
        <f>I89/48</f>
        <v>108.333333333333</v>
      </c>
      <c r="BG89" s="425">
        <f>I89/13</f>
        <v>400</v>
      </c>
      <c r="BT89" s="495"/>
      <c r="BV89" s="495"/>
      <c r="CK89" s="425">
        <f t="shared" si="14"/>
        <v>0</v>
      </c>
      <c r="CL89" s="425">
        <f t="shared" si="15"/>
        <v>0</v>
      </c>
      <c r="CM89" s="425">
        <f t="shared" si="16"/>
        <v>0</v>
      </c>
      <c r="CN89" s="495"/>
      <c r="CO89" s="495"/>
      <c r="CP89" s="495"/>
      <c r="CT89" s="495"/>
      <c r="CU89" s="495"/>
      <c r="CV89" s="495"/>
      <c r="CW89" s="495"/>
      <c r="CX89" s="495"/>
    </row>
    <row r="90" s="425" customFormat="1" ht="31" customHeight="1" spans="1:102">
      <c r="A90" s="455">
        <v>45741</v>
      </c>
      <c r="B90" s="456" t="s">
        <v>184</v>
      </c>
      <c r="C90" s="457" t="s">
        <v>90</v>
      </c>
      <c r="D90" s="425">
        <v>4500161408</v>
      </c>
      <c r="E90" s="457">
        <v>216951858</v>
      </c>
      <c r="F90" s="425" t="s">
        <v>3360</v>
      </c>
      <c r="G90" s="458" t="s">
        <v>3272</v>
      </c>
      <c r="H90" s="458" t="s">
        <v>3207</v>
      </c>
      <c r="I90" s="458">
        <v>2600</v>
      </c>
      <c r="J90" s="458">
        <v>0</v>
      </c>
      <c r="K90" s="458">
        <v>13</v>
      </c>
      <c r="L90" s="462">
        <f t="shared" si="4"/>
        <v>200</v>
      </c>
      <c r="M90" s="463">
        <v>45790</v>
      </c>
      <c r="N90" s="463">
        <v>45797</v>
      </c>
      <c r="O90" s="464"/>
      <c r="P90" s="464" t="s">
        <v>103</v>
      </c>
      <c r="Q90" s="458"/>
      <c r="R90" s="472">
        <v>45771</v>
      </c>
      <c r="S90" s="472" t="s">
        <v>66</v>
      </c>
      <c r="T90" s="472" t="s">
        <v>66</v>
      </c>
      <c r="U90" s="472"/>
      <c r="V90" s="473" t="s">
        <v>187</v>
      </c>
      <c r="W90" s="473" t="s">
        <v>188</v>
      </c>
      <c r="X90" s="473">
        <v>0.92</v>
      </c>
      <c r="Y90" s="480">
        <f t="shared" si="17"/>
        <v>2392</v>
      </c>
      <c r="Z90" s="458"/>
      <c r="AA90" s="458" t="s">
        <v>3359</v>
      </c>
      <c r="AB90" s="458" t="s">
        <v>76</v>
      </c>
      <c r="AC90" s="458"/>
      <c r="AD90" s="458" t="s">
        <v>69</v>
      </c>
      <c r="AE90" s="458"/>
      <c r="AF90" s="458">
        <v>2600</v>
      </c>
      <c r="AG90" s="458">
        <f t="shared" ref="AG90:AG131" si="20">AF90-I90</f>
        <v>0</v>
      </c>
      <c r="AH90" s="489"/>
      <c r="AI90" s="458"/>
      <c r="AJ90" s="458"/>
      <c r="AK90" s="458">
        <f>I90</f>
        <v>2600</v>
      </c>
      <c r="AM90" s="425">
        <f>I90</f>
        <v>2600</v>
      </c>
      <c r="AO90" s="495"/>
      <c r="AR90" s="425">
        <f>I90</f>
        <v>2600</v>
      </c>
      <c r="AT90" s="495"/>
      <c r="AY90" s="498">
        <f>I90/48</f>
        <v>54.1666666666667</v>
      </c>
      <c r="BG90" s="425">
        <f>I90/13</f>
        <v>200</v>
      </c>
      <c r="BT90" s="495"/>
      <c r="BV90" s="495"/>
      <c r="CK90" s="425">
        <f t="shared" si="14"/>
        <v>0</v>
      </c>
      <c r="CL90" s="425">
        <f t="shared" si="15"/>
        <v>0</v>
      </c>
      <c r="CM90" s="425">
        <f t="shared" si="16"/>
        <v>0</v>
      </c>
      <c r="CN90" s="495"/>
      <c r="CO90" s="495"/>
      <c r="CP90" s="495"/>
      <c r="CT90" s="495"/>
      <c r="CU90" s="495"/>
      <c r="CV90" s="495"/>
      <c r="CW90" s="495"/>
      <c r="CX90" s="495"/>
    </row>
    <row r="91" s="425" customFormat="1" ht="31" customHeight="1" spans="1:102">
      <c r="A91" s="455">
        <v>45722</v>
      </c>
      <c r="B91" s="456" t="s">
        <v>275</v>
      </c>
      <c r="C91" s="457" t="s">
        <v>90</v>
      </c>
      <c r="D91" s="425">
        <v>4500159089</v>
      </c>
      <c r="E91" s="457" t="s">
        <v>3361</v>
      </c>
      <c r="F91" s="425" t="s">
        <v>3362</v>
      </c>
      <c r="G91" s="458" t="s">
        <v>3154</v>
      </c>
      <c r="H91" s="458" t="s">
        <v>3151</v>
      </c>
      <c r="I91" s="458">
        <v>4150</v>
      </c>
      <c r="J91" s="458">
        <v>0</v>
      </c>
      <c r="K91" s="458">
        <v>50</v>
      </c>
      <c r="L91" s="462">
        <f t="shared" si="4"/>
        <v>83</v>
      </c>
      <c r="M91" s="463">
        <v>45800</v>
      </c>
      <c r="N91" s="463">
        <f>M91-4</f>
        <v>45796</v>
      </c>
      <c r="O91" s="464"/>
      <c r="P91" s="464" t="s">
        <v>103</v>
      </c>
      <c r="Q91" s="458"/>
      <c r="R91" s="472">
        <v>45722</v>
      </c>
      <c r="S91" s="472" t="s">
        <v>66</v>
      </c>
      <c r="T91" s="472" t="s">
        <v>66</v>
      </c>
      <c r="U91" s="472"/>
      <c r="V91" s="473" t="s">
        <v>278</v>
      </c>
      <c r="W91" s="473" t="s">
        <v>279</v>
      </c>
      <c r="X91" s="473">
        <v>0.95</v>
      </c>
      <c r="Y91" s="480">
        <f t="shared" si="17"/>
        <v>3942.5</v>
      </c>
      <c r="Z91" s="458"/>
      <c r="AA91" s="458" t="s">
        <v>3154</v>
      </c>
      <c r="AB91" s="458" t="s">
        <v>76</v>
      </c>
      <c r="AC91" s="458"/>
      <c r="AD91" s="458" t="s">
        <v>69</v>
      </c>
      <c r="AE91" s="458"/>
      <c r="AF91" s="458">
        <v>4150</v>
      </c>
      <c r="AG91" s="458">
        <f t="shared" si="20"/>
        <v>0</v>
      </c>
      <c r="AH91" s="489"/>
      <c r="AI91" s="458"/>
      <c r="AJ91" s="458"/>
      <c r="AK91" s="458">
        <f>I91</f>
        <v>4150</v>
      </c>
      <c r="AM91" s="425">
        <f>I91</f>
        <v>4150</v>
      </c>
      <c r="AO91" s="495"/>
      <c r="AR91" s="425">
        <f>I91</f>
        <v>4150</v>
      </c>
      <c r="AT91" s="495"/>
      <c r="AY91" s="498">
        <f>I91/48</f>
        <v>86.4583333333333</v>
      </c>
      <c r="BJ91" s="425">
        <f>I91/25</f>
        <v>166</v>
      </c>
      <c r="BT91" s="495"/>
      <c r="BV91" s="495"/>
      <c r="CK91" s="425">
        <f t="shared" si="14"/>
        <v>166</v>
      </c>
      <c r="CL91" s="425">
        <f t="shared" si="15"/>
        <v>0</v>
      </c>
      <c r="CM91" s="425">
        <f t="shared" si="16"/>
        <v>0</v>
      </c>
      <c r="CN91" s="495"/>
      <c r="CO91" s="495"/>
      <c r="CP91" s="495"/>
      <c r="CT91" s="495"/>
      <c r="CU91" s="495"/>
      <c r="CV91" s="495"/>
      <c r="CW91" s="495"/>
      <c r="CX91" s="495"/>
    </row>
    <row r="92" s="425" customFormat="1" ht="31" customHeight="1" spans="1:102">
      <c r="A92" s="455">
        <v>45761</v>
      </c>
      <c r="B92" s="456" t="s">
        <v>286</v>
      </c>
      <c r="C92" s="457" t="s">
        <v>249</v>
      </c>
      <c r="D92" s="425">
        <v>4500163316</v>
      </c>
      <c r="E92" s="457" t="s">
        <v>3363</v>
      </c>
      <c r="F92" s="425" t="s">
        <v>3364</v>
      </c>
      <c r="G92" s="458" t="s">
        <v>3206</v>
      </c>
      <c r="H92" s="458" t="s">
        <v>3207</v>
      </c>
      <c r="I92" s="458">
        <v>6019</v>
      </c>
      <c r="J92" s="458">
        <v>0</v>
      </c>
      <c r="K92" s="458">
        <v>13</v>
      </c>
      <c r="L92" s="462">
        <f t="shared" si="4"/>
        <v>463</v>
      </c>
      <c r="M92" s="463">
        <v>45800</v>
      </c>
      <c r="N92" s="463">
        <f>M92-4</f>
        <v>45796</v>
      </c>
      <c r="O92" s="464"/>
      <c r="P92" s="464" t="s">
        <v>103</v>
      </c>
      <c r="Q92" s="458" t="s">
        <v>3365</v>
      </c>
      <c r="R92" s="472">
        <v>45758</v>
      </c>
      <c r="S92" s="472" t="s">
        <v>66</v>
      </c>
      <c r="T92" s="472">
        <v>45770</v>
      </c>
      <c r="U92" s="472"/>
      <c r="V92" s="473" t="s">
        <v>3366</v>
      </c>
      <c r="W92" s="473" t="s">
        <v>290</v>
      </c>
      <c r="X92" s="473">
        <v>0.92</v>
      </c>
      <c r="Y92" s="480">
        <f t="shared" si="17"/>
        <v>5537.48</v>
      </c>
      <c r="Z92" s="458"/>
      <c r="AA92" s="482" t="s">
        <v>3206</v>
      </c>
      <c r="AB92" s="458" t="s">
        <v>76</v>
      </c>
      <c r="AC92" s="458"/>
      <c r="AD92" s="458" t="s">
        <v>69</v>
      </c>
      <c r="AE92" s="458"/>
      <c r="AF92" s="458">
        <f>26+5993+13</f>
        <v>6032</v>
      </c>
      <c r="AG92" s="458">
        <f t="shared" si="20"/>
        <v>13</v>
      </c>
      <c r="AH92" s="489"/>
      <c r="AI92" s="458"/>
      <c r="AJ92" s="458"/>
      <c r="AK92" s="458"/>
      <c r="AL92" s="426">
        <f>I92</f>
        <v>6019</v>
      </c>
      <c r="AO92" s="495"/>
      <c r="AQ92" s="425">
        <f>I92</f>
        <v>6019</v>
      </c>
      <c r="AS92" s="425">
        <f>I92</f>
        <v>6019</v>
      </c>
      <c r="AT92" s="495"/>
      <c r="AY92" s="498">
        <f>I92/24</f>
        <v>250.791666666667</v>
      </c>
      <c r="BI92" s="425">
        <f>I92/13</f>
        <v>463</v>
      </c>
      <c r="BT92" s="495"/>
      <c r="BV92" s="495"/>
      <c r="CK92" s="425">
        <f t="shared" si="14"/>
        <v>0</v>
      </c>
      <c r="CL92" s="425">
        <f t="shared" si="15"/>
        <v>0</v>
      </c>
      <c r="CM92" s="425">
        <f t="shared" si="16"/>
        <v>0</v>
      </c>
      <c r="CN92" s="495"/>
      <c r="CO92" s="495"/>
      <c r="CP92" s="495"/>
      <c r="CT92" s="495"/>
      <c r="CU92" s="495"/>
      <c r="CV92" s="495"/>
      <c r="CW92" s="495"/>
      <c r="CX92" s="495"/>
    </row>
    <row r="93" s="425" customFormat="1" ht="31" customHeight="1" spans="1:102">
      <c r="A93" s="455">
        <v>45726</v>
      </c>
      <c r="B93" s="456" t="s">
        <v>89</v>
      </c>
      <c r="C93" s="457" t="s">
        <v>90</v>
      </c>
      <c r="D93" s="425">
        <v>4500159676</v>
      </c>
      <c r="E93" s="457" t="s">
        <v>3367</v>
      </c>
      <c r="F93" s="425" t="s">
        <v>3368</v>
      </c>
      <c r="G93" s="458" t="s">
        <v>3180</v>
      </c>
      <c r="H93" s="458" t="s">
        <v>3181</v>
      </c>
      <c r="I93" s="458">
        <v>15904</v>
      </c>
      <c r="J93" s="458">
        <v>0</v>
      </c>
      <c r="K93" s="458">
        <v>16</v>
      </c>
      <c r="L93" s="462">
        <f t="shared" ref="L93:L156" si="21">I93/K93</f>
        <v>994</v>
      </c>
      <c r="M93" s="463">
        <v>45803</v>
      </c>
      <c r="N93" s="463">
        <v>45799</v>
      </c>
      <c r="O93" s="464" t="s">
        <v>323</v>
      </c>
      <c r="P93" s="464" t="s">
        <v>103</v>
      </c>
      <c r="Q93" s="458"/>
      <c r="R93" s="472">
        <v>45727</v>
      </c>
      <c r="S93" s="472" t="s">
        <v>96</v>
      </c>
      <c r="T93" s="472" t="s">
        <v>3276</v>
      </c>
      <c r="U93" s="472"/>
      <c r="V93" s="473" t="s">
        <v>3277</v>
      </c>
      <c r="W93" s="473" t="s">
        <v>98</v>
      </c>
      <c r="X93" s="473">
        <v>1.68</v>
      </c>
      <c r="Y93" s="480">
        <f t="shared" si="17"/>
        <v>26718.72</v>
      </c>
      <c r="Z93" s="458"/>
      <c r="AA93" s="458" t="s">
        <v>3180</v>
      </c>
      <c r="AB93" s="458" t="s">
        <v>76</v>
      </c>
      <c r="AC93" s="458"/>
      <c r="AD93" s="458" t="s">
        <v>69</v>
      </c>
      <c r="AE93" s="458"/>
      <c r="AF93" s="458">
        <v>15904</v>
      </c>
      <c r="AG93" s="458">
        <f t="shared" si="20"/>
        <v>0</v>
      </c>
      <c r="AH93" s="489"/>
      <c r="AI93" s="458"/>
      <c r="AJ93" s="458"/>
      <c r="AK93" s="458">
        <f>I93</f>
        <v>15904</v>
      </c>
      <c r="AM93" s="425">
        <f>I93</f>
        <v>15904</v>
      </c>
      <c r="AO93" s="495"/>
      <c r="AR93" s="425">
        <f>I93</f>
        <v>15904</v>
      </c>
      <c r="AT93" s="495"/>
      <c r="AY93" s="498">
        <f>I93/48</f>
        <v>331.333333333333</v>
      </c>
      <c r="BM93" s="425">
        <f>I93/16</f>
        <v>994</v>
      </c>
      <c r="BT93" s="495"/>
      <c r="BV93" s="495"/>
      <c r="CK93" s="425">
        <f t="shared" si="14"/>
        <v>994</v>
      </c>
      <c r="CL93" s="425">
        <f t="shared" si="15"/>
        <v>0</v>
      </c>
      <c r="CM93" s="425">
        <f t="shared" si="16"/>
        <v>0</v>
      </c>
      <c r="CN93" s="495"/>
      <c r="CO93" s="495"/>
      <c r="CP93" s="495"/>
      <c r="CT93" s="495"/>
      <c r="CU93" s="495"/>
      <c r="CV93" s="495"/>
      <c r="CW93" s="495"/>
      <c r="CX93" s="495"/>
    </row>
    <row r="94" s="425" customFormat="1" ht="31" customHeight="1" spans="1:102">
      <c r="A94" s="455">
        <v>45726</v>
      </c>
      <c r="B94" s="456" t="s">
        <v>89</v>
      </c>
      <c r="C94" s="457" t="s">
        <v>90</v>
      </c>
      <c r="D94" s="425">
        <v>4500159676</v>
      </c>
      <c r="E94" s="457" t="s">
        <v>3369</v>
      </c>
      <c r="F94" s="425" t="s">
        <v>3370</v>
      </c>
      <c r="G94" s="458" t="s">
        <v>3180</v>
      </c>
      <c r="H94" s="458" t="s">
        <v>3181</v>
      </c>
      <c r="I94" s="458">
        <v>15296</v>
      </c>
      <c r="J94" s="458">
        <v>0</v>
      </c>
      <c r="K94" s="458">
        <v>16</v>
      </c>
      <c r="L94" s="462">
        <f t="shared" si="21"/>
        <v>956</v>
      </c>
      <c r="M94" s="463">
        <v>45803</v>
      </c>
      <c r="N94" s="463">
        <v>45799</v>
      </c>
      <c r="O94" s="464" t="s">
        <v>323</v>
      </c>
      <c r="P94" s="464" t="s">
        <v>103</v>
      </c>
      <c r="Q94" s="458"/>
      <c r="R94" s="472">
        <v>45727</v>
      </c>
      <c r="S94" s="472" t="s">
        <v>96</v>
      </c>
      <c r="T94" s="472" t="s">
        <v>3276</v>
      </c>
      <c r="U94" s="472"/>
      <c r="V94" s="473" t="s">
        <v>3277</v>
      </c>
      <c r="W94" s="473" t="s">
        <v>98</v>
      </c>
      <c r="X94" s="473">
        <v>1.68</v>
      </c>
      <c r="Y94" s="480">
        <f t="shared" si="17"/>
        <v>25697.28</v>
      </c>
      <c r="Z94" s="458"/>
      <c r="AA94" s="458" t="s">
        <v>3180</v>
      </c>
      <c r="AB94" s="458" t="s">
        <v>76</v>
      </c>
      <c r="AC94" s="458"/>
      <c r="AD94" s="458" t="s">
        <v>69</v>
      </c>
      <c r="AE94" s="458"/>
      <c r="AF94" s="458">
        <v>15296</v>
      </c>
      <c r="AG94" s="458">
        <f t="shared" si="20"/>
        <v>0</v>
      </c>
      <c r="AH94" s="489"/>
      <c r="AI94" s="458"/>
      <c r="AJ94" s="458"/>
      <c r="AK94" s="458">
        <f>I94</f>
        <v>15296</v>
      </c>
      <c r="AM94" s="425">
        <f>I94</f>
        <v>15296</v>
      </c>
      <c r="AO94" s="495"/>
      <c r="AR94" s="425">
        <f>I94</f>
        <v>15296</v>
      </c>
      <c r="AT94" s="495"/>
      <c r="AY94" s="498">
        <f>I94/48</f>
        <v>318.666666666667</v>
      </c>
      <c r="BM94" s="425">
        <f>I94/16</f>
        <v>956</v>
      </c>
      <c r="BT94" s="495"/>
      <c r="BV94" s="495"/>
      <c r="CK94" s="425">
        <f t="shared" si="14"/>
        <v>956</v>
      </c>
      <c r="CL94" s="425">
        <f t="shared" si="15"/>
        <v>0</v>
      </c>
      <c r="CM94" s="425">
        <f t="shared" si="16"/>
        <v>0</v>
      </c>
      <c r="CN94" s="495"/>
      <c r="CO94" s="495"/>
      <c r="CP94" s="495"/>
      <c r="CT94" s="495"/>
      <c r="CU94" s="495"/>
      <c r="CV94" s="495"/>
      <c r="CW94" s="495"/>
      <c r="CX94" s="495"/>
    </row>
    <row r="95" s="425" customFormat="1" ht="31" customHeight="1" spans="1:102">
      <c r="A95" s="455">
        <v>45748</v>
      </c>
      <c r="B95" s="456" t="s">
        <v>128</v>
      </c>
      <c r="C95" s="457" t="s">
        <v>90</v>
      </c>
      <c r="D95" s="425">
        <v>4500162169</v>
      </c>
      <c r="E95" s="895" t="s">
        <v>3371</v>
      </c>
      <c r="F95" s="425" t="s">
        <v>3372</v>
      </c>
      <c r="G95" s="458" t="s">
        <v>3180</v>
      </c>
      <c r="H95" s="458" t="s">
        <v>3181</v>
      </c>
      <c r="I95" s="458">
        <v>4880</v>
      </c>
      <c r="J95" s="458">
        <v>0</v>
      </c>
      <c r="K95" s="458">
        <v>16</v>
      </c>
      <c r="L95" s="462">
        <f t="shared" si="21"/>
        <v>305</v>
      </c>
      <c r="M95" s="463">
        <v>45803</v>
      </c>
      <c r="N95" s="463">
        <v>45799</v>
      </c>
      <c r="O95" s="464" t="s">
        <v>328</v>
      </c>
      <c r="P95" s="464" t="s">
        <v>103</v>
      </c>
      <c r="Q95" s="458"/>
      <c r="R95" s="472" t="s">
        <v>132</v>
      </c>
      <c r="S95" s="472" t="s">
        <v>66</v>
      </c>
      <c r="T95" s="472" t="s">
        <v>3250</v>
      </c>
      <c r="U95" s="472" t="s">
        <v>133</v>
      </c>
      <c r="V95" s="473" t="s">
        <v>3251</v>
      </c>
      <c r="W95" s="473" t="s">
        <v>98</v>
      </c>
      <c r="X95" s="473">
        <v>1.68</v>
      </c>
      <c r="Y95" s="480">
        <f t="shared" si="17"/>
        <v>8198.4</v>
      </c>
      <c r="Z95" s="458"/>
      <c r="AA95" s="458" t="s">
        <v>3180</v>
      </c>
      <c r="AB95" s="458" t="s">
        <v>76</v>
      </c>
      <c r="AC95" s="458"/>
      <c r="AD95" s="458" t="s">
        <v>69</v>
      </c>
      <c r="AE95" s="458"/>
      <c r="AF95" s="458">
        <v>4880</v>
      </c>
      <c r="AG95" s="458">
        <f t="shared" si="20"/>
        <v>0</v>
      </c>
      <c r="AH95" s="489"/>
      <c r="AI95" s="458"/>
      <c r="AJ95" s="458"/>
      <c r="AK95" s="458">
        <f>I95</f>
        <v>4880</v>
      </c>
      <c r="AM95" s="425">
        <f>I95</f>
        <v>4880</v>
      </c>
      <c r="AO95" s="495"/>
      <c r="AR95" s="425">
        <f>I95</f>
        <v>4880</v>
      </c>
      <c r="AT95" s="495"/>
      <c r="AY95" s="498">
        <f>I95/48</f>
        <v>101.666666666667</v>
      </c>
      <c r="BM95" s="425">
        <f>I95/16</f>
        <v>305</v>
      </c>
      <c r="BT95" s="495"/>
      <c r="BV95" s="495"/>
      <c r="CK95" s="425">
        <f t="shared" si="14"/>
        <v>305</v>
      </c>
      <c r="CL95" s="425">
        <f t="shared" si="15"/>
        <v>0</v>
      </c>
      <c r="CM95" s="425">
        <f t="shared" si="16"/>
        <v>0</v>
      </c>
      <c r="CN95" s="495"/>
      <c r="CO95" s="495"/>
      <c r="CP95" s="495"/>
      <c r="CT95" s="495"/>
      <c r="CU95" s="495"/>
      <c r="CV95" s="495"/>
      <c r="CW95" s="495"/>
      <c r="CX95" s="495"/>
    </row>
    <row r="96" s="425" customFormat="1" ht="31" customHeight="1" spans="1:102">
      <c r="A96" s="455">
        <v>45749</v>
      </c>
      <c r="B96" s="456" t="s">
        <v>331</v>
      </c>
      <c r="C96" s="457" t="s">
        <v>216</v>
      </c>
      <c r="D96" s="425">
        <v>4500162231</v>
      </c>
      <c r="E96" s="457">
        <v>32578104</v>
      </c>
      <c r="F96" s="425" t="s">
        <v>3373</v>
      </c>
      <c r="G96" s="458" t="s">
        <v>3165</v>
      </c>
      <c r="H96" s="458" t="s">
        <v>3166</v>
      </c>
      <c r="I96" s="458">
        <v>6250</v>
      </c>
      <c r="J96" s="458">
        <v>0</v>
      </c>
      <c r="K96" s="458">
        <v>25</v>
      </c>
      <c r="L96" s="462">
        <f t="shared" si="21"/>
        <v>250</v>
      </c>
      <c r="M96" s="463">
        <v>45803</v>
      </c>
      <c r="N96" s="463">
        <v>45799</v>
      </c>
      <c r="O96" s="464"/>
      <c r="P96" s="464" t="s">
        <v>103</v>
      </c>
      <c r="Q96" s="458"/>
      <c r="R96" s="472">
        <v>45749</v>
      </c>
      <c r="S96" s="472" t="s">
        <v>66</v>
      </c>
      <c r="T96" s="472">
        <v>45777</v>
      </c>
      <c r="U96" s="472"/>
      <c r="V96" s="473" t="s">
        <v>3374</v>
      </c>
      <c r="W96" s="473" t="s">
        <v>269</v>
      </c>
      <c r="X96" s="473">
        <v>0.95</v>
      </c>
      <c r="Y96" s="480">
        <f t="shared" si="17"/>
        <v>5937.5</v>
      </c>
      <c r="Z96" s="458"/>
      <c r="AA96" s="458" t="s">
        <v>3165</v>
      </c>
      <c r="AB96" s="458" t="s">
        <v>76</v>
      </c>
      <c r="AC96" s="458"/>
      <c r="AD96" s="458" t="s">
        <v>69</v>
      </c>
      <c r="AE96" s="458"/>
      <c r="AF96" s="458">
        <v>6250</v>
      </c>
      <c r="AG96" s="458">
        <f t="shared" si="20"/>
        <v>0</v>
      </c>
      <c r="AH96" s="489"/>
      <c r="AI96" s="458"/>
      <c r="AJ96" s="458"/>
      <c r="AK96" s="458"/>
      <c r="AL96" s="426">
        <f>I96</f>
        <v>6250</v>
      </c>
      <c r="AO96" s="495"/>
      <c r="AQ96" s="425">
        <f>I96</f>
        <v>6250</v>
      </c>
      <c r="AS96" s="425">
        <f>I96</f>
        <v>6250</v>
      </c>
      <c r="AT96" s="495"/>
      <c r="AY96" s="498">
        <f>I96/24</f>
        <v>260.416666666667</v>
      </c>
      <c r="BL96" s="425">
        <f>I96/25</f>
        <v>250</v>
      </c>
      <c r="BT96" s="495"/>
      <c r="BV96" s="495"/>
      <c r="CK96" s="425">
        <f t="shared" si="14"/>
        <v>250</v>
      </c>
      <c r="CL96" s="425">
        <f t="shared" si="15"/>
        <v>0</v>
      </c>
      <c r="CM96" s="425">
        <f t="shared" si="16"/>
        <v>0</v>
      </c>
      <c r="CN96" s="495"/>
      <c r="CO96" s="495"/>
      <c r="CP96" s="495"/>
      <c r="CT96" s="495"/>
      <c r="CU96" s="495"/>
      <c r="CV96" s="495"/>
      <c r="CW96" s="495"/>
      <c r="CX96" s="495"/>
    </row>
    <row r="97" s="425" customFormat="1" ht="31" customHeight="1" spans="1:102">
      <c r="A97" s="455">
        <v>45758</v>
      </c>
      <c r="B97" s="456" t="s">
        <v>312</v>
      </c>
      <c r="C97" s="457" t="s">
        <v>90</v>
      </c>
      <c r="D97" s="425">
        <v>4500163428</v>
      </c>
      <c r="E97" s="457" t="s">
        <v>313</v>
      </c>
      <c r="F97" s="425" t="s">
        <v>3375</v>
      </c>
      <c r="G97" s="458" t="s">
        <v>3198</v>
      </c>
      <c r="H97" s="458" t="s">
        <v>3303</v>
      </c>
      <c r="I97" s="458">
        <v>4500</v>
      </c>
      <c r="J97" s="458">
        <v>0</v>
      </c>
      <c r="K97" s="458">
        <v>25</v>
      </c>
      <c r="L97" s="462">
        <f t="shared" si="21"/>
        <v>180</v>
      </c>
      <c r="M97" s="463">
        <v>45824</v>
      </c>
      <c r="N97" s="463">
        <v>45820</v>
      </c>
      <c r="O97" s="464"/>
      <c r="P97" s="464" t="s">
        <v>103</v>
      </c>
      <c r="Q97" s="458"/>
      <c r="R97" s="472">
        <v>45758</v>
      </c>
      <c r="S97" s="472" t="s">
        <v>66</v>
      </c>
      <c r="T97" s="472" t="s">
        <v>66</v>
      </c>
      <c r="U97" s="472"/>
      <c r="V97" s="473" t="s">
        <v>315</v>
      </c>
      <c r="W97" s="473" t="s">
        <v>316</v>
      </c>
      <c r="X97" s="473">
        <v>0.95</v>
      </c>
      <c r="Y97" s="480">
        <f t="shared" si="17"/>
        <v>4275</v>
      </c>
      <c r="Z97" s="458" t="s">
        <v>317</v>
      </c>
      <c r="AA97" s="458" t="s">
        <v>3198</v>
      </c>
      <c r="AB97" s="458" t="s">
        <v>76</v>
      </c>
      <c r="AC97" s="458"/>
      <c r="AD97" s="458" t="s">
        <v>69</v>
      </c>
      <c r="AE97" s="458"/>
      <c r="AF97" s="458">
        <v>4500</v>
      </c>
      <c r="AG97" s="458">
        <f t="shared" si="20"/>
        <v>0</v>
      </c>
      <c r="AH97" s="489"/>
      <c r="AI97" s="458"/>
      <c r="AJ97" s="458"/>
      <c r="AK97" s="458">
        <f>I97</f>
        <v>4500</v>
      </c>
      <c r="AM97" s="425">
        <f>I97</f>
        <v>4500</v>
      </c>
      <c r="AO97" s="495"/>
      <c r="AR97" s="425">
        <f>I97</f>
        <v>4500</v>
      </c>
      <c r="AT97" s="495"/>
      <c r="AY97" s="498">
        <f>I97/48</f>
        <v>93.75</v>
      </c>
      <c r="BJ97" s="425">
        <f>I97/25</f>
        <v>180</v>
      </c>
      <c r="BT97" s="495"/>
      <c r="BV97" s="495"/>
      <c r="CK97" s="425">
        <f t="shared" si="14"/>
        <v>180</v>
      </c>
      <c r="CL97" s="425">
        <f t="shared" si="15"/>
        <v>0</v>
      </c>
      <c r="CM97" s="425">
        <f t="shared" si="16"/>
        <v>0</v>
      </c>
      <c r="CN97" s="495"/>
      <c r="CO97" s="495"/>
      <c r="CP97" s="495"/>
      <c r="CT97" s="495"/>
      <c r="CU97" s="495"/>
      <c r="CV97" s="495"/>
      <c r="CW97" s="495"/>
      <c r="CX97" s="495"/>
    </row>
    <row r="98" s="425" customFormat="1" ht="31" customHeight="1" spans="1:102">
      <c r="A98" s="455">
        <v>45758</v>
      </c>
      <c r="B98" s="456" t="s">
        <v>312</v>
      </c>
      <c r="C98" s="457" t="s">
        <v>90</v>
      </c>
      <c r="D98" s="425">
        <v>4500163428</v>
      </c>
      <c r="E98" s="457" t="s">
        <v>318</v>
      </c>
      <c r="F98" s="425" t="s">
        <v>3376</v>
      </c>
      <c r="G98" s="458" t="s">
        <v>3198</v>
      </c>
      <c r="H98" s="458" t="s">
        <v>3303</v>
      </c>
      <c r="I98" s="458">
        <v>9000</v>
      </c>
      <c r="J98" s="458">
        <v>0</v>
      </c>
      <c r="K98" s="458">
        <v>25</v>
      </c>
      <c r="L98" s="462">
        <f t="shared" si="21"/>
        <v>360</v>
      </c>
      <c r="M98" s="463">
        <v>45824</v>
      </c>
      <c r="N98" s="463">
        <v>45820</v>
      </c>
      <c r="O98" s="464"/>
      <c r="P98" s="464" t="s">
        <v>103</v>
      </c>
      <c r="Q98" s="458"/>
      <c r="R98" s="472">
        <v>45758</v>
      </c>
      <c r="S98" s="472" t="s">
        <v>66</v>
      </c>
      <c r="T98" s="472" t="s">
        <v>66</v>
      </c>
      <c r="U98" s="472"/>
      <c r="V98" s="473" t="s">
        <v>315</v>
      </c>
      <c r="W98" s="473" t="s">
        <v>316</v>
      </c>
      <c r="X98" s="473">
        <v>0.95</v>
      </c>
      <c r="Y98" s="480">
        <f t="shared" si="17"/>
        <v>8550</v>
      </c>
      <c r="Z98" s="458" t="s">
        <v>320</v>
      </c>
      <c r="AA98" s="458" t="s">
        <v>3198</v>
      </c>
      <c r="AB98" s="458" t="s">
        <v>76</v>
      </c>
      <c r="AC98" s="458"/>
      <c r="AD98" s="458" t="s">
        <v>69</v>
      </c>
      <c r="AE98" s="458"/>
      <c r="AF98" s="458">
        <v>9000</v>
      </c>
      <c r="AG98" s="458">
        <f t="shared" si="20"/>
        <v>0</v>
      </c>
      <c r="AH98" s="489"/>
      <c r="AI98" s="458"/>
      <c r="AJ98" s="458"/>
      <c r="AK98" s="458">
        <f>I98</f>
        <v>9000</v>
      </c>
      <c r="AM98" s="425">
        <f>I98</f>
        <v>9000</v>
      </c>
      <c r="AO98" s="495"/>
      <c r="AR98" s="425">
        <f>I98</f>
        <v>9000</v>
      </c>
      <c r="AT98" s="495"/>
      <c r="AY98" s="498">
        <f>I98/48</f>
        <v>187.5</v>
      </c>
      <c r="BJ98" s="425">
        <f>I98/25</f>
        <v>360</v>
      </c>
      <c r="BT98" s="495"/>
      <c r="BV98" s="495"/>
      <c r="CK98" s="425">
        <f t="shared" si="14"/>
        <v>360</v>
      </c>
      <c r="CL98" s="425">
        <f t="shared" si="15"/>
        <v>0</v>
      </c>
      <c r="CM98" s="425">
        <f t="shared" si="16"/>
        <v>0</v>
      </c>
      <c r="CN98" s="495"/>
      <c r="CO98" s="495"/>
      <c r="CP98" s="495"/>
      <c r="CT98" s="495"/>
      <c r="CU98" s="495"/>
      <c r="CV98" s="495"/>
      <c r="CW98" s="495"/>
      <c r="CX98" s="495"/>
    </row>
    <row r="99" s="425" customFormat="1" ht="31" customHeight="1" spans="1:102">
      <c r="A99" s="455">
        <v>45741</v>
      </c>
      <c r="B99" s="456" t="s">
        <v>298</v>
      </c>
      <c r="C99" s="457" t="s">
        <v>299</v>
      </c>
      <c r="D99" s="425">
        <v>4500161312</v>
      </c>
      <c r="E99" s="457">
        <v>5907181238</v>
      </c>
      <c r="F99" s="425" t="s">
        <v>3377</v>
      </c>
      <c r="G99" s="458" t="s">
        <v>3378</v>
      </c>
      <c r="H99" s="458" t="s">
        <v>3379</v>
      </c>
      <c r="I99" s="458">
        <v>3950</v>
      </c>
      <c r="J99" s="458">
        <v>0</v>
      </c>
      <c r="K99" s="458">
        <v>50</v>
      </c>
      <c r="L99" s="462">
        <f t="shared" si="21"/>
        <v>79</v>
      </c>
      <c r="M99" s="463">
        <v>45799</v>
      </c>
      <c r="N99" s="463">
        <v>45796</v>
      </c>
      <c r="O99" s="464"/>
      <c r="P99" s="464" t="s">
        <v>103</v>
      </c>
      <c r="Q99" s="458"/>
      <c r="R99" s="472" t="s">
        <v>3380</v>
      </c>
      <c r="S99" s="472" t="s">
        <v>66</v>
      </c>
      <c r="T99" s="472" t="s">
        <v>3381</v>
      </c>
      <c r="U99" s="472"/>
      <c r="V99" s="473" t="s">
        <v>3382</v>
      </c>
      <c r="W99" s="473" t="s">
        <v>304</v>
      </c>
      <c r="X99" s="473">
        <v>1.32</v>
      </c>
      <c r="Y99" s="480">
        <f t="shared" si="17"/>
        <v>5214</v>
      </c>
      <c r="Z99" s="458"/>
      <c r="AA99" s="458" t="s">
        <v>3378</v>
      </c>
      <c r="AB99" s="458" t="s">
        <v>76</v>
      </c>
      <c r="AC99" s="458"/>
      <c r="AD99" s="458" t="s">
        <v>69</v>
      </c>
      <c r="AE99" s="458"/>
      <c r="AF99" s="458">
        <v>3950</v>
      </c>
      <c r="AG99" s="458">
        <f t="shared" si="20"/>
        <v>0</v>
      </c>
      <c r="AH99" s="489"/>
      <c r="AI99" s="458"/>
      <c r="AJ99" s="458"/>
      <c r="AK99" s="458"/>
      <c r="AL99" s="425">
        <f>I99</f>
        <v>3950</v>
      </c>
      <c r="AO99" s="495"/>
      <c r="AT99" s="495"/>
      <c r="AY99" s="498">
        <f>I99</f>
        <v>3950</v>
      </c>
      <c r="BQ99" s="425">
        <f>I99</f>
        <v>3950</v>
      </c>
      <c r="BR99" s="425">
        <f>I99</f>
        <v>3950</v>
      </c>
      <c r="BS99" s="425">
        <f>I99/25</f>
        <v>158</v>
      </c>
      <c r="BT99" s="495"/>
      <c r="BV99" s="495"/>
      <c r="CK99" s="425">
        <f t="shared" si="14"/>
        <v>158</v>
      </c>
      <c r="CL99" s="425">
        <f t="shared" si="15"/>
        <v>0</v>
      </c>
      <c r="CM99" s="425">
        <f t="shared" si="16"/>
        <v>0</v>
      </c>
      <c r="CN99" s="495"/>
      <c r="CO99" s="495"/>
      <c r="CP99" s="495"/>
      <c r="CT99" s="495"/>
      <c r="CU99" s="495"/>
      <c r="CV99" s="495"/>
      <c r="CW99" s="495"/>
      <c r="CX99" s="495"/>
    </row>
    <row r="100" s="425" customFormat="1" ht="31" customHeight="1" spans="1:102">
      <c r="A100" s="455">
        <v>45741</v>
      </c>
      <c r="B100" s="456" t="s">
        <v>305</v>
      </c>
      <c r="C100" s="457" t="s">
        <v>306</v>
      </c>
      <c r="D100" s="425">
        <v>4500161302</v>
      </c>
      <c r="E100" s="457">
        <v>4407181237</v>
      </c>
      <c r="F100" s="425" t="s">
        <v>3383</v>
      </c>
      <c r="G100" s="458" t="s">
        <v>3378</v>
      </c>
      <c r="H100" s="458" t="s">
        <v>3379</v>
      </c>
      <c r="I100" s="458">
        <v>7150</v>
      </c>
      <c r="J100" s="458">
        <v>0</v>
      </c>
      <c r="K100" s="458">
        <v>50</v>
      </c>
      <c r="L100" s="462">
        <f t="shared" si="21"/>
        <v>143</v>
      </c>
      <c r="M100" s="463">
        <v>45799</v>
      </c>
      <c r="N100" s="463">
        <v>45796</v>
      </c>
      <c r="O100" s="464"/>
      <c r="P100" s="464" t="s">
        <v>103</v>
      </c>
      <c r="Q100" s="458"/>
      <c r="R100" s="472" t="s">
        <v>3380</v>
      </c>
      <c r="S100" s="472" t="s">
        <v>66</v>
      </c>
      <c r="T100" s="472">
        <v>45768</v>
      </c>
      <c r="U100" s="472"/>
      <c r="V100" s="473" t="s">
        <v>3384</v>
      </c>
      <c r="W100" s="473" t="s">
        <v>304</v>
      </c>
      <c r="X100" s="473">
        <v>1.32</v>
      </c>
      <c r="Y100" s="480">
        <f t="shared" si="17"/>
        <v>9438</v>
      </c>
      <c r="Z100" s="458"/>
      <c r="AA100" s="458" t="s">
        <v>3378</v>
      </c>
      <c r="AB100" s="458" t="s">
        <v>76</v>
      </c>
      <c r="AC100" s="458"/>
      <c r="AD100" s="458" t="s">
        <v>69</v>
      </c>
      <c r="AE100" s="458"/>
      <c r="AF100" s="458">
        <v>7150</v>
      </c>
      <c r="AG100" s="458">
        <f t="shared" si="20"/>
        <v>0</v>
      </c>
      <c r="AH100" s="489"/>
      <c r="AI100" s="458"/>
      <c r="AJ100" s="458"/>
      <c r="AK100" s="458"/>
      <c r="AL100" s="425">
        <f>I100</f>
        <v>7150</v>
      </c>
      <c r="AO100" s="495"/>
      <c r="AT100" s="495"/>
      <c r="AY100" s="498">
        <f>I100</f>
        <v>7150</v>
      </c>
      <c r="BQ100" s="425">
        <f>I100</f>
        <v>7150</v>
      </c>
      <c r="BR100" s="425">
        <f>I100</f>
        <v>7150</v>
      </c>
      <c r="BS100" s="425">
        <f>I100/25</f>
        <v>286</v>
      </c>
      <c r="BT100" s="495"/>
      <c r="BV100" s="495"/>
      <c r="CK100" s="425">
        <f t="shared" si="14"/>
        <v>286</v>
      </c>
      <c r="CL100" s="425">
        <f t="shared" si="15"/>
        <v>0</v>
      </c>
      <c r="CM100" s="425">
        <f t="shared" si="16"/>
        <v>0</v>
      </c>
      <c r="CN100" s="495"/>
      <c r="CO100" s="495"/>
      <c r="CP100" s="495"/>
      <c r="CT100" s="495"/>
      <c r="CU100" s="495"/>
      <c r="CV100" s="495"/>
      <c r="CW100" s="495"/>
      <c r="CX100" s="495"/>
    </row>
    <row r="101" s="425" customFormat="1" ht="31" customHeight="1" spans="1:102">
      <c r="A101" s="455">
        <v>45741</v>
      </c>
      <c r="B101" s="456" t="s">
        <v>309</v>
      </c>
      <c r="C101" s="457" t="s">
        <v>310</v>
      </c>
      <c r="D101" s="425">
        <v>4500161306</v>
      </c>
      <c r="E101" s="457">
        <v>8807181239</v>
      </c>
      <c r="F101" s="425" t="s">
        <v>3385</v>
      </c>
      <c r="G101" s="458" t="s">
        <v>3378</v>
      </c>
      <c r="H101" s="458" t="s">
        <v>3379</v>
      </c>
      <c r="I101" s="458">
        <v>10800</v>
      </c>
      <c r="J101" s="458">
        <v>0</v>
      </c>
      <c r="K101" s="458">
        <v>50</v>
      </c>
      <c r="L101" s="462">
        <f t="shared" si="21"/>
        <v>216</v>
      </c>
      <c r="M101" s="463">
        <v>45799</v>
      </c>
      <c r="N101" s="463">
        <v>45796</v>
      </c>
      <c r="O101" s="464"/>
      <c r="P101" s="464" t="s">
        <v>103</v>
      </c>
      <c r="Q101" s="458"/>
      <c r="R101" s="472" t="s">
        <v>3380</v>
      </c>
      <c r="S101" s="472" t="s">
        <v>66</v>
      </c>
      <c r="T101" s="472" t="s">
        <v>3381</v>
      </c>
      <c r="U101" s="472"/>
      <c r="V101" s="473" t="s">
        <v>3386</v>
      </c>
      <c r="W101" s="473" t="s">
        <v>304</v>
      </c>
      <c r="X101" s="473">
        <v>1.32</v>
      </c>
      <c r="Y101" s="480">
        <f t="shared" si="17"/>
        <v>14256</v>
      </c>
      <c r="Z101" s="458"/>
      <c r="AA101" s="458" t="s">
        <v>3378</v>
      </c>
      <c r="AB101" s="458" t="s">
        <v>76</v>
      </c>
      <c r="AC101" s="458"/>
      <c r="AD101" s="458" t="s">
        <v>69</v>
      </c>
      <c r="AE101" s="458"/>
      <c r="AF101" s="458">
        <f>4350+6450</f>
        <v>10800</v>
      </c>
      <c r="AG101" s="458">
        <f t="shared" si="20"/>
        <v>0</v>
      </c>
      <c r="AH101" s="489"/>
      <c r="AI101" s="458"/>
      <c r="AJ101" s="458"/>
      <c r="AK101" s="458"/>
      <c r="AL101" s="425">
        <f>I101</f>
        <v>10800</v>
      </c>
      <c r="AO101" s="495"/>
      <c r="AT101" s="495"/>
      <c r="AY101" s="498">
        <f>I101</f>
        <v>10800</v>
      </c>
      <c r="BQ101" s="425">
        <f>I101</f>
        <v>10800</v>
      </c>
      <c r="BR101" s="425">
        <f>I101</f>
        <v>10800</v>
      </c>
      <c r="BS101" s="425">
        <f>I101/25</f>
        <v>432</v>
      </c>
      <c r="BT101" s="495"/>
      <c r="BV101" s="495"/>
      <c r="CK101" s="425">
        <f t="shared" si="14"/>
        <v>432</v>
      </c>
      <c r="CL101" s="425">
        <f t="shared" si="15"/>
        <v>0</v>
      </c>
      <c r="CM101" s="425">
        <f t="shared" si="16"/>
        <v>0</v>
      </c>
      <c r="CN101" s="495"/>
      <c r="CO101" s="495"/>
      <c r="CP101" s="495"/>
      <c r="CT101" s="495"/>
      <c r="CU101" s="495"/>
      <c r="CV101" s="495"/>
      <c r="CW101" s="495"/>
      <c r="CX101" s="495"/>
    </row>
    <row r="102" s="425" customFormat="1" ht="31" customHeight="1" spans="1:102">
      <c r="A102" s="455">
        <v>45749</v>
      </c>
      <c r="B102" s="456" t="s">
        <v>334</v>
      </c>
      <c r="C102" s="457" t="s">
        <v>335</v>
      </c>
      <c r="D102" s="425">
        <v>4500161573</v>
      </c>
      <c r="E102" s="457">
        <v>4100411993</v>
      </c>
      <c r="F102" s="425" t="s">
        <v>3387</v>
      </c>
      <c r="G102" s="458" t="s">
        <v>3165</v>
      </c>
      <c r="H102" s="458" t="s">
        <v>3166</v>
      </c>
      <c r="I102" s="458">
        <v>400</v>
      </c>
      <c r="J102" s="458">
        <v>0</v>
      </c>
      <c r="K102" s="458">
        <v>25</v>
      </c>
      <c r="L102" s="462">
        <f t="shared" si="21"/>
        <v>16</v>
      </c>
      <c r="M102" s="463">
        <v>45803</v>
      </c>
      <c r="N102" s="463">
        <v>45799</v>
      </c>
      <c r="O102" s="464"/>
      <c r="P102" s="464" t="s">
        <v>103</v>
      </c>
      <c r="Q102" s="458"/>
      <c r="R102" s="472">
        <v>45769</v>
      </c>
      <c r="S102" s="472" t="s">
        <v>66</v>
      </c>
      <c r="T102" s="472">
        <v>45765</v>
      </c>
      <c r="U102" s="472"/>
      <c r="V102" s="473" t="s">
        <v>3388</v>
      </c>
      <c r="W102" s="473" t="s">
        <v>219</v>
      </c>
      <c r="X102" s="473">
        <v>0.95</v>
      </c>
      <c r="Y102" s="480">
        <f t="shared" si="17"/>
        <v>380</v>
      </c>
      <c r="Z102" s="458"/>
      <c r="AA102" s="458" t="s">
        <v>3165</v>
      </c>
      <c r="AB102" s="458" t="s">
        <v>76</v>
      </c>
      <c r="AC102" s="458"/>
      <c r="AD102" s="458" t="s">
        <v>69</v>
      </c>
      <c r="AE102" s="458"/>
      <c r="AF102" s="458">
        <v>400</v>
      </c>
      <c r="AG102" s="458">
        <f t="shared" si="20"/>
        <v>0</v>
      </c>
      <c r="AH102" s="489"/>
      <c r="AI102" s="458"/>
      <c r="AJ102" s="458"/>
      <c r="AK102" s="458"/>
      <c r="AL102" s="426">
        <f>I102</f>
        <v>400</v>
      </c>
      <c r="AO102" s="495"/>
      <c r="AQ102" s="425">
        <f>I102</f>
        <v>400</v>
      </c>
      <c r="AS102" s="425">
        <f>I102</f>
        <v>400</v>
      </c>
      <c r="AT102" s="495"/>
      <c r="AY102" s="498">
        <f>I102/24</f>
        <v>16.6666666666667</v>
      </c>
      <c r="BL102" s="425">
        <f>I102/25</f>
        <v>16</v>
      </c>
      <c r="BT102" s="495"/>
      <c r="BV102" s="495"/>
      <c r="CK102" s="425">
        <f t="shared" si="14"/>
        <v>16</v>
      </c>
      <c r="CL102" s="425">
        <f t="shared" si="15"/>
        <v>0</v>
      </c>
      <c r="CM102" s="425">
        <f t="shared" si="16"/>
        <v>0</v>
      </c>
      <c r="CN102" s="495"/>
      <c r="CO102" s="495"/>
      <c r="CP102" s="495"/>
      <c r="CT102" s="495"/>
      <c r="CU102" s="495"/>
      <c r="CV102" s="495"/>
      <c r="CW102" s="495"/>
      <c r="CX102" s="495"/>
    </row>
    <row r="103" s="425" customFormat="1" ht="31" customHeight="1" spans="1:102">
      <c r="A103" s="455">
        <v>45756</v>
      </c>
      <c r="B103" s="456" t="s">
        <v>122</v>
      </c>
      <c r="C103" s="457" t="s">
        <v>116</v>
      </c>
      <c r="D103" s="425">
        <v>4500162968</v>
      </c>
      <c r="E103" s="457">
        <v>20768339</v>
      </c>
      <c r="F103" s="425" t="s">
        <v>3389</v>
      </c>
      <c r="G103" s="458" t="s">
        <v>3206</v>
      </c>
      <c r="H103" s="458" t="s">
        <v>3207</v>
      </c>
      <c r="I103" s="458">
        <v>1508</v>
      </c>
      <c r="J103" s="458">
        <v>0</v>
      </c>
      <c r="K103" s="458">
        <v>13</v>
      </c>
      <c r="L103" s="462">
        <f t="shared" si="21"/>
        <v>116</v>
      </c>
      <c r="M103" s="463">
        <v>45803</v>
      </c>
      <c r="N103" s="463">
        <v>45799</v>
      </c>
      <c r="O103" s="464"/>
      <c r="P103" s="464" t="s">
        <v>103</v>
      </c>
      <c r="Q103" s="458"/>
      <c r="R103" s="472">
        <v>45769</v>
      </c>
      <c r="S103" s="472" t="s">
        <v>96</v>
      </c>
      <c r="T103" s="472" t="s">
        <v>3312</v>
      </c>
      <c r="U103" s="472"/>
      <c r="V103" s="473" t="s">
        <v>3390</v>
      </c>
      <c r="W103" s="473" t="s">
        <v>121</v>
      </c>
      <c r="X103" s="473">
        <v>0.95</v>
      </c>
      <c r="Y103" s="480">
        <f t="shared" si="17"/>
        <v>1432.6</v>
      </c>
      <c r="Z103" s="458"/>
      <c r="AA103" s="458" t="s">
        <v>3206</v>
      </c>
      <c r="AB103" s="458" t="s">
        <v>76</v>
      </c>
      <c r="AC103" s="458"/>
      <c r="AD103" s="458" t="s">
        <v>69</v>
      </c>
      <c r="AE103" s="458"/>
      <c r="AF103" s="458">
        <v>1508</v>
      </c>
      <c r="AG103" s="458">
        <f t="shared" si="20"/>
        <v>0</v>
      </c>
      <c r="AH103" s="489"/>
      <c r="AI103" s="458"/>
      <c r="AJ103" s="458"/>
      <c r="AK103" s="458"/>
      <c r="AL103" s="426">
        <f>I103</f>
        <v>1508</v>
      </c>
      <c r="AO103" s="495"/>
      <c r="AQ103" s="425">
        <f>I103</f>
        <v>1508</v>
      </c>
      <c r="AS103" s="425">
        <f>I103</f>
        <v>1508</v>
      </c>
      <c r="AT103" s="495"/>
      <c r="AY103" s="498">
        <f>I103/24</f>
        <v>62.8333333333333</v>
      </c>
      <c r="BI103" s="425">
        <f>I103/13</f>
        <v>116</v>
      </c>
      <c r="BT103" s="495"/>
      <c r="BV103" s="495"/>
      <c r="CK103" s="425">
        <f t="shared" si="14"/>
        <v>0</v>
      </c>
      <c r="CL103" s="425">
        <f t="shared" si="15"/>
        <v>0</v>
      </c>
      <c r="CM103" s="425">
        <f t="shared" si="16"/>
        <v>0</v>
      </c>
      <c r="CN103" s="495"/>
      <c r="CO103" s="495"/>
      <c r="CP103" s="495"/>
      <c r="CT103" s="495"/>
      <c r="CU103" s="495"/>
      <c r="CV103" s="495"/>
      <c r="CW103" s="495"/>
      <c r="CX103" s="495"/>
    </row>
    <row r="104" s="425" customFormat="1" ht="31" customHeight="1" spans="1:102">
      <c r="A104" s="455">
        <v>45768</v>
      </c>
      <c r="B104" s="456" t="s">
        <v>338</v>
      </c>
      <c r="C104" s="457" t="s">
        <v>90</v>
      </c>
      <c r="D104" s="425">
        <v>4500164375</v>
      </c>
      <c r="E104" s="457" t="s">
        <v>339</v>
      </c>
      <c r="F104" s="425" t="s">
        <v>3391</v>
      </c>
      <c r="G104" s="458" t="s">
        <v>3154</v>
      </c>
      <c r="H104" s="458" t="s">
        <v>3151</v>
      </c>
      <c r="I104" s="458">
        <v>2000</v>
      </c>
      <c r="J104" s="458">
        <v>0</v>
      </c>
      <c r="K104" s="458">
        <v>50</v>
      </c>
      <c r="L104" s="462">
        <f t="shared" si="21"/>
        <v>40</v>
      </c>
      <c r="M104" s="463">
        <v>45804</v>
      </c>
      <c r="N104" s="463">
        <v>45800</v>
      </c>
      <c r="O104" s="464"/>
      <c r="P104" s="464" t="s">
        <v>103</v>
      </c>
      <c r="Q104" s="458"/>
      <c r="R104" s="472">
        <v>45771</v>
      </c>
      <c r="S104" s="472" t="s">
        <v>66</v>
      </c>
      <c r="T104" s="472" t="s">
        <v>66</v>
      </c>
      <c r="U104" s="472"/>
      <c r="V104" s="473" t="s">
        <v>341</v>
      </c>
      <c r="W104" s="473" t="s">
        <v>342</v>
      </c>
      <c r="X104" s="473">
        <v>0.57</v>
      </c>
      <c r="Y104" s="480">
        <f t="shared" si="17"/>
        <v>1140</v>
      </c>
      <c r="Z104" s="458"/>
      <c r="AA104" s="458" t="s">
        <v>3154</v>
      </c>
      <c r="AB104" s="458" t="s">
        <v>76</v>
      </c>
      <c r="AC104" s="458"/>
      <c r="AD104" s="458" t="s">
        <v>69</v>
      </c>
      <c r="AE104" s="458"/>
      <c r="AF104" s="458">
        <f>1950+50</f>
        <v>2000</v>
      </c>
      <c r="AG104" s="458">
        <f t="shared" si="20"/>
        <v>0</v>
      </c>
      <c r="AH104" s="489"/>
      <c r="AI104" s="458"/>
      <c r="AJ104" s="458"/>
      <c r="AK104" s="458">
        <f>I104</f>
        <v>2000</v>
      </c>
      <c r="AM104" s="425">
        <f>I104</f>
        <v>2000</v>
      </c>
      <c r="AO104" s="495"/>
      <c r="AR104" s="425">
        <f>I104</f>
        <v>2000</v>
      </c>
      <c r="AT104" s="495"/>
      <c r="AY104" s="498">
        <f>I104/48</f>
        <v>41.6666666666667</v>
      </c>
      <c r="BJ104" s="425">
        <f>I104/25</f>
        <v>80</v>
      </c>
      <c r="BT104" s="495"/>
      <c r="BV104" s="495"/>
      <c r="CK104" s="425">
        <f t="shared" si="14"/>
        <v>80</v>
      </c>
      <c r="CL104" s="425">
        <f t="shared" si="15"/>
        <v>0</v>
      </c>
      <c r="CM104" s="425">
        <f t="shared" si="16"/>
        <v>0</v>
      </c>
      <c r="CN104" s="495"/>
      <c r="CO104" s="495"/>
      <c r="CP104" s="495"/>
      <c r="CT104" s="495"/>
      <c r="CU104" s="495"/>
      <c r="CV104" s="495"/>
      <c r="CW104" s="495"/>
      <c r="CX104" s="495"/>
    </row>
    <row r="105" s="425" customFormat="1" ht="31" customHeight="1" spans="1:102">
      <c r="A105" s="455">
        <v>45771</v>
      </c>
      <c r="B105" s="456" t="s">
        <v>138</v>
      </c>
      <c r="C105" s="457" t="s">
        <v>139</v>
      </c>
      <c r="D105" s="425">
        <v>4500164783</v>
      </c>
      <c r="E105" s="457">
        <v>5200006663</v>
      </c>
      <c r="F105" s="425" t="s">
        <v>3392</v>
      </c>
      <c r="G105" s="458" t="s">
        <v>3231</v>
      </c>
      <c r="H105" s="458" t="s">
        <v>3207</v>
      </c>
      <c r="I105" s="458">
        <v>2873</v>
      </c>
      <c r="J105" s="458">
        <v>0</v>
      </c>
      <c r="K105" s="458">
        <v>13</v>
      </c>
      <c r="L105" s="462">
        <f t="shared" si="21"/>
        <v>221</v>
      </c>
      <c r="M105" s="463">
        <v>45804</v>
      </c>
      <c r="N105" s="463">
        <v>45800</v>
      </c>
      <c r="O105" s="464"/>
      <c r="P105" s="464" t="s">
        <v>103</v>
      </c>
      <c r="Q105" s="458"/>
      <c r="R105" s="472">
        <v>45772</v>
      </c>
      <c r="S105" s="472" t="s">
        <v>66</v>
      </c>
      <c r="T105" s="472">
        <v>45774</v>
      </c>
      <c r="U105" s="472"/>
      <c r="V105" s="473" t="s">
        <v>3393</v>
      </c>
      <c r="W105" s="473" t="s">
        <v>347</v>
      </c>
      <c r="X105" s="473">
        <v>1.16</v>
      </c>
      <c r="Y105" s="480">
        <f t="shared" si="17"/>
        <v>3332.68</v>
      </c>
      <c r="Z105" s="458"/>
      <c r="AA105" s="458" t="s">
        <v>3206</v>
      </c>
      <c r="AB105" s="458" t="s">
        <v>76</v>
      </c>
      <c r="AC105" s="458"/>
      <c r="AD105" s="458" t="s">
        <v>69</v>
      </c>
      <c r="AE105" s="458"/>
      <c r="AF105" s="458">
        <v>2873</v>
      </c>
      <c r="AG105" s="458">
        <f t="shared" si="20"/>
        <v>0</v>
      </c>
      <c r="AH105" s="489"/>
      <c r="AI105" s="458" t="s">
        <v>114</v>
      </c>
      <c r="AJ105" s="458"/>
      <c r="AK105" s="458"/>
      <c r="AL105" s="426">
        <f>I105</f>
        <v>2873</v>
      </c>
      <c r="AO105" s="495"/>
      <c r="AQ105" s="425">
        <f>I105</f>
        <v>2873</v>
      </c>
      <c r="AS105" s="425">
        <f>I105</f>
        <v>2873</v>
      </c>
      <c r="AT105" s="495"/>
      <c r="AY105" s="498">
        <f>I105/24</f>
        <v>119.708333333333</v>
      </c>
      <c r="BI105" s="425">
        <f>I105/13</f>
        <v>221</v>
      </c>
      <c r="BT105" s="495"/>
      <c r="BV105" s="495"/>
      <c r="CK105" s="425">
        <f t="shared" si="14"/>
        <v>0</v>
      </c>
      <c r="CL105" s="425">
        <f t="shared" si="15"/>
        <v>0</v>
      </c>
      <c r="CM105" s="425">
        <f t="shared" si="16"/>
        <v>0</v>
      </c>
      <c r="CN105" s="495"/>
      <c r="CO105" s="495"/>
      <c r="CP105" s="495"/>
      <c r="CT105" s="495"/>
      <c r="CU105" s="495"/>
      <c r="CV105" s="495"/>
      <c r="CW105" s="495"/>
      <c r="CX105" s="495"/>
    </row>
    <row r="106" s="425" customFormat="1" ht="31" customHeight="1" spans="1:102">
      <c r="A106" s="455">
        <v>45740</v>
      </c>
      <c r="B106" s="456" t="s">
        <v>349</v>
      </c>
      <c r="C106" s="457" t="s">
        <v>139</v>
      </c>
      <c r="D106" s="425">
        <v>4500161168</v>
      </c>
      <c r="E106" s="457">
        <v>10355377</v>
      </c>
      <c r="F106" s="425" t="s">
        <v>3394</v>
      </c>
      <c r="G106" s="458" t="s">
        <v>3206</v>
      </c>
      <c r="H106" s="458" t="s">
        <v>3207</v>
      </c>
      <c r="I106" s="458">
        <v>1495</v>
      </c>
      <c r="J106" s="458">
        <v>0</v>
      </c>
      <c r="K106" s="458">
        <v>13</v>
      </c>
      <c r="L106" s="462">
        <f t="shared" si="21"/>
        <v>115</v>
      </c>
      <c r="M106" s="463">
        <v>45807</v>
      </c>
      <c r="N106" s="463">
        <v>45803</v>
      </c>
      <c r="O106" s="464"/>
      <c r="P106" s="464" t="s">
        <v>103</v>
      </c>
      <c r="Q106" s="458"/>
      <c r="R106" s="472">
        <v>45772</v>
      </c>
      <c r="S106" s="472" t="s">
        <v>96</v>
      </c>
      <c r="T106" s="472">
        <v>45774</v>
      </c>
      <c r="U106" s="472"/>
      <c r="V106" s="473" t="s">
        <v>3395</v>
      </c>
      <c r="W106" s="473" t="s">
        <v>352</v>
      </c>
      <c r="X106" s="473">
        <v>0.92</v>
      </c>
      <c r="Y106" s="480">
        <f t="shared" si="17"/>
        <v>1375.4</v>
      </c>
      <c r="Z106" s="458"/>
      <c r="AA106" s="458" t="s">
        <v>3206</v>
      </c>
      <c r="AB106" s="458" t="s">
        <v>76</v>
      </c>
      <c r="AC106" s="458"/>
      <c r="AD106" s="458" t="s">
        <v>69</v>
      </c>
      <c r="AE106" s="458"/>
      <c r="AF106" s="458">
        <v>1495</v>
      </c>
      <c r="AG106" s="458">
        <f t="shared" si="20"/>
        <v>0</v>
      </c>
      <c r="AH106" s="489"/>
      <c r="AI106" s="458" t="s">
        <v>403</v>
      </c>
      <c r="AJ106" s="458"/>
      <c r="AK106" s="458"/>
      <c r="AL106" s="426">
        <f>I106</f>
        <v>1495</v>
      </c>
      <c r="AO106" s="495"/>
      <c r="AQ106" s="425">
        <f>I106</f>
        <v>1495</v>
      </c>
      <c r="AS106" s="425">
        <f>I106</f>
        <v>1495</v>
      </c>
      <c r="AT106" s="495"/>
      <c r="AY106" s="498">
        <f>I106/24</f>
        <v>62.2916666666667</v>
      </c>
      <c r="BI106" s="425">
        <f>I106/13</f>
        <v>115</v>
      </c>
      <c r="BT106" s="495"/>
      <c r="BV106" s="495"/>
      <c r="CK106" s="425">
        <f t="shared" si="14"/>
        <v>0</v>
      </c>
      <c r="CL106" s="425">
        <f t="shared" si="15"/>
        <v>0</v>
      </c>
      <c r="CM106" s="425">
        <f t="shared" si="16"/>
        <v>0</v>
      </c>
      <c r="CN106" s="495"/>
      <c r="CO106" s="495"/>
      <c r="CP106" s="495"/>
      <c r="CT106" s="495"/>
      <c r="CU106" s="495"/>
      <c r="CV106" s="495"/>
      <c r="CW106" s="495"/>
      <c r="CX106" s="495"/>
    </row>
    <row r="107" s="425" customFormat="1" ht="31" customHeight="1" spans="1:102">
      <c r="A107" s="455">
        <v>45748</v>
      </c>
      <c r="B107" s="456" t="s">
        <v>128</v>
      </c>
      <c r="C107" s="457" t="s">
        <v>90</v>
      </c>
      <c r="D107" s="425">
        <v>4500162170</v>
      </c>
      <c r="E107" s="457">
        <v>904512304</v>
      </c>
      <c r="F107" s="425" t="s">
        <v>3396</v>
      </c>
      <c r="G107" s="458" t="s">
        <v>3180</v>
      </c>
      <c r="H107" s="458" t="s">
        <v>3181</v>
      </c>
      <c r="I107" s="458">
        <v>5664</v>
      </c>
      <c r="J107" s="458">
        <v>0</v>
      </c>
      <c r="K107" s="458">
        <v>16</v>
      </c>
      <c r="L107" s="462">
        <f t="shared" si="21"/>
        <v>354</v>
      </c>
      <c r="M107" s="463">
        <v>45807</v>
      </c>
      <c r="N107" s="463">
        <v>45803</v>
      </c>
      <c r="O107" s="464" t="s">
        <v>328</v>
      </c>
      <c r="P107" s="464" t="s">
        <v>103</v>
      </c>
      <c r="Q107" s="458"/>
      <c r="R107" s="472" t="s">
        <v>132</v>
      </c>
      <c r="S107" s="472" t="s">
        <v>66</v>
      </c>
      <c r="T107" s="472" t="s">
        <v>3250</v>
      </c>
      <c r="U107" s="472" t="s">
        <v>133</v>
      </c>
      <c r="V107" s="473" t="s">
        <v>3251</v>
      </c>
      <c r="W107" s="473" t="s">
        <v>98</v>
      </c>
      <c r="X107" s="473">
        <v>1.68</v>
      </c>
      <c r="Y107" s="480">
        <f t="shared" si="17"/>
        <v>9515.52</v>
      </c>
      <c r="Z107" s="458"/>
      <c r="AA107" s="458" t="s">
        <v>3180</v>
      </c>
      <c r="AB107" s="458" t="s">
        <v>76</v>
      </c>
      <c r="AC107" s="458"/>
      <c r="AD107" s="458" t="s">
        <v>69</v>
      </c>
      <c r="AE107" s="458"/>
      <c r="AF107" s="458">
        <v>5664</v>
      </c>
      <c r="AG107" s="458">
        <f t="shared" si="20"/>
        <v>0</v>
      </c>
      <c r="AH107" s="489"/>
      <c r="AI107" s="458"/>
      <c r="AJ107" s="458"/>
      <c r="AK107" s="458">
        <f>I107</f>
        <v>5664</v>
      </c>
      <c r="AM107" s="425">
        <f>I107</f>
        <v>5664</v>
      </c>
      <c r="AO107" s="495"/>
      <c r="AR107" s="425">
        <f>I107</f>
        <v>5664</v>
      </c>
      <c r="AT107" s="495"/>
      <c r="AY107" s="498">
        <f>I107/48</f>
        <v>118</v>
      </c>
      <c r="BM107" s="425">
        <f>I107/16</f>
        <v>354</v>
      </c>
      <c r="BT107" s="495"/>
      <c r="BV107" s="495"/>
      <c r="CK107" s="425">
        <f t="shared" si="14"/>
        <v>354</v>
      </c>
      <c r="CL107" s="425">
        <f t="shared" si="15"/>
        <v>0</v>
      </c>
      <c r="CM107" s="425">
        <f t="shared" si="16"/>
        <v>0</v>
      </c>
      <c r="CN107" s="495"/>
      <c r="CO107" s="495"/>
      <c r="CP107" s="495"/>
      <c r="CT107" s="495"/>
      <c r="CU107" s="495"/>
      <c r="CV107" s="495"/>
      <c r="CW107" s="495"/>
      <c r="CX107" s="495"/>
    </row>
    <row r="108" s="425" customFormat="1" ht="31" customHeight="1" spans="1:102">
      <c r="A108" s="455">
        <v>45758</v>
      </c>
      <c r="B108" s="456" t="s">
        <v>355</v>
      </c>
      <c r="C108" s="457" t="s">
        <v>356</v>
      </c>
      <c r="D108" s="425">
        <v>4500163040</v>
      </c>
      <c r="E108" s="457"/>
      <c r="F108" s="425" t="s">
        <v>3397</v>
      </c>
      <c r="G108" s="458" t="s">
        <v>3161</v>
      </c>
      <c r="H108" s="458" t="s">
        <v>3221</v>
      </c>
      <c r="I108" s="458">
        <v>450</v>
      </c>
      <c r="J108" s="458">
        <v>0</v>
      </c>
      <c r="K108" s="458">
        <v>50</v>
      </c>
      <c r="L108" s="462">
        <f t="shared" si="21"/>
        <v>9</v>
      </c>
      <c r="M108" s="463">
        <v>45807</v>
      </c>
      <c r="N108" s="463">
        <v>45803</v>
      </c>
      <c r="O108" s="464"/>
      <c r="P108" s="464" t="s">
        <v>103</v>
      </c>
      <c r="Q108" s="458"/>
      <c r="R108" s="472">
        <v>45758</v>
      </c>
      <c r="S108" s="472" t="s">
        <v>66</v>
      </c>
      <c r="T108" s="472">
        <v>45761</v>
      </c>
      <c r="U108" s="472"/>
      <c r="V108" s="473" t="s">
        <v>3398</v>
      </c>
      <c r="W108" s="473" t="s">
        <v>359</v>
      </c>
      <c r="X108" s="473">
        <v>0.95</v>
      </c>
      <c r="Y108" s="480">
        <f t="shared" si="17"/>
        <v>427.5</v>
      </c>
      <c r="Z108" s="458"/>
      <c r="AA108" s="458" t="s">
        <v>3161</v>
      </c>
      <c r="AB108" s="458" t="s">
        <v>76</v>
      </c>
      <c r="AC108" s="458"/>
      <c r="AD108" s="458" t="s">
        <v>69</v>
      </c>
      <c r="AE108" s="458"/>
      <c r="AF108" s="458">
        <v>450</v>
      </c>
      <c r="AG108" s="458">
        <f t="shared" si="20"/>
        <v>0</v>
      </c>
      <c r="AH108" s="489"/>
      <c r="AI108" s="458"/>
      <c r="AJ108" s="458"/>
      <c r="AK108" s="458"/>
      <c r="AL108" s="426">
        <f>I108</f>
        <v>450</v>
      </c>
      <c r="AO108" s="495"/>
      <c r="AQ108" s="425">
        <f>I108</f>
        <v>450</v>
      </c>
      <c r="AS108" s="425">
        <f>I108</f>
        <v>450</v>
      </c>
      <c r="AT108" s="495"/>
      <c r="AY108" s="498">
        <f>I108/24</f>
        <v>18.75</v>
      </c>
      <c r="BL108" s="425">
        <f>I108/25</f>
        <v>18</v>
      </c>
      <c r="BT108" s="495"/>
      <c r="BV108" s="495"/>
      <c r="CK108" s="425">
        <f t="shared" si="14"/>
        <v>18</v>
      </c>
      <c r="CL108" s="425">
        <f t="shared" si="15"/>
        <v>0</v>
      </c>
      <c r="CM108" s="425">
        <f t="shared" si="16"/>
        <v>0</v>
      </c>
      <c r="CN108" s="495"/>
      <c r="CO108" s="495"/>
      <c r="CP108" s="495"/>
      <c r="CT108" s="495"/>
      <c r="CU108" s="495"/>
      <c r="CV108" s="495"/>
      <c r="CW108" s="495"/>
      <c r="CX108" s="495"/>
    </row>
    <row r="109" s="425" customFormat="1" ht="31" customHeight="1" spans="1:102">
      <c r="A109" s="455">
        <v>45758</v>
      </c>
      <c r="B109" s="456" t="s">
        <v>360</v>
      </c>
      <c r="C109" s="457" t="s">
        <v>249</v>
      </c>
      <c r="D109" s="425">
        <v>4500163405</v>
      </c>
      <c r="E109" s="457" t="s">
        <v>3399</v>
      </c>
      <c r="F109" s="425" t="s">
        <v>3400</v>
      </c>
      <c r="G109" s="458" t="s">
        <v>3143</v>
      </c>
      <c r="H109" s="458" t="s">
        <v>3144</v>
      </c>
      <c r="I109" s="458">
        <v>120</v>
      </c>
      <c r="J109" s="458">
        <v>0</v>
      </c>
      <c r="K109" s="458">
        <v>24</v>
      </c>
      <c r="L109" s="462">
        <f t="shared" si="21"/>
        <v>5</v>
      </c>
      <c r="M109" s="463">
        <v>45807</v>
      </c>
      <c r="N109" s="463">
        <v>45803</v>
      </c>
      <c r="O109" s="464"/>
      <c r="P109" s="464" t="s">
        <v>103</v>
      </c>
      <c r="Q109" s="458"/>
      <c r="R109" s="472">
        <v>45758</v>
      </c>
      <c r="S109" s="472" t="s">
        <v>66</v>
      </c>
      <c r="T109" s="472">
        <v>45775</v>
      </c>
      <c r="U109" s="472"/>
      <c r="V109" s="473" t="s">
        <v>3401</v>
      </c>
      <c r="W109" s="473" t="s">
        <v>290</v>
      </c>
      <c r="X109" s="473">
        <v>0.87</v>
      </c>
      <c r="Y109" s="480">
        <f t="shared" si="17"/>
        <v>104.4</v>
      </c>
      <c r="Z109" s="458"/>
      <c r="AA109" s="458" t="s">
        <v>3143</v>
      </c>
      <c r="AB109" s="458" t="s">
        <v>76</v>
      </c>
      <c r="AC109" s="458"/>
      <c r="AD109" s="458" t="s">
        <v>69</v>
      </c>
      <c r="AE109" s="458"/>
      <c r="AF109" s="458">
        <v>120</v>
      </c>
      <c r="AG109" s="458">
        <f t="shared" si="20"/>
        <v>0</v>
      </c>
      <c r="AH109" s="489"/>
      <c r="AI109" s="458"/>
      <c r="AJ109" s="458"/>
      <c r="AK109" s="458"/>
      <c r="AL109" s="426">
        <f>I109</f>
        <v>120</v>
      </c>
      <c r="AO109" s="495"/>
      <c r="AQ109" s="425">
        <f>I109</f>
        <v>120</v>
      </c>
      <c r="AS109" s="425">
        <f>I109</f>
        <v>120</v>
      </c>
      <c r="AT109" s="495"/>
      <c r="AY109" s="498">
        <f>I109/24</f>
        <v>5</v>
      </c>
      <c r="BT109" s="495"/>
      <c r="BV109" s="495"/>
      <c r="CK109" s="425">
        <f t="shared" si="14"/>
        <v>0</v>
      </c>
      <c r="CL109" s="425">
        <f t="shared" si="15"/>
        <v>0</v>
      </c>
      <c r="CM109" s="425">
        <f t="shared" si="16"/>
        <v>0</v>
      </c>
      <c r="CN109" s="495"/>
      <c r="CO109" s="495"/>
      <c r="CP109" s="495"/>
      <c r="CT109" s="495"/>
      <c r="CU109" s="495"/>
      <c r="CV109" s="495"/>
      <c r="CW109" s="495"/>
      <c r="CX109" s="495"/>
    </row>
    <row r="110" s="425" customFormat="1" ht="31" customHeight="1" spans="1:102">
      <c r="A110" s="455">
        <v>45763</v>
      </c>
      <c r="B110" s="456" t="s">
        <v>371</v>
      </c>
      <c r="C110" s="457" t="s">
        <v>216</v>
      </c>
      <c r="D110" s="425">
        <v>4500163205</v>
      </c>
      <c r="E110" s="457">
        <v>14675</v>
      </c>
      <c r="F110" s="425" t="s">
        <v>3402</v>
      </c>
      <c r="G110" s="458" t="s">
        <v>3165</v>
      </c>
      <c r="H110" s="458" t="s">
        <v>3166</v>
      </c>
      <c r="I110" s="458">
        <v>225</v>
      </c>
      <c r="J110" s="458">
        <v>0</v>
      </c>
      <c r="K110" s="458">
        <v>25</v>
      </c>
      <c r="L110" s="462">
        <f t="shared" si="21"/>
        <v>9</v>
      </c>
      <c r="M110" s="463">
        <v>45811</v>
      </c>
      <c r="N110" s="463">
        <v>45807</v>
      </c>
      <c r="O110" s="464"/>
      <c r="P110" s="464" t="s">
        <v>103</v>
      </c>
      <c r="Q110" s="458"/>
      <c r="R110" s="472">
        <v>45763</v>
      </c>
      <c r="S110" s="472" t="s">
        <v>66</v>
      </c>
      <c r="T110" s="472">
        <v>45790</v>
      </c>
      <c r="U110" s="472"/>
      <c r="V110" s="473" t="s">
        <v>3403</v>
      </c>
      <c r="W110" s="473" t="s">
        <v>269</v>
      </c>
      <c r="X110" s="473">
        <v>0.95</v>
      </c>
      <c r="Y110" s="480">
        <f t="shared" si="17"/>
        <v>213.75</v>
      </c>
      <c r="Z110" s="458"/>
      <c r="AA110" s="458" t="s">
        <v>3165</v>
      </c>
      <c r="AB110" s="458" t="s">
        <v>76</v>
      </c>
      <c r="AC110" s="458"/>
      <c r="AD110" s="458" t="s">
        <v>69</v>
      </c>
      <c r="AE110" s="458"/>
      <c r="AF110" s="458">
        <v>225</v>
      </c>
      <c r="AG110" s="458">
        <f t="shared" si="20"/>
        <v>0</v>
      </c>
      <c r="AH110" s="489"/>
      <c r="AI110" s="458"/>
      <c r="AJ110" s="458"/>
      <c r="AK110" s="458"/>
      <c r="AL110" s="426">
        <f>I110</f>
        <v>225</v>
      </c>
      <c r="AO110" s="495"/>
      <c r="AQ110" s="425">
        <f>I110</f>
        <v>225</v>
      </c>
      <c r="AS110" s="425">
        <f>I110</f>
        <v>225</v>
      </c>
      <c r="AT110" s="495"/>
      <c r="AY110" s="498">
        <f>I110/24</f>
        <v>9.375</v>
      </c>
      <c r="BL110" s="425">
        <f>I110/25</f>
        <v>9</v>
      </c>
      <c r="BT110" s="495"/>
      <c r="BV110" s="495"/>
      <c r="CK110" s="425">
        <f t="shared" si="14"/>
        <v>9</v>
      </c>
      <c r="CL110" s="425">
        <f t="shared" si="15"/>
        <v>0</v>
      </c>
      <c r="CM110" s="425">
        <f t="shared" si="16"/>
        <v>0</v>
      </c>
      <c r="CN110" s="495"/>
      <c r="CO110" s="495"/>
      <c r="CP110" s="495"/>
      <c r="CT110" s="495"/>
      <c r="CU110" s="495"/>
      <c r="CV110" s="495"/>
      <c r="CW110" s="495"/>
      <c r="CX110" s="495"/>
    </row>
    <row r="111" s="425" customFormat="1" ht="31" customHeight="1" spans="1:102">
      <c r="A111" s="455">
        <v>45763</v>
      </c>
      <c r="B111" s="456" t="s">
        <v>371</v>
      </c>
      <c r="C111" s="457" t="s">
        <v>216</v>
      </c>
      <c r="D111" s="425">
        <v>4500163205</v>
      </c>
      <c r="E111" s="457">
        <v>14675</v>
      </c>
      <c r="F111" s="425" t="s">
        <v>3404</v>
      </c>
      <c r="G111" s="458" t="s">
        <v>3328</v>
      </c>
      <c r="H111" s="458" t="s">
        <v>3194</v>
      </c>
      <c r="I111" s="458">
        <v>210</v>
      </c>
      <c r="J111" s="458">
        <v>0</v>
      </c>
      <c r="K111" s="458">
        <v>30</v>
      </c>
      <c r="L111" s="462">
        <f t="shared" si="21"/>
        <v>7</v>
      </c>
      <c r="M111" s="463">
        <v>45811</v>
      </c>
      <c r="N111" s="463">
        <v>45807</v>
      </c>
      <c r="O111" s="464"/>
      <c r="P111" s="464" t="s">
        <v>103</v>
      </c>
      <c r="Q111" s="458"/>
      <c r="R111" s="472">
        <v>45763</v>
      </c>
      <c r="S111" s="472" t="s">
        <v>66</v>
      </c>
      <c r="T111" s="472">
        <v>45790</v>
      </c>
      <c r="U111" s="472"/>
      <c r="V111" s="473" t="s">
        <v>3405</v>
      </c>
      <c r="W111" s="473" t="s">
        <v>269</v>
      </c>
      <c r="X111" s="473">
        <v>35.1</v>
      </c>
      <c r="Y111" s="480">
        <f>X111*L111</f>
        <v>245.7</v>
      </c>
      <c r="Z111" s="458"/>
      <c r="AA111" s="458" t="s">
        <v>3328</v>
      </c>
      <c r="AB111" s="458" t="s">
        <v>76</v>
      </c>
      <c r="AC111" s="458"/>
      <c r="AD111" s="458" t="s">
        <v>69</v>
      </c>
      <c r="AE111" s="458"/>
      <c r="AF111" s="458">
        <v>210</v>
      </c>
      <c r="AG111" s="458">
        <f t="shared" si="20"/>
        <v>0</v>
      </c>
      <c r="AH111" s="489"/>
      <c r="AI111" s="458"/>
      <c r="AJ111" s="458"/>
      <c r="AK111" s="458"/>
      <c r="AL111" s="426">
        <f>I111</f>
        <v>210</v>
      </c>
      <c r="AO111" s="495"/>
      <c r="AQ111" s="425">
        <f>I111</f>
        <v>210</v>
      </c>
      <c r="AS111" s="425">
        <f>I111</f>
        <v>210</v>
      </c>
      <c r="AT111" s="495"/>
      <c r="AY111" s="498">
        <f>I111/24</f>
        <v>8.75</v>
      </c>
      <c r="BT111" s="495"/>
      <c r="BV111" s="495"/>
      <c r="CF111" s="425">
        <f>L111</f>
        <v>7</v>
      </c>
      <c r="CK111" s="425">
        <f t="shared" si="14"/>
        <v>0</v>
      </c>
      <c r="CL111" s="425">
        <f t="shared" si="15"/>
        <v>7</v>
      </c>
      <c r="CM111" s="425">
        <f t="shared" si="16"/>
        <v>0</v>
      </c>
      <c r="CN111" s="495"/>
      <c r="CO111" s="495"/>
      <c r="CP111" s="495"/>
      <c r="CT111" s="495"/>
      <c r="CU111" s="495"/>
      <c r="CV111" s="495"/>
      <c r="CW111" s="495"/>
      <c r="CX111" s="495"/>
    </row>
    <row r="112" s="425" customFormat="1" ht="31" customHeight="1" spans="1:102">
      <c r="A112" s="455">
        <v>45775</v>
      </c>
      <c r="B112" s="456" t="s">
        <v>128</v>
      </c>
      <c r="C112" s="457" t="s">
        <v>90</v>
      </c>
      <c r="D112" s="425">
        <v>4500162791</v>
      </c>
      <c r="E112" s="457" t="s">
        <v>3406</v>
      </c>
      <c r="F112" s="425" t="s">
        <v>3407</v>
      </c>
      <c r="G112" s="458" t="s">
        <v>3180</v>
      </c>
      <c r="H112" s="458" t="s">
        <v>3181</v>
      </c>
      <c r="I112" s="458">
        <v>3984</v>
      </c>
      <c r="J112" s="458">
        <v>0</v>
      </c>
      <c r="K112" s="458">
        <v>16</v>
      </c>
      <c r="L112" s="462">
        <f t="shared" si="21"/>
        <v>249</v>
      </c>
      <c r="M112" s="463">
        <v>45811</v>
      </c>
      <c r="N112" s="463">
        <v>45807</v>
      </c>
      <c r="O112" s="464"/>
      <c r="P112" s="464" t="s">
        <v>103</v>
      </c>
      <c r="Q112" s="458"/>
      <c r="R112" s="472" t="s">
        <v>3408</v>
      </c>
      <c r="S112" s="472" t="s">
        <v>66</v>
      </c>
      <c r="T112" s="472" t="s">
        <v>133</v>
      </c>
      <c r="U112" s="472"/>
      <c r="V112" s="473" t="s">
        <v>3409</v>
      </c>
      <c r="W112" s="473" t="s">
        <v>98</v>
      </c>
      <c r="X112" s="473">
        <v>1.008</v>
      </c>
      <c r="Y112" s="480">
        <f t="shared" ref="Y112:Y127" si="22">X112*I112</f>
        <v>4015.872</v>
      </c>
      <c r="Z112" s="458"/>
      <c r="AA112" s="458" t="s">
        <v>3180</v>
      </c>
      <c r="AB112" s="458" t="s">
        <v>76</v>
      </c>
      <c r="AC112" s="458"/>
      <c r="AD112" s="458" t="s">
        <v>69</v>
      </c>
      <c r="AE112" s="458"/>
      <c r="AF112" s="458">
        <v>3984</v>
      </c>
      <c r="AG112" s="458">
        <f t="shared" si="20"/>
        <v>0</v>
      </c>
      <c r="AH112" s="489"/>
      <c r="AI112" s="458"/>
      <c r="AJ112" s="458"/>
      <c r="AK112" s="458">
        <f>I112</f>
        <v>3984</v>
      </c>
      <c r="AM112" s="425">
        <f>I112</f>
        <v>3984</v>
      </c>
      <c r="AO112" s="495"/>
      <c r="AR112" s="425">
        <f>I112</f>
        <v>3984</v>
      </c>
      <c r="AT112" s="495"/>
      <c r="AY112" s="498">
        <f>I112/48</f>
        <v>83</v>
      </c>
      <c r="BM112" s="425">
        <f>I112/16</f>
        <v>249</v>
      </c>
      <c r="BT112" s="495"/>
      <c r="BV112" s="495"/>
      <c r="CK112" s="425">
        <f t="shared" si="14"/>
        <v>249</v>
      </c>
      <c r="CL112" s="425">
        <f t="shared" si="15"/>
        <v>0</v>
      </c>
      <c r="CM112" s="425">
        <f t="shared" si="16"/>
        <v>0</v>
      </c>
      <c r="CN112" s="495"/>
      <c r="CO112" s="495"/>
      <c r="CP112" s="495"/>
      <c r="CT112" s="495"/>
      <c r="CU112" s="495"/>
      <c r="CV112" s="495"/>
      <c r="CW112" s="495"/>
      <c r="CX112" s="495"/>
    </row>
    <row r="113" s="425" customFormat="1" ht="31" customHeight="1" spans="1:102">
      <c r="A113" s="455">
        <v>45775</v>
      </c>
      <c r="B113" s="456" t="s">
        <v>128</v>
      </c>
      <c r="C113" s="457" t="s">
        <v>90</v>
      </c>
      <c r="D113" s="425">
        <v>4500162791</v>
      </c>
      <c r="E113" s="457" t="s">
        <v>3410</v>
      </c>
      <c r="F113" s="425" t="s">
        <v>3411</v>
      </c>
      <c r="G113" s="458" t="s">
        <v>3180</v>
      </c>
      <c r="H113" s="458" t="s">
        <v>3181</v>
      </c>
      <c r="I113" s="458">
        <v>3824</v>
      </c>
      <c r="J113" s="458">
        <v>0</v>
      </c>
      <c r="K113" s="458">
        <v>16</v>
      </c>
      <c r="L113" s="462">
        <f t="shared" si="21"/>
        <v>239</v>
      </c>
      <c r="M113" s="463">
        <v>45811</v>
      </c>
      <c r="N113" s="463">
        <v>45807</v>
      </c>
      <c r="O113" s="464"/>
      <c r="P113" s="464" t="s">
        <v>103</v>
      </c>
      <c r="Q113" s="458"/>
      <c r="R113" s="472" t="s">
        <v>3408</v>
      </c>
      <c r="S113" s="472" t="s">
        <v>66</v>
      </c>
      <c r="T113" s="472" t="s">
        <v>133</v>
      </c>
      <c r="U113" s="472"/>
      <c r="V113" s="473" t="s">
        <v>3409</v>
      </c>
      <c r="W113" s="473" t="s">
        <v>98</v>
      </c>
      <c r="X113" s="473">
        <v>1.008</v>
      </c>
      <c r="Y113" s="480">
        <f t="shared" si="22"/>
        <v>3854.592</v>
      </c>
      <c r="Z113" s="458"/>
      <c r="AA113" s="458" t="s">
        <v>3180</v>
      </c>
      <c r="AB113" s="458" t="s">
        <v>76</v>
      </c>
      <c r="AC113" s="458"/>
      <c r="AD113" s="458" t="s">
        <v>69</v>
      </c>
      <c r="AE113" s="458"/>
      <c r="AF113" s="458">
        <v>3824</v>
      </c>
      <c r="AG113" s="458">
        <f t="shared" si="20"/>
        <v>0</v>
      </c>
      <c r="AH113" s="489"/>
      <c r="AI113" s="458"/>
      <c r="AJ113" s="458"/>
      <c r="AK113" s="458">
        <f>I113</f>
        <v>3824</v>
      </c>
      <c r="AM113" s="425">
        <f>I113</f>
        <v>3824</v>
      </c>
      <c r="AO113" s="495"/>
      <c r="AR113" s="425">
        <f>I113</f>
        <v>3824</v>
      </c>
      <c r="AT113" s="495"/>
      <c r="AY113" s="498">
        <f>I113/48</f>
        <v>79.6666666666667</v>
      </c>
      <c r="BM113" s="425">
        <f>I113/16</f>
        <v>239</v>
      </c>
      <c r="BT113" s="495"/>
      <c r="BV113" s="495"/>
      <c r="CK113" s="425">
        <f t="shared" si="14"/>
        <v>239</v>
      </c>
      <c r="CL113" s="425">
        <f t="shared" si="15"/>
        <v>0</v>
      </c>
      <c r="CM113" s="425">
        <f t="shared" si="16"/>
        <v>0</v>
      </c>
      <c r="CN113" s="495"/>
      <c r="CO113" s="495"/>
      <c r="CP113" s="495"/>
      <c r="CT113" s="495"/>
      <c r="CU113" s="495"/>
      <c r="CV113" s="495"/>
      <c r="CW113" s="495"/>
      <c r="CX113" s="495"/>
    </row>
    <row r="114" s="425" customFormat="1" ht="31" customHeight="1" spans="1:102">
      <c r="A114" s="455">
        <v>45775</v>
      </c>
      <c r="B114" s="456" t="s">
        <v>128</v>
      </c>
      <c r="C114" s="457" t="s">
        <v>90</v>
      </c>
      <c r="D114" s="425">
        <v>4500162791</v>
      </c>
      <c r="E114" s="457" t="s">
        <v>3412</v>
      </c>
      <c r="F114" s="425" t="s">
        <v>3413</v>
      </c>
      <c r="G114" s="458" t="s">
        <v>3180</v>
      </c>
      <c r="H114" s="458" t="s">
        <v>3181</v>
      </c>
      <c r="I114" s="458">
        <v>3408</v>
      </c>
      <c r="J114" s="458">
        <v>0</v>
      </c>
      <c r="K114" s="458">
        <v>16</v>
      </c>
      <c r="L114" s="462">
        <f t="shared" si="21"/>
        <v>213</v>
      </c>
      <c r="M114" s="463">
        <v>45811</v>
      </c>
      <c r="N114" s="463">
        <v>45807</v>
      </c>
      <c r="O114" s="464"/>
      <c r="P114" s="464" t="s">
        <v>103</v>
      </c>
      <c r="Q114" s="458"/>
      <c r="R114" s="472" t="s">
        <v>3408</v>
      </c>
      <c r="S114" s="472" t="s">
        <v>66</v>
      </c>
      <c r="T114" s="472" t="s">
        <v>133</v>
      </c>
      <c r="U114" s="472"/>
      <c r="V114" s="473" t="s">
        <v>3409</v>
      </c>
      <c r="W114" s="473" t="s">
        <v>98</v>
      </c>
      <c r="X114" s="473">
        <v>1.008</v>
      </c>
      <c r="Y114" s="480">
        <f t="shared" si="22"/>
        <v>3435.264</v>
      </c>
      <c r="Z114" s="458"/>
      <c r="AA114" s="458" t="s">
        <v>3180</v>
      </c>
      <c r="AB114" s="458" t="s">
        <v>76</v>
      </c>
      <c r="AC114" s="458"/>
      <c r="AD114" s="458" t="s">
        <v>69</v>
      </c>
      <c r="AE114" s="458"/>
      <c r="AF114" s="458">
        <v>3408</v>
      </c>
      <c r="AG114" s="458">
        <f t="shared" si="20"/>
        <v>0</v>
      </c>
      <c r="AH114" s="489"/>
      <c r="AI114" s="458"/>
      <c r="AJ114" s="458"/>
      <c r="AK114" s="458">
        <f>I114</f>
        <v>3408</v>
      </c>
      <c r="AM114" s="425">
        <f>I114</f>
        <v>3408</v>
      </c>
      <c r="AO114" s="495"/>
      <c r="AR114" s="425">
        <f>I114</f>
        <v>3408</v>
      </c>
      <c r="AT114" s="495"/>
      <c r="AY114" s="498">
        <f>I114/48</f>
        <v>71</v>
      </c>
      <c r="BM114" s="425">
        <f>I114/16</f>
        <v>213</v>
      </c>
      <c r="BT114" s="495"/>
      <c r="BV114" s="495"/>
      <c r="CK114" s="425">
        <f t="shared" si="14"/>
        <v>213</v>
      </c>
      <c r="CL114" s="425">
        <f t="shared" si="15"/>
        <v>0</v>
      </c>
      <c r="CM114" s="425">
        <f t="shared" si="16"/>
        <v>0</v>
      </c>
      <c r="CN114" s="495"/>
      <c r="CO114" s="495"/>
      <c r="CP114" s="495"/>
      <c r="CT114" s="495"/>
      <c r="CU114" s="495"/>
      <c r="CV114" s="495"/>
      <c r="CW114" s="495"/>
      <c r="CX114" s="495"/>
    </row>
    <row r="115" s="425" customFormat="1" ht="31" customHeight="1" spans="1:102">
      <c r="A115" s="455">
        <v>45775</v>
      </c>
      <c r="B115" s="456" t="s">
        <v>128</v>
      </c>
      <c r="C115" s="457" t="s">
        <v>90</v>
      </c>
      <c r="D115" s="425">
        <v>4500162791</v>
      </c>
      <c r="E115" s="457" t="s">
        <v>3414</v>
      </c>
      <c r="F115" s="425" t="s">
        <v>3415</v>
      </c>
      <c r="G115" s="458" t="s">
        <v>3180</v>
      </c>
      <c r="H115" s="458" t="s">
        <v>3181</v>
      </c>
      <c r="I115" s="458">
        <v>4544</v>
      </c>
      <c r="J115" s="458">
        <v>0</v>
      </c>
      <c r="K115" s="458">
        <v>16</v>
      </c>
      <c r="L115" s="462">
        <f t="shared" si="21"/>
        <v>284</v>
      </c>
      <c r="M115" s="463">
        <v>45811</v>
      </c>
      <c r="N115" s="463">
        <v>45807</v>
      </c>
      <c r="O115" s="464"/>
      <c r="P115" s="464" t="s">
        <v>103</v>
      </c>
      <c r="Q115" s="458"/>
      <c r="R115" s="472" t="s">
        <v>3408</v>
      </c>
      <c r="S115" s="472" t="s">
        <v>66</v>
      </c>
      <c r="T115" s="472" t="s">
        <v>133</v>
      </c>
      <c r="U115" s="472"/>
      <c r="V115" s="473" t="s">
        <v>3409</v>
      </c>
      <c r="W115" s="473" t="s">
        <v>98</v>
      </c>
      <c r="X115" s="473">
        <v>1.008</v>
      </c>
      <c r="Y115" s="480">
        <f t="shared" si="22"/>
        <v>4580.352</v>
      </c>
      <c r="Z115" s="458"/>
      <c r="AA115" s="458" t="s">
        <v>3180</v>
      </c>
      <c r="AB115" s="458" t="s">
        <v>76</v>
      </c>
      <c r="AC115" s="458"/>
      <c r="AD115" s="458" t="s">
        <v>69</v>
      </c>
      <c r="AE115" s="458"/>
      <c r="AF115" s="458">
        <v>4544</v>
      </c>
      <c r="AG115" s="458">
        <f t="shared" si="20"/>
        <v>0</v>
      </c>
      <c r="AH115" s="489"/>
      <c r="AI115" s="458"/>
      <c r="AJ115" s="458"/>
      <c r="AK115" s="458">
        <f>I115</f>
        <v>4544</v>
      </c>
      <c r="AM115" s="425">
        <f>I115</f>
        <v>4544</v>
      </c>
      <c r="AO115" s="495"/>
      <c r="AR115" s="425">
        <f>I115</f>
        <v>4544</v>
      </c>
      <c r="AT115" s="495"/>
      <c r="AY115" s="498">
        <f>I115/48</f>
        <v>94.6666666666667</v>
      </c>
      <c r="BM115" s="425">
        <f>I115/16</f>
        <v>284</v>
      </c>
      <c r="BT115" s="495"/>
      <c r="BV115" s="495"/>
      <c r="CK115" s="425">
        <f t="shared" si="14"/>
        <v>284</v>
      </c>
      <c r="CL115" s="425">
        <f t="shared" si="15"/>
        <v>0</v>
      </c>
      <c r="CM115" s="425">
        <f t="shared" si="16"/>
        <v>0</v>
      </c>
      <c r="CN115" s="495"/>
      <c r="CO115" s="495"/>
      <c r="CP115" s="495"/>
      <c r="CT115" s="495"/>
      <c r="CU115" s="495"/>
      <c r="CV115" s="495"/>
      <c r="CW115" s="495"/>
      <c r="CX115" s="495"/>
    </row>
    <row r="116" s="425" customFormat="1" ht="31" customHeight="1" spans="1:102">
      <c r="A116" s="455">
        <v>45775</v>
      </c>
      <c r="B116" s="456" t="s">
        <v>128</v>
      </c>
      <c r="C116" s="457" t="s">
        <v>90</v>
      </c>
      <c r="D116" s="425">
        <v>4500162791</v>
      </c>
      <c r="E116" s="457" t="s">
        <v>3416</v>
      </c>
      <c r="F116" s="425" t="s">
        <v>3417</v>
      </c>
      <c r="G116" s="458" t="s">
        <v>3180</v>
      </c>
      <c r="H116" s="458" t="s">
        <v>3181</v>
      </c>
      <c r="I116" s="458">
        <v>4048</v>
      </c>
      <c r="J116" s="458">
        <v>0</v>
      </c>
      <c r="K116" s="458">
        <v>16</v>
      </c>
      <c r="L116" s="462">
        <f t="shared" si="21"/>
        <v>253</v>
      </c>
      <c r="M116" s="463">
        <v>45811</v>
      </c>
      <c r="N116" s="463">
        <v>45807</v>
      </c>
      <c r="O116" s="464"/>
      <c r="P116" s="464" t="s">
        <v>103</v>
      </c>
      <c r="Q116" s="458"/>
      <c r="R116" s="472" t="s">
        <v>3408</v>
      </c>
      <c r="S116" s="472" t="s">
        <v>66</v>
      </c>
      <c r="T116" s="472" t="s">
        <v>133</v>
      </c>
      <c r="U116" s="472"/>
      <c r="V116" s="473" t="s">
        <v>3409</v>
      </c>
      <c r="W116" s="473" t="s">
        <v>98</v>
      </c>
      <c r="X116" s="473">
        <v>1.008</v>
      </c>
      <c r="Y116" s="480">
        <f t="shared" si="22"/>
        <v>4080.384</v>
      </c>
      <c r="Z116" s="458"/>
      <c r="AA116" s="458" t="s">
        <v>3180</v>
      </c>
      <c r="AB116" s="458" t="s">
        <v>76</v>
      </c>
      <c r="AC116" s="458"/>
      <c r="AD116" s="458" t="s">
        <v>69</v>
      </c>
      <c r="AE116" s="458"/>
      <c r="AF116" s="458">
        <v>4048</v>
      </c>
      <c r="AG116" s="458">
        <f t="shared" si="20"/>
        <v>0</v>
      </c>
      <c r="AH116" s="489"/>
      <c r="AI116" s="458"/>
      <c r="AJ116" s="458"/>
      <c r="AK116" s="458">
        <f>I116</f>
        <v>4048</v>
      </c>
      <c r="AM116" s="425">
        <f>I116</f>
        <v>4048</v>
      </c>
      <c r="AO116" s="495"/>
      <c r="AR116" s="425">
        <f>I116</f>
        <v>4048</v>
      </c>
      <c r="AT116" s="495"/>
      <c r="AY116" s="498">
        <f>I116/48</f>
        <v>84.3333333333333</v>
      </c>
      <c r="BM116" s="425">
        <f>I116/16</f>
        <v>253</v>
      </c>
      <c r="BT116" s="495"/>
      <c r="BV116" s="495"/>
      <c r="CK116" s="425">
        <f t="shared" si="14"/>
        <v>253</v>
      </c>
      <c r="CL116" s="425">
        <f t="shared" si="15"/>
        <v>0</v>
      </c>
      <c r="CM116" s="425">
        <f t="shared" si="16"/>
        <v>0</v>
      </c>
      <c r="CN116" s="495"/>
      <c r="CO116" s="495"/>
      <c r="CP116" s="495"/>
      <c r="CT116" s="495"/>
      <c r="CU116" s="495"/>
      <c r="CV116" s="495"/>
      <c r="CW116" s="495"/>
      <c r="CX116" s="495"/>
    </row>
    <row r="117" s="425" customFormat="1" ht="31" customHeight="1" spans="1:102">
      <c r="A117" s="455">
        <v>45771</v>
      </c>
      <c r="B117" s="456" t="s">
        <v>440</v>
      </c>
      <c r="C117" s="457" t="s">
        <v>249</v>
      </c>
      <c r="D117" s="425">
        <v>4500164759</v>
      </c>
      <c r="E117" s="457" t="s">
        <v>441</v>
      </c>
      <c r="F117" s="425" t="s">
        <v>3418</v>
      </c>
      <c r="G117" s="458" t="s">
        <v>3419</v>
      </c>
      <c r="H117" s="458" t="s">
        <v>3221</v>
      </c>
      <c r="I117" s="458">
        <v>1000</v>
      </c>
      <c r="J117" s="458">
        <v>25</v>
      </c>
      <c r="K117" s="458">
        <v>50</v>
      </c>
      <c r="L117" s="462">
        <f t="shared" si="21"/>
        <v>20</v>
      </c>
      <c r="M117" s="463">
        <v>45812</v>
      </c>
      <c r="N117" s="463">
        <f>M117-4</f>
        <v>45808</v>
      </c>
      <c r="O117" s="464"/>
      <c r="P117" s="464" t="s">
        <v>103</v>
      </c>
      <c r="Q117" s="458"/>
      <c r="R117" s="472">
        <v>45784</v>
      </c>
      <c r="S117" s="472" t="s">
        <v>66</v>
      </c>
      <c r="T117" s="472">
        <v>45785</v>
      </c>
      <c r="U117" s="472"/>
      <c r="V117" s="473" t="s">
        <v>3420</v>
      </c>
      <c r="W117" s="473" t="s">
        <v>254</v>
      </c>
      <c r="X117" s="473">
        <v>0.95</v>
      </c>
      <c r="Y117" s="480">
        <f t="shared" si="22"/>
        <v>950</v>
      </c>
      <c r="Z117" s="458"/>
      <c r="AA117" s="458" t="s">
        <v>3419</v>
      </c>
      <c r="AB117" s="458" t="s">
        <v>76</v>
      </c>
      <c r="AC117" s="458"/>
      <c r="AD117" s="458" t="s">
        <v>69</v>
      </c>
      <c r="AE117" s="458"/>
      <c r="AF117" s="458">
        <v>1000</v>
      </c>
      <c r="AG117" s="458">
        <f t="shared" si="20"/>
        <v>0</v>
      </c>
      <c r="AH117" s="489"/>
      <c r="AI117" s="458"/>
      <c r="AJ117" s="458"/>
      <c r="AK117" s="458"/>
      <c r="AL117" s="426">
        <f>I117</f>
        <v>1000</v>
      </c>
      <c r="AO117" s="495"/>
      <c r="AQ117" s="425">
        <f>I117</f>
        <v>1000</v>
      </c>
      <c r="AS117" s="425">
        <f>I117</f>
        <v>1000</v>
      </c>
      <c r="AT117" s="495"/>
      <c r="AY117" s="498">
        <f>I117/24</f>
        <v>41.6666666666667</v>
      </c>
      <c r="BL117" s="425">
        <f>I117/25</f>
        <v>40</v>
      </c>
      <c r="BT117" s="495"/>
      <c r="BV117" s="495"/>
      <c r="CK117" s="425">
        <f t="shared" si="14"/>
        <v>40</v>
      </c>
      <c r="CL117" s="425">
        <f t="shared" si="15"/>
        <v>0</v>
      </c>
      <c r="CM117" s="425">
        <f t="shared" si="16"/>
        <v>0</v>
      </c>
      <c r="CN117" s="495"/>
      <c r="CO117" s="495"/>
      <c r="CP117" s="495"/>
      <c r="CT117" s="495"/>
      <c r="CU117" s="495"/>
      <c r="CV117" s="495"/>
      <c r="CW117" s="495"/>
      <c r="CX117" s="495"/>
    </row>
    <row r="118" s="425" customFormat="1" ht="31" customHeight="1" spans="1:102">
      <c r="A118" s="455">
        <v>45773</v>
      </c>
      <c r="B118" s="456" t="s">
        <v>3421</v>
      </c>
      <c r="C118" s="457" t="s">
        <v>90</v>
      </c>
      <c r="D118" s="425">
        <v>4500165031</v>
      </c>
      <c r="E118" s="457" t="s">
        <v>3422</v>
      </c>
      <c r="F118" s="425" t="s">
        <v>3423</v>
      </c>
      <c r="G118" s="458" t="s">
        <v>3198</v>
      </c>
      <c r="H118" s="458" t="s">
        <v>3303</v>
      </c>
      <c r="I118" s="458">
        <v>3075</v>
      </c>
      <c r="J118" s="458">
        <v>0</v>
      </c>
      <c r="K118" s="458">
        <v>25</v>
      </c>
      <c r="L118" s="462">
        <f t="shared" si="21"/>
        <v>123</v>
      </c>
      <c r="M118" s="463">
        <v>45813</v>
      </c>
      <c r="N118" s="463">
        <v>45810</v>
      </c>
      <c r="O118" s="464" t="s">
        <v>3424</v>
      </c>
      <c r="P118" s="464" t="s">
        <v>103</v>
      </c>
      <c r="Q118" s="458"/>
      <c r="R118" s="472">
        <v>45782</v>
      </c>
      <c r="S118" s="472" t="s">
        <v>66</v>
      </c>
      <c r="T118" s="472" t="s">
        <v>66</v>
      </c>
      <c r="U118" s="472"/>
      <c r="V118" s="473" t="s">
        <v>3425</v>
      </c>
      <c r="W118" s="473" t="s">
        <v>3426</v>
      </c>
      <c r="X118" s="473">
        <v>0.582</v>
      </c>
      <c r="Y118" s="480">
        <f t="shared" si="22"/>
        <v>1789.65</v>
      </c>
      <c r="Z118" s="458" t="s">
        <v>3427</v>
      </c>
      <c r="AA118" s="458" t="s">
        <v>3198</v>
      </c>
      <c r="AB118" s="458" t="s">
        <v>76</v>
      </c>
      <c r="AC118" s="458"/>
      <c r="AD118" s="458" t="s">
        <v>69</v>
      </c>
      <c r="AE118" s="458"/>
      <c r="AF118" s="458">
        <v>3075</v>
      </c>
      <c r="AG118" s="458">
        <f t="shared" si="20"/>
        <v>0</v>
      </c>
      <c r="AH118" s="489"/>
      <c r="AI118" s="458"/>
      <c r="AJ118" s="458"/>
      <c r="AK118" s="458">
        <f>I118</f>
        <v>3075</v>
      </c>
      <c r="AM118" s="425">
        <f>I118</f>
        <v>3075</v>
      </c>
      <c r="AO118" s="495"/>
      <c r="AR118" s="425">
        <f>I118</f>
        <v>3075</v>
      </c>
      <c r="AT118" s="495"/>
      <c r="AY118" s="498">
        <f>I118/48</f>
        <v>64.0625</v>
      </c>
      <c r="BJ118" s="425">
        <f>I118/25</f>
        <v>123</v>
      </c>
      <c r="BT118" s="495"/>
      <c r="BV118" s="495"/>
      <c r="CK118" s="425">
        <f t="shared" si="14"/>
        <v>123</v>
      </c>
      <c r="CL118" s="425">
        <f t="shared" si="15"/>
        <v>0</v>
      </c>
      <c r="CM118" s="425">
        <f t="shared" si="16"/>
        <v>0</v>
      </c>
      <c r="CN118" s="495"/>
      <c r="CO118" s="495"/>
      <c r="CP118" s="495"/>
      <c r="CT118" s="495"/>
      <c r="CU118" s="495"/>
      <c r="CV118" s="495"/>
      <c r="CW118" s="495"/>
      <c r="CX118" s="495"/>
    </row>
    <row r="119" s="425" customFormat="1" ht="31" customHeight="1" spans="1:102">
      <c r="A119" s="455">
        <v>45773</v>
      </c>
      <c r="B119" s="456" t="s">
        <v>3421</v>
      </c>
      <c r="C119" s="457" t="s">
        <v>90</v>
      </c>
      <c r="D119" s="425">
        <v>4500165031</v>
      </c>
      <c r="E119" s="457" t="s">
        <v>3428</v>
      </c>
      <c r="F119" s="425" t="s">
        <v>3429</v>
      </c>
      <c r="G119" s="458" t="s">
        <v>3198</v>
      </c>
      <c r="H119" s="458" t="s">
        <v>3303</v>
      </c>
      <c r="I119" s="458">
        <v>700</v>
      </c>
      <c r="J119" s="458">
        <v>0</v>
      </c>
      <c r="K119" s="458">
        <v>25</v>
      </c>
      <c r="L119" s="462">
        <f t="shared" si="21"/>
        <v>28</v>
      </c>
      <c r="M119" s="463">
        <v>45813</v>
      </c>
      <c r="N119" s="463">
        <v>45810</v>
      </c>
      <c r="O119" s="464" t="s">
        <v>3424</v>
      </c>
      <c r="P119" s="464" t="s">
        <v>103</v>
      </c>
      <c r="Q119" s="458"/>
      <c r="R119" s="472">
        <v>45782</v>
      </c>
      <c r="S119" s="472" t="s">
        <v>66</v>
      </c>
      <c r="T119" s="472" t="s">
        <v>66</v>
      </c>
      <c r="U119" s="472"/>
      <c r="V119" s="473" t="s">
        <v>3425</v>
      </c>
      <c r="W119" s="473" t="s">
        <v>3426</v>
      </c>
      <c r="X119" s="473">
        <v>0.582</v>
      </c>
      <c r="Y119" s="480">
        <f t="shared" si="22"/>
        <v>407.4</v>
      </c>
      <c r="Z119" s="458" t="s">
        <v>3430</v>
      </c>
      <c r="AA119" s="458" t="s">
        <v>3198</v>
      </c>
      <c r="AB119" s="458" t="s">
        <v>76</v>
      </c>
      <c r="AC119" s="458"/>
      <c r="AD119" s="458" t="s">
        <v>69</v>
      </c>
      <c r="AE119" s="458"/>
      <c r="AF119" s="458">
        <v>700</v>
      </c>
      <c r="AG119" s="458">
        <f t="shared" si="20"/>
        <v>0</v>
      </c>
      <c r="AH119" s="489"/>
      <c r="AI119" s="458"/>
      <c r="AJ119" s="458"/>
      <c r="AK119" s="458">
        <f>I119</f>
        <v>700</v>
      </c>
      <c r="AM119" s="425">
        <f>I119</f>
        <v>700</v>
      </c>
      <c r="AO119" s="495"/>
      <c r="AR119" s="425">
        <f>I119</f>
        <v>700</v>
      </c>
      <c r="AT119" s="495"/>
      <c r="AY119" s="498">
        <f>I119/48</f>
        <v>14.5833333333333</v>
      </c>
      <c r="BJ119" s="425">
        <f>I119/25</f>
        <v>28</v>
      </c>
      <c r="BT119" s="495"/>
      <c r="BV119" s="495"/>
      <c r="CK119" s="425">
        <f t="shared" si="14"/>
        <v>28</v>
      </c>
      <c r="CL119" s="425">
        <f t="shared" si="15"/>
        <v>0</v>
      </c>
      <c r="CM119" s="425">
        <f t="shared" si="16"/>
        <v>0</v>
      </c>
      <c r="CN119" s="495"/>
      <c r="CO119" s="495"/>
      <c r="CP119" s="495"/>
      <c r="CT119" s="495"/>
      <c r="CU119" s="495"/>
      <c r="CV119" s="495"/>
      <c r="CW119" s="495"/>
      <c r="CX119" s="495"/>
    </row>
    <row r="120" s="425" customFormat="1" ht="31" customHeight="1" spans="1:102">
      <c r="A120" s="455">
        <v>45773</v>
      </c>
      <c r="B120" s="456" t="s">
        <v>3421</v>
      </c>
      <c r="C120" s="457" t="s">
        <v>90</v>
      </c>
      <c r="D120" s="425">
        <v>4500165031</v>
      </c>
      <c r="E120" s="457" t="s">
        <v>3431</v>
      </c>
      <c r="F120" s="425" t="s">
        <v>3432</v>
      </c>
      <c r="G120" s="458" t="s">
        <v>3198</v>
      </c>
      <c r="H120" s="458" t="s">
        <v>3303</v>
      </c>
      <c r="I120" s="458">
        <v>775</v>
      </c>
      <c r="J120" s="458">
        <v>0</v>
      </c>
      <c r="K120" s="458">
        <v>25</v>
      </c>
      <c r="L120" s="462">
        <f t="shared" si="21"/>
        <v>31</v>
      </c>
      <c r="M120" s="463">
        <v>45813</v>
      </c>
      <c r="N120" s="463">
        <v>45810</v>
      </c>
      <c r="O120" s="464" t="s">
        <v>3424</v>
      </c>
      <c r="P120" s="464" t="s">
        <v>103</v>
      </c>
      <c r="Q120" s="458"/>
      <c r="R120" s="472">
        <v>45782</v>
      </c>
      <c r="S120" s="472" t="s">
        <v>66</v>
      </c>
      <c r="T120" s="472" t="s">
        <v>66</v>
      </c>
      <c r="U120" s="472"/>
      <c r="V120" s="473" t="s">
        <v>3425</v>
      </c>
      <c r="W120" s="473" t="s">
        <v>3426</v>
      </c>
      <c r="X120" s="473">
        <v>0.582</v>
      </c>
      <c r="Y120" s="480">
        <f t="shared" si="22"/>
        <v>451.05</v>
      </c>
      <c r="Z120" s="458" t="s">
        <v>3433</v>
      </c>
      <c r="AA120" s="458" t="s">
        <v>3198</v>
      </c>
      <c r="AB120" s="458" t="s">
        <v>76</v>
      </c>
      <c r="AC120" s="458"/>
      <c r="AD120" s="458" t="s">
        <v>69</v>
      </c>
      <c r="AE120" s="458"/>
      <c r="AF120" s="458">
        <v>775</v>
      </c>
      <c r="AG120" s="458">
        <f t="shared" si="20"/>
        <v>0</v>
      </c>
      <c r="AH120" s="489"/>
      <c r="AI120" s="458"/>
      <c r="AJ120" s="458"/>
      <c r="AK120" s="458">
        <f>I120</f>
        <v>775</v>
      </c>
      <c r="AM120" s="425">
        <f>I120</f>
        <v>775</v>
      </c>
      <c r="AO120" s="495"/>
      <c r="AR120" s="425">
        <f>I120</f>
        <v>775</v>
      </c>
      <c r="AT120" s="495"/>
      <c r="AY120" s="498">
        <f>I120/48</f>
        <v>16.1458333333333</v>
      </c>
      <c r="BJ120" s="425">
        <f>I120/25</f>
        <v>31</v>
      </c>
      <c r="BT120" s="495"/>
      <c r="BV120" s="495"/>
      <c r="CK120" s="425">
        <f t="shared" si="14"/>
        <v>31</v>
      </c>
      <c r="CL120" s="425">
        <f t="shared" si="15"/>
        <v>0</v>
      </c>
      <c r="CM120" s="425">
        <f t="shared" si="16"/>
        <v>0</v>
      </c>
      <c r="CN120" s="495"/>
      <c r="CO120" s="495"/>
      <c r="CP120" s="495"/>
      <c r="CT120" s="495"/>
      <c r="CU120" s="495"/>
      <c r="CV120" s="495"/>
      <c r="CW120" s="495"/>
      <c r="CX120" s="495"/>
    </row>
    <row r="121" s="425" customFormat="1" ht="31" customHeight="1" spans="1:102">
      <c r="A121" s="455">
        <v>45761</v>
      </c>
      <c r="B121" s="456" t="s">
        <v>382</v>
      </c>
      <c r="C121" s="457" t="s">
        <v>71</v>
      </c>
      <c r="D121" s="425">
        <v>4500163518</v>
      </c>
      <c r="E121" s="457">
        <v>3006</v>
      </c>
      <c r="F121" s="425" t="s">
        <v>3434</v>
      </c>
      <c r="G121" s="458" t="s">
        <v>3165</v>
      </c>
      <c r="H121" s="458" t="s">
        <v>3166</v>
      </c>
      <c r="I121" s="458">
        <v>1500</v>
      </c>
      <c r="J121" s="458">
        <v>0</v>
      </c>
      <c r="K121" s="458">
        <v>25</v>
      </c>
      <c r="L121" s="462">
        <f t="shared" si="21"/>
        <v>60</v>
      </c>
      <c r="M121" s="463">
        <v>45813</v>
      </c>
      <c r="N121" s="463">
        <v>45810</v>
      </c>
      <c r="O121" s="464"/>
      <c r="P121" s="464" t="s">
        <v>103</v>
      </c>
      <c r="Q121" s="458"/>
      <c r="R121" s="472">
        <v>45761</v>
      </c>
      <c r="S121" s="472" t="s">
        <v>66</v>
      </c>
      <c r="T121" s="472" t="s">
        <v>66</v>
      </c>
      <c r="U121" s="472"/>
      <c r="V121" s="473" t="s">
        <v>3435</v>
      </c>
      <c r="W121" s="473" t="s">
        <v>75</v>
      </c>
      <c r="X121" s="473">
        <v>0.9417</v>
      </c>
      <c r="Y121" s="480">
        <f t="shared" si="22"/>
        <v>1412.55</v>
      </c>
      <c r="Z121" s="458"/>
      <c r="AA121" s="458" t="s">
        <v>3165</v>
      </c>
      <c r="AB121" s="458" t="s">
        <v>76</v>
      </c>
      <c r="AC121" s="458"/>
      <c r="AD121" s="458" t="s">
        <v>69</v>
      </c>
      <c r="AE121" s="458"/>
      <c r="AF121" s="458">
        <v>1500</v>
      </c>
      <c r="AG121" s="458">
        <f t="shared" si="20"/>
        <v>0</v>
      </c>
      <c r="AH121" s="489"/>
      <c r="AI121" s="458"/>
      <c r="AJ121" s="458"/>
      <c r="AK121" s="458"/>
      <c r="AL121" s="426">
        <f>I121</f>
        <v>1500</v>
      </c>
      <c r="AO121" s="495"/>
      <c r="AQ121" s="425">
        <f>I121</f>
        <v>1500</v>
      </c>
      <c r="AS121" s="425">
        <f>I121</f>
        <v>1500</v>
      </c>
      <c r="AT121" s="495"/>
      <c r="AY121" s="498">
        <f>I121/24</f>
        <v>62.5</v>
      </c>
      <c r="BL121" s="425">
        <f>I121/25</f>
        <v>60</v>
      </c>
      <c r="BT121" s="495"/>
      <c r="BV121" s="495"/>
      <c r="CK121" s="425">
        <f t="shared" si="14"/>
        <v>60</v>
      </c>
      <c r="CL121" s="425">
        <f t="shared" si="15"/>
        <v>0</v>
      </c>
      <c r="CM121" s="425">
        <f t="shared" si="16"/>
        <v>0</v>
      </c>
      <c r="CN121" s="495"/>
      <c r="CO121" s="495"/>
      <c r="CP121" s="495"/>
      <c r="CT121" s="495"/>
      <c r="CU121" s="495"/>
      <c r="CV121" s="495"/>
      <c r="CW121" s="495"/>
      <c r="CX121" s="495"/>
    </row>
    <row r="122" s="425" customFormat="1" ht="31" customHeight="1" spans="1:102">
      <c r="A122" s="455">
        <v>45757</v>
      </c>
      <c r="B122" s="456" t="s">
        <v>516</v>
      </c>
      <c r="C122" s="457" t="s">
        <v>271</v>
      </c>
      <c r="D122" s="425">
        <v>4500163211</v>
      </c>
      <c r="E122" s="457">
        <v>2000007077</v>
      </c>
      <c r="F122" s="425" t="s">
        <v>517</v>
      </c>
      <c r="G122" s="458" t="s">
        <v>3436</v>
      </c>
      <c r="H122" s="458" t="s">
        <v>424</v>
      </c>
      <c r="I122" s="458">
        <v>5400</v>
      </c>
      <c r="J122" s="458">
        <v>0</v>
      </c>
      <c r="K122" s="458">
        <v>6</v>
      </c>
      <c r="L122" s="462">
        <f t="shared" si="21"/>
        <v>900</v>
      </c>
      <c r="M122" s="463">
        <v>45807</v>
      </c>
      <c r="N122" s="463">
        <v>45803</v>
      </c>
      <c r="O122" s="464" t="s">
        <v>3437</v>
      </c>
      <c r="P122" s="464" t="s">
        <v>103</v>
      </c>
      <c r="Q122" s="458"/>
      <c r="R122" s="472">
        <v>45769</v>
      </c>
      <c r="S122" s="472" t="s">
        <v>66</v>
      </c>
      <c r="T122" s="472">
        <v>45786</v>
      </c>
      <c r="U122" s="472" t="s">
        <v>3438</v>
      </c>
      <c r="V122" s="473" t="s">
        <v>519</v>
      </c>
      <c r="W122" s="473" t="s">
        <v>274</v>
      </c>
      <c r="X122" s="473">
        <v>8.9</v>
      </c>
      <c r="Y122" s="480">
        <f t="shared" si="22"/>
        <v>48060</v>
      </c>
      <c r="Z122" s="458"/>
      <c r="AA122" s="458" t="s">
        <v>427</v>
      </c>
      <c r="AB122" s="458" t="s">
        <v>76</v>
      </c>
      <c r="AC122" s="458"/>
      <c r="AD122" s="458" t="s">
        <v>69</v>
      </c>
      <c r="AE122" s="458"/>
      <c r="AF122" s="458">
        <f>2160+3240</f>
        <v>5400</v>
      </c>
      <c r="AG122" s="458">
        <f t="shared" si="20"/>
        <v>0</v>
      </c>
      <c r="AH122" s="489"/>
      <c r="AI122" s="458"/>
      <c r="AJ122" s="458"/>
      <c r="AK122" s="458"/>
      <c r="AL122" s="425">
        <f>I122*2</f>
        <v>10800</v>
      </c>
      <c r="AO122" s="495"/>
      <c r="AQ122" s="425">
        <f>AL122</f>
        <v>10800</v>
      </c>
      <c r="AS122" s="425">
        <f>AL122</f>
        <v>10800</v>
      </c>
      <c r="AT122" s="495"/>
      <c r="AY122" s="498">
        <f>I122/24*2</f>
        <v>450</v>
      </c>
      <c r="BT122" s="495"/>
      <c r="BU122" s="425">
        <f>I122</f>
        <v>5400</v>
      </c>
      <c r="BV122" s="495"/>
      <c r="CK122" s="425">
        <f t="shared" si="14"/>
        <v>0</v>
      </c>
      <c r="CL122" s="425">
        <f t="shared" si="15"/>
        <v>0</v>
      </c>
      <c r="CM122" s="425">
        <f t="shared" si="16"/>
        <v>0</v>
      </c>
      <c r="CN122" s="495"/>
      <c r="CO122" s="495"/>
      <c r="CP122" s="495"/>
      <c r="CT122" s="495"/>
      <c r="CU122" s="495"/>
      <c r="CV122" s="495"/>
      <c r="CW122" s="495"/>
      <c r="CX122" s="495"/>
    </row>
    <row r="123" s="425" customFormat="1" ht="31" customHeight="1" spans="1:102">
      <c r="A123" s="455">
        <v>45757</v>
      </c>
      <c r="B123" s="456" t="s">
        <v>520</v>
      </c>
      <c r="C123" s="457" t="s">
        <v>366</v>
      </c>
      <c r="D123" s="425">
        <v>4500163212</v>
      </c>
      <c r="E123" s="457">
        <v>2000007076</v>
      </c>
      <c r="F123" s="425" t="s">
        <v>521</v>
      </c>
      <c r="G123" s="458" t="s">
        <v>3436</v>
      </c>
      <c r="H123" s="458" t="s">
        <v>424</v>
      </c>
      <c r="I123" s="458">
        <v>3414</v>
      </c>
      <c r="J123" s="458">
        <v>0</v>
      </c>
      <c r="K123" s="458">
        <v>6</v>
      </c>
      <c r="L123" s="462">
        <f t="shared" si="21"/>
        <v>569</v>
      </c>
      <c r="M123" s="463">
        <v>45807</v>
      </c>
      <c r="N123" s="463">
        <v>45803</v>
      </c>
      <c r="O123" s="464" t="s">
        <v>1218</v>
      </c>
      <c r="P123" s="464" t="s">
        <v>103</v>
      </c>
      <c r="Q123" s="458"/>
      <c r="R123" s="472">
        <v>45769</v>
      </c>
      <c r="S123" s="472" t="s">
        <v>66</v>
      </c>
      <c r="T123" s="472">
        <v>45786</v>
      </c>
      <c r="U123" s="472" t="s">
        <v>3439</v>
      </c>
      <c r="V123" s="473" t="s">
        <v>522</v>
      </c>
      <c r="W123" s="473" t="s">
        <v>274</v>
      </c>
      <c r="X123" s="473">
        <v>8.9</v>
      </c>
      <c r="Y123" s="480">
        <f t="shared" si="22"/>
        <v>30384.6</v>
      </c>
      <c r="Z123" s="458"/>
      <c r="AA123" s="458" t="s">
        <v>427</v>
      </c>
      <c r="AB123" s="458" t="s">
        <v>76</v>
      </c>
      <c r="AC123" s="458"/>
      <c r="AD123" s="458" t="s">
        <v>69</v>
      </c>
      <c r="AE123" s="458"/>
      <c r="AF123" s="458">
        <f>3024+390</f>
        <v>3414</v>
      </c>
      <c r="AG123" s="458">
        <f t="shared" si="20"/>
        <v>0</v>
      </c>
      <c r="AH123" s="489"/>
      <c r="AI123" s="458"/>
      <c r="AJ123" s="458"/>
      <c r="AK123" s="458"/>
      <c r="AL123" s="425">
        <f>I123*2</f>
        <v>6828</v>
      </c>
      <c r="AO123" s="495"/>
      <c r="AQ123" s="425">
        <f>AL123</f>
        <v>6828</v>
      </c>
      <c r="AS123" s="425">
        <f>AL123</f>
        <v>6828</v>
      </c>
      <c r="AT123" s="495"/>
      <c r="AY123" s="498">
        <f>I123/24*2</f>
        <v>284.5</v>
      </c>
      <c r="BT123" s="495"/>
      <c r="BU123" s="425">
        <f>I123</f>
        <v>3414</v>
      </c>
      <c r="BV123" s="495"/>
      <c r="CK123" s="425">
        <f t="shared" si="14"/>
        <v>0</v>
      </c>
      <c r="CL123" s="425">
        <f t="shared" si="15"/>
        <v>0</v>
      </c>
      <c r="CM123" s="425">
        <f t="shared" si="16"/>
        <v>0</v>
      </c>
      <c r="CN123" s="495"/>
      <c r="CO123" s="495"/>
      <c r="CP123" s="495"/>
      <c r="CT123" s="495"/>
      <c r="CU123" s="495"/>
      <c r="CV123" s="495"/>
      <c r="CW123" s="495"/>
      <c r="CX123" s="495"/>
    </row>
    <row r="124" s="425" customFormat="1" ht="31" customHeight="1" spans="1:102">
      <c r="A124" s="455">
        <v>45764</v>
      </c>
      <c r="B124" s="456" t="s">
        <v>270</v>
      </c>
      <c r="C124" s="457" t="s">
        <v>271</v>
      </c>
      <c r="D124" s="425">
        <v>4500163334</v>
      </c>
      <c r="E124" s="457">
        <v>5200006584</v>
      </c>
      <c r="F124" s="425" t="s">
        <v>3440</v>
      </c>
      <c r="G124" s="458" t="s">
        <v>3231</v>
      </c>
      <c r="H124" s="458" t="s">
        <v>3207</v>
      </c>
      <c r="I124" s="458">
        <v>9750</v>
      </c>
      <c r="J124" s="458">
        <v>0</v>
      </c>
      <c r="K124" s="458">
        <v>13</v>
      </c>
      <c r="L124" s="462">
        <f t="shared" si="21"/>
        <v>750</v>
      </c>
      <c r="M124" s="463">
        <v>45808</v>
      </c>
      <c r="N124" s="463">
        <v>45804</v>
      </c>
      <c r="O124" s="464"/>
      <c r="P124" s="464" t="s">
        <v>103</v>
      </c>
      <c r="Q124" s="458"/>
      <c r="R124" s="472">
        <v>45768</v>
      </c>
      <c r="S124" s="472" t="s">
        <v>66</v>
      </c>
      <c r="T124" s="472" t="s">
        <v>3441</v>
      </c>
      <c r="U124" s="472"/>
      <c r="V124" s="473" t="s">
        <v>3442</v>
      </c>
      <c r="W124" s="473" t="s">
        <v>391</v>
      </c>
      <c r="X124" s="473">
        <v>1.16</v>
      </c>
      <c r="Y124" s="480">
        <f t="shared" si="22"/>
        <v>11310</v>
      </c>
      <c r="Z124" s="458"/>
      <c r="AA124" s="458" t="s">
        <v>3206</v>
      </c>
      <c r="AB124" s="458" t="s">
        <v>76</v>
      </c>
      <c r="AC124" s="458"/>
      <c r="AD124" s="458" t="s">
        <v>69</v>
      </c>
      <c r="AE124" s="458"/>
      <c r="AF124" s="458">
        <v>9750</v>
      </c>
      <c r="AG124" s="458">
        <f t="shared" si="20"/>
        <v>0</v>
      </c>
      <c r="AH124" s="489"/>
      <c r="AI124" s="458"/>
      <c r="AJ124" s="458"/>
      <c r="AK124" s="458"/>
      <c r="AL124" s="426">
        <f t="shared" ref="AL124:AL131" si="23">I124</f>
        <v>9750</v>
      </c>
      <c r="AO124" s="495"/>
      <c r="AQ124" s="425">
        <f>I124</f>
        <v>9750</v>
      </c>
      <c r="AS124" s="425">
        <f t="shared" ref="AS124:AS132" si="24">I124</f>
        <v>9750</v>
      </c>
      <c r="AT124" s="495"/>
      <c r="AY124" s="498">
        <f t="shared" ref="AY124:AY131" si="25">I124/24</f>
        <v>406.25</v>
      </c>
      <c r="BI124" s="425">
        <f>I124/13</f>
        <v>750</v>
      </c>
      <c r="BT124" s="495"/>
      <c r="BV124" s="495"/>
      <c r="CK124" s="425">
        <f t="shared" si="14"/>
        <v>0</v>
      </c>
      <c r="CL124" s="425">
        <f t="shared" si="15"/>
        <v>0</v>
      </c>
      <c r="CM124" s="425">
        <f t="shared" si="16"/>
        <v>0</v>
      </c>
      <c r="CN124" s="495"/>
      <c r="CO124" s="495"/>
      <c r="CP124" s="495"/>
      <c r="CT124" s="495"/>
      <c r="CU124" s="495"/>
      <c r="CV124" s="495"/>
      <c r="CW124" s="495"/>
      <c r="CX124" s="495"/>
    </row>
    <row r="125" s="425" customFormat="1" ht="31" customHeight="1" spans="1:102">
      <c r="A125" s="455">
        <v>45765</v>
      </c>
      <c r="B125" s="456" t="s">
        <v>392</v>
      </c>
      <c r="C125" s="457" t="s">
        <v>366</v>
      </c>
      <c r="D125" s="425">
        <v>4500163950</v>
      </c>
      <c r="E125" s="457"/>
      <c r="F125" s="425" t="s">
        <v>3443</v>
      </c>
      <c r="G125" s="458" t="s">
        <v>3161</v>
      </c>
      <c r="H125" s="458" t="s">
        <v>3221</v>
      </c>
      <c r="I125" s="458">
        <v>2500</v>
      </c>
      <c r="J125" s="458">
        <v>0</v>
      </c>
      <c r="K125" s="458">
        <v>50</v>
      </c>
      <c r="L125" s="462">
        <f t="shared" si="21"/>
        <v>50</v>
      </c>
      <c r="M125" s="463">
        <v>45810</v>
      </c>
      <c r="N125" s="463">
        <v>45806</v>
      </c>
      <c r="O125" s="464"/>
      <c r="P125" s="464" t="s">
        <v>103</v>
      </c>
      <c r="Q125" s="458"/>
      <c r="R125" s="472">
        <v>45777</v>
      </c>
      <c r="S125" s="472" t="s">
        <v>66</v>
      </c>
      <c r="T125" s="472">
        <v>45789</v>
      </c>
      <c r="U125" s="472"/>
      <c r="V125" s="473" t="s">
        <v>3444</v>
      </c>
      <c r="W125" s="473" t="s">
        <v>395</v>
      </c>
      <c r="X125" s="473">
        <v>0.95</v>
      </c>
      <c r="Y125" s="480">
        <f t="shared" si="22"/>
        <v>2375</v>
      </c>
      <c r="Z125" s="509" t="s">
        <v>396</v>
      </c>
      <c r="AA125" s="458" t="s">
        <v>3161</v>
      </c>
      <c r="AB125" s="458" t="s">
        <v>76</v>
      </c>
      <c r="AC125" s="458"/>
      <c r="AD125" s="458" t="s">
        <v>69</v>
      </c>
      <c r="AE125" s="458"/>
      <c r="AF125" s="458">
        <v>2500</v>
      </c>
      <c r="AG125" s="458">
        <f t="shared" si="20"/>
        <v>0</v>
      </c>
      <c r="AH125" s="489"/>
      <c r="AI125" s="458"/>
      <c r="AJ125" s="458"/>
      <c r="AK125" s="458"/>
      <c r="AL125" s="426">
        <f t="shared" si="23"/>
        <v>2500</v>
      </c>
      <c r="AO125" s="495"/>
      <c r="AQ125" s="425">
        <f>I125</f>
        <v>2500</v>
      </c>
      <c r="AS125" s="425">
        <f t="shared" si="24"/>
        <v>2500</v>
      </c>
      <c r="AT125" s="495"/>
      <c r="AY125" s="498">
        <f t="shared" si="25"/>
        <v>104.166666666667</v>
      </c>
      <c r="BL125" s="425">
        <f>I125/25</f>
        <v>100</v>
      </c>
      <c r="BT125" s="495"/>
      <c r="BV125" s="495"/>
      <c r="CK125" s="425">
        <f t="shared" si="14"/>
        <v>100</v>
      </c>
      <c r="CL125" s="425">
        <f t="shared" si="15"/>
        <v>0</v>
      </c>
      <c r="CM125" s="425">
        <f t="shared" si="16"/>
        <v>0</v>
      </c>
      <c r="CN125" s="495"/>
      <c r="CO125" s="495"/>
      <c r="CP125" s="495"/>
      <c r="CT125" s="495"/>
      <c r="CU125" s="495"/>
      <c r="CV125" s="495"/>
      <c r="CW125" s="495"/>
      <c r="CX125" s="495"/>
    </row>
    <row r="126" s="425" customFormat="1" ht="31" customHeight="1" spans="1:102">
      <c r="A126" s="455">
        <v>45772</v>
      </c>
      <c r="B126" s="456" t="s">
        <v>365</v>
      </c>
      <c r="C126" s="457" t="s">
        <v>366</v>
      </c>
      <c r="D126" s="425">
        <v>4500164781</v>
      </c>
      <c r="E126" s="457"/>
      <c r="F126" s="425" t="s">
        <v>3445</v>
      </c>
      <c r="G126" s="458" t="s">
        <v>3161</v>
      </c>
      <c r="H126" s="458" t="s">
        <v>3221</v>
      </c>
      <c r="I126" s="458">
        <v>750</v>
      </c>
      <c r="J126" s="458">
        <v>0</v>
      </c>
      <c r="K126" s="458">
        <v>50</v>
      </c>
      <c r="L126" s="462">
        <f t="shared" si="21"/>
        <v>15</v>
      </c>
      <c r="M126" s="463">
        <v>45810</v>
      </c>
      <c r="N126" s="463">
        <v>45806</v>
      </c>
      <c r="O126" s="464"/>
      <c r="P126" s="464" t="s">
        <v>103</v>
      </c>
      <c r="Q126" s="458"/>
      <c r="R126" s="472">
        <v>45785</v>
      </c>
      <c r="S126" s="472" t="s">
        <v>66</v>
      </c>
      <c r="T126" s="472" t="s">
        <v>3446</v>
      </c>
      <c r="U126" s="472"/>
      <c r="V126" s="508" t="s">
        <v>3447</v>
      </c>
      <c r="W126" s="473" t="s">
        <v>370</v>
      </c>
      <c r="X126" s="473">
        <v>0.95</v>
      </c>
      <c r="Y126" s="480">
        <f t="shared" si="22"/>
        <v>712.5</v>
      </c>
      <c r="Z126" s="458"/>
      <c r="AA126" s="458" t="s">
        <v>3161</v>
      </c>
      <c r="AB126" s="458" t="s">
        <v>76</v>
      </c>
      <c r="AC126" s="458"/>
      <c r="AD126" s="458" t="s">
        <v>69</v>
      </c>
      <c r="AE126" s="458"/>
      <c r="AF126" s="458">
        <v>750</v>
      </c>
      <c r="AG126" s="458">
        <f t="shared" si="20"/>
        <v>0</v>
      </c>
      <c r="AH126" s="489"/>
      <c r="AI126" s="458"/>
      <c r="AJ126" s="458"/>
      <c r="AK126" s="458"/>
      <c r="AL126" s="426">
        <f t="shared" si="23"/>
        <v>750</v>
      </c>
      <c r="AO126" s="495"/>
      <c r="AS126" s="425">
        <f t="shared" si="24"/>
        <v>750</v>
      </c>
      <c r="AT126" s="495"/>
      <c r="AY126" s="498">
        <f t="shared" si="25"/>
        <v>31.25</v>
      </c>
      <c r="AZ126" s="425">
        <f>I126</f>
        <v>750</v>
      </c>
      <c r="BL126" s="425">
        <f>I126/25</f>
        <v>30</v>
      </c>
      <c r="BT126" s="495"/>
      <c r="BV126" s="495"/>
      <c r="CK126" s="425">
        <f t="shared" si="14"/>
        <v>30</v>
      </c>
      <c r="CL126" s="425">
        <f t="shared" si="15"/>
        <v>0</v>
      </c>
      <c r="CM126" s="425">
        <f t="shared" si="16"/>
        <v>0</v>
      </c>
      <c r="CN126" s="495"/>
      <c r="CO126" s="495"/>
      <c r="CP126" s="495"/>
      <c r="CT126" s="495"/>
      <c r="CU126" s="495"/>
      <c r="CV126" s="495"/>
      <c r="CW126" s="495"/>
      <c r="CX126" s="495"/>
    </row>
    <row r="127" s="425" customFormat="1" ht="31" customHeight="1" spans="1:102">
      <c r="A127" s="455">
        <v>45765</v>
      </c>
      <c r="B127" s="456" t="s">
        <v>376</v>
      </c>
      <c r="C127" s="457" t="s">
        <v>377</v>
      </c>
      <c r="D127" s="425">
        <v>4500164226</v>
      </c>
      <c r="E127" s="457" t="s">
        <v>378</v>
      </c>
      <c r="F127" s="425" t="s">
        <v>3448</v>
      </c>
      <c r="G127" s="458" t="s">
        <v>3165</v>
      </c>
      <c r="H127" s="458" t="s">
        <v>3166</v>
      </c>
      <c r="I127" s="458">
        <v>3000</v>
      </c>
      <c r="J127" s="458">
        <v>0</v>
      </c>
      <c r="K127" s="458">
        <v>25</v>
      </c>
      <c r="L127" s="462">
        <f t="shared" si="21"/>
        <v>120</v>
      </c>
      <c r="M127" s="463">
        <v>45811</v>
      </c>
      <c r="N127" s="463">
        <v>45807</v>
      </c>
      <c r="O127" s="464"/>
      <c r="P127" s="464" t="s">
        <v>103</v>
      </c>
      <c r="Q127" s="458"/>
      <c r="R127" s="472">
        <v>45772</v>
      </c>
      <c r="S127" s="472" t="s">
        <v>66</v>
      </c>
      <c r="T127" s="472">
        <v>45786</v>
      </c>
      <c r="U127" s="472"/>
      <c r="V127" s="473" t="s">
        <v>3449</v>
      </c>
      <c r="W127" s="473" t="s">
        <v>381</v>
      </c>
      <c r="X127" s="473">
        <v>0.95</v>
      </c>
      <c r="Y127" s="480">
        <f t="shared" si="22"/>
        <v>2850</v>
      </c>
      <c r="Z127" s="458"/>
      <c r="AA127" s="458" t="s">
        <v>3165</v>
      </c>
      <c r="AB127" s="458" t="s">
        <v>76</v>
      </c>
      <c r="AC127" s="458"/>
      <c r="AD127" s="458" t="s">
        <v>69</v>
      </c>
      <c r="AE127" s="458"/>
      <c r="AF127" s="458">
        <v>3000</v>
      </c>
      <c r="AG127" s="458">
        <f t="shared" si="20"/>
        <v>0</v>
      </c>
      <c r="AH127" s="489"/>
      <c r="AI127" s="458" t="s">
        <v>114</v>
      </c>
      <c r="AJ127" s="458"/>
      <c r="AK127" s="458"/>
      <c r="AL127" s="426">
        <f t="shared" si="23"/>
        <v>3000</v>
      </c>
      <c r="AO127" s="495"/>
      <c r="AQ127" s="425">
        <f t="shared" ref="AQ127:AQ132" si="26">I127</f>
        <v>3000</v>
      </c>
      <c r="AS127" s="425">
        <f t="shared" si="24"/>
        <v>3000</v>
      </c>
      <c r="AT127" s="495"/>
      <c r="AY127" s="498">
        <f t="shared" si="25"/>
        <v>125</v>
      </c>
      <c r="BL127" s="425">
        <f>I127/25</f>
        <v>120</v>
      </c>
      <c r="BT127" s="495"/>
      <c r="BV127" s="495"/>
      <c r="CK127" s="425">
        <f t="shared" si="14"/>
        <v>120</v>
      </c>
      <c r="CL127" s="425">
        <f t="shared" si="15"/>
        <v>0</v>
      </c>
      <c r="CM127" s="425">
        <f t="shared" si="16"/>
        <v>0</v>
      </c>
      <c r="CN127" s="495"/>
      <c r="CO127" s="495"/>
      <c r="CP127" s="495"/>
      <c r="CT127" s="495"/>
      <c r="CU127" s="495"/>
      <c r="CV127" s="495"/>
      <c r="CW127" s="495"/>
      <c r="CX127" s="495"/>
    </row>
    <row r="128" s="425" customFormat="1" ht="31" customHeight="1" spans="1:102">
      <c r="A128" s="455">
        <v>45765</v>
      </c>
      <c r="B128" s="456" t="s">
        <v>376</v>
      </c>
      <c r="C128" s="457" t="s">
        <v>377</v>
      </c>
      <c r="D128" s="425">
        <v>4500164226</v>
      </c>
      <c r="E128" s="457" t="s">
        <v>378</v>
      </c>
      <c r="F128" s="425" t="s">
        <v>3450</v>
      </c>
      <c r="G128" s="458" t="s">
        <v>3328</v>
      </c>
      <c r="H128" s="458" t="s">
        <v>3194</v>
      </c>
      <c r="I128" s="458">
        <v>990</v>
      </c>
      <c r="J128" s="458">
        <v>0</v>
      </c>
      <c r="K128" s="458">
        <v>30</v>
      </c>
      <c r="L128" s="462">
        <f t="shared" si="21"/>
        <v>33</v>
      </c>
      <c r="M128" s="463">
        <v>45811</v>
      </c>
      <c r="N128" s="463">
        <v>45807</v>
      </c>
      <c r="O128" s="464"/>
      <c r="P128" s="464" t="s">
        <v>103</v>
      </c>
      <c r="Q128" s="458"/>
      <c r="R128" s="472">
        <v>45772</v>
      </c>
      <c r="S128" s="472" t="s">
        <v>66</v>
      </c>
      <c r="T128" s="472">
        <v>45786</v>
      </c>
      <c r="U128" s="472"/>
      <c r="V128" s="473" t="s">
        <v>3451</v>
      </c>
      <c r="W128" s="473" t="s">
        <v>381</v>
      </c>
      <c r="X128" s="473">
        <v>35.1</v>
      </c>
      <c r="Y128" s="480">
        <f>X128*L128</f>
        <v>1158.3</v>
      </c>
      <c r="Z128" s="458"/>
      <c r="AA128" s="458" t="s">
        <v>3328</v>
      </c>
      <c r="AB128" s="458" t="s">
        <v>76</v>
      </c>
      <c r="AC128" s="458"/>
      <c r="AD128" s="458" t="s">
        <v>69</v>
      </c>
      <c r="AE128" s="458"/>
      <c r="AF128" s="458">
        <v>990</v>
      </c>
      <c r="AG128" s="458">
        <f t="shared" si="20"/>
        <v>0</v>
      </c>
      <c r="AH128" s="489"/>
      <c r="AI128" s="458" t="s">
        <v>114</v>
      </c>
      <c r="AJ128" s="458"/>
      <c r="AK128" s="458"/>
      <c r="AL128" s="426">
        <f t="shared" si="23"/>
        <v>990</v>
      </c>
      <c r="AO128" s="495"/>
      <c r="AQ128" s="425">
        <f t="shared" si="26"/>
        <v>990</v>
      </c>
      <c r="AS128" s="425">
        <f t="shared" si="24"/>
        <v>990</v>
      </c>
      <c r="AT128" s="495"/>
      <c r="AY128" s="498">
        <f t="shared" si="25"/>
        <v>41.25</v>
      </c>
      <c r="BT128" s="495"/>
      <c r="BV128" s="495"/>
      <c r="CF128" s="425">
        <f>I128/30</f>
        <v>33</v>
      </c>
      <c r="CK128" s="425">
        <f t="shared" si="14"/>
        <v>0</v>
      </c>
      <c r="CL128" s="425">
        <f t="shared" si="15"/>
        <v>33</v>
      </c>
      <c r="CM128" s="425">
        <f t="shared" si="16"/>
        <v>0</v>
      </c>
      <c r="CN128" s="495"/>
      <c r="CO128" s="495"/>
      <c r="CP128" s="495"/>
      <c r="CT128" s="495"/>
      <c r="CU128" s="495"/>
      <c r="CV128" s="495"/>
      <c r="CW128" s="495"/>
      <c r="CX128" s="495"/>
    </row>
    <row r="129" s="425" customFormat="1" ht="31" customHeight="1" spans="1:102">
      <c r="A129" s="455">
        <v>45769</v>
      </c>
      <c r="B129" s="456" t="s">
        <v>398</v>
      </c>
      <c r="C129" s="457" t="s">
        <v>356</v>
      </c>
      <c r="D129" s="425">
        <v>4500163874</v>
      </c>
      <c r="E129" s="457"/>
      <c r="F129" s="425" t="s">
        <v>3452</v>
      </c>
      <c r="G129" s="458" t="s">
        <v>3206</v>
      </c>
      <c r="H129" s="458" t="s">
        <v>3207</v>
      </c>
      <c r="I129" s="458">
        <v>1456</v>
      </c>
      <c r="J129" s="458">
        <v>0</v>
      </c>
      <c r="K129" s="458">
        <v>13</v>
      </c>
      <c r="L129" s="462">
        <f t="shared" si="21"/>
        <v>112</v>
      </c>
      <c r="M129" s="463">
        <v>45812</v>
      </c>
      <c r="N129" s="463">
        <f>M129-4</f>
        <v>45808</v>
      </c>
      <c r="O129" s="464"/>
      <c r="P129" s="464" t="s">
        <v>103</v>
      </c>
      <c r="Q129" s="458"/>
      <c r="R129" s="472">
        <v>45774</v>
      </c>
      <c r="S129" s="472" t="s">
        <v>66</v>
      </c>
      <c r="T129" s="472" t="s">
        <v>3453</v>
      </c>
      <c r="U129" s="472" t="s">
        <v>3454</v>
      </c>
      <c r="V129" s="473" t="s">
        <v>3455</v>
      </c>
      <c r="W129" s="473" t="s">
        <v>395</v>
      </c>
      <c r="X129" s="473">
        <v>0.9116</v>
      </c>
      <c r="Y129" s="480">
        <f>X129*I129</f>
        <v>1327.2896</v>
      </c>
      <c r="Z129" s="458"/>
      <c r="AA129" s="458" t="s">
        <v>3206</v>
      </c>
      <c r="AB129" s="458" t="s">
        <v>76</v>
      </c>
      <c r="AC129" s="458"/>
      <c r="AD129" s="458" t="s">
        <v>69</v>
      </c>
      <c r="AE129" s="458"/>
      <c r="AF129" s="458">
        <v>1456</v>
      </c>
      <c r="AG129" s="458">
        <f t="shared" si="20"/>
        <v>0</v>
      </c>
      <c r="AH129" s="489"/>
      <c r="AI129" s="458"/>
      <c r="AJ129" s="458"/>
      <c r="AK129" s="458"/>
      <c r="AL129" s="426">
        <f t="shared" si="23"/>
        <v>1456</v>
      </c>
      <c r="AO129" s="495"/>
      <c r="AQ129" s="425">
        <f t="shared" si="26"/>
        <v>1456</v>
      </c>
      <c r="AS129" s="425">
        <f t="shared" si="24"/>
        <v>1456</v>
      </c>
      <c r="AT129" s="495"/>
      <c r="AY129" s="498">
        <f t="shared" si="25"/>
        <v>60.6666666666667</v>
      </c>
      <c r="BI129" s="425">
        <f>I129/13</f>
        <v>112</v>
      </c>
      <c r="BT129" s="495"/>
      <c r="BV129" s="495"/>
      <c r="CK129" s="425">
        <f t="shared" si="14"/>
        <v>0</v>
      </c>
      <c r="CL129" s="425">
        <f t="shared" si="15"/>
        <v>0</v>
      </c>
      <c r="CM129" s="425">
        <f t="shared" si="16"/>
        <v>0</v>
      </c>
      <c r="CN129" s="495"/>
      <c r="CO129" s="495"/>
      <c r="CP129" s="495"/>
      <c r="CT129" s="495"/>
      <c r="CU129" s="495"/>
      <c r="CV129" s="495"/>
      <c r="CW129" s="495"/>
      <c r="CX129" s="495"/>
    </row>
    <row r="130" s="425" customFormat="1" ht="31" customHeight="1" spans="1:102">
      <c r="A130" s="455">
        <v>45768</v>
      </c>
      <c r="B130" s="456" t="s">
        <v>509</v>
      </c>
      <c r="C130" s="457" t="s">
        <v>510</v>
      </c>
      <c r="D130" s="425">
        <v>4500163230</v>
      </c>
      <c r="E130" s="457" t="s">
        <v>511</v>
      </c>
      <c r="F130" s="425">
        <v>4500169682</v>
      </c>
      <c r="G130" s="458" t="s">
        <v>3158</v>
      </c>
      <c r="H130" s="458" t="s">
        <v>3159</v>
      </c>
      <c r="I130" s="458">
        <v>1560</v>
      </c>
      <c r="J130" s="458">
        <v>0</v>
      </c>
      <c r="K130" s="458">
        <v>52</v>
      </c>
      <c r="L130" s="462">
        <f t="shared" si="21"/>
        <v>30</v>
      </c>
      <c r="M130" s="463">
        <v>45814</v>
      </c>
      <c r="N130" s="463">
        <v>45810</v>
      </c>
      <c r="O130" s="464"/>
      <c r="P130" s="464" t="s">
        <v>103</v>
      </c>
      <c r="Q130" s="458" t="s">
        <v>513</v>
      </c>
      <c r="R130" s="472">
        <v>45770</v>
      </c>
      <c r="S130" s="472" t="s">
        <v>66</v>
      </c>
      <c r="T130" s="472">
        <v>45768</v>
      </c>
      <c r="U130" s="472"/>
      <c r="V130" s="473" t="s">
        <v>3456</v>
      </c>
      <c r="W130" s="473" t="s">
        <v>515</v>
      </c>
      <c r="X130" s="473">
        <v>0.92</v>
      </c>
      <c r="Y130" s="480">
        <f>X130*I130</f>
        <v>1435.2</v>
      </c>
      <c r="Z130" s="458"/>
      <c r="AA130" s="458" t="s">
        <v>3158</v>
      </c>
      <c r="AB130" s="458" t="s">
        <v>76</v>
      </c>
      <c r="AC130" s="458"/>
      <c r="AD130" s="458" t="s">
        <v>69</v>
      </c>
      <c r="AE130" s="458"/>
      <c r="AF130" s="458">
        <v>1560</v>
      </c>
      <c r="AG130" s="458">
        <f t="shared" si="20"/>
        <v>0</v>
      </c>
      <c r="AH130" s="489"/>
      <c r="AI130" s="458"/>
      <c r="AJ130" s="458"/>
      <c r="AK130" s="458"/>
      <c r="AL130" s="426">
        <f t="shared" si="23"/>
        <v>1560</v>
      </c>
      <c r="AO130" s="495"/>
      <c r="AQ130" s="425">
        <f t="shared" si="26"/>
        <v>1560</v>
      </c>
      <c r="AS130" s="425">
        <f t="shared" si="24"/>
        <v>1560</v>
      </c>
      <c r="AT130" s="495"/>
      <c r="AY130" s="498">
        <f t="shared" si="25"/>
        <v>65</v>
      </c>
      <c r="BI130" s="425">
        <f>I130/13</f>
        <v>120</v>
      </c>
      <c r="BT130" s="495"/>
      <c r="BV130" s="495"/>
      <c r="CK130" s="425">
        <f t="shared" si="14"/>
        <v>0</v>
      </c>
      <c r="CL130" s="425">
        <f t="shared" si="15"/>
        <v>0</v>
      </c>
      <c r="CM130" s="425">
        <f t="shared" si="16"/>
        <v>0</v>
      </c>
      <c r="CN130" s="495"/>
      <c r="CO130" s="495"/>
      <c r="CP130" s="495"/>
      <c r="CT130" s="495"/>
      <c r="CU130" s="495"/>
      <c r="CV130" s="495"/>
      <c r="CW130" s="495"/>
      <c r="CX130" s="495"/>
    </row>
    <row r="131" s="425" customFormat="1" ht="31" customHeight="1" spans="1:102">
      <c r="A131" s="455">
        <v>45768</v>
      </c>
      <c r="B131" s="456" t="s">
        <v>404</v>
      </c>
      <c r="C131" s="457" t="s">
        <v>216</v>
      </c>
      <c r="D131" s="425">
        <v>4500164402</v>
      </c>
      <c r="E131" s="457">
        <v>1310</v>
      </c>
      <c r="F131" s="425" t="s">
        <v>3457</v>
      </c>
      <c r="G131" s="458" t="s">
        <v>3165</v>
      </c>
      <c r="H131" s="458" t="s">
        <v>3303</v>
      </c>
      <c r="I131" s="458">
        <v>5000</v>
      </c>
      <c r="J131" s="458">
        <v>0</v>
      </c>
      <c r="K131" s="458">
        <v>25</v>
      </c>
      <c r="L131" s="462">
        <f t="shared" si="21"/>
        <v>200</v>
      </c>
      <c r="M131" s="463">
        <v>45814</v>
      </c>
      <c r="N131" s="463">
        <v>45810</v>
      </c>
      <c r="O131" s="464"/>
      <c r="P131" s="464" t="s">
        <v>103</v>
      </c>
      <c r="Q131" s="458"/>
      <c r="R131" s="472">
        <v>45768</v>
      </c>
      <c r="S131" s="472" t="s">
        <v>66</v>
      </c>
      <c r="T131" s="472">
        <v>45786</v>
      </c>
      <c r="U131" s="472"/>
      <c r="V131" s="473" t="s">
        <v>3458</v>
      </c>
      <c r="W131" s="473" t="s">
        <v>269</v>
      </c>
      <c r="X131" s="473">
        <v>0.95</v>
      </c>
      <c r="Y131" s="480">
        <f>X131*I131</f>
        <v>4750</v>
      </c>
      <c r="Z131" s="458"/>
      <c r="AA131" s="458" t="s">
        <v>3165</v>
      </c>
      <c r="AB131" s="458" t="s">
        <v>76</v>
      </c>
      <c r="AC131" s="458"/>
      <c r="AD131" s="458" t="s">
        <v>69</v>
      </c>
      <c r="AE131" s="458"/>
      <c r="AF131" s="458">
        <v>5000</v>
      </c>
      <c r="AG131" s="458">
        <f t="shared" si="20"/>
        <v>0</v>
      </c>
      <c r="AH131" s="489"/>
      <c r="AI131" s="458" t="s">
        <v>114</v>
      </c>
      <c r="AJ131" s="458"/>
      <c r="AK131" s="458"/>
      <c r="AL131" s="426">
        <f t="shared" si="23"/>
        <v>5000</v>
      </c>
      <c r="AO131" s="495"/>
      <c r="AQ131" s="425">
        <f t="shared" si="26"/>
        <v>5000</v>
      </c>
      <c r="AS131" s="425">
        <f t="shared" si="24"/>
        <v>5000</v>
      </c>
      <c r="AT131" s="495"/>
      <c r="AY131" s="498">
        <f t="shared" si="25"/>
        <v>208.333333333333</v>
      </c>
      <c r="BL131" s="425">
        <f>I131/25</f>
        <v>200</v>
      </c>
      <c r="BT131" s="495"/>
      <c r="BV131" s="495"/>
      <c r="CK131" s="425">
        <f t="shared" ref="CK131:CK194" si="27">BM131+BL131+BK131+BJ131+BS131</f>
        <v>200</v>
      </c>
      <c r="CL131" s="425">
        <f t="shared" ref="CL131:CL194" si="28">CA131+CB131+CC131+CD131+CE131+CG131+CF131</f>
        <v>0</v>
      </c>
      <c r="CM131" s="425">
        <f t="shared" ref="CM131:CM194" si="29">BY131+BZ131</f>
        <v>0</v>
      </c>
      <c r="CN131" s="495"/>
      <c r="CO131" s="495"/>
      <c r="CP131" s="495"/>
      <c r="CT131" s="495"/>
      <c r="CU131" s="495"/>
      <c r="CV131" s="495"/>
      <c r="CW131" s="495"/>
      <c r="CX131" s="495"/>
    </row>
    <row r="132" s="425" customFormat="1" ht="31" customHeight="1" spans="1:102">
      <c r="A132" s="455">
        <v>45784</v>
      </c>
      <c r="B132" s="456"/>
      <c r="C132" s="457"/>
      <c r="D132" s="425" t="s">
        <v>422</v>
      </c>
      <c r="E132" s="457"/>
      <c r="G132" s="458" t="s">
        <v>3459</v>
      </c>
      <c r="H132" s="458" t="s">
        <v>424</v>
      </c>
      <c r="I132" s="458">
        <v>48</v>
      </c>
      <c r="J132" s="458">
        <v>0</v>
      </c>
      <c r="K132" s="458">
        <v>6</v>
      </c>
      <c r="L132" s="462">
        <f t="shared" si="21"/>
        <v>8</v>
      </c>
      <c r="M132" s="463">
        <v>45797</v>
      </c>
      <c r="N132" s="463">
        <v>45793</v>
      </c>
      <c r="O132" s="464"/>
      <c r="P132" s="464"/>
      <c r="Q132" s="458"/>
      <c r="R132" s="472">
        <v>45784</v>
      </c>
      <c r="S132" s="472" t="s">
        <v>66</v>
      </c>
      <c r="T132" s="472" t="s">
        <v>66</v>
      </c>
      <c r="U132" s="472"/>
      <c r="V132" s="473" t="s">
        <v>425</v>
      </c>
      <c r="W132" s="473" t="s">
        <v>79</v>
      </c>
      <c r="X132" s="473"/>
      <c r="Y132" s="480"/>
      <c r="Z132" s="509" t="s">
        <v>426</v>
      </c>
      <c r="AA132" s="458" t="s">
        <v>427</v>
      </c>
      <c r="AB132" s="509" t="s">
        <v>76</v>
      </c>
      <c r="AC132" s="458"/>
      <c r="AD132" s="458" t="s">
        <v>69</v>
      </c>
      <c r="AE132" s="458"/>
      <c r="AF132" s="458">
        <v>48</v>
      </c>
      <c r="AG132" s="458">
        <v>0</v>
      </c>
      <c r="AH132" s="489"/>
      <c r="AI132" s="458"/>
      <c r="AJ132" s="458"/>
      <c r="AK132" s="458"/>
      <c r="AL132" s="425">
        <f t="shared" ref="AL132:AL138" si="30">I132*2</f>
        <v>96</v>
      </c>
      <c r="AO132" s="495"/>
      <c r="AQ132" s="425">
        <f t="shared" si="26"/>
        <v>48</v>
      </c>
      <c r="AS132" s="425">
        <f t="shared" si="24"/>
        <v>48</v>
      </c>
      <c r="AT132" s="495"/>
      <c r="AY132" s="498">
        <f>I132/24*2</f>
        <v>4</v>
      </c>
      <c r="BT132" s="495"/>
      <c r="BU132" s="425">
        <f>I132</f>
        <v>48</v>
      </c>
      <c r="BV132" s="495"/>
      <c r="CK132" s="425">
        <f t="shared" si="27"/>
        <v>0</v>
      </c>
      <c r="CL132" s="425">
        <f t="shared" si="28"/>
        <v>0</v>
      </c>
      <c r="CM132" s="425">
        <f t="shared" si="29"/>
        <v>0</v>
      </c>
      <c r="CN132" s="495"/>
      <c r="CO132" s="495"/>
      <c r="CP132" s="495"/>
      <c r="CT132" s="495"/>
      <c r="CU132" s="495"/>
      <c r="CV132" s="495"/>
      <c r="CW132" s="495"/>
      <c r="CX132" s="495"/>
    </row>
    <row r="133" s="425" customFormat="1" ht="31" customHeight="1" spans="1:102">
      <c r="A133" s="455">
        <v>45755</v>
      </c>
      <c r="B133" s="456" t="s">
        <v>190</v>
      </c>
      <c r="C133" s="457" t="s">
        <v>191</v>
      </c>
      <c r="D133" s="425">
        <v>4500161438</v>
      </c>
      <c r="E133" s="457" t="s">
        <v>461</v>
      </c>
      <c r="F133" s="425" t="s">
        <v>462</v>
      </c>
      <c r="G133" s="458" t="s">
        <v>3436</v>
      </c>
      <c r="H133" s="458" t="s">
        <v>424</v>
      </c>
      <c r="I133" s="458">
        <v>600</v>
      </c>
      <c r="J133" s="458">
        <v>0</v>
      </c>
      <c r="K133" s="458">
        <v>6</v>
      </c>
      <c r="L133" s="462">
        <f t="shared" si="21"/>
        <v>100</v>
      </c>
      <c r="M133" s="463">
        <v>45805</v>
      </c>
      <c r="N133" s="463">
        <v>45801</v>
      </c>
      <c r="O133" s="464"/>
      <c r="P133" s="464" t="s">
        <v>103</v>
      </c>
      <c r="Q133" s="458" t="s">
        <v>3460</v>
      </c>
      <c r="R133" s="472">
        <v>45755</v>
      </c>
      <c r="S133" s="472" t="s">
        <v>66</v>
      </c>
      <c r="T133" s="472">
        <v>45772</v>
      </c>
      <c r="U133" s="472" t="s">
        <v>3461</v>
      </c>
      <c r="V133" s="473" t="s">
        <v>3462</v>
      </c>
      <c r="W133" s="473" t="s">
        <v>196</v>
      </c>
      <c r="X133" s="473">
        <v>8.9</v>
      </c>
      <c r="Y133" s="480">
        <f t="shared" ref="Y133:Y150" si="31">X133*I133</f>
        <v>5340</v>
      </c>
      <c r="Z133" s="458"/>
      <c r="AA133" s="458" t="s">
        <v>427</v>
      </c>
      <c r="AB133" s="458" t="s">
        <v>76</v>
      </c>
      <c r="AC133" s="458"/>
      <c r="AD133" s="458" t="s">
        <v>69</v>
      </c>
      <c r="AE133" s="458"/>
      <c r="AF133" s="458">
        <v>600</v>
      </c>
      <c r="AG133" s="458">
        <f t="shared" ref="AG133:AG150" si="32">AF133-I133</f>
        <v>0</v>
      </c>
      <c r="AH133" s="489"/>
      <c r="AI133" s="458"/>
      <c r="AJ133" s="458"/>
      <c r="AK133" s="458"/>
      <c r="AL133" s="425">
        <f t="shared" si="30"/>
        <v>1200</v>
      </c>
      <c r="AO133" s="495"/>
      <c r="AQ133" s="425">
        <f>AL133</f>
        <v>1200</v>
      </c>
      <c r="AS133" s="425">
        <f>AL133</f>
        <v>1200</v>
      </c>
      <c r="AT133" s="495"/>
      <c r="AY133" s="498">
        <f>I133/24*2</f>
        <v>50</v>
      </c>
      <c r="BT133" s="495"/>
      <c r="BU133" s="425">
        <f>I133</f>
        <v>600</v>
      </c>
      <c r="BV133" s="495"/>
      <c r="CK133" s="425">
        <f t="shared" si="27"/>
        <v>0</v>
      </c>
      <c r="CL133" s="425">
        <f t="shared" si="28"/>
        <v>0</v>
      </c>
      <c r="CM133" s="425">
        <f t="shared" si="29"/>
        <v>0</v>
      </c>
      <c r="CN133" s="495"/>
      <c r="CO133" s="495"/>
      <c r="CP133" s="495"/>
      <c r="CT133" s="495"/>
      <c r="CU133" s="495"/>
      <c r="CV133" s="495"/>
      <c r="CW133" s="495"/>
      <c r="CX133" s="495"/>
    </row>
    <row r="134" s="425" customFormat="1" ht="31" customHeight="1" spans="1:102">
      <c r="A134" s="455">
        <v>45714</v>
      </c>
      <c r="B134" s="456" t="s">
        <v>480</v>
      </c>
      <c r="C134" s="457" t="s">
        <v>356</v>
      </c>
      <c r="D134" s="425">
        <v>4500158623</v>
      </c>
      <c r="E134" s="457" t="s">
        <v>481</v>
      </c>
      <c r="F134" s="425" t="s">
        <v>3463</v>
      </c>
      <c r="G134" s="458" t="s">
        <v>3464</v>
      </c>
      <c r="H134" s="458" t="s">
        <v>3237</v>
      </c>
      <c r="I134" s="458">
        <v>528</v>
      </c>
      <c r="J134" s="458">
        <v>0</v>
      </c>
      <c r="K134" s="458">
        <v>12</v>
      </c>
      <c r="L134" s="462">
        <f t="shared" si="21"/>
        <v>44</v>
      </c>
      <c r="M134" s="463">
        <v>45813</v>
      </c>
      <c r="N134" s="463">
        <v>45810</v>
      </c>
      <c r="O134" s="464"/>
      <c r="P134" s="464" t="s">
        <v>103</v>
      </c>
      <c r="Q134" s="458"/>
      <c r="R134" s="472" t="s">
        <v>492</v>
      </c>
      <c r="S134" s="472" t="s">
        <v>96</v>
      </c>
      <c r="T134" s="472" t="s">
        <v>3465</v>
      </c>
      <c r="U134" s="472"/>
      <c r="V134" s="511" t="s">
        <v>3466</v>
      </c>
      <c r="W134" s="473" t="s">
        <v>485</v>
      </c>
      <c r="X134" s="473">
        <v>2.64</v>
      </c>
      <c r="Y134" s="480">
        <f t="shared" si="31"/>
        <v>1393.92</v>
      </c>
      <c r="Z134" s="458"/>
      <c r="AA134" s="458" t="s">
        <v>3464</v>
      </c>
      <c r="AB134" s="458" t="s">
        <v>76</v>
      </c>
      <c r="AC134" s="458"/>
      <c r="AD134" s="458" t="s">
        <v>69</v>
      </c>
      <c r="AE134" s="458"/>
      <c r="AF134" s="458">
        <v>528</v>
      </c>
      <c r="AG134" s="458">
        <f t="shared" si="32"/>
        <v>0</v>
      </c>
      <c r="AH134" s="489"/>
      <c r="AI134" s="458"/>
      <c r="AJ134" s="458"/>
      <c r="AK134" s="458"/>
      <c r="AL134" s="425">
        <f t="shared" si="30"/>
        <v>1056</v>
      </c>
      <c r="AO134" s="495"/>
      <c r="AQ134" s="425">
        <f>I134*2</f>
        <v>1056</v>
      </c>
      <c r="AS134" s="425">
        <f>I134*2</f>
        <v>1056</v>
      </c>
      <c r="AT134" s="495"/>
      <c r="AY134" s="498">
        <f>I134/48</f>
        <v>11</v>
      </c>
      <c r="BT134" s="495"/>
      <c r="BV134" s="495"/>
      <c r="CH134" s="425">
        <f>I134</f>
        <v>528</v>
      </c>
      <c r="CI134" s="425">
        <f>I134</f>
        <v>528</v>
      </c>
      <c r="CJ134" s="425">
        <f>I134</f>
        <v>528</v>
      </c>
      <c r="CK134" s="425">
        <f t="shared" si="27"/>
        <v>0</v>
      </c>
      <c r="CL134" s="425">
        <f t="shared" si="28"/>
        <v>0</v>
      </c>
      <c r="CM134" s="425">
        <f t="shared" si="29"/>
        <v>0</v>
      </c>
      <c r="CN134" s="495"/>
      <c r="CO134" s="495"/>
      <c r="CP134" s="495"/>
      <c r="CT134" s="495"/>
      <c r="CU134" s="495"/>
      <c r="CV134" s="495"/>
      <c r="CW134" s="495"/>
      <c r="CX134" s="495"/>
    </row>
    <row r="135" s="425" customFormat="1" ht="31" customHeight="1" spans="1:102">
      <c r="A135" s="455">
        <v>45714</v>
      </c>
      <c r="B135" s="456" t="s">
        <v>480</v>
      </c>
      <c r="C135" s="457" t="s">
        <v>366</v>
      </c>
      <c r="D135" s="425">
        <v>4500158623</v>
      </c>
      <c r="E135" s="457" t="s">
        <v>487</v>
      </c>
      <c r="F135" s="425" t="s">
        <v>3467</v>
      </c>
      <c r="G135" s="458" t="s">
        <v>3464</v>
      </c>
      <c r="H135" s="458" t="s">
        <v>3237</v>
      </c>
      <c r="I135" s="458">
        <v>516</v>
      </c>
      <c r="J135" s="458">
        <v>0</v>
      </c>
      <c r="K135" s="458">
        <v>12</v>
      </c>
      <c r="L135" s="462">
        <f t="shared" si="21"/>
        <v>43</v>
      </c>
      <c r="M135" s="463">
        <v>45813</v>
      </c>
      <c r="N135" s="463">
        <v>45810</v>
      </c>
      <c r="O135" s="464"/>
      <c r="P135" s="464" t="s">
        <v>103</v>
      </c>
      <c r="Q135" s="458"/>
      <c r="R135" s="472" t="s">
        <v>492</v>
      </c>
      <c r="S135" s="472" t="s">
        <v>96</v>
      </c>
      <c r="T135" s="472" t="s">
        <v>3465</v>
      </c>
      <c r="U135" s="472"/>
      <c r="V135" s="511" t="s">
        <v>3466</v>
      </c>
      <c r="W135" s="473" t="s">
        <v>485</v>
      </c>
      <c r="X135" s="473">
        <v>2.64</v>
      </c>
      <c r="Y135" s="480">
        <f t="shared" si="31"/>
        <v>1362.24</v>
      </c>
      <c r="Z135" s="458"/>
      <c r="AA135" s="458" t="s">
        <v>3464</v>
      </c>
      <c r="AB135" s="458" t="s">
        <v>76</v>
      </c>
      <c r="AC135" s="458"/>
      <c r="AD135" s="458" t="s">
        <v>69</v>
      </c>
      <c r="AE135" s="458"/>
      <c r="AF135" s="458">
        <v>516</v>
      </c>
      <c r="AG135" s="458">
        <f t="shared" si="32"/>
        <v>0</v>
      </c>
      <c r="AH135" s="489"/>
      <c r="AI135" s="458"/>
      <c r="AJ135" s="458"/>
      <c r="AK135" s="458"/>
      <c r="AL135" s="425">
        <f t="shared" si="30"/>
        <v>1032</v>
      </c>
      <c r="AO135" s="495"/>
      <c r="AQ135" s="425">
        <f>I135*2</f>
        <v>1032</v>
      </c>
      <c r="AS135" s="425">
        <f>I135*2</f>
        <v>1032</v>
      </c>
      <c r="AT135" s="495"/>
      <c r="AY135" s="498">
        <f>I135/48</f>
        <v>10.75</v>
      </c>
      <c r="BT135" s="495"/>
      <c r="BV135" s="495"/>
      <c r="CH135" s="425">
        <f>I135</f>
        <v>516</v>
      </c>
      <c r="CI135" s="425">
        <f>I135</f>
        <v>516</v>
      </c>
      <c r="CJ135" s="425">
        <f>I135</f>
        <v>516</v>
      </c>
      <c r="CK135" s="425">
        <f t="shared" si="27"/>
        <v>0</v>
      </c>
      <c r="CL135" s="425">
        <f t="shared" si="28"/>
        <v>0</v>
      </c>
      <c r="CM135" s="425">
        <f t="shared" si="29"/>
        <v>0</v>
      </c>
      <c r="CN135" s="495"/>
      <c r="CO135" s="495"/>
      <c r="CP135" s="495"/>
      <c r="CT135" s="495"/>
      <c r="CU135" s="495"/>
      <c r="CV135" s="495"/>
      <c r="CW135" s="495"/>
      <c r="CX135" s="495"/>
    </row>
    <row r="136" s="425" customFormat="1" ht="31" customHeight="1" spans="1:102">
      <c r="A136" s="455">
        <v>45720</v>
      </c>
      <c r="B136" s="456" t="s">
        <v>489</v>
      </c>
      <c r="C136" s="457" t="s">
        <v>249</v>
      </c>
      <c r="D136" s="425">
        <v>4500158582</v>
      </c>
      <c r="E136" s="457" t="s">
        <v>3468</v>
      </c>
      <c r="F136" s="425" t="s">
        <v>3469</v>
      </c>
      <c r="G136" s="458" t="s">
        <v>3464</v>
      </c>
      <c r="H136" s="458" t="s">
        <v>3237</v>
      </c>
      <c r="I136" s="458">
        <v>2928</v>
      </c>
      <c r="J136" s="458">
        <v>0</v>
      </c>
      <c r="K136" s="458">
        <v>12</v>
      </c>
      <c r="L136" s="462">
        <f t="shared" si="21"/>
        <v>244</v>
      </c>
      <c r="M136" s="463">
        <v>45813</v>
      </c>
      <c r="N136" s="463">
        <v>45810</v>
      </c>
      <c r="O136" s="464"/>
      <c r="P136" s="464" t="s">
        <v>103</v>
      </c>
      <c r="Q136" s="458"/>
      <c r="R136" s="472" t="s">
        <v>411</v>
      </c>
      <c r="S136" s="472" t="s">
        <v>96</v>
      </c>
      <c r="T136" s="472" t="s">
        <v>3465</v>
      </c>
      <c r="U136" s="472"/>
      <c r="V136" s="473" t="s">
        <v>3470</v>
      </c>
      <c r="W136" s="473" t="s">
        <v>414</v>
      </c>
      <c r="X136" s="473">
        <v>2.64</v>
      </c>
      <c r="Y136" s="480">
        <f t="shared" si="31"/>
        <v>7729.92</v>
      </c>
      <c r="Z136" s="458"/>
      <c r="AA136" s="458" t="s">
        <v>3464</v>
      </c>
      <c r="AB136" s="458" t="s">
        <v>76</v>
      </c>
      <c r="AC136" s="458"/>
      <c r="AD136" s="458" t="s">
        <v>69</v>
      </c>
      <c r="AE136" s="458"/>
      <c r="AF136" s="458">
        <v>2928</v>
      </c>
      <c r="AG136" s="458">
        <f t="shared" si="32"/>
        <v>0</v>
      </c>
      <c r="AH136" s="489"/>
      <c r="AI136" s="458" t="s">
        <v>403</v>
      </c>
      <c r="AJ136" s="458"/>
      <c r="AK136" s="458"/>
      <c r="AL136" s="425">
        <f t="shared" si="30"/>
        <v>5856</v>
      </c>
      <c r="AO136" s="495"/>
      <c r="AQ136" s="425">
        <f>I136*2</f>
        <v>5856</v>
      </c>
      <c r="AS136" s="425">
        <f>I136*2</f>
        <v>5856</v>
      </c>
      <c r="AT136" s="495"/>
      <c r="AY136" s="498">
        <f t="shared" ref="AY136:AY141" si="33">I136/24</f>
        <v>122</v>
      </c>
      <c r="BT136" s="495"/>
      <c r="BV136" s="495"/>
      <c r="CH136" s="425">
        <f>I136</f>
        <v>2928</v>
      </c>
      <c r="CI136" s="425">
        <f>I136</f>
        <v>2928</v>
      </c>
      <c r="CJ136" s="425">
        <f>I136</f>
        <v>2928</v>
      </c>
      <c r="CK136" s="425">
        <f t="shared" si="27"/>
        <v>0</v>
      </c>
      <c r="CL136" s="425">
        <f t="shared" si="28"/>
        <v>0</v>
      </c>
      <c r="CM136" s="425">
        <f t="shared" si="29"/>
        <v>0</v>
      </c>
      <c r="CN136" s="495"/>
      <c r="CO136" s="495"/>
      <c r="CP136" s="495"/>
      <c r="CT136" s="495"/>
      <c r="CU136" s="495"/>
      <c r="CV136" s="495"/>
      <c r="CW136" s="495"/>
      <c r="CX136" s="495"/>
    </row>
    <row r="137" s="425" customFormat="1" ht="31" customHeight="1" spans="1:102">
      <c r="A137" s="455">
        <v>45720</v>
      </c>
      <c r="B137" s="456" t="s">
        <v>489</v>
      </c>
      <c r="C137" s="457" t="s">
        <v>139</v>
      </c>
      <c r="D137" s="425">
        <v>4500158582</v>
      </c>
      <c r="E137" s="457" t="s">
        <v>494</v>
      </c>
      <c r="F137" s="425" t="s">
        <v>3471</v>
      </c>
      <c r="G137" s="458" t="s">
        <v>3464</v>
      </c>
      <c r="H137" s="458" t="s">
        <v>3237</v>
      </c>
      <c r="I137" s="458">
        <v>1548</v>
      </c>
      <c r="J137" s="458">
        <v>0</v>
      </c>
      <c r="K137" s="458">
        <v>12</v>
      </c>
      <c r="L137" s="462">
        <f t="shared" si="21"/>
        <v>129</v>
      </c>
      <c r="M137" s="463">
        <v>45813</v>
      </c>
      <c r="N137" s="463">
        <v>45810</v>
      </c>
      <c r="O137" s="464"/>
      <c r="P137" s="464" t="s">
        <v>103</v>
      </c>
      <c r="Q137" s="458"/>
      <c r="R137" s="472" t="s">
        <v>411</v>
      </c>
      <c r="S137" s="472" t="s">
        <v>96</v>
      </c>
      <c r="T137" s="472" t="s">
        <v>3465</v>
      </c>
      <c r="U137" s="472"/>
      <c r="V137" s="473" t="s">
        <v>3470</v>
      </c>
      <c r="W137" s="473" t="s">
        <v>414</v>
      </c>
      <c r="X137" s="473">
        <v>2.64</v>
      </c>
      <c r="Y137" s="480">
        <f t="shared" si="31"/>
        <v>4086.72</v>
      </c>
      <c r="Z137" s="458"/>
      <c r="AA137" s="458" t="s">
        <v>3464</v>
      </c>
      <c r="AB137" s="458" t="s">
        <v>76</v>
      </c>
      <c r="AC137" s="458"/>
      <c r="AD137" s="458" t="s">
        <v>69</v>
      </c>
      <c r="AE137" s="458"/>
      <c r="AF137" s="458">
        <v>1548</v>
      </c>
      <c r="AG137" s="458">
        <f t="shared" si="32"/>
        <v>0</v>
      </c>
      <c r="AH137" s="489"/>
      <c r="AI137" s="458" t="s">
        <v>403</v>
      </c>
      <c r="AJ137" s="458"/>
      <c r="AK137" s="458"/>
      <c r="AL137" s="425">
        <f t="shared" si="30"/>
        <v>3096</v>
      </c>
      <c r="AO137" s="495"/>
      <c r="AQ137" s="425">
        <f>I137*2</f>
        <v>3096</v>
      </c>
      <c r="AS137" s="425">
        <f>I137*2</f>
        <v>3096</v>
      </c>
      <c r="AT137" s="495"/>
      <c r="AY137" s="498">
        <f t="shared" si="33"/>
        <v>64.5</v>
      </c>
      <c r="BT137" s="495"/>
      <c r="BV137" s="495"/>
      <c r="CH137" s="425">
        <f>I137</f>
        <v>1548</v>
      </c>
      <c r="CI137" s="425">
        <f>I137</f>
        <v>1548</v>
      </c>
      <c r="CJ137" s="425">
        <f>I137</f>
        <v>1548</v>
      </c>
      <c r="CK137" s="425">
        <f t="shared" si="27"/>
        <v>0</v>
      </c>
      <c r="CL137" s="425">
        <f t="shared" si="28"/>
        <v>0</v>
      </c>
      <c r="CM137" s="425">
        <f t="shared" si="29"/>
        <v>0</v>
      </c>
      <c r="CN137" s="495"/>
      <c r="CO137" s="495"/>
      <c r="CP137" s="495"/>
      <c r="CT137" s="495"/>
      <c r="CU137" s="495"/>
      <c r="CV137" s="495"/>
      <c r="CW137" s="495"/>
      <c r="CX137" s="495"/>
    </row>
    <row r="138" s="425" customFormat="1" ht="31" customHeight="1" spans="1:102">
      <c r="A138" s="455">
        <v>45720</v>
      </c>
      <c r="B138" s="456" t="s">
        <v>489</v>
      </c>
      <c r="C138" s="457" t="s">
        <v>271</v>
      </c>
      <c r="D138" s="425">
        <v>4500158582</v>
      </c>
      <c r="E138" s="457" t="s">
        <v>496</v>
      </c>
      <c r="F138" s="425" t="s">
        <v>3472</v>
      </c>
      <c r="G138" s="458" t="s">
        <v>3464</v>
      </c>
      <c r="H138" s="458" t="s">
        <v>3237</v>
      </c>
      <c r="I138" s="458">
        <v>780</v>
      </c>
      <c r="J138" s="458">
        <v>0</v>
      </c>
      <c r="K138" s="458">
        <v>12</v>
      </c>
      <c r="L138" s="462">
        <f t="shared" si="21"/>
        <v>65</v>
      </c>
      <c r="M138" s="463">
        <v>45813</v>
      </c>
      <c r="N138" s="463">
        <v>45810</v>
      </c>
      <c r="O138" s="464"/>
      <c r="P138" s="464" t="s">
        <v>103</v>
      </c>
      <c r="Q138" s="458"/>
      <c r="R138" s="472" t="s">
        <v>411</v>
      </c>
      <c r="S138" s="472" t="s">
        <v>96</v>
      </c>
      <c r="T138" s="472" t="s">
        <v>3465</v>
      </c>
      <c r="U138" s="472"/>
      <c r="V138" s="473" t="s">
        <v>3470</v>
      </c>
      <c r="W138" s="473" t="s">
        <v>414</v>
      </c>
      <c r="X138" s="473">
        <v>2.64</v>
      </c>
      <c r="Y138" s="480">
        <f t="shared" si="31"/>
        <v>2059.2</v>
      </c>
      <c r="Z138" s="458"/>
      <c r="AA138" s="458" t="s">
        <v>3464</v>
      </c>
      <c r="AB138" s="458" t="s">
        <v>76</v>
      </c>
      <c r="AC138" s="458"/>
      <c r="AD138" s="458" t="s">
        <v>69</v>
      </c>
      <c r="AE138" s="458"/>
      <c r="AF138" s="458">
        <v>780</v>
      </c>
      <c r="AG138" s="458">
        <f t="shared" si="32"/>
        <v>0</v>
      </c>
      <c r="AH138" s="489"/>
      <c r="AI138" s="458" t="s">
        <v>403</v>
      </c>
      <c r="AJ138" s="458"/>
      <c r="AK138" s="458"/>
      <c r="AL138" s="425">
        <f t="shared" si="30"/>
        <v>1560</v>
      </c>
      <c r="AO138" s="495"/>
      <c r="AQ138" s="425">
        <f>I138*2</f>
        <v>1560</v>
      </c>
      <c r="AS138" s="425">
        <f>I138*2</f>
        <v>1560</v>
      </c>
      <c r="AT138" s="495"/>
      <c r="AY138" s="498">
        <f t="shared" si="33"/>
        <v>32.5</v>
      </c>
      <c r="BT138" s="495"/>
      <c r="BV138" s="495"/>
      <c r="CH138" s="425">
        <f>I138</f>
        <v>780</v>
      </c>
      <c r="CI138" s="425">
        <f>I138</f>
        <v>780</v>
      </c>
      <c r="CJ138" s="425">
        <f>I138</f>
        <v>780</v>
      </c>
      <c r="CK138" s="425">
        <f t="shared" si="27"/>
        <v>0</v>
      </c>
      <c r="CL138" s="425">
        <f t="shared" si="28"/>
        <v>0</v>
      </c>
      <c r="CM138" s="425">
        <f t="shared" si="29"/>
        <v>0</v>
      </c>
      <c r="CN138" s="495"/>
      <c r="CO138" s="495"/>
      <c r="CP138" s="495"/>
      <c r="CT138" s="495"/>
      <c r="CU138" s="495"/>
      <c r="CV138" s="495"/>
      <c r="CW138" s="495"/>
      <c r="CX138" s="495"/>
    </row>
    <row r="139" s="425" customFormat="1" ht="31" customHeight="1" spans="1:102">
      <c r="A139" s="455">
        <v>45771</v>
      </c>
      <c r="B139" s="456" t="s">
        <v>467</v>
      </c>
      <c r="C139" s="457" t="s">
        <v>468</v>
      </c>
      <c r="D139" s="425">
        <v>4500164861</v>
      </c>
      <c r="E139" s="457">
        <v>50212500921</v>
      </c>
      <c r="F139" s="425" t="s">
        <v>3473</v>
      </c>
      <c r="G139" s="458" t="s">
        <v>3161</v>
      </c>
      <c r="H139" s="458" t="s">
        <v>3221</v>
      </c>
      <c r="I139" s="458">
        <v>5500</v>
      </c>
      <c r="J139" s="458">
        <v>0</v>
      </c>
      <c r="K139" s="458">
        <v>50</v>
      </c>
      <c r="L139" s="462">
        <f t="shared" si="21"/>
        <v>110</v>
      </c>
      <c r="M139" s="463">
        <v>45813</v>
      </c>
      <c r="N139" s="463">
        <v>45810</v>
      </c>
      <c r="O139" s="464" t="s">
        <v>3474</v>
      </c>
      <c r="P139" s="464" t="s">
        <v>103</v>
      </c>
      <c r="Q139" s="458" t="s">
        <v>3475</v>
      </c>
      <c r="R139" s="472">
        <v>45777</v>
      </c>
      <c r="S139" s="472" t="s">
        <v>66</v>
      </c>
      <c r="T139" s="472">
        <v>45800</v>
      </c>
      <c r="U139" s="472"/>
      <c r="V139" s="473" t="s">
        <v>3476</v>
      </c>
      <c r="W139" s="473" t="s">
        <v>473</v>
      </c>
      <c r="X139" s="473">
        <v>0.95</v>
      </c>
      <c r="Y139" s="480">
        <f t="shared" si="31"/>
        <v>5225</v>
      </c>
      <c r="Z139" s="458"/>
      <c r="AA139" s="458" t="s">
        <v>3161</v>
      </c>
      <c r="AB139" s="458" t="s">
        <v>76</v>
      </c>
      <c r="AC139" s="458"/>
      <c r="AD139" s="458" t="s">
        <v>69</v>
      </c>
      <c r="AE139" s="458"/>
      <c r="AF139" s="458">
        <v>5500</v>
      </c>
      <c r="AG139" s="458">
        <f t="shared" si="32"/>
        <v>0</v>
      </c>
      <c r="AH139" s="489"/>
      <c r="AI139" s="458"/>
      <c r="AJ139" s="458"/>
      <c r="AK139" s="458"/>
      <c r="AL139" s="426">
        <f>I139</f>
        <v>5500</v>
      </c>
      <c r="AO139" s="495"/>
      <c r="AQ139" s="425">
        <f>I139</f>
        <v>5500</v>
      </c>
      <c r="AS139" s="425">
        <f>I139</f>
        <v>5500</v>
      </c>
      <c r="AT139" s="495"/>
      <c r="AY139" s="498">
        <f t="shared" si="33"/>
        <v>229.166666666667</v>
      </c>
      <c r="BL139" s="425">
        <f>I139/25</f>
        <v>220</v>
      </c>
      <c r="BT139" s="495"/>
      <c r="BV139" s="495"/>
      <c r="CK139" s="425">
        <f t="shared" si="27"/>
        <v>220</v>
      </c>
      <c r="CL139" s="425">
        <f t="shared" si="28"/>
        <v>0</v>
      </c>
      <c r="CM139" s="425">
        <f t="shared" si="29"/>
        <v>0</v>
      </c>
      <c r="CN139" s="495"/>
      <c r="CO139" s="495"/>
      <c r="CP139" s="495"/>
      <c r="CT139" s="495"/>
      <c r="CU139" s="495"/>
      <c r="CV139" s="495"/>
      <c r="CW139" s="495"/>
      <c r="CX139" s="495"/>
    </row>
    <row r="140" s="425" customFormat="1" ht="31" customHeight="1" spans="1:102">
      <c r="A140" s="510">
        <v>45765</v>
      </c>
      <c r="B140" s="456" t="s">
        <v>408</v>
      </c>
      <c r="C140" s="457" t="s">
        <v>249</v>
      </c>
      <c r="D140" s="425">
        <v>4500164250</v>
      </c>
      <c r="E140" s="457" t="s">
        <v>3477</v>
      </c>
      <c r="F140" s="425" t="s">
        <v>3478</v>
      </c>
      <c r="G140" s="458" t="s">
        <v>3464</v>
      </c>
      <c r="H140" s="458" t="s">
        <v>3237</v>
      </c>
      <c r="I140" s="458">
        <v>504</v>
      </c>
      <c r="J140" s="458">
        <v>0</v>
      </c>
      <c r="K140" s="458">
        <v>12</v>
      </c>
      <c r="L140" s="462">
        <f t="shared" si="21"/>
        <v>42</v>
      </c>
      <c r="M140" s="463">
        <v>45814</v>
      </c>
      <c r="N140" s="463">
        <v>45810</v>
      </c>
      <c r="O140" s="464"/>
      <c r="P140" s="464" t="s">
        <v>103</v>
      </c>
      <c r="Q140" s="458"/>
      <c r="R140" s="472" t="s">
        <v>411</v>
      </c>
      <c r="S140" s="472" t="s">
        <v>96</v>
      </c>
      <c r="T140" s="472" t="s">
        <v>3479</v>
      </c>
      <c r="U140" s="472"/>
      <c r="V140" s="473" t="s">
        <v>3480</v>
      </c>
      <c r="W140" s="473" t="s">
        <v>414</v>
      </c>
      <c r="X140" s="473">
        <v>2.64</v>
      </c>
      <c r="Y140" s="480">
        <f t="shared" si="31"/>
        <v>1330.56</v>
      </c>
      <c r="Z140" s="458"/>
      <c r="AA140" s="458" t="s">
        <v>3464</v>
      </c>
      <c r="AB140" s="458" t="s">
        <v>76</v>
      </c>
      <c r="AC140" s="458"/>
      <c r="AD140" s="458" t="s">
        <v>69</v>
      </c>
      <c r="AE140" s="458"/>
      <c r="AF140" s="458">
        <v>504</v>
      </c>
      <c r="AG140" s="458">
        <f t="shared" si="32"/>
        <v>0</v>
      </c>
      <c r="AH140" s="489"/>
      <c r="AI140" s="458" t="s">
        <v>403</v>
      </c>
      <c r="AJ140" s="458"/>
      <c r="AK140" s="458"/>
      <c r="AL140" s="425">
        <f>I140*2</f>
        <v>1008</v>
      </c>
      <c r="AO140" s="495"/>
      <c r="AQ140" s="425">
        <f>I140*2</f>
        <v>1008</v>
      </c>
      <c r="AS140" s="425">
        <f>I140*2</f>
        <v>1008</v>
      </c>
      <c r="AT140" s="495"/>
      <c r="AY140" s="498">
        <f t="shared" si="33"/>
        <v>21</v>
      </c>
      <c r="BT140" s="495"/>
      <c r="BV140" s="495"/>
      <c r="CH140" s="425">
        <f>I140</f>
        <v>504</v>
      </c>
      <c r="CI140" s="425">
        <f>I140</f>
        <v>504</v>
      </c>
      <c r="CJ140" s="425">
        <f>I140</f>
        <v>504</v>
      </c>
      <c r="CK140" s="425">
        <f t="shared" si="27"/>
        <v>0</v>
      </c>
      <c r="CL140" s="425">
        <f t="shared" si="28"/>
        <v>0</v>
      </c>
      <c r="CM140" s="425">
        <f t="shared" si="29"/>
        <v>0</v>
      </c>
      <c r="CN140" s="495"/>
      <c r="CO140" s="495"/>
      <c r="CP140" s="495"/>
      <c r="CT140" s="495"/>
      <c r="CU140" s="495"/>
      <c r="CV140" s="495"/>
      <c r="CW140" s="495"/>
      <c r="CX140" s="495"/>
    </row>
    <row r="141" s="425" customFormat="1" ht="31" customHeight="1" spans="1:102">
      <c r="A141" s="510">
        <v>45765</v>
      </c>
      <c r="B141" s="456" t="s">
        <v>408</v>
      </c>
      <c r="C141" s="457" t="s">
        <v>249</v>
      </c>
      <c r="D141" s="425">
        <v>4500164250</v>
      </c>
      <c r="E141" s="457" t="s">
        <v>3481</v>
      </c>
      <c r="F141" s="425" t="s">
        <v>3482</v>
      </c>
      <c r="G141" s="458" t="s">
        <v>3464</v>
      </c>
      <c r="H141" s="458" t="s">
        <v>3237</v>
      </c>
      <c r="I141" s="458">
        <v>504</v>
      </c>
      <c r="J141" s="458">
        <v>0</v>
      </c>
      <c r="K141" s="458">
        <v>12</v>
      </c>
      <c r="L141" s="462">
        <f t="shared" si="21"/>
        <v>42</v>
      </c>
      <c r="M141" s="463">
        <v>45814</v>
      </c>
      <c r="N141" s="463">
        <v>45810</v>
      </c>
      <c r="O141" s="464"/>
      <c r="P141" s="464" t="s">
        <v>103</v>
      </c>
      <c r="Q141" s="458"/>
      <c r="R141" s="472" t="s">
        <v>411</v>
      </c>
      <c r="S141" s="472" t="s">
        <v>96</v>
      </c>
      <c r="T141" s="472" t="s">
        <v>3479</v>
      </c>
      <c r="U141" s="472"/>
      <c r="V141" s="473" t="s">
        <v>3480</v>
      </c>
      <c r="W141" s="473" t="s">
        <v>414</v>
      </c>
      <c r="X141" s="473">
        <v>2.64</v>
      </c>
      <c r="Y141" s="480">
        <f t="shared" si="31"/>
        <v>1330.56</v>
      </c>
      <c r="Z141" s="458"/>
      <c r="AA141" s="458" t="s">
        <v>3464</v>
      </c>
      <c r="AB141" s="458" t="s">
        <v>76</v>
      </c>
      <c r="AC141" s="458"/>
      <c r="AD141" s="458" t="s">
        <v>69</v>
      </c>
      <c r="AE141" s="458"/>
      <c r="AF141" s="458">
        <v>504</v>
      </c>
      <c r="AG141" s="458">
        <f t="shared" si="32"/>
        <v>0</v>
      </c>
      <c r="AH141" s="489"/>
      <c r="AI141" s="458" t="s">
        <v>403</v>
      </c>
      <c r="AJ141" s="458"/>
      <c r="AK141" s="458"/>
      <c r="AL141" s="425">
        <f>I141*2</f>
        <v>1008</v>
      </c>
      <c r="AO141" s="495"/>
      <c r="AQ141" s="425">
        <f>I141*2</f>
        <v>1008</v>
      </c>
      <c r="AS141" s="425">
        <f>I141*2</f>
        <v>1008</v>
      </c>
      <c r="AT141" s="495"/>
      <c r="AY141" s="498">
        <f t="shared" si="33"/>
        <v>21</v>
      </c>
      <c r="BT141" s="495"/>
      <c r="BV141" s="495"/>
      <c r="CH141" s="425">
        <f>I141</f>
        <v>504</v>
      </c>
      <c r="CI141" s="425">
        <f>I141</f>
        <v>504</v>
      </c>
      <c r="CJ141" s="425">
        <f>I141</f>
        <v>504</v>
      </c>
      <c r="CK141" s="425">
        <f t="shared" si="27"/>
        <v>0</v>
      </c>
      <c r="CL141" s="425">
        <f t="shared" si="28"/>
        <v>0</v>
      </c>
      <c r="CM141" s="425">
        <f t="shared" si="29"/>
        <v>0</v>
      </c>
      <c r="CN141" s="495"/>
      <c r="CO141" s="495"/>
      <c r="CP141" s="495"/>
      <c r="CT141" s="495"/>
      <c r="CU141" s="495"/>
      <c r="CV141" s="495"/>
      <c r="CW141" s="495"/>
      <c r="CX141" s="495"/>
    </row>
    <row r="142" s="425" customFormat="1" ht="31" customHeight="1" spans="1:102">
      <c r="A142" s="455">
        <v>45756</v>
      </c>
      <c r="B142" s="456" t="s">
        <v>2089</v>
      </c>
      <c r="C142" s="457" t="s">
        <v>1234</v>
      </c>
      <c r="D142" s="425">
        <v>4500162966</v>
      </c>
      <c r="E142" s="457" t="s">
        <v>3483</v>
      </c>
      <c r="F142" s="425" t="s">
        <v>3484</v>
      </c>
      <c r="G142" s="458" t="s">
        <v>3378</v>
      </c>
      <c r="H142" s="458" t="s">
        <v>3379</v>
      </c>
      <c r="I142" s="458">
        <v>5000</v>
      </c>
      <c r="J142" s="458">
        <v>0</v>
      </c>
      <c r="K142" s="458">
        <v>50</v>
      </c>
      <c r="L142" s="462">
        <f t="shared" si="21"/>
        <v>100</v>
      </c>
      <c r="M142" s="463">
        <v>45814</v>
      </c>
      <c r="N142" s="463">
        <v>45810</v>
      </c>
      <c r="O142" s="464" t="s">
        <v>3485</v>
      </c>
      <c r="P142" s="464" t="s">
        <v>103</v>
      </c>
      <c r="Q142" s="458"/>
      <c r="R142" s="472">
        <v>45761</v>
      </c>
      <c r="S142" s="472" t="s">
        <v>66</v>
      </c>
      <c r="T142" s="472">
        <v>45794</v>
      </c>
      <c r="U142" s="472"/>
      <c r="V142" s="473" t="s">
        <v>3486</v>
      </c>
      <c r="W142" s="473" t="s">
        <v>853</v>
      </c>
      <c r="X142" s="473">
        <v>1.4</v>
      </c>
      <c r="Y142" s="480">
        <f t="shared" si="31"/>
        <v>7000</v>
      </c>
      <c r="Z142" s="458"/>
      <c r="AA142" s="458" t="s">
        <v>3378</v>
      </c>
      <c r="AB142" s="458" t="s">
        <v>76</v>
      </c>
      <c r="AC142" s="458"/>
      <c r="AD142" s="458" t="s">
        <v>69</v>
      </c>
      <c r="AE142" s="458"/>
      <c r="AF142" s="458">
        <f>50+4950</f>
        <v>5000</v>
      </c>
      <c r="AG142" s="458">
        <f t="shared" si="32"/>
        <v>0</v>
      </c>
      <c r="AH142" s="489"/>
      <c r="AI142" s="458"/>
      <c r="AJ142" s="458"/>
      <c r="AK142" s="458"/>
      <c r="AL142" s="425">
        <f>I142</f>
        <v>5000</v>
      </c>
      <c r="AO142" s="495"/>
      <c r="AT142" s="495"/>
      <c r="AY142" s="498">
        <f>I142/24*2</f>
        <v>416.666666666667</v>
      </c>
      <c r="BQ142" s="425">
        <f>I142</f>
        <v>5000</v>
      </c>
      <c r="BR142" s="425">
        <f>I142</f>
        <v>5000</v>
      </c>
      <c r="BS142" s="425">
        <f>I142/25</f>
        <v>200</v>
      </c>
      <c r="BT142" s="495"/>
      <c r="BV142" s="495"/>
      <c r="CK142" s="425">
        <f t="shared" si="27"/>
        <v>200</v>
      </c>
      <c r="CL142" s="425">
        <f t="shared" si="28"/>
        <v>0</v>
      </c>
      <c r="CM142" s="425">
        <f t="shared" si="29"/>
        <v>0</v>
      </c>
      <c r="CN142" s="495"/>
      <c r="CO142" s="495"/>
      <c r="CP142" s="495"/>
      <c r="CT142" s="495"/>
      <c r="CU142" s="495"/>
      <c r="CV142" s="495"/>
      <c r="CW142" s="495"/>
      <c r="CX142" s="495"/>
    </row>
    <row r="143" s="425" customFormat="1" ht="31" customHeight="1" spans="1:102">
      <c r="A143" s="455">
        <v>45775</v>
      </c>
      <c r="B143" s="456" t="s">
        <v>415</v>
      </c>
      <c r="C143" s="457" t="s">
        <v>416</v>
      </c>
      <c r="D143" s="425">
        <v>4500164557</v>
      </c>
      <c r="E143" s="457">
        <v>47996</v>
      </c>
      <c r="F143" s="425" t="s">
        <v>3487</v>
      </c>
      <c r="G143" s="458" t="s">
        <v>3143</v>
      </c>
      <c r="H143" s="458" t="s">
        <v>3144</v>
      </c>
      <c r="I143" s="458">
        <v>504</v>
      </c>
      <c r="J143" s="458">
        <v>0</v>
      </c>
      <c r="K143" s="458">
        <v>24</v>
      </c>
      <c r="L143" s="462">
        <f t="shared" si="21"/>
        <v>21</v>
      </c>
      <c r="M143" s="463">
        <v>45814</v>
      </c>
      <c r="N143" s="463">
        <v>45810</v>
      </c>
      <c r="O143" s="464"/>
      <c r="P143" s="464" t="s">
        <v>103</v>
      </c>
      <c r="Q143" s="458"/>
      <c r="R143" s="472">
        <v>45775</v>
      </c>
      <c r="S143" s="472" t="s">
        <v>66</v>
      </c>
      <c r="T143" s="472" t="s">
        <v>3488</v>
      </c>
      <c r="U143" s="472"/>
      <c r="V143" s="508" t="s">
        <v>3489</v>
      </c>
      <c r="W143" s="473" t="s">
        <v>420</v>
      </c>
      <c r="X143" s="473">
        <v>0.87</v>
      </c>
      <c r="Y143" s="480">
        <f t="shared" si="31"/>
        <v>438.48</v>
      </c>
      <c r="Z143" s="458"/>
      <c r="AA143" s="458" t="s">
        <v>3143</v>
      </c>
      <c r="AB143" s="458" t="s">
        <v>76</v>
      </c>
      <c r="AC143" s="458"/>
      <c r="AD143" s="458" t="s">
        <v>69</v>
      </c>
      <c r="AE143" s="458"/>
      <c r="AF143" s="458">
        <v>504</v>
      </c>
      <c r="AG143" s="458">
        <f t="shared" si="32"/>
        <v>0</v>
      </c>
      <c r="AH143" s="489"/>
      <c r="AI143" s="458"/>
      <c r="AJ143" s="458"/>
      <c r="AK143" s="458"/>
      <c r="AL143" s="426">
        <f>I143</f>
        <v>504</v>
      </c>
      <c r="AO143" s="495"/>
      <c r="AQ143" s="425">
        <f>I143</f>
        <v>504</v>
      </c>
      <c r="AS143" s="425">
        <f>I143</f>
        <v>504</v>
      </c>
      <c r="AT143" s="495"/>
      <c r="AY143" s="498">
        <f>I143/24</f>
        <v>21</v>
      </c>
      <c r="BT143" s="495"/>
      <c r="BV143" s="495"/>
      <c r="CK143" s="425">
        <f t="shared" si="27"/>
        <v>0</v>
      </c>
      <c r="CL143" s="425">
        <f t="shared" si="28"/>
        <v>0</v>
      </c>
      <c r="CM143" s="425">
        <f t="shared" si="29"/>
        <v>0</v>
      </c>
      <c r="CN143" s="495"/>
      <c r="CO143" s="495"/>
      <c r="CP143" s="495"/>
      <c r="CT143" s="495"/>
      <c r="CU143" s="495"/>
      <c r="CV143" s="495"/>
      <c r="CW143" s="495"/>
      <c r="CX143" s="495"/>
    </row>
    <row r="144" s="425" customFormat="1" ht="31" customHeight="1" spans="1:102">
      <c r="A144" s="455">
        <v>45772</v>
      </c>
      <c r="B144" s="456" t="s">
        <v>587</v>
      </c>
      <c r="C144" s="457" t="s">
        <v>588</v>
      </c>
      <c r="D144" s="425">
        <v>4500164995</v>
      </c>
      <c r="E144" s="457" t="s">
        <v>589</v>
      </c>
      <c r="F144" s="425" t="s">
        <v>3490</v>
      </c>
      <c r="G144" s="458" t="s">
        <v>3161</v>
      </c>
      <c r="H144" s="458" t="s">
        <v>3221</v>
      </c>
      <c r="I144" s="458">
        <v>1000</v>
      </c>
      <c r="J144" s="458">
        <v>0</v>
      </c>
      <c r="K144" s="458">
        <v>50</v>
      </c>
      <c r="L144" s="462">
        <f t="shared" si="21"/>
        <v>20</v>
      </c>
      <c r="M144" s="463">
        <v>45817</v>
      </c>
      <c r="N144" s="463">
        <v>45813</v>
      </c>
      <c r="O144" s="464"/>
      <c r="P144" s="464" t="s">
        <v>103</v>
      </c>
      <c r="Q144" s="458"/>
      <c r="R144" s="472">
        <v>45783</v>
      </c>
      <c r="S144" s="472" t="s">
        <v>66</v>
      </c>
      <c r="T144" s="472" t="s">
        <v>66</v>
      </c>
      <c r="U144" s="472"/>
      <c r="V144" s="473" t="s">
        <v>3491</v>
      </c>
      <c r="W144" s="473" t="s">
        <v>593</v>
      </c>
      <c r="X144" s="473">
        <v>0.95</v>
      </c>
      <c r="Y144" s="480">
        <f t="shared" si="31"/>
        <v>950</v>
      </c>
      <c r="Z144" s="458"/>
      <c r="AA144" s="458" t="s">
        <v>3161</v>
      </c>
      <c r="AB144" s="458" t="s">
        <v>76</v>
      </c>
      <c r="AC144" s="458"/>
      <c r="AD144" s="458" t="s">
        <v>69</v>
      </c>
      <c r="AE144" s="458"/>
      <c r="AF144" s="458">
        <v>1000</v>
      </c>
      <c r="AG144" s="458">
        <f t="shared" si="32"/>
        <v>0</v>
      </c>
      <c r="AH144" s="489"/>
      <c r="AI144" s="458" t="s">
        <v>403</v>
      </c>
      <c r="AJ144" s="458"/>
      <c r="AK144" s="458"/>
      <c r="AL144" s="426">
        <f>I144</f>
        <v>1000</v>
      </c>
      <c r="AO144" s="495"/>
      <c r="AQ144" s="425">
        <f>I144</f>
        <v>1000</v>
      </c>
      <c r="AS144" s="425">
        <f>I144</f>
        <v>1000</v>
      </c>
      <c r="AT144" s="495"/>
      <c r="AY144" s="498">
        <f>I144/24</f>
        <v>41.6666666666667</v>
      </c>
      <c r="BL144" s="425">
        <f>I144/25</f>
        <v>40</v>
      </c>
      <c r="BT144" s="495"/>
      <c r="BV144" s="495"/>
      <c r="CK144" s="425">
        <f t="shared" si="27"/>
        <v>40</v>
      </c>
      <c r="CL144" s="425">
        <f t="shared" si="28"/>
        <v>0</v>
      </c>
      <c r="CM144" s="425">
        <f t="shared" si="29"/>
        <v>0</v>
      </c>
      <c r="CN144" s="495"/>
      <c r="CO144" s="495"/>
      <c r="CP144" s="495"/>
      <c r="CT144" s="495"/>
      <c r="CU144" s="495"/>
      <c r="CV144" s="495"/>
      <c r="CW144" s="495"/>
      <c r="CX144" s="495"/>
    </row>
    <row r="145" s="425" customFormat="1" ht="31" customHeight="1" spans="1:102">
      <c r="A145" s="455">
        <v>45775</v>
      </c>
      <c r="B145" s="456" t="s">
        <v>579</v>
      </c>
      <c r="C145" s="457" t="s">
        <v>377</v>
      </c>
      <c r="D145" s="425">
        <v>4500160445</v>
      </c>
      <c r="E145" s="457">
        <v>300565966</v>
      </c>
      <c r="F145" s="425" t="s">
        <v>580</v>
      </c>
      <c r="G145" s="458" t="s">
        <v>3165</v>
      </c>
      <c r="H145" s="458" t="s">
        <v>3303</v>
      </c>
      <c r="I145" s="458">
        <v>725</v>
      </c>
      <c r="J145" s="458">
        <v>0</v>
      </c>
      <c r="K145" s="458">
        <v>25</v>
      </c>
      <c r="L145" s="462">
        <f t="shared" si="21"/>
        <v>29</v>
      </c>
      <c r="M145" s="463">
        <v>45817</v>
      </c>
      <c r="N145" s="463">
        <v>45813</v>
      </c>
      <c r="O145" s="464"/>
      <c r="P145" s="464" t="s">
        <v>103</v>
      </c>
      <c r="Q145" s="458"/>
      <c r="R145" s="472">
        <v>45775</v>
      </c>
      <c r="S145" s="472" t="s">
        <v>66</v>
      </c>
      <c r="T145" s="472">
        <v>45790</v>
      </c>
      <c r="U145" s="472"/>
      <c r="V145" s="473" t="s">
        <v>3492</v>
      </c>
      <c r="W145" s="473" t="s">
        <v>381</v>
      </c>
      <c r="X145" s="473">
        <v>0.95</v>
      </c>
      <c r="Y145" s="480">
        <f t="shared" si="31"/>
        <v>688.75</v>
      </c>
      <c r="Z145" s="458"/>
      <c r="AA145" s="458" t="s">
        <v>3165</v>
      </c>
      <c r="AB145" s="458" t="s">
        <v>76</v>
      </c>
      <c r="AC145" s="458"/>
      <c r="AD145" s="458" t="s">
        <v>69</v>
      </c>
      <c r="AE145" s="458"/>
      <c r="AF145" s="458">
        <v>725</v>
      </c>
      <c r="AG145" s="458">
        <f t="shared" si="32"/>
        <v>0</v>
      </c>
      <c r="AH145" s="489"/>
      <c r="AI145" s="458"/>
      <c r="AJ145" s="458"/>
      <c r="AK145" s="458"/>
      <c r="AL145" s="426">
        <f>I145</f>
        <v>725</v>
      </c>
      <c r="AO145" s="495"/>
      <c r="AQ145" s="425">
        <f>I145</f>
        <v>725</v>
      </c>
      <c r="AS145" s="425">
        <f>I145</f>
        <v>725</v>
      </c>
      <c r="AT145" s="495"/>
      <c r="AY145" s="498">
        <f>I145/24</f>
        <v>30.2083333333333</v>
      </c>
      <c r="BL145" s="425">
        <f>I145/25</f>
        <v>29</v>
      </c>
      <c r="BT145" s="495"/>
      <c r="BV145" s="495"/>
      <c r="CK145" s="425">
        <f t="shared" si="27"/>
        <v>29</v>
      </c>
      <c r="CL145" s="425">
        <f t="shared" si="28"/>
        <v>0</v>
      </c>
      <c r="CM145" s="425">
        <f t="shared" si="29"/>
        <v>0</v>
      </c>
      <c r="CN145" s="495"/>
      <c r="CO145" s="495"/>
      <c r="CP145" s="495"/>
      <c r="CT145" s="495"/>
      <c r="CU145" s="495"/>
      <c r="CV145" s="495"/>
      <c r="CW145" s="495"/>
      <c r="CX145" s="495"/>
    </row>
    <row r="146" s="425" customFormat="1" ht="31" customHeight="1" spans="1:102">
      <c r="A146" s="455">
        <v>45774</v>
      </c>
      <c r="B146" s="456" t="s">
        <v>527</v>
      </c>
      <c r="C146" s="457" t="s">
        <v>90</v>
      </c>
      <c r="D146" s="425">
        <v>4500165209</v>
      </c>
      <c r="E146" s="457" t="s">
        <v>528</v>
      </c>
      <c r="F146" s="425" t="s">
        <v>3493</v>
      </c>
      <c r="G146" s="458" t="s">
        <v>3154</v>
      </c>
      <c r="H146" s="458" t="s">
        <v>3151</v>
      </c>
      <c r="I146" s="458">
        <v>750</v>
      </c>
      <c r="J146" s="458">
        <v>0</v>
      </c>
      <c r="K146" s="458">
        <v>50</v>
      </c>
      <c r="L146" s="462">
        <f t="shared" si="21"/>
        <v>15</v>
      </c>
      <c r="M146" s="463">
        <v>45817</v>
      </c>
      <c r="N146" s="463">
        <v>45813</v>
      </c>
      <c r="O146" s="464"/>
      <c r="P146" s="464" t="s">
        <v>103</v>
      </c>
      <c r="Q146" s="458"/>
      <c r="R146" s="472">
        <v>45784</v>
      </c>
      <c r="S146" s="472" t="s">
        <v>66</v>
      </c>
      <c r="T146" s="472" t="s">
        <v>66</v>
      </c>
      <c r="U146" s="472"/>
      <c r="V146" s="473" t="s">
        <v>530</v>
      </c>
      <c r="W146" s="473" t="s">
        <v>342</v>
      </c>
      <c r="X146" s="473">
        <v>0.57</v>
      </c>
      <c r="Y146" s="480">
        <f t="shared" si="31"/>
        <v>427.5</v>
      </c>
      <c r="Z146" s="458"/>
      <c r="AA146" s="458" t="s">
        <v>3154</v>
      </c>
      <c r="AB146" s="458" t="s">
        <v>76</v>
      </c>
      <c r="AC146" s="458"/>
      <c r="AD146" s="458" t="s">
        <v>69</v>
      </c>
      <c r="AE146" s="458"/>
      <c r="AF146" s="458">
        <v>750</v>
      </c>
      <c r="AG146" s="458">
        <f t="shared" si="32"/>
        <v>0</v>
      </c>
      <c r="AH146" s="489"/>
      <c r="AI146" s="458"/>
      <c r="AJ146" s="458"/>
      <c r="AK146" s="458">
        <f>I146</f>
        <v>750</v>
      </c>
      <c r="AM146" s="425">
        <f>I146</f>
        <v>750</v>
      </c>
      <c r="AO146" s="495"/>
      <c r="AR146" s="425">
        <f>I146</f>
        <v>750</v>
      </c>
      <c r="AT146" s="495"/>
      <c r="AY146" s="498">
        <f>I146/48</f>
        <v>15.625</v>
      </c>
      <c r="BJ146" s="425">
        <f>I146/25</f>
        <v>30</v>
      </c>
      <c r="BT146" s="495"/>
      <c r="BV146" s="495"/>
      <c r="CK146" s="425">
        <f t="shared" si="27"/>
        <v>30</v>
      </c>
      <c r="CL146" s="425">
        <f t="shared" si="28"/>
        <v>0</v>
      </c>
      <c r="CM146" s="425">
        <f t="shared" si="29"/>
        <v>0</v>
      </c>
      <c r="CN146" s="495"/>
      <c r="CO146" s="495"/>
      <c r="CP146" s="495"/>
      <c r="CT146" s="495"/>
      <c r="CU146" s="495"/>
      <c r="CV146" s="495"/>
      <c r="CW146" s="495"/>
      <c r="CX146" s="495"/>
    </row>
    <row r="147" s="425" customFormat="1" ht="31" customHeight="1" spans="1:102">
      <c r="A147" s="455">
        <v>45774</v>
      </c>
      <c r="B147" s="456" t="s">
        <v>527</v>
      </c>
      <c r="C147" s="457" t="s">
        <v>90</v>
      </c>
      <c r="D147" s="425">
        <v>4500165209</v>
      </c>
      <c r="E147" s="457" t="s">
        <v>531</v>
      </c>
      <c r="F147" s="425" t="s">
        <v>3494</v>
      </c>
      <c r="G147" s="458" t="s">
        <v>3154</v>
      </c>
      <c r="H147" s="458" t="s">
        <v>3151</v>
      </c>
      <c r="I147" s="458">
        <v>1000</v>
      </c>
      <c r="J147" s="458">
        <v>0</v>
      </c>
      <c r="K147" s="458">
        <v>50</v>
      </c>
      <c r="L147" s="462">
        <f t="shared" si="21"/>
        <v>20</v>
      </c>
      <c r="M147" s="463">
        <v>45817</v>
      </c>
      <c r="N147" s="463">
        <v>45813</v>
      </c>
      <c r="O147" s="464"/>
      <c r="P147" s="464" t="s">
        <v>103</v>
      </c>
      <c r="Q147" s="458"/>
      <c r="R147" s="472">
        <v>45784</v>
      </c>
      <c r="S147" s="472" t="s">
        <v>66</v>
      </c>
      <c r="T147" s="472" t="s">
        <v>66</v>
      </c>
      <c r="U147" s="472"/>
      <c r="V147" s="473" t="s">
        <v>530</v>
      </c>
      <c r="W147" s="473" t="s">
        <v>342</v>
      </c>
      <c r="X147" s="473">
        <v>0.57</v>
      </c>
      <c r="Y147" s="480">
        <f t="shared" si="31"/>
        <v>570</v>
      </c>
      <c r="Z147" s="458"/>
      <c r="AA147" s="458" t="s">
        <v>3154</v>
      </c>
      <c r="AB147" s="458" t="s">
        <v>76</v>
      </c>
      <c r="AC147" s="458"/>
      <c r="AD147" s="458" t="s">
        <v>69</v>
      </c>
      <c r="AE147" s="458"/>
      <c r="AF147" s="458">
        <v>1000</v>
      </c>
      <c r="AG147" s="458">
        <f t="shared" si="32"/>
        <v>0</v>
      </c>
      <c r="AH147" s="489"/>
      <c r="AI147" s="458"/>
      <c r="AJ147" s="458"/>
      <c r="AK147" s="458">
        <f>I147</f>
        <v>1000</v>
      </c>
      <c r="AM147" s="425">
        <f>I147</f>
        <v>1000</v>
      </c>
      <c r="AO147" s="495"/>
      <c r="AR147" s="425">
        <f>I147</f>
        <v>1000</v>
      </c>
      <c r="AT147" s="495"/>
      <c r="AY147" s="498">
        <f>I147/48</f>
        <v>20.8333333333333</v>
      </c>
      <c r="BJ147" s="425">
        <f>I147/25</f>
        <v>40</v>
      </c>
      <c r="BT147" s="495"/>
      <c r="BV147" s="495"/>
      <c r="CK147" s="425">
        <f t="shared" si="27"/>
        <v>40</v>
      </c>
      <c r="CL147" s="425">
        <f t="shared" si="28"/>
        <v>0</v>
      </c>
      <c r="CM147" s="425">
        <f t="shared" si="29"/>
        <v>0</v>
      </c>
      <c r="CN147" s="495"/>
      <c r="CO147" s="495"/>
      <c r="CP147" s="495"/>
      <c r="CT147" s="495"/>
      <c r="CU147" s="495"/>
      <c r="CV147" s="495"/>
      <c r="CW147" s="495"/>
      <c r="CX147" s="495"/>
    </row>
    <row r="148" s="425" customFormat="1" ht="31" customHeight="1" spans="1:102">
      <c r="A148" s="455">
        <v>45774</v>
      </c>
      <c r="B148" s="456" t="s">
        <v>527</v>
      </c>
      <c r="C148" s="457" t="s">
        <v>90</v>
      </c>
      <c r="D148" s="425">
        <v>4500165209</v>
      </c>
      <c r="E148" s="457" t="s">
        <v>533</v>
      </c>
      <c r="F148" s="425" t="s">
        <v>3495</v>
      </c>
      <c r="G148" s="458" t="s">
        <v>3154</v>
      </c>
      <c r="H148" s="458" t="s">
        <v>3151</v>
      </c>
      <c r="I148" s="458">
        <v>550</v>
      </c>
      <c r="J148" s="458">
        <v>0</v>
      </c>
      <c r="K148" s="458">
        <v>50</v>
      </c>
      <c r="L148" s="462">
        <f t="shared" si="21"/>
        <v>11</v>
      </c>
      <c r="M148" s="463">
        <v>45817</v>
      </c>
      <c r="N148" s="463">
        <v>45813</v>
      </c>
      <c r="O148" s="464"/>
      <c r="P148" s="464" t="s">
        <v>103</v>
      </c>
      <c r="Q148" s="458"/>
      <c r="R148" s="472">
        <v>45784</v>
      </c>
      <c r="S148" s="472" t="s">
        <v>66</v>
      </c>
      <c r="T148" s="472" t="s">
        <v>66</v>
      </c>
      <c r="U148" s="472"/>
      <c r="V148" s="473" t="s">
        <v>530</v>
      </c>
      <c r="W148" s="473" t="s">
        <v>342</v>
      </c>
      <c r="X148" s="473">
        <v>0.57</v>
      </c>
      <c r="Y148" s="480">
        <f t="shared" si="31"/>
        <v>313.5</v>
      </c>
      <c r="Z148" s="458"/>
      <c r="AA148" s="458" t="s">
        <v>3154</v>
      </c>
      <c r="AB148" s="458" t="s">
        <v>76</v>
      </c>
      <c r="AC148" s="458"/>
      <c r="AD148" s="458" t="s">
        <v>69</v>
      </c>
      <c r="AE148" s="458"/>
      <c r="AF148" s="458">
        <v>550</v>
      </c>
      <c r="AG148" s="458">
        <f t="shared" si="32"/>
        <v>0</v>
      </c>
      <c r="AH148" s="489"/>
      <c r="AI148" s="458"/>
      <c r="AJ148" s="458"/>
      <c r="AK148" s="458">
        <f>I148</f>
        <v>550</v>
      </c>
      <c r="AM148" s="425">
        <f>I148</f>
        <v>550</v>
      </c>
      <c r="AO148" s="495"/>
      <c r="AR148" s="425">
        <f>I148</f>
        <v>550</v>
      </c>
      <c r="AT148" s="495"/>
      <c r="AY148" s="498">
        <f>I148/48</f>
        <v>11.4583333333333</v>
      </c>
      <c r="BJ148" s="425">
        <f>I148/25</f>
        <v>22</v>
      </c>
      <c r="BT148" s="495"/>
      <c r="BV148" s="495"/>
      <c r="CK148" s="425">
        <f t="shared" si="27"/>
        <v>22</v>
      </c>
      <c r="CL148" s="425">
        <f t="shared" si="28"/>
        <v>0</v>
      </c>
      <c r="CM148" s="425">
        <f t="shared" si="29"/>
        <v>0</v>
      </c>
      <c r="CN148" s="495"/>
      <c r="CO148" s="495"/>
      <c r="CP148" s="495"/>
      <c r="CT148" s="495"/>
      <c r="CU148" s="495"/>
      <c r="CV148" s="495"/>
      <c r="CW148" s="495"/>
      <c r="CX148" s="495"/>
    </row>
    <row r="149" s="425" customFormat="1" ht="31" customHeight="1" spans="1:102">
      <c r="A149" s="455">
        <v>45775</v>
      </c>
      <c r="B149" s="456" t="s">
        <v>122</v>
      </c>
      <c r="C149" s="457" t="s">
        <v>116</v>
      </c>
      <c r="D149" s="425">
        <v>4500165215</v>
      </c>
      <c r="E149" s="457">
        <v>20797149</v>
      </c>
      <c r="F149" s="425" t="s">
        <v>3496</v>
      </c>
      <c r="G149" s="458" t="s">
        <v>3206</v>
      </c>
      <c r="H149" s="458" t="s">
        <v>3207</v>
      </c>
      <c r="I149" s="458">
        <v>2483</v>
      </c>
      <c r="J149" s="458">
        <v>0</v>
      </c>
      <c r="K149" s="458">
        <v>13</v>
      </c>
      <c r="L149" s="462">
        <f t="shared" si="21"/>
        <v>191</v>
      </c>
      <c r="M149" s="463">
        <v>45817</v>
      </c>
      <c r="N149" s="463">
        <v>45813</v>
      </c>
      <c r="O149" s="464"/>
      <c r="P149" s="464" t="s">
        <v>103</v>
      </c>
      <c r="Q149" s="458"/>
      <c r="R149" s="472">
        <v>45785</v>
      </c>
      <c r="S149" s="472" t="s">
        <v>96</v>
      </c>
      <c r="T149" s="472">
        <v>45797</v>
      </c>
      <c r="U149" s="472"/>
      <c r="V149" s="473" t="s">
        <v>3390</v>
      </c>
      <c r="W149" s="473" t="s">
        <v>121</v>
      </c>
      <c r="X149" s="473">
        <v>0.95</v>
      </c>
      <c r="Y149" s="480">
        <f t="shared" si="31"/>
        <v>2358.85</v>
      </c>
      <c r="Z149" s="458"/>
      <c r="AA149" s="458" t="s">
        <v>3206</v>
      </c>
      <c r="AB149" s="458" t="s">
        <v>76</v>
      </c>
      <c r="AC149" s="458"/>
      <c r="AD149" s="458" t="s">
        <v>69</v>
      </c>
      <c r="AE149" s="458"/>
      <c r="AF149" s="458">
        <v>2483</v>
      </c>
      <c r="AG149" s="458">
        <f t="shared" si="32"/>
        <v>0</v>
      </c>
      <c r="AH149" s="489"/>
      <c r="AI149" s="458"/>
      <c r="AJ149" s="458"/>
      <c r="AK149" s="458"/>
      <c r="AL149" s="426">
        <f>I149</f>
        <v>2483</v>
      </c>
      <c r="AO149" s="495"/>
      <c r="AQ149" s="425">
        <f>I149</f>
        <v>2483</v>
      </c>
      <c r="AS149" s="425">
        <f>I149</f>
        <v>2483</v>
      </c>
      <c r="AT149" s="495"/>
      <c r="AY149" s="498">
        <f>I149/24</f>
        <v>103.458333333333</v>
      </c>
      <c r="BI149" s="425">
        <f>I149/13</f>
        <v>191</v>
      </c>
      <c r="BT149" s="495"/>
      <c r="BV149" s="495"/>
      <c r="CK149" s="425">
        <f t="shared" si="27"/>
        <v>0</v>
      </c>
      <c r="CL149" s="425">
        <f t="shared" si="28"/>
        <v>0</v>
      </c>
      <c r="CM149" s="425">
        <f t="shared" si="29"/>
        <v>0</v>
      </c>
      <c r="CN149" s="495"/>
      <c r="CO149" s="495"/>
      <c r="CP149" s="495"/>
      <c r="CT149" s="495"/>
      <c r="CU149" s="495"/>
      <c r="CV149" s="495"/>
      <c r="CW149" s="495"/>
      <c r="CX149" s="495"/>
    </row>
    <row r="150" s="425" customFormat="1" ht="31" customHeight="1" spans="1:102">
      <c r="A150" s="455">
        <v>45772</v>
      </c>
      <c r="B150" s="456" t="s">
        <v>539</v>
      </c>
      <c r="C150" s="457" t="s">
        <v>356</v>
      </c>
      <c r="D150" s="425">
        <v>4500164735</v>
      </c>
      <c r="E150" s="457"/>
      <c r="F150" s="425" t="s">
        <v>540</v>
      </c>
      <c r="G150" s="458" t="s">
        <v>3436</v>
      </c>
      <c r="H150" s="458" t="s">
        <v>424</v>
      </c>
      <c r="I150" s="458">
        <v>1002</v>
      </c>
      <c r="J150" s="458">
        <v>0</v>
      </c>
      <c r="K150" s="458">
        <v>6</v>
      </c>
      <c r="L150" s="462">
        <f t="shared" si="21"/>
        <v>167</v>
      </c>
      <c r="M150" s="463">
        <v>45813</v>
      </c>
      <c r="N150" s="463">
        <v>45810</v>
      </c>
      <c r="O150" s="464"/>
      <c r="P150" s="464" t="s">
        <v>103</v>
      </c>
      <c r="Q150" s="458"/>
      <c r="R150" s="472">
        <v>45772</v>
      </c>
      <c r="S150" s="472" t="s">
        <v>66</v>
      </c>
      <c r="T150" s="472" t="s">
        <v>3497</v>
      </c>
      <c r="U150" s="472"/>
      <c r="V150" s="473" t="s">
        <v>542</v>
      </c>
      <c r="W150" s="473" t="s">
        <v>395</v>
      </c>
      <c r="X150" s="473">
        <v>8.1</v>
      </c>
      <c r="Y150" s="480">
        <f t="shared" si="31"/>
        <v>8116.2</v>
      </c>
      <c r="Z150" s="458"/>
      <c r="AA150" s="458" t="s">
        <v>427</v>
      </c>
      <c r="AB150" s="458" t="s">
        <v>76</v>
      </c>
      <c r="AC150" s="458"/>
      <c r="AD150" s="458" t="s">
        <v>69</v>
      </c>
      <c r="AE150" s="458"/>
      <c r="AF150" s="458">
        <v>1002</v>
      </c>
      <c r="AG150" s="458">
        <f t="shared" si="32"/>
        <v>0</v>
      </c>
      <c r="AH150" s="489"/>
      <c r="AI150" s="458"/>
      <c r="AJ150" s="458"/>
      <c r="AK150" s="458"/>
      <c r="AL150" s="425">
        <f>I150*2</f>
        <v>2004</v>
      </c>
      <c r="AO150" s="495"/>
      <c r="AQ150" s="425">
        <f>I150*2</f>
        <v>2004</v>
      </c>
      <c r="AS150" s="425">
        <f>I150*2</f>
        <v>2004</v>
      </c>
      <c r="AT150" s="495"/>
      <c r="AY150" s="498">
        <f>I150/24*2</f>
        <v>83.5</v>
      </c>
      <c r="BT150" s="495"/>
      <c r="BU150" s="425">
        <f>I150</f>
        <v>1002</v>
      </c>
      <c r="BV150" s="495"/>
      <c r="CK150" s="425">
        <f t="shared" si="27"/>
        <v>0</v>
      </c>
      <c r="CL150" s="425">
        <f t="shared" si="28"/>
        <v>0</v>
      </c>
      <c r="CM150" s="425">
        <f t="shared" si="29"/>
        <v>0</v>
      </c>
      <c r="CN150" s="495"/>
      <c r="CO150" s="495"/>
      <c r="CP150" s="495"/>
      <c r="CT150" s="495"/>
      <c r="CU150" s="495"/>
      <c r="CV150" s="495"/>
      <c r="CW150" s="495"/>
      <c r="CX150" s="495"/>
    </row>
    <row r="151" s="425" customFormat="1" ht="31" customHeight="1" spans="1:102">
      <c r="A151" s="455">
        <v>45794</v>
      </c>
      <c r="B151" s="456"/>
      <c r="C151" s="457"/>
      <c r="D151" s="425" t="s">
        <v>3498</v>
      </c>
      <c r="E151" s="457"/>
      <c r="G151" s="458" t="s">
        <v>3138</v>
      </c>
      <c r="H151" s="458" t="s">
        <v>3139</v>
      </c>
      <c r="I151" s="458">
        <v>1008</v>
      </c>
      <c r="J151" s="458">
        <v>0</v>
      </c>
      <c r="K151" s="458">
        <v>24</v>
      </c>
      <c r="L151" s="462">
        <f t="shared" si="21"/>
        <v>42</v>
      </c>
      <c r="M151" s="463">
        <v>45806</v>
      </c>
      <c r="N151" s="463">
        <v>45803</v>
      </c>
      <c r="O151" s="464"/>
      <c r="P151" s="464" t="s">
        <v>103</v>
      </c>
      <c r="Q151" s="458"/>
      <c r="R151" s="472">
        <v>45794</v>
      </c>
      <c r="S151" s="472" t="s">
        <v>66</v>
      </c>
      <c r="T151" s="472" t="s">
        <v>66</v>
      </c>
      <c r="U151" s="472"/>
      <c r="V151" s="473" t="s">
        <v>3499</v>
      </c>
      <c r="W151" s="473" t="s">
        <v>79</v>
      </c>
      <c r="X151" s="473"/>
      <c r="Y151" s="480"/>
      <c r="Z151" s="458" t="s">
        <v>3500</v>
      </c>
      <c r="AA151" s="458" t="s">
        <v>3169</v>
      </c>
      <c r="AB151" s="458" t="s">
        <v>76</v>
      </c>
      <c r="AC151" s="458"/>
      <c r="AD151" s="458" t="s">
        <v>69</v>
      </c>
      <c r="AE151" s="458"/>
      <c r="AF151" s="458">
        <v>1008</v>
      </c>
      <c r="AG151" s="458">
        <v>0</v>
      </c>
      <c r="AH151" s="489"/>
      <c r="AI151" s="458"/>
      <c r="AJ151" s="458"/>
      <c r="AK151" s="458">
        <f>I151</f>
        <v>1008</v>
      </c>
      <c r="AM151" s="425">
        <f>I151</f>
        <v>1008</v>
      </c>
      <c r="AO151" s="495"/>
      <c r="AR151" s="425">
        <f>I151</f>
        <v>1008</v>
      </c>
      <c r="AT151" s="495"/>
      <c r="AY151" s="498">
        <f>I151/48</f>
        <v>21</v>
      </c>
      <c r="BT151" s="495"/>
      <c r="BV151" s="495"/>
      <c r="CK151" s="425">
        <f t="shared" si="27"/>
        <v>0</v>
      </c>
      <c r="CL151" s="425">
        <f t="shared" si="28"/>
        <v>0</v>
      </c>
      <c r="CM151" s="425">
        <f t="shared" si="29"/>
        <v>0</v>
      </c>
      <c r="CN151" s="495"/>
      <c r="CO151" s="495"/>
      <c r="CP151" s="495"/>
      <c r="CT151" s="495"/>
      <c r="CU151" s="495"/>
      <c r="CV151" s="495"/>
      <c r="CW151" s="495"/>
      <c r="CX151" s="495"/>
    </row>
    <row r="152" s="425" customFormat="1" ht="31" customHeight="1" spans="1:102">
      <c r="A152" s="455">
        <v>45794</v>
      </c>
      <c r="B152" s="456"/>
      <c r="C152" s="457"/>
      <c r="D152" s="425" t="s">
        <v>3498</v>
      </c>
      <c r="E152" s="457"/>
      <c r="G152" s="458" t="s">
        <v>3143</v>
      </c>
      <c r="H152" s="458" t="s">
        <v>3144</v>
      </c>
      <c r="I152" s="458">
        <v>1008</v>
      </c>
      <c r="J152" s="458">
        <v>0</v>
      </c>
      <c r="K152" s="458">
        <v>24</v>
      </c>
      <c r="L152" s="462">
        <f t="shared" si="21"/>
        <v>42</v>
      </c>
      <c r="M152" s="463">
        <v>45806</v>
      </c>
      <c r="N152" s="463">
        <v>45803</v>
      </c>
      <c r="O152" s="464"/>
      <c r="P152" s="464" t="s">
        <v>103</v>
      </c>
      <c r="Q152" s="458"/>
      <c r="R152" s="472">
        <v>45794</v>
      </c>
      <c r="S152" s="472" t="s">
        <v>66</v>
      </c>
      <c r="T152" s="472" t="s">
        <v>66</v>
      </c>
      <c r="U152" s="472"/>
      <c r="V152" s="473" t="s">
        <v>3499</v>
      </c>
      <c r="W152" s="473" t="s">
        <v>79</v>
      </c>
      <c r="X152" s="473"/>
      <c r="Y152" s="480"/>
      <c r="Z152" s="458" t="s">
        <v>3500</v>
      </c>
      <c r="AA152" s="458" t="s">
        <v>3143</v>
      </c>
      <c r="AB152" s="458" t="s">
        <v>76</v>
      </c>
      <c r="AC152" s="458"/>
      <c r="AD152" s="458" t="s">
        <v>69</v>
      </c>
      <c r="AE152" s="458"/>
      <c r="AF152" s="458">
        <v>1008</v>
      </c>
      <c r="AG152" s="458">
        <v>0</v>
      </c>
      <c r="AH152" s="489"/>
      <c r="AI152" s="458"/>
      <c r="AJ152" s="458"/>
      <c r="AK152" s="458"/>
      <c r="AL152" s="426">
        <f>I152</f>
        <v>1008</v>
      </c>
      <c r="AO152" s="495"/>
      <c r="AQ152" s="425">
        <f>I152</f>
        <v>1008</v>
      </c>
      <c r="AS152" s="425">
        <f>I152</f>
        <v>1008</v>
      </c>
      <c r="AT152" s="495"/>
      <c r="AY152" s="498">
        <f>I152/24</f>
        <v>42</v>
      </c>
      <c r="BT152" s="495"/>
      <c r="BV152" s="495"/>
      <c r="CK152" s="425">
        <f t="shared" si="27"/>
        <v>0</v>
      </c>
      <c r="CL152" s="425">
        <f t="shared" si="28"/>
        <v>0</v>
      </c>
      <c r="CM152" s="425">
        <f t="shared" si="29"/>
        <v>0</v>
      </c>
      <c r="CN152" s="495"/>
      <c r="CO152" s="495"/>
      <c r="CP152" s="495"/>
      <c r="CT152" s="495"/>
      <c r="CU152" s="495"/>
      <c r="CV152" s="495"/>
      <c r="CW152" s="495"/>
      <c r="CX152" s="495"/>
    </row>
    <row r="153" s="425" customFormat="1" ht="31" customHeight="1" spans="1:102">
      <c r="A153" s="455">
        <v>45757</v>
      </c>
      <c r="B153" s="456" t="s">
        <v>2813</v>
      </c>
      <c r="C153" s="457" t="s">
        <v>468</v>
      </c>
      <c r="D153" s="425">
        <v>4500162850</v>
      </c>
      <c r="E153" s="457">
        <v>6000056637</v>
      </c>
      <c r="F153" s="425" t="s">
        <v>3501</v>
      </c>
      <c r="G153" s="458" t="s">
        <v>3161</v>
      </c>
      <c r="H153" s="458" t="s">
        <v>3221</v>
      </c>
      <c r="I153" s="458">
        <v>800</v>
      </c>
      <c r="J153" s="458">
        <v>0</v>
      </c>
      <c r="K153" s="458">
        <v>50</v>
      </c>
      <c r="L153" s="462">
        <f t="shared" si="21"/>
        <v>16</v>
      </c>
      <c r="M153" s="463">
        <v>45807</v>
      </c>
      <c r="N153" s="463">
        <v>45817</v>
      </c>
      <c r="O153" s="464" t="s">
        <v>3502</v>
      </c>
      <c r="P153" s="464" t="s">
        <v>103</v>
      </c>
      <c r="Q153" s="458"/>
      <c r="R153" s="472" t="s">
        <v>3503</v>
      </c>
      <c r="S153" s="472" t="s">
        <v>66</v>
      </c>
      <c r="T153" s="472" t="s">
        <v>3504</v>
      </c>
      <c r="U153" s="472"/>
      <c r="V153" s="473" t="s">
        <v>3505</v>
      </c>
      <c r="W153" s="473" t="s">
        <v>304</v>
      </c>
      <c r="X153" s="473">
        <v>0.95</v>
      </c>
      <c r="Y153" s="480">
        <f>X153*I153</f>
        <v>760</v>
      </c>
      <c r="Z153" s="458"/>
      <c r="AA153" s="458" t="s">
        <v>3161</v>
      </c>
      <c r="AB153" s="458" t="s">
        <v>76</v>
      </c>
      <c r="AC153" s="458"/>
      <c r="AD153" s="458" t="s">
        <v>69</v>
      </c>
      <c r="AE153" s="458"/>
      <c r="AF153" s="458">
        <v>800</v>
      </c>
      <c r="AG153" s="458">
        <f t="shared" ref="AG153:AG173" si="34">AF153-I153</f>
        <v>0</v>
      </c>
      <c r="AH153" s="489"/>
      <c r="AI153" s="458" t="s">
        <v>403</v>
      </c>
      <c r="AJ153" s="458"/>
      <c r="AK153" s="458"/>
      <c r="AL153" s="426">
        <f>I153</f>
        <v>800</v>
      </c>
      <c r="AO153" s="495"/>
      <c r="AQ153" s="425">
        <f>I153</f>
        <v>800</v>
      </c>
      <c r="AS153" s="425">
        <f>I153</f>
        <v>800</v>
      </c>
      <c r="AT153" s="495"/>
      <c r="AY153" s="498">
        <f>I153/24</f>
        <v>33.3333333333333</v>
      </c>
      <c r="BL153" s="425">
        <f>I153/25</f>
        <v>32</v>
      </c>
      <c r="BT153" s="495"/>
      <c r="BV153" s="495"/>
      <c r="CK153" s="425">
        <f t="shared" si="27"/>
        <v>32</v>
      </c>
      <c r="CL153" s="425">
        <f t="shared" si="28"/>
        <v>0</v>
      </c>
      <c r="CM153" s="425">
        <f t="shared" si="29"/>
        <v>0</v>
      </c>
      <c r="CN153" s="495"/>
      <c r="CO153" s="495"/>
      <c r="CP153" s="495"/>
      <c r="CT153" s="495"/>
      <c r="CU153" s="495"/>
      <c r="CV153" s="495"/>
      <c r="CW153" s="495"/>
      <c r="CX153" s="495"/>
    </row>
    <row r="154" s="425" customFormat="1" ht="31" customHeight="1" spans="1:102">
      <c r="A154" s="455">
        <v>45765</v>
      </c>
      <c r="B154" s="456" t="s">
        <v>392</v>
      </c>
      <c r="C154" s="457" t="s">
        <v>366</v>
      </c>
      <c r="D154" s="425">
        <v>4500163950</v>
      </c>
      <c r="E154" s="457"/>
      <c r="F154" s="425" t="s">
        <v>474</v>
      </c>
      <c r="G154" s="458" t="s">
        <v>3506</v>
      </c>
      <c r="H154" s="458" t="s">
        <v>455</v>
      </c>
      <c r="I154" s="458">
        <v>7200</v>
      </c>
      <c r="J154" s="458">
        <v>0</v>
      </c>
      <c r="K154" s="458">
        <v>90</v>
      </c>
      <c r="L154" s="462">
        <f t="shared" si="21"/>
        <v>80</v>
      </c>
      <c r="M154" s="463">
        <v>45810</v>
      </c>
      <c r="N154" s="463">
        <v>45806</v>
      </c>
      <c r="O154" s="464"/>
      <c r="P154" s="464" t="s">
        <v>103</v>
      </c>
      <c r="Q154" s="458"/>
      <c r="R154" s="472">
        <v>45777</v>
      </c>
      <c r="S154" s="472" t="s">
        <v>66</v>
      </c>
      <c r="T154" s="472">
        <v>45789</v>
      </c>
      <c r="U154" s="472"/>
      <c r="V154" s="508" t="s">
        <v>3507</v>
      </c>
      <c r="W154" s="473" t="s">
        <v>395</v>
      </c>
      <c r="X154" s="473">
        <v>172.3098</v>
      </c>
      <c r="Y154" s="480">
        <f>X154*L154</f>
        <v>13784.784</v>
      </c>
      <c r="Z154" s="509" t="s">
        <v>396</v>
      </c>
      <c r="AA154" s="482" t="s">
        <v>3506</v>
      </c>
      <c r="AB154" s="458" t="s">
        <v>76</v>
      </c>
      <c r="AC154" s="458"/>
      <c r="AD154" s="458" t="s">
        <v>69</v>
      </c>
      <c r="AE154" s="458"/>
      <c r="AF154" s="458">
        <v>7200</v>
      </c>
      <c r="AG154" s="458">
        <f t="shared" si="34"/>
        <v>0</v>
      </c>
      <c r="AH154" s="489"/>
      <c r="AI154" s="458"/>
      <c r="AJ154" s="458"/>
      <c r="AK154" s="458"/>
      <c r="AL154" s="426">
        <f>I154</f>
        <v>7200</v>
      </c>
      <c r="AO154" s="495"/>
      <c r="AQ154" s="425">
        <f>I154</f>
        <v>7200</v>
      </c>
      <c r="AS154" s="425">
        <f>I154</f>
        <v>7200</v>
      </c>
      <c r="AT154" s="495"/>
      <c r="AY154" s="498">
        <f>I154/24</f>
        <v>300</v>
      </c>
      <c r="BT154" s="495"/>
      <c r="BV154" s="495"/>
      <c r="BZ154" s="425">
        <f>L154</f>
        <v>80</v>
      </c>
      <c r="CK154" s="425">
        <f t="shared" si="27"/>
        <v>0</v>
      </c>
      <c r="CL154" s="425">
        <f t="shared" si="28"/>
        <v>0</v>
      </c>
      <c r="CM154" s="425">
        <f t="shared" si="29"/>
        <v>80</v>
      </c>
      <c r="CN154" s="495"/>
      <c r="CO154" s="495"/>
      <c r="CP154" s="495"/>
      <c r="CT154" s="495"/>
      <c r="CU154" s="495"/>
      <c r="CV154" s="495"/>
      <c r="CW154" s="495"/>
      <c r="CX154" s="495"/>
    </row>
    <row r="155" s="425" customFormat="1" ht="31" customHeight="1" spans="1:102">
      <c r="A155" s="455">
        <v>45763</v>
      </c>
      <c r="B155" s="456" t="s">
        <v>498</v>
      </c>
      <c r="C155" s="457" t="s">
        <v>306</v>
      </c>
      <c r="D155" s="425">
        <v>4500162780</v>
      </c>
      <c r="E155" s="457">
        <v>4504192367</v>
      </c>
      <c r="F155" s="425" t="s">
        <v>499</v>
      </c>
      <c r="G155" s="458" t="s">
        <v>3508</v>
      </c>
      <c r="H155" s="458" t="s">
        <v>455</v>
      </c>
      <c r="I155" s="458">
        <v>2520</v>
      </c>
      <c r="J155" s="458">
        <v>0</v>
      </c>
      <c r="K155" s="458">
        <v>90</v>
      </c>
      <c r="L155" s="462">
        <f t="shared" si="21"/>
        <v>28</v>
      </c>
      <c r="M155" s="463">
        <v>45813</v>
      </c>
      <c r="N155" s="463">
        <v>45810</v>
      </c>
      <c r="O155" s="464" t="s">
        <v>3509</v>
      </c>
      <c r="P155" s="464" t="s">
        <v>103</v>
      </c>
      <c r="Q155" s="458"/>
      <c r="R155" s="472">
        <v>45763</v>
      </c>
      <c r="S155" s="472" t="s">
        <v>66</v>
      </c>
      <c r="T155" s="472" t="s">
        <v>66</v>
      </c>
      <c r="U155" s="472" t="s">
        <v>3509</v>
      </c>
      <c r="V155" s="508" t="s">
        <v>3510</v>
      </c>
      <c r="W155" s="473" t="s">
        <v>498</v>
      </c>
      <c r="X155" s="473">
        <v>175.3</v>
      </c>
      <c r="Y155" s="480">
        <f>X155*L155</f>
        <v>4908.4</v>
      </c>
      <c r="Z155" s="458"/>
      <c r="AA155" s="458" t="s">
        <v>3508</v>
      </c>
      <c r="AB155" s="458" t="s">
        <v>76</v>
      </c>
      <c r="AC155" s="458"/>
      <c r="AD155" s="458" t="s">
        <v>69</v>
      </c>
      <c r="AE155" s="458"/>
      <c r="AF155" s="458">
        <v>2520</v>
      </c>
      <c r="AG155" s="458">
        <f t="shared" si="34"/>
        <v>0</v>
      </c>
      <c r="AH155" s="489"/>
      <c r="AI155" s="458"/>
      <c r="AJ155" s="458"/>
      <c r="AK155" s="458"/>
      <c r="AL155" s="426">
        <f>I155</f>
        <v>2520</v>
      </c>
      <c r="AO155" s="495"/>
      <c r="AT155" s="495"/>
      <c r="AV155" s="425">
        <f>I155</f>
        <v>2520</v>
      </c>
      <c r="AW155" s="425">
        <f>I155</f>
        <v>2520</v>
      </c>
      <c r="AY155" s="498">
        <f t="shared" ref="AY153:AY165" si="35">I155/24</f>
        <v>105</v>
      </c>
      <c r="BT155" s="495"/>
      <c r="BV155" s="495"/>
      <c r="BY155" s="425">
        <f>L155</f>
        <v>28</v>
      </c>
      <c r="CK155" s="425">
        <f t="shared" si="27"/>
        <v>0</v>
      </c>
      <c r="CL155" s="425">
        <f t="shared" si="28"/>
        <v>0</v>
      </c>
      <c r="CM155" s="425">
        <f t="shared" si="29"/>
        <v>28</v>
      </c>
      <c r="CN155" s="495"/>
      <c r="CO155" s="495"/>
      <c r="CP155" s="495"/>
      <c r="CT155" s="495"/>
      <c r="CU155" s="495"/>
      <c r="CV155" s="495"/>
      <c r="CW155" s="495"/>
      <c r="CX155" s="495"/>
    </row>
    <row r="156" s="425" customFormat="1" ht="31" customHeight="1" spans="1:102">
      <c r="A156" s="455">
        <v>45775</v>
      </c>
      <c r="B156" s="456" t="s">
        <v>504</v>
      </c>
      <c r="C156" s="457" t="s">
        <v>416</v>
      </c>
      <c r="D156" s="425">
        <v>4500164946</v>
      </c>
      <c r="E156" s="457" t="s">
        <v>505</v>
      </c>
      <c r="F156" s="425" t="s">
        <v>3511</v>
      </c>
      <c r="G156" s="458" t="s">
        <v>3464</v>
      </c>
      <c r="H156" s="458" t="s">
        <v>3237</v>
      </c>
      <c r="I156" s="458">
        <v>1248</v>
      </c>
      <c r="J156" s="458">
        <v>0</v>
      </c>
      <c r="K156" s="458">
        <v>12</v>
      </c>
      <c r="L156" s="462">
        <f t="shared" si="21"/>
        <v>104</v>
      </c>
      <c r="M156" s="463">
        <v>45813</v>
      </c>
      <c r="N156" s="463">
        <v>45810</v>
      </c>
      <c r="O156" s="464"/>
      <c r="P156" s="464" t="s">
        <v>103</v>
      </c>
      <c r="Q156" s="458"/>
      <c r="R156" s="472">
        <v>45777</v>
      </c>
      <c r="S156" s="472" t="s">
        <v>66</v>
      </c>
      <c r="T156" s="472" t="s">
        <v>3512</v>
      </c>
      <c r="U156" s="472"/>
      <c r="V156" s="473" t="s">
        <v>3513</v>
      </c>
      <c r="W156" s="473" t="s">
        <v>414</v>
      </c>
      <c r="X156" s="473">
        <v>2.64</v>
      </c>
      <c r="Y156" s="480">
        <f>X156*I156</f>
        <v>3294.72</v>
      </c>
      <c r="Z156" s="458"/>
      <c r="AA156" s="458" t="s">
        <v>3464</v>
      </c>
      <c r="AB156" s="458" t="s">
        <v>76</v>
      </c>
      <c r="AC156" s="458"/>
      <c r="AD156" s="458" t="s">
        <v>69</v>
      </c>
      <c r="AE156" s="458"/>
      <c r="AF156" s="458">
        <v>1248</v>
      </c>
      <c r="AG156" s="458">
        <f t="shared" si="34"/>
        <v>0</v>
      </c>
      <c r="AH156" s="489"/>
      <c r="AI156" s="458"/>
      <c r="AJ156" s="458"/>
      <c r="AK156" s="458"/>
      <c r="AL156" s="425">
        <f>I156*2</f>
        <v>2496</v>
      </c>
      <c r="AO156" s="495"/>
      <c r="AQ156" s="425">
        <f>I156*2</f>
        <v>2496</v>
      </c>
      <c r="AS156" s="425">
        <f>I156*2</f>
        <v>2496</v>
      </c>
      <c r="AT156" s="495"/>
      <c r="AY156" s="498">
        <f t="shared" si="35"/>
        <v>52</v>
      </c>
      <c r="BT156" s="495"/>
      <c r="BV156" s="495"/>
      <c r="CH156" s="425">
        <f>I156</f>
        <v>1248</v>
      </c>
      <c r="CI156" s="425">
        <f>I156</f>
        <v>1248</v>
      </c>
      <c r="CJ156" s="425">
        <f>I156</f>
        <v>1248</v>
      </c>
      <c r="CK156" s="425">
        <f t="shared" si="27"/>
        <v>0</v>
      </c>
      <c r="CL156" s="425">
        <f t="shared" si="28"/>
        <v>0</v>
      </c>
      <c r="CM156" s="425">
        <f t="shared" si="29"/>
        <v>0</v>
      </c>
      <c r="CN156" s="495"/>
      <c r="CO156" s="495"/>
      <c r="CP156" s="495"/>
      <c r="CT156" s="495"/>
      <c r="CU156" s="495"/>
      <c r="CV156" s="495"/>
      <c r="CW156" s="495"/>
      <c r="CX156" s="495"/>
    </row>
    <row r="157" s="425" customFormat="1" ht="31" customHeight="1" spans="1:102">
      <c r="A157" s="455">
        <v>45763</v>
      </c>
      <c r="B157" s="456" t="s">
        <v>453</v>
      </c>
      <c r="C157" s="457" t="s">
        <v>366</v>
      </c>
      <c r="D157" s="425">
        <v>4500163782</v>
      </c>
      <c r="E157" s="457"/>
      <c r="F157" s="425" t="s">
        <v>454</v>
      </c>
      <c r="G157" s="458" t="s">
        <v>3506</v>
      </c>
      <c r="H157" s="458" t="s">
        <v>455</v>
      </c>
      <c r="I157" s="458">
        <v>2700</v>
      </c>
      <c r="J157" s="458">
        <v>0</v>
      </c>
      <c r="K157" s="458">
        <v>90</v>
      </c>
      <c r="L157" s="462">
        <f t="shared" ref="L157:L220" si="36">I157/K157</f>
        <v>30</v>
      </c>
      <c r="M157" s="463">
        <v>45814</v>
      </c>
      <c r="N157" s="463">
        <v>45810</v>
      </c>
      <c r="O157" s="464"/>
      <c r="P157" s="464" t="s">
        <v>103</v>
      </c>
      <c r="Q157" s="458"/>
      <c r="R157" s="472">
        <v>45786</v>
      </c>
      <c r="S157" s="472" t="s">
        <v>66</v>
      </c>
      <c r="T157" s="472">
        <v>45777</v>
      </c>
      <c r="U157" s="472"/>
      <c r="V157" s="473" t="s">
        <v>3514</v>
      </c>
      <c r="W157" s="473" t="s">
        <v>458</v>
      </c>
      <c r="X157" s="473">
        <v>171.3</v>
      </c>
      <c r="Y157" s="480">
        <f>X157*L157</f>
        <v>5139</v>
      </c>
      <c r="Z157" s="458"/>
      <c r="AA157" s="482" t="s">
        <v>3506</v>
      </c>
      <c r="AB157" s="458" t="s">
        <v>76</v>
      </c>
      <c r="AC157" s="458"/>
      <c r="AD157" s="458" t="s">
        <v>69</v>
      </c>
      <c r="AE157" s="458"/>
      <c r="AF157" s="458">
        <v>2700</v>
      </c>
      <c r="AG157" s="458">
        <f t="shared" si="34"/>
        <v>0</v>
      </c>
      <c r="AH157" s="489"/>
      <c r="AI157" s="458"/>
      <c r="AJ157" s="458"/>
      <c r="AK157" s="458"/>
      <c r="AL157" s="426">
        <f>I157</f>
        <v>2700</v>
      </c>
      <c r="AO157" s="495"/>
      <c r="AQ157" s="425">
        <f>I157</f>
        <v>2700</v>
      </c>
      <c r="AS157" s="425">
        <f>I157</f>
        <v>2700</v>
      </c>
      <c r="AT157" s="495"/>
      <c r="AY157" s="498">
        <f t="shared" si="35"/>
        <v>112.5</v>
      </c>
      <c r="BT157" s="495"/>
      <c r="BV157" s="495"/>
      <c r="BZ157" s="425">
        <f>L157</f>
        <v>30</v>
      </c>
      <c r="CK157" s="425">
        <f t="shared" si="27"/>
        <v>0</v>
      </c>
      <c r="CL157" s="425">
        <f t="shared" si="28"/>
        <v>0</v>
      </c>
      <c r="CM157" s="425">
        <f t="shared" si="29"/>
        <v>30</v>
      </c>
      <c r="CN157" s="495"/>
      <c r="CO157" s="495"/>
      <c r="CP157" s="495"/>
      <c r="CT157" s="495"/>
      <c r="CU157" s="495"/>
      <c r="CV157" s="495"/>
      <c r="CW157" s="495"/>
      <c r="CX157" s="495"/>
    </row>
    <row r="158" s="425" customFormat="1" ht="31" customHeight="1" spans="1:102">
      <c r="A158" s="455">
        <v>45730</v>
      </c>
      <c r="B158" s="456" t="s">
        <v>3515</v>
      </c>
      <c r="C158" s="457" t="s">
        <v>90</v>
      </c>
      <c r="D158" s="425">
        <v>4500160244</v>
      </c>
      <c r="E158" s="457" t="s">
        <v>3516</v>
      </c>
      <c r="F158" s="425" t="s">
        <v>3517</v>
      </c>
      <c r="G158" s="458" t="s">
        <v>3518</v>
      </c>
      <c r="H158" s="458" t="s">
        <v>3519</v>
      </c>
      <c r="I158" s="458">
        <v>20016</v>
      </c>
      <c r="J158" s="458">
        <v>0</v>
      </c>
      <c r="K158" s="458">
        <v>48</v>
      </c>
      <c r="L158" s="462">
        <f t="shared" si="36"/>
        <v>417</v>
      </c>
      <c r="M158" s="463">
        <v>45817</v>
      </c>
      <c r="N158" s="463">
        <v>45813</v>
      </c>
      <c r="O158" s="464" t="s">
        <v>3520</v>
      </c>
      <c r="P158" s="464" t="s">
        <v>103</v>
      </c>
      <c r="Q158" s="458"/>
      <c r="R158" s="472">
        <v>45730</v>
      </c>
      <c r="S158" s="472" t="s">
        <v>66</v>
      </c>
      <c r="T158" s="472" t="s">
        <v>66</v>
      </c>
      <c r="U158" s="472" t="s">
        <v>3521</v>
      </c>
      <c r="V158" s="473" t="s">
        <v>3522</v>
      </c>
      <c r="W158" s="473" t="s">
        <v>1590</v>
      </c>
      <c r="X158" s="473">
        <v>0.9708</v>
      </c>
      <c r="Y158" s="480">
        <f t="shared" ref="Y158:Y163" si="37">I158*X158</f>
        <v>19431.5328</v>
      </c>
      <c r="Z158" s="458"/>
      <c r="AA158" s="458" t="s">
        <v>3518</v>
      </c>
      <c r="AB158" s="458" t="s">
        <v>76</v>
      </c>
      <c r="AC158" s="458"/>
      <c r="AD158" s="458" t="s">
        <v>69</v>
      </c>
      <c r="AE158" s="458"/>
      <c r="AF158" s="458">
        <v>20016</v>
      </c>
      <c r="AG158" s="458">
        <f t="shared" si="34"/>
        <v>0</v>
      </c>
      <c r="AH158" s="489"/>
      <c r="AI158" s="458"/>
      <c r="AJ158" s="458"/>
      <c r="AK158" s="458">
        <f t="shared" ref="AK158:AK163" si="38">I158</f>
        <v>20016</v>
      </c>
      <c r="AO158" s="495"/>
      <c r="AR158" s="425">
        <f t="shared" ref="AR158:AR163" si="39">I158</f>
        <v>20016</v>
      </c>
      <c r="AT158" s="495"/>
      <c r="AY158" s="498">
        <f t="shared" si="35"/>
        <v>834</v>
      </c>
      <c r="AZ158" s="425">
        <f t="shared" ref="AZ158:AZ163" si="40">I158</f>
        <v>20016</v>
      </c>
      <c r="BO158" s="425">
        <f t="shared" ref="BO158:BO163" si="41">I158/8</f>
        <v>2502</v>
      </c>
      <c r="BT158" s="495"/>
      <c r="BV158" s="495"/>
      <c r="CK158" s="425">
        <f t="shared" si="27"/>
        <v>0</v>
      </c>
      <c r="CL158" s="425">
        <f t="shared" si="28"/>
        <v>0</v>
      </c>
      <c r="CM158" s="425">
        <f t="shared" si="29"/>
        <v>0</v>
      </c>
      <c r="CN158" s="495"/>
      <c r="CO158" s="495"/>
      <c r="CP158" s="495"/>
      <c r="CT158" s="495"/>
      <c r="CU158" s="495"/>
      <c r="CV158" s="495"/>
      <c r="CW158" s="495"/>
      <c r="CX158" s="495"/>
    </row>
    <row r="159" s="425" customFormat="1" ht="31" customHeight="1" spans="1:102">
      <c r="A159" s="455">
        <v>45730</v>
      </c>
      <c r="B159" s="456" t="s">
        <v>3515</v>
      </c>
      <c r="C159" s="457" t="s">
        <v>90</v>
      </c>
      <c r="D159" s="425">
        <v>4500160253</v>
      </c>
      <c r="E159" s="457"/>
      <c r="F159" s="425" t="s">
        <v>3523</v>
      </c>
      <c r="G159" s="458" t="s">
        <v>3518</v>
      </c>
      <c r="H159" s="458" t="s">
        <v>3519</v>
      </c>
      <c r="I159" s="458">
        <v>35040</v>
      </c>
      <c r="J159" s="458">
        <v>0</v>
      </c>
      <c r="K159" s="458">
        <v>48</v>
      </c>
      <c r="L159" s="462">
        <f t="shared" si="36"/>
        <v>730</v>
      </c>
      <c r="M159" s="463">
        <v>45817</v>
      </c>
      <c r="N159" s="463">
        <v>45813</v>
      </c>
      <c r="O159" s="464" t="s">
        <v>3524</v>
      </c>
      <c r="P159" s="464" t="s">
        <v>103</v>
      </c>
      <c r="Q159" s="458"/>
      <c r="R159" s="472">
        <v>45730</v>
      </c>
      <c r="S159" s="472" t="s">
        <v>66</v>
      </c>
      <c r="T159" s="472" t="s">
        <v>66</v>
      </c>
      <c r="U159" s="472" t="s">
        <v>3521</v>
      </c>
      <c r="V159" s="473" t="s">
        <v>3525</v>
      </c>
      <c r="W159" s="473" t="s">
        <v>1590</v>
      </c>
      <c r="X159" s="473">
        <v>0.97</v>
      </c>
      <c r="Y159" s="480">
        <f t="shared" si="37"/>
        <v>33988.8</v>
      </c>
      <c r="Z159" s="458"/>
      <c r="AA159" s="458" t="s">
        <v>3518</v>
      </c>
      <c r="AB159" s="458" t="s">
        <v>76</v>
      </c>
      <c r="AC159" s="458"/>
      <c r="AD159" s="458" t="s">
        <v>69</v>
      </c>
      <c r="AE159" s="458"/>
      <c r="AF159" s="458">
        <f>3840+31200</f>
        <v>35040</v>
      </c>
      <c r="AG159" s="458">
        <f t="shared" si="34"/>
        <v>0</v>
      </c>
      <c r="AH159" s="489"/>
      <c r="AI159" s="458"/>
      <c r="AJ159" s="458"/>
      <c r="AK159" s="458">
        <f t="shared" si="38"/>
        <v>35040</v>
      </c>
      <c r="AO159" s="495"/>
      <c r="AR159" s="425">
        <f t="shared" si="39"/>
        <v>35040</v>
      </c>
      <c r="AT159" s="495"/>
      <c r="AY159" s="498">
        <f t="shared" si="35"/>
        <v>1460</v>
      </c>
      <c r="AZ159" s="425">
        <f t="shared" si="40"/>
        <v>35040</v>
      </c>
      <c r="BO159" s="425">
        <f t="shared" si="41"/>
        <v>4380</v>
      </c>
      <c r="BT159" s="495"/>
      <c r="BV159" s="495"/>
      <c r="CK159" s="425">
        <f t="shared" si="27"/>
        <v>0</v>
      </c>
      <c r="CL159" s="425">
        <f t="shared" si="28"/>
        <v>0</v>
      </c>
      <c r="CM159" s="425">
        <f t="shared" si="29"/>
        <v>0</v>
      </c>
      <c r="CN159" s="495"/>
      <c r="CO159" s="495"/>
      <c r="CP159" s="495"/>
      <c r="CT159" s="495"/>
      <c r="CU159" s="495"/>
      <c r="CV159" s="495"/>
      <c r="CW159" s="495"/>
      <c r="CX159" s="495"/>
    </row>
    <row r="160" s="425" customFormat="1" ht="31" customHeight="1" spans="1:102">
      <c r="A160" s="455">
        <v>45754</v>
      </c>
      <c r="B160" s="456" t="s">
        <v>3526</v>
      </c>
      <c r="C160" s="457" t="s">
        <v>90</v>
      </c>
      <c r="D160" s="425">
        <v>4500162695</v>
      </c>
      <c r="E160" s="457" t="s">
        <v>3527</v>
      </c>
      <c r="F160" s="425" t="s">
        <v>3528</v>
      </c>
      <c r="G160" s="458" t="s">
        <v>3518</v>
      </c>
      <c r="H160" s="458" t="s">
        <v>3519</v>
      </c>
      <c r="I160" s="458">
        <v>15024</v>
      </c>
      <c r="J160" s="458">
        <v>0</v>
      </c>
      <c r="K160" s="458">
        <v>48</v>
      </c>
      <c r="L160" s="462">
        <f t="shared" si="36"/>
        <v>313</v>
      </c>
      <c r="M160" s="463">
        <v>45817</v>
      </c>
      <c r="N160" s="463">
        <v>45813</v>
      </c>
      <c r="O160" s="464" t="s">
        <v>3524</v>
      </c>
      <c r="P160" s="464" t="s">
        <v>103</v>
      </c>
      <c r="Q160" s="458"/>
      <c r="R160" s="472" t="s">
        <v>3529</v>
      </c>
      <c r="S160" s="472" t="s">
        <v>66</v>
      </c>
      <c r="T160" s="472" t="s">
        <v>66</v>
      </c>
      <c r="U160" s="472" t="s">
        <v>3530</v>
      </c>
      <c r="V160" s="473" t="s">
        <v>3531</v>
      </c>
      <c r="W160" s="473" t="s">
        <v>1590</v>
      </c>
      <c r="X160" s="473">
        <v>0.97</v>
      </c>
      <c r="Y160" s="480">
        <f t="shared" si="37"/>
        <v>14573.28</v>
      </c>
      <c r="Z160" s="458"/>
      <c r="AA160" s="458" t="s">
        <v>3518</v>
      </c>
      <c r="AB160" s="458" t="s">
        <v>76</v>
      </c>
      <c r="AC160" s="458"/>
      <c r="AD160" s="458" t="s">
        <v>69</v>
      </c>
      <c r="AE160" s="458"/>
      <c r="AF160" s="458">
        <f>19200</f>
        <v>19200</v>
      </c>
      <c r="AG160" s="458">
        <f t="shared" si="34"/>
        <v>4176</v>
      </c>
      <c r="AH160" s="489"/>
      <c r="AI160" s="458"/>
      <c r="AJ160" s="458"/>
      <c r="AK160" s="458">
        <f t="shared" si="38"/>
        <v>15024</v>
      </c>
      <c r="AO160" s="495"/>
      <c r="AR160" s="425">
        <f t="shared" si="39"/>
        <v>15024</v>
      </c>
      <c r="AT160" s="495"/>
      <c r="AY160" s="498">
        <f t="shared" si="35"/>
        <v>626</v>
      </c>
      <c r="AZ160" s="425">
        <f t="shared" si="40"/>
        <v>15024</v>
      </c>
      <c r="BO160" s="425">
        <f t="shared" si="41"/>
        <v>1878</v>
      </c>
      <c r="BT160" s="495"/>
      <c r="BV160" s="495"/>
      <c r="CK160" s="425">
        <f t="shared" si="27"/>
        <v>0</v>
      </c>
      <c r="CL160" s="425">
        <f t="shared" si="28"/>
        <v>0</v>
      </c>
      <c r="CM160" s="425">
        <f t="shared" si="29"/>
        <v>0</v>
      </c>
      <c r="CN160" s="495"/>
      <c r="CO160" s="495"/>
      <c r="CP160" s="495"/>
      <c r="CT160" s="495"/>
      <c r="CU160" s="495"/>
      <c r="CV160" s="495"/>
      <c r="CW160" s="495"/>
      <c r="CX160" s="495"/>
    </row>
    <row r="161" s="425" customFormat="1" ht="31" customHeight="1" spans="1:102">
      <c r="A161" s="455">
        <v>45754</v>
      </c>
      <c r="B161" s="456" t="s">
        <v>3526</v>
      </c>
      <c r="C161" s="457" t="s">
        <v>90</v>
      </c>
      <c r="D161" s="425">
        <v>4500162695</v>
      </c>
      <c r="E161" s="457" t="s">
        <v>3532</v>
      </c>
      <c r="F161" s="425" t="s">
        <v>3533</v>
      </c>
      <c r="G161" s="458" t="s">
        <v>3518</v>
      </c>
      <c r="H161" s="458" t="s">
        <v>3519</v>
      </c>
      <c r="I161" s="458">
        <v>2880</v>
      </c>
      <c r="J161" s="458">
        <v>0</v>
      </c>
      <c r="K161" s="458">
        <v>48</v>
      </c>
      <c r="L161" s="462">
        <f t="shared" si="36"/>
        <v>60</v>
      </c>
      <c r="M161" s="463">
        <v>45817</v>
      </c>
      <c r="N161" s="463">
        <v>45813</v>
      </c>
      <c r="O161" s="464" t="s">
        <v>3524</v>
      </c>
      <c r="P161" s="464" t="s">
        <v>103</v>
      </c>
      <c r="Q161" s="458"/>
      <c r="R161" s="472" t="s">
        <v>3529</v>
      </c>
      <c r="S161" s="472" t="s">
        <v>66</v>
      </c>
      <c r="T161" s="472" t="s">
        <v>66</v>
      </c>
      <c r="U161" s="472" t="s">
        <v>3530</v>
      </c>
      <c r="V161" s="473" t="s">
        <v>3531</v>
      </c>
      <c r="W161" s="473" t="s">
        <v>1590</v>
      </c>
      <c r="X161" s="473">
        <v>0.97</v>
      </c>
      <c r="Y161" s="480">
        <f t="shared" si="37"/>
        <v>2793.6</v>
      </c>
      <c r="Z161" s="458"/>
      <c r="AA161" s="458" t="s">
        <v>3518</v>
      </c>
      <c r="AB161" s="458" t="s">
        <v>76</v>
      </c>
      <c r="AC161" s="458"/>
      <c r="AD161" s="458" t="s">
        <v>69</v>
      </c>
      <c r="AE161" s="458"/>
      <c r="AF161" s="458">
        <v>6576</v>
      </c>
      <c r="AG161" s="458">
        <f t="shared" si="34"/>
        <v>3696</v>
      </c>
      <c r="AH161" s="489"/>
      <c r="AI161" s="458"/>
      <c r="AJ161" s="458"/>
      <c r="AK161" s="458">
        <f t="shared" si="38"/>
        <v>2880</v>
      </c>
      <c r="AO161" s="495"/>
      <c r="AR161" s="425">
        <f t="shared" si="39"/>
        <v>2880</v>
      </c>
      <c r="AT161" s="495"/>
      <c r="AY161" s="498">
        <f t="shared" si="35"/>
        <v>120</v>
      </c>
      <c r="AZ161" s="425">
        <f t="shared" si="40"/>
        <v>2880</v>
      </c>
      <c r="BO161" s="425">
        <f t="shared" si="41"/>
        <v>360</v>
      </c>
      <c r="BT161" s="495"/>
      <c r="BV161" s="495"/>
      <c r="CK161" s="425">
        <f t="shared" si="27"/>
        <v>0</v>
      </c>
      <c r="CL161" s="425">
        <f t="shared" si="28"/>
        <v>0</v>
      </c>
      <c r="CM161" s="425">
        <f t="shared" si="29"/>
        <v>0</v>
      </c>
      <c r="CN161" s="495"/>
      <c r="CO161" s="495"/>
      <c r="CP161" s="495"/>
      <c r="CT161" s="495"/>
      <c r="CU161" s="495"/>
      <c r="CV161" s="495"/>
      <c r="CW161" s="495"/>
      <c r="CX161" s="495"/>
    </row>
    <row r="162" s="425" customFormat="1" ht="31" customHeight="1" spans="1:102">
      <c r="A162" s="455">
        <v>45820</v>
      </c>
      <c r="B162" s="456" t="s">
        <v>3526</v>
      </c>
      <c r="C162" s="457" t="s">
        <v>90</v>
      </c>
      <c r="D162" s="425">
        <v>4500162695</v>
      </c>
      <c r="E162" s="457" t="s">
        <v>3532</v>
      </c>
      <c r="F162" s="425" t="s">
        <v>3534</v>
      </c>
      <c r="G162" s="458" t="s">
        <v>3518</v>
      </c>
      <c r="H162" s="458" t="s">
        <v>3519</v>
      </c>
      <c r="I162" s="458">
        <v>24960</v>
      </c>
      <c r="J162" s="458">
        <v>0</v>
      </c>
      <c r="K162" s="458">
        <v>48</v>
      </c>
      <c r="L162" s="462">
        <f t="shared" si="36"/>
        <v>520</v>
      </c>
      <c r="M162" s="463">
        <v>45817</v>
      </c>
      <c r="N162" s="463">
        <v>45813</v>
      </c>
      <c r="O162" s="464" t="s">
        <v>3524</v>
      </c>
      <c r="P162" s="464" t="s">
        <v>103</v>
      </c>
      <c r="Q162" s="458"/>
      <c r="R162" s="472" t="s">
        <v>3529</v>
      </c>
      <c r="S162" s="472" t="s">
        <v>66</v>
      </c>
      <c r="T162" s="472" t="s">
        <v>66</v>
      </c>
      <c r="U162" s="472" t="s">
        <v>3530</v>
      </c>
      <c r="V162" s="473" t="s">
        <v>3535</v>
      </c>
      <c r="W162" s="473" t="s">
        <v>1590</v>
      </c>
      <c r="X162" s="473">
        <v>0.97</v>
      </c>
      <c r="Y162" s="480">
        <f t="shared" si="37"/>
        <v>24211.2</v>
      </c>
      <c r="Z162" s="458"/>
      <c r="AA162" s="458" t="s">
        <v>3518</v>
      </c>
      <c r="AB162" s="458" t="s">
        <v>76</v>
      </c>
      <c r="AC162" s="458"/>
      <c r="AD162" s="458" t="s">
        <v>69</v>
      </c>
      <c r="AE162" s="458"/>
      <c r="AF162" s="458">
        <v>20784</v>
      </c>
      <c r="AG162" s="458">
        <f t="shared" si="34"/>
        <v>-4176</v>
      </c>
      <c r="AH162" s="489"/>
      <c r="AI162" s="458"/>
      <c r="AJ162" s="458"/>
      <c r="AK162" s="458">
        <f t="shared" si="38"/>
        <v>24960</v>
      </c>
      <c r="AO162" s="495"/>
      <c r="AR162" s="425">
        <f t="shared" si="39"/>
        <v>24960</v>
      </c>
      <c r="AT162" s="495"/>
      <c r="AY162" s="498">
        <f t="shared" si="35"/>
        <v>1040</v>
      </c>
      <c r="AZ162" s="425">
        <f t="shared" si="40"/>
        <v>24960</v>
      </c>
      <c r="BO162" s="425">
        <f t="shared" si="41"/>
        <v>3120</v>
      </c>
      <c r="BT162" s="495"/>
      <c r="BV162" s="495"/>
      <c r="CK162" s="425">
        <f t="shared" si="27"/>
        <v>0</v>
      </c>
      <c r="CL162" s="425">
        <f t="shared" si="28"/>
        <v>0</v>
      </c>
      <c r="CM162" s="425">
        <f t="shared" si="29"/>
        <v>0</v>
      </c>
      <c r="CN162" s="495"/>
      <c r="CO162" s="495"/>
      <c r="CP162" s="495"/>
      <c r="CT162" s="495"/>
      <c r="CU162" s="495"/>
      <c r="CV162" s="495"/>
      <c r="CW162" s="495"/>
      <c r="CX162" s="495"/>
    </row>
    <row r="163" s="425" customFormat="1" ht="31" customHeight="1" spans="1:102">
      <c r="A163" s="455">
        <v>45820</v>
      </c>
      <c r="B163" s="456" t="s">
        <v>3526</v>
      </c>
      <c r="C163" s="457" t="s">
        <v>90</v>
      </c>
      <c r="D163" s="425">
        <v>4500162695</v>
      </c>
      <c r="E163" s="457" t="s">
        <v>3532</v>
      </c>
      <c r="F163" s="425" t="s">
        <v>3536</v>
      </c>
      <c r="G163" s="458" t="s">
        <v>3518</v>
      </c>
      <c r="H163" s="458" t="s">
        <v>3519</v>
      </c>
      <c r="I163" s="458">
        <v>42096</v>
      </c>
      <c r="J163" s="458">
        <v>0</v>
      </c>
      <c r="K163" s="458">
        <v>48</v>
      </c>
      <c r="L163" s="462">
        <f t="shared" si="36"/>
        <v>877</v>
      </c>
      <c r="M163" s="463">
        <v>45817</v>
      </c>
      <c r="N163" s="463">
        <v>45813</v>
      </c>
      <c r="O163" s="464" t="s">
        <v>3524</v>
      </c>
      <c r="P163" s="464" t="s">
        <v>103</v>
      </c>
      <c r="Q163" s="458"/>
      <c r="R163" s="472" t="s">
        <v>3529</v>
      </c>
      <c r="S163" s="472" t="s">
        <v>66</v>
      </c>
      <c r="T163" s="472" t="s">
        <v>66</v>
      </c>
      <c r="U163" s="472" t="s">
        <v>3530</v>
      </c>
      <c r="V163" s="473" t="s">
        <v>3535</v>
      </c>
      <c r="W163" s="473" t="s">
        <v>1590</v>
      </c>
      <c r="X163" s="473">
        <v>0.97</v>
      </c>
      <c r="Y163" s="480">
        <f t="shared" si="37"/>
        <v>40833.12</v>
      </c>
      <c r="Z163" s="458"/>
      <c r="AA163" s="458" t="s">
        <v>3518</v>
      </c>
      <c r="AB163" s="458" t="s">
        <v>76</v>
      </c>
      <c r="AC163" s="458"/>
      <c r="AD163" s="458" t="s">
        <v>69</v>
      </c>
      <c r="AE163" s="458"/>
      <c r="AF163" s="458">
        <f>38400</f>
        <v>38400</v>
      </c>
      <c r="AG163" s="458">
        <f t="shared" si="34"/>
        <v>-3696</v>
      </c>
      <c r="AH163" s="489"/>
      <c r="AI163" s="458"/>
      <c r="AJ163" s="458"/>
      <c r="AK163" s="458">
        <f t="shared" si="38"/>
        <v>42096</v>
      </c>
      <c r="AO163" s="495"/>
      <c r="AR163" s="425">
        <f t="shared" si="39"/>
        <v>42096</v>
      </c>
      <c r="AT163" s="495"/>
      <c r="AY163" s="498">
        <f t="shared" si="35"/>
        <v>1754</v>
      </c>
      <c r="AZ163" s="425">
        <f t="shared" si="40"/>
        <v>42096</v>
      </c>
      <c r="BO163" s="425">
        <f t="shared" si="41"/>
        <v>5262</v>
      </c>
      <c r="BT163" s="495"/>
      <c r="BV163" s="495"/>
      <c r="CK163" s="425">
        <f t="shared" si="27"/>
        <v>0</v>
      </c>
      <c r="CL163" s="425">
        <f t="shared" si="28"/>
        <v>0</v>
      </c>
      <c r="CM163" s="425">
        <f t="shared" si="29"/>
        <v>0</v>
      </c>
      <c r="CN163" s="495"/>
      <c r="CO163" s="495"/>
      <c r="CP163" s="495"/>
      <c r="CT163" s="495"/>
      <c r="CU163" s="495"/>
      <c r="CV163" s="495"/>
      <c r="CW163" s="495"/>
      <c r="CX163" s="495"/>
    </row>
    <row r="164" s="425" customFormat="1" ht="31" customHeight="1" spans="1:102">
      <c r="A164" s="455">
        <v>45774</v>
      </c>
      <c r="B164" s="456" t="s">
        <v>617</v>
      </c>
      <c r="C164" s="457" t="s">
        <v>335</v>
      </c>
      <c r="D164" s="425">
        <v>4500160378</v>
      </c>
      <c r="E164" s="457">
        <v>164147</v>
      </c>
      <c r="F164" s="425" t="s">
        <v>3537</v>
      </c>
      <c r="G164" s="458" t="s">
        <v>3165</v>
      </c>
      <c r="H164" s="458" t="s">
        <v>3303</v>
      </c>
      <c r="I164" s="458">
        <v>1200</v>
      </c>
      <c r="J164" s="458">
        <v>0</v>
      </c>
      <c r="K164" s="458">
        <v>25</v>
      </c>
      <c r="L164" s="462">
        <f t="shared" si="36"/>
        <v>48</v>
      </c>
      <c r="M164" s="463">
        <v>45818</v>
      </c>
      <c r="N164" s="463">
        <v>45814</v>
      </c>
      <c r="O164" s="464"/>
      <c r="P164" s="464" t="s">
        <v>103</v>
      </c>
      <c r="Q164" s="458"/>
      <c r="R164" s="472">
        <v>45785</v>
      </c>
      <c r="S164" s="472" t="s">
        <v>66</v>
      </c>
      <c r="T164" s="472" t="s">
        <v>3538</v>
      </c>
      <c r="U164" s="472"/>
      <c r="V164" s="473" t="s">
        <v>3539</v>
      </c>
      <c r="W164" s="473" t="s">
        <v>620</v>
      </c>
      <c r="X164" s="473">
        <v>0.95</v>
      </c>
      <c r="Y164" s="480">
        <f>X164*I164</f>
        <v>1140</v>
      </c>
      <c r="Z164" s="458" t="s">
        <v>621</v>
      </c>
      <c r="AA164" s="458" t="s">
        <v>3165</v>
      </c>
      <c r="AB164" s="458" t="s">
        <v>76</v>
      </c>
      <c r="AC164" s="458"/>
      <c r="AD164" s="458" t="s">
        <v>69</v>
      </c>
      <c r="AE164" s="458"/>
      <c r="AF164" s="458">
        <v>1200</v>
      </c>
      <c r="AG164" s="458">
        <f t="shared" si="34"/>
        <v>0</v>
      </c>
      <c r="AH164" s="489"/>
      <c r="AI164" s="458"/>
      <c r="AJ164" s="458"/>
      <c r="AK164" s="458"/>
      <c r="AL164" s="426">
        <f>I164</f>
        <v>1200</v>
      </c>
      <c r="AO164" s="495"/>
      <c r="AQ164" s="425">
        <f>I164</f>
        <v>1200</v>
      </c>
      <c r="AS164" s="425">
        <f>I164</f>
        <v>1200</v>
      </c>
      <c r="AT164" s="495"/>
      <c r="AY164" s="498">
        <f t="shared" si="35"/>
        <v>50</v>
      </c>
      <c r="BL164" s="425">
        <f>I164/25</f>
        <v>48</v>
      </c>
      <c r="BT164" s="495"/>
      <c r="BV164" s="495"/>
      <c r="CK164" s="425">
        <f t="shared" si="27"/>
        <v>48</v>
      </c>
      <c r="CL164" s="425">
        <f t="shared" si="28"/>
        <v>0</v>
      </c>
      <c r="CM164" s="425">
        <f t="shared" si="29"/>
        <v>0</v>
      </c>
      <c r="CN164" s="495"/>
      <c r="CO164" s="495"/>
      <c r="CP164" s="495"/>
      <c r="CT164" s="495"/>
      <c r="CU164" s="495"/>
      <c r="CV164" s="495"/>
      <c r="CW164" s="495"/>
      <c r="CX164" s="495"/>
    </row>
    <row r="165" s="425" customFormat="1" ht="31" customHeight="1" spans="1:102">
      <c r="A165" s="455">
        <v>45784</v>
      </c>
      <c r="B165" s="456" t="s">
        <v>523</v>
      </c>
      <c r="C165" s="457" t="s">
        <v>524</v>
      </c>
      <c r="D165" s="425">
        <v>4500165640</v>
      </c>
      <c r="E165" s="457"/>
      <c r="F165" s="425" t="s">
        <v>3540</v>
      </c>
      <c r="G165" s="458" t="s">
        <v>3541</v>
      </c>
      <c r="H165" s="458" t="s">
        <v>3542</v>
      </c>
      <c r="I165" s="458">
        <v>3000</v>
      </c>
      <c r="J165" s="458">
        <v>0</v>
      </c>
      <c r="K165" s="458">
        <v>50</v>
      </c>
      <c r="L165" s="462">
        <f t="shared" si="36"/>
        <v>60</v>
      </c>
      <c r="M165" s="463">
        <v>45818</v>
      </c>
      <c r="N165" s="463">
        <v>45814</v>
      </c>
      <c r="O165" s="464"/>
      <c r="P165" s="464" t="s">
        <v>103</v>
      </c>
      <c r="Q165" s="458"/>
      <c r="R165" s="472">
        <v>45786</v>
      </c>
      <c r="S165" s="472" t="s">
        <v>66</v>
      </c>
      <c r="T165" s="472">
        <v>45792</v>
      </c>
      <c r="U165" s="472"/>
      <c r="V165" s="473" t="s">
        <v>3543</v>
      </c>
      <c r="W165" s="473" t="s">
        <v>207</v>
      </c>
      <c r="X165" s="473">
        <v>0.9543</v>
      </c>
      <c r="Y165" s="480">
        <f>X165*I165</f>
        <v>2862.9</v>
      </c>
      <c r="Z165" s="458"/>
      <c r="AA165" s="458" t="s">
        <v>3541</v>
      </c>
      <c r="AB165" s="458" t="s">
        <v>76</v>
      </c>
      <c r="AC165" s="458"/>
      <c r="AD165" s="458" t="s">
        <v>69</v>
      </c>
      <c r="AE165" s="458"/>
      <c r="AF165" s="458">
        <v>3000</v>
      </c>
      <c r="AG165" s="458">
        <f t="shared" si="34"/>
        <v>0</v>
      </c>
      <c r="AH165" s="489"/>
      <c r="AI165" s="458"/>
      <c r="AJ165" s="458"/>
      <c r="AK165" s="458"/>
      <c r="AL165" s="425">
        <f>I165</f>
        <v>3000</v>
      </c>
      <c r="AO165" s="495"/>
      <c r="AQ165" s="425">
        <f>I165</f>
        <v>3000</v>
      </c>
      <c r="AT165" s="495"/>
      <c r="AW165" s="425">
        <f>I165</f>
        <v>3000</v>
      </c>
      <c r="AY165" s="498">
        <f t="shared" si="35"/>
        <v>125</v>
      </c>
      <c r="BS165" s="425">
        <f>I165/25</f>
        <v>120</v>
      </c>
      <c r="BT165" s="495"/>
      <c r="BV165" s="495"/>
      <c r="CK165" s="425">
        <f t="shared" si="27"/>
        <v>120</v>
      </c>
      <c r="CL165" s="425">
        <f t="shared" si="28"/>
        <v>0</v>
      </c>
      <c r="CM165" s="425">
        <f t="shared" si="29"/>
        <v>0</v>
      </c>
      <c r="CN165" s="495"/>
      <c r="CO165" s="495"/>
      <c r="CP165" s="495"/>
      <c r="CT165" s="495"/>
      <c r="CU165" s="495"/>
      <c r="CV165" s="495"/>
      <c r="CW165" s="495"/>
      <c r="CX165" s="495"/>
    </row>
    <row r="166" s="425" customFormat="1" ht="31" customHeight="1" spans="1:102">
      <c r="A166" s="455">
        <v>45735</v>
      </c>
      <c r="B166" s="456" t="s">
        <v>535</v>
      </c>
      <c r="C166" s="457" t="s">
        <v>90</v>
      </c>
      <c r="D166" s="425">
        <v>4500160726</v>
      </c>
      <c r="E166" s="457" t="s">
        <v>536</v>
      </c>
      <c r="F166" s="425" t="s">
        <v>3544</v>
      </c>
      <c r="G166" s="458" t="s">
        <v>3154</v>
      </c>
      <c r="H166" s="458" t="s">
        <v>3151</v>
      </c>
      <c r="I166" s="458">
        <v>1200</v>
      </c>
      <c r="J166" s="458">
        <v>0</v>
      </c>
      <c r="K166" s="458">
        <v>50</v>
      </c>
      <c r="L166" s="462">
        <f t="shared" si="36"/>
        <v>24</v>
      </c>
      <c r="M166" s="463">
        <v>45818</v>
      </c>
      <c r="N166" s="463">
        <v>45814</v>
      </c>
      <c r="O166" s="464"/>
      <c r="P166" s="464" t="s">
        <v>103</v>
      </c>
      <c r="Q166" s="458"/>
      <c r="R166" s="472">
        <v>45749</v>
      </c>
      <c r="S166" s="472" t="s">
        <v>66</v>
      </c>
      <c r="T166" s="472" t="s">
        <v>66</v>
      </c>
      <c r="U166" s="472"/>
      <c r="V166" s="473" t="s">
        <v>538</v>
      </c>
      <c r="W166" s="473" t="s">
        <v>279</v>
      </c>
      <c r="X166" s="473">
        <v>0.95</v>
      </c>
      <c r="Y166" s="480">
        <f>X166*I166</f>
        <v>1140</v>
      </c>
      <c r="Z166" s="458"/>
      <c r="AA166" s="458" t="s">
        <v>3154</v>
      </c>
      <c r="AB166" s="458" t="s">
        <v>76</v>
      </c>
      <c r="AC166" s="458"/>
      <c r="AD166" s="458" t="s">
        <v>69</v>
      </c>
      <c r="AE166" s="458"/>
      <c r="AF166" s="458">
        <v>1200</v>
      </c>
      <c r="AG166" s="458">
        <f t="shared" si="34"/>
        <v>0</v>
      </c>
      <c r="AH166" s="489"/>
      <c r="AI166" s="458"/>
      <c r="AJ166" s="458"/>
      <c r="AK166" s="458">
        <f>I166</f>
        <v>1200</v>
      </c>
      <c r="AM166" s="425">
        <f>I166</f>
        <v>1200</v>
      </c>
      <c r="AO166" s="495"/>
      <c r="AR166" s="425">
        <f>I166</f>
        <v>1200</v>
      </c>
      <c r="AT166" s="495"/>
      <c r="AY166" s="498">
        <f>I166/48</f>
        <v>25</v>
      </c>
      <c r="BJ166" s="425">
        <f>I166/25</f>
        <v>48</v>
      </c>
      <c r="BT166" s="495"/>
      <c r="BV166" s="495"/>
      <c r="CK166" s="425">
        <f t="shared" si="27"/>
        <v>48</v>
      </c>
      <c r="CL166" s="425">
        <f t="shared" si="28"/>
        <v>0</v>
      </c>
      <c r="CM166" s="425">
        <f t="shared" si="29"/>
        <v>0</v>
      </c>
      <c r="CN166" s="495"/>
      <c r="CO166" s="495"/>
      <c r="CP166" s="495"/>
      <c r="CT166" s="495"/>
      <c r="CU166" s="495"/>
      <c r="CV166" s="495"/>
      <c r="CW166" s="495"/>
      <c r="CX166" s="495"/>
    </row>
    <row r="167" s="425" customFormat="1" ht="31" customHeight="1" spans="1:102">
      <c r="A167" s="455">
        <v>45768</v>
      </c>
      <c r="B167" s="456" t="s">
        <v>543</v>
      </c>
      <c r="C167" s="457" t="s">
        <v>544</v>
      </c>
      <c r="D167" s="425">
        <v>4500164331</v>
      </c>
      <c r="E167" s="457"/>
      <c r="F167" s="425" t="s">
        <v>3545</v>
      </c>
      <c r="G167" s="458" t="s">
        <v>3158</v>
      </c>
      <c r="H167" s="458" t="s">
        <v>3159</v>
      </c>
      <c r="I167" s="458">
        <v>5044</v>
      </c>
      <c r="J167" s="458">
        <v>0</v>
      </c>
      <c r="K167" s="458">
        <v>52</v>
      </c>
      <c r="L167" s="462">
        <f t="shared" si="36"/>
        <v>97</v>
      </c>
      <c r="M167" s="463">
        <v>45819</v>
      </c>
      <c r="N167" s="463">
        <f>M167-4</f>
        <v>45815</v>
      </c>
      <c r="O167" s="464"/>
      <c r="P167" s="464" t="s">
        <v>103</v>
      </c>
      <c r="Q167" s="458"/>
      <c r="R167" s="472">
        <v>45768</v>
      </c>
      <c r="S167" s="472" t="s">
        <v>66</v>
      </c>
      <c r="T167" s="472">
        <v>45786</v>
      </c>
      <c r="U167" s="472"/>
      <c r="V167" s="473" t="s">
        <v>3546</v>
      </c>
      <c r="W167" s="473" t="s">
        <v>547</v>
      </c>
      <c r="X167" s="473">
        <v>0.92</v>
      </c>
      <c r="Y167" s="480">
        <f>X167*I167</f>
        <v>4640.48</v>
      </c>
      <c r="Z167" s="458" t="s">
        <v>548</v>
      </c>
      <c r="AA167" s="458" t="s">
        <v>3158</v>
      </c>
      <c r="AB167" s="458" t="s">
        <v>76</v>
      </c>
      <c r="AC167" s="458"/>
      <c r="AD167" s="458" t="s">
        <v>69</v>
      </c>
      <c r="AE167" s="458"/>
      <c r="AF167" s="458">
        <v>5044</v>
      </c>
      <c r="AG167" s="458">
        <f t="shared" si="34"/>
        <v>0</v>
      </c>
      <c r="AH167" s="489"/>
      <c r="AI167" s="458"/>
      <c r="AJ167" s="458"/>
      <c r="AK167" s="458"/>
      <c r="AL167" s="426">
        <f>I167</f>
        <v>5044</v>
      </c>
      <c r="AO167" s="495"/>
      <c r="AQ167" s="425">
        <f>I167</f>
        <v>5044</v>
      </c>
      <c r="AS167" s="425">
        <f>I167</f>
        <v>5044</v>
      </c>
      <c r="AT167" s="495"/>
      <c r="AY167" s="498">
        <f>I167/24</f>
        <v>210.166666666667</v>
      </c>
      <c r="BI167" s="425">
        <f>I167/13</f>
        <v>388</v>
      </c>
      <c r="BT167" s="495"/>
      <c r="BV167" s="495"/>
      <c r="CK167" s="425">
        <f t="shared" si="27"/>
        <v>0</v>
      </c>
      <c r="CL167" s="425">
        <f t="shared" si="28"/>
        <v>0</v>
      </c>
      <c r="CM167" s="425">
        <f t="shared" si="29"/>
        <v>0</v>
      </c>
      <c r="CN167" s="495"/>
      <c r="CO167" s="495"/>
      <c r="CP167" s="495"/>
      <c r="CT167" s="495"/>
      <c r="CU167" s="495"/>
      <c r="CV167" s="495"/>
      <c r="CW167" s="495"/>
      <c r="CX167" s="495"/>
    </row>
    <row r="168" s="425" customFormat="1" ht="31" customHeight="1" spans="1:102">
      <c r="A168" s="455">
        <v>45768</v>
      </c>
      <c r="B168" s="456" t="s">
        <v>543</v>
      </c>
      <c r="C168" s="457" t="s">
        <v>544</v>
      </c>
      <c r="D168" s="425">
        <v>4500164331</v>
      </c>
      <c r="E168" s="457"/>
      <c r="F168" s="425" t="s">
        <v>3547</v>
      </c>
      <c r="G168" s="458" t="s">
        <v>3328</v>
      </c>
      <c r="H168" s="458" t="s">
        <v>3194</v>
      </c>
      <c r="I168" s="458">
        <v>300</v>
      </c>
      <c r="J168" s="458">
        <v>0</v>
      </c>
      <c r="K168" s="458">
        <v>30</v>
      </c>
      <c r="L168" s="462">
        <f t="shared" si="36"/>
        <v>10</v>
      </c>
      <c r="M168" s="463">
        <v>45819</v>
      </c>
      <c r="N168" s="463">
        <f>M168-4</f>
        <v>45815</v>
      </c>
      <c r="O168" s="464"/>
      <c r="P168" s="464" t="s">
        <v>103</v>
      </c>
      <c r="Q168" s="458"/>
      <c r="R168" s="472">
        <v>45768</v>
      </c>
      <c r="S168" s="472" t="s">
        <v>66</v>
      </c>
      <c r="T168" s="472">
        <v>45786</v>
      </c>
      <c r="U168" s="472"/>
      <c r="V168" s="473" t="s">
        <v>3548</v>
      </c>
      <c r="W168" s="473" t="s">
        <v>547</v>
      </c>
      <c r="X168" s="473">
        <v>35.1</v>
      </c>
      <c r="Y168" s="480">
        <f>X168*L168</f>
        <v>351</v>
      </c>
      <c r="Z168" s="458" t="s">
        <v>548</v>
      </c>
      <c r="AA168" s="458" t="s">
        <v>3328</v>
      </c>
      <c r="AB168" s="458" t="s">
        <v>76</v>
      </c>
      <c r="AC168" s="458"/>
      <c r="AD168" s="458" t="s">
        <v>69</v>
      </c>
      <c r="AE168" s="458"/>
      <c r="AF168" s="458">
        <v>300</v>
      </c>
      <c r="AG168" s="458">
        <f t="shared" si="34"/>
        <v>0</v>
      </c>
      <c r="AH168" s="489"/>
      <c r="AI168" s="458"/>
      <c r="AJ168" s="458"/>
      <c r="AK168" s="458"/>
      <c r="AL168" s="426">
        <f>I168</f>
        <v>300</v>
      </c>
      <c r="AO168" s="495"/>
      <c r="AQ168" s="425">
        <f>I168</f>
        <v>300</v>
      </c>
      <c r="AS168" s="425">
        <f>I168</f>
        <v>300</v>
      </c>
      <c r="AT168" s="495"/>
      <c r="AY168" s="498">
        <f>I168/24</f>
        <v>12.5</v>
      </c>
      <c r="BT168" s="495"/>
      <c r="BV168" s="495"/>
      <c r="CF168" s="425">
        <f>I168/30</f>
        <v>10</v>
      </c>
      <c r="CK168" s="425">
        <f t="shared" si="27"/>
        <v>0</v>
      </c>
      <c r="CL168" s="425">
        <f t="shared" si="28"/>
        <v>10</v>
      </c>
      <c r="CM168" s="425">
        <f t="shared" si="29"/>
        <v>0</v>
      </c>
      <c r="CN168" s="495"/>
      <c r="CO168" s="495"/>
      <c r="CP168" s="495"/>
      <c r="CT168" s="495"/>
      <c r="CU168" s="495"/>
      <c r="CV168" s="495"/>
      <c r="CW168" s="495"/>
      <c r="CX168" s="495"/>
    </row>
    <row r="169" s="425" customFormat="1" ht="31" customHeight="1" spans="1:102">
      <c r="A169" s="455">
        <v>45775</v>
      </c>
      <c r="B169" s="456" t="s">
        <v>128</v>
      </c>
      <c r="C169" s="457" t="s">
        <v>90</v>
      </c>
      <c r="D169" s="425">
        <v>4500162979</v>
      </c>
      <c r="E169" s="457" t="s">
        <v>3549</v>
      </c>
      <c r="F169" s="425" t="s">
        <v>3550</v>
      </c>
      <c r="G169" s="458" t="s">
        <v>3180</v>
      </c>
      <c r="H169" s="458" t="s">
        <v>3181</v>
      </c>
      <c r="I169" s="458">
        <v>6064</v>
      </c>
      <c r="J169" s="458">
        <v>0</v>
      </c>
      <c r="K169" s="458">
        <v>16</v>
      </c>
      <c r="L169" s="462">
        <f t="shared" si="36"/>
        <v>379</v>
      </c>
      <c r="M169" s="463">
        <v>45819</v>
      </c>
      <c r="N169" s="463">
        <f>M169-4</f>
        <v>45815</v>
      </c>
      <c r="O169" s="464" t="s">
        <v>3551</v>
      </c>
      <c r="P169" s="464" t="s">
        <v>103</v>
      </c>
      <c r="Q169" s="458"/>
      <c r="R169" s="472" t="s">
        <v>3408</v>
      </c>
      <c r="S169" s="472" t="s">
        <v>66</v>
      </c>
      <c r="T169" s="472" t="s">
        <v>133</v>
      </c>
      <c r="U169" s="472"/>
      <c r="V169" s="473" t="s">
        <v>3409</v>
      </c>
      <c r="W169" s="473" t="s">
        <v>98</v>
      </c>
      <c r="X169" s="473">
        <v>1.008</v>
      </c>
      <c r="Y169" s="480">
        <f>X169*I169</f>
        <v>6112.512</v>
      </c>
      <c r="Z169" s="458"/>
      <c r="AA169" s="458" t="s">
        <v>3180</v>
      </c>
      <c r="AB169" s="458" t="s">
        <v>76</v>
      </c>
      <c r="AC169" s="458"/>
      <c r="AD169" s="458" t="s">
        <v>69</v>
      </c>
      <c r="AE169" s="458"/>
      <c r="AF169" s="458">
        <v>6064</v>
      </c>
      <c r="AG169" s="458">
        <f t="shared" si="34"/>
        <v>0</v>
      </c>
      <c r="AH169" s="489"/>
      <c r="AI169" s="458"/>
      <c r="AJ169" s="458"/>
      <c r="AK169" s="458">
        <f>I169</f>
        <v>6064</v>
      </c>
      <c r="AM169" s="425">
        <f>I169</f>
        <v>6064</v>
      </c>
      <c r="AO169" s="495"/>
      <c r="AR169" s="425">
        <f>I169</f>
        <v>6064</v>
      </c>
      <c r="AT169" s="495"/>
      <c r="AY169" s="498">
        <f>I169/48</f>
        <v>126.333333333333</v>
      </c>
      <c r="BM169" s="425">
        <f>I169/16</f>
        <v>379</v>
      </c>
      <c r="BT169" s="495"/>
      <c r="BV169" s="495"/>
      <c r="CK169" s="425">
        <f t="shared" si="27"/>
        <v>379</v>
      </c>
      <c r="CL169" s="425">
        <f t="shared" si="28"/>
        <v>0</v>
      </c>
      <c r="CM169" s="425">
        <f t="shared" si="29"/>
        <v>0</v>
      </c>
      <c r="CN169" s="495"/>
      <c r="CO169" s="495"/>
      <c r="CP169" s="495"/>
      <c r="CT169" s="495"/>
      <c r="CU169" s="495"/>
      <c r="CV169" s="495"/>
      <c r="CW169" s="495"/>
      <c r="CX169" s="495"/>
    </row>
    <row r="170" s="425" customFormat="1" ht="31" customHeight="1" spans="1:102">
      <c r="A170" s="455">
        <v>45775</v>
      </c>
      <c r="B170" s="456" t="s">
        <v>128</v>
      </c>
      <c r="C170" s="457" t="s">
        <v>90</v>
      </c>
      <c r="D170" s="425">
        <v>4500162979</v>
      </c>
      <c r="E170" s="457" t="s">
        <v>3552</v>
      </c>
      <c r="F170" s="425" t="s">
        <v>3553</v>
      </c>
      <c r="G170" s="458" t="s">
        <v>3180</v>
      </c>
      <c r="H170" s="458" t="s">
        <v>3181</v>
      </c>
      <c r="I170" s="458">
        <v>5232</v>
      </c>
      <c r="J170" s="458">
        <v>0</v>
      </c>
      <c r="K170" s="458">
        <v>16</v>
      </c>
      <c r="L170" s="462">
        <f t="shared" si="36"/>
        <v>327</v>
      </c>
      <c r="M170" s="463">
        <v>45819</v>
      </c>
      <c r="N170" s="463">
        <f>M170-4</f>
        <v>45815</v>
      </c>
      <c r="O170" s="464" t="s">
        <v>3551</v>
      </c>
      <c r="P170" s="464" t="s">
        <v>103</v>
      </c>
      <c r="Q170" s="458"/>
      <c r="R170" s="472" t="s">
        <v>3408</v>
      </c>
      <c r="S170" s="472" t="s">
        <v>66</v>
      </c>
      <c r="T170" s="472" t="s">
        <v>133</v>
      </c>
      <c r="U170" s="472"/>
      <c r="V170" s="473" t="s">
        <v>3409</v>
      </c>
      <c r="W170" s="473" t="s">
        <v>98</v>
      </c>
      <c r="X170" s="473">
        <v>1.008</v>
      </c>
      <c r="Y170" s="480">
        <f>X170*I170</f>
        <v>5273.856</v>
      </c>
      <c r="Z170" s="458"/>
      <c r="AA170" s="458" t="s">
        <v>3180</v>
      </c>
      <c r="AB170" s="458" t="s">
        <v>76</v>
      </c>
      <c r="AC170" s="458"/>
      <c r="AD170" s="458" t="s">
        <v>69</v>
      </c>
      <c r="AE170" s="458"/>
      <c r="AF170" s="458">
        <v>5232</v>
      </c>
      <c r="AG170" s="458">
        <f t="shared" si="34"/>
        <v>0</v>
      </c>
      <c r="AH170" s="489"/>
      <c r="AI170" s="458"/>
      <c r="AJ170" s="458"/>
      <c r="AK170" s="458">
        <f>I170</f>
        <v>5232</v>
      </c>
      <c r="AM170" s="425">
        <f>I170</f>
        <v>5232</v>
      </c>
      <c r="AO170" s="495"/>
      <c r="AR170" s="425">
        <f>I170</f>
        <v>5232</v>
      </c>
      <c r="AT170" s="495"/>
      <c r="AY170" s="498">
        <f>I170/48</f>
        <v>109</v>
      </c>
      <c r="BM170" s="425">
        <f>I170/16</f>
        <v>327</v>
      </c>
      <c r="BT170" s="495"/>
      <c r="BV170" s="495"/>
      <c r="CK170" s="425">
        <f t="shared" si="27"/>
        <v>327</v>
      </c>
      <c r="CL170" s="425">
        <f t="shared" si="28"/>
        <v>0</v>
      </c>
      <c r="CM170" s="425">
        <f t="shared" si="29"/>
        <v>0</v>
      </c>
      <c r="CN170" s="495"/>
      <c r="CO170" s="495"/>
      <c r="CP170" s="495"/>
      <c r="CT170" s="495"/>
      <c r="CU170" s="495"/>
      <c r="CV170" s="495"/>
      <c r="CW170" s="495"/>
      <c r="CX170" s="495"/>
    </row>
    <row r="171" s="425" customFormat="1" ht="31" customHeight="1" spans="1:102">
      <c r="A171" s="455">
        <v>45764</v>
      </c>
      <c r="B171" s="456" t="s">
        <v>605</v>
      </c>
      <c r="C171" s="457" t="s">
        <v>366</v>
      </c>
      <c r="D171" s="425">
        <v>4500164017</v>
      </c>
      <c r="E171" s="457">
        <v>5200006591</v>
      </c>
      <c r="F171" s="425" t="s">
        <v>3554</v>
      </c>
      <c r="G171" s="458" t="s">
        <v>3231</v>
      </c>
      <c r="H171" s="458" t="s">
        <v>3207</v>
      </c>
      <c r="I171" s="458">
        <v>2600</v>
      </c>
      <c r="J171" s="458">
        <v>0</v>
      </c>
      <c r="K171" s="458">
        <v>13</v>
      </c>
      <c r="L171" s="462">
        <f t="shared" si="36"/>
        <v>200</v>
      </c>
      <c r="M171" s="463">
        <v>45819</v>
      </c>
      <c r="N171" s="463">
        <v>45815</v>
      </c>
      <c r="O171" s="464"/>
      <c r="P171" s="464" t="s">
        <v>103</v>
      </c>
      <c r="Q171" s="458"/>
      <c r="R171" s="472">
        <v>45768</v>
      </c>
      <c r="S171" s="472" t="s">
        <v>66</v>
      </c>
      <c r="T171" s="472">
        <v>45777</v>
      </c>
      <c r="U171" s="472"/>
      <c r="V171" s="473" t="s">
        <v>3555</v>
      </c>
      <c r="W171" s="473" t="s">
        <v>370</v>
      </c>
      <c r="X171" s="473">
        <v>1.16</v>
      </c>
      <c r="Y171" s="480">
        <f>X171*I171</f>
        <v>3016</v>
      </c>
      <c r="Z171" s="458"/>
      <c r="AA171" s="458" t="s">
        <v>3231</v>
      </c>
      <c r="AB171" s="458" t="s">
        <v>76</v>
      </c>
      <c r="AC171" s="458"/>
      <c r="AD171" s="458" t="s">
        <v>69</v>
      </c>
      <c r="AE171" s="458"/>
      <c r="AF171" s="458">
        <v>2600</v>
      </c>
      <c r="AG171" s="458">
        <f t="shared" si="34"/>
        <v>0</v>
      </c>
      <c r="AH171" s="489"/>
      <c r="AI171" s="458" t="s">
        <v>114</v>
      </c>
      <c r="AJ171" s="458"/>
      <c r="AK171" s="458"/>
      <c r="AL171" s="426">
        <f>I171</f>
        <v>2600</v>
      </c>
      <c r="AO171" s="495"/>
      <c r="AS171" s="425">
        <f>I171</f>
        <v>2600</v>
      </c>
      <c r="AT171" s="495"/>
      <c r="AY171" s="498">
        <f>I171/24</f>
        <v>108.333333333333</v>
      </c>
      <c r="AZ171" s="425">
        <f>I171</f>
        <v>2600</v>
      </c>
      <c r="BI171" s="425">
        <f>I171/13</f>
        <v>200</v>
      </c>
      <c r="BT171" s="495"/>
      <c r="BV171" s="495"/>
      <c r="CK171" s="425">
        <f t="shared" si="27"/>
        <v>0</v>
      </c>
      <c r="CL171" s="425">
        <f t="shared" si="28"/>
        <v>0</v>
      </c>
      <c r="CM171" s="425">
        <f t="shared" si="29"/>
        <v>0</v>
      </c>
      <c r="CN171" s="495"/>
      <c r="CO171" s="495"/>
      <c r="CP171" s="495"/>
      <c r="CT171" s="495"/>
      <c r="CU171" s="495"/>
      <c r="CV171" s="495"/>
      <c r="CW171" s="495"/>
      <c r="CX171" s="495"/>
    </row>
    <row r="172" s="425" customFormat="1" ht="31" customHeight="1" spans="1:102">
      <c r="A172" s="455">
        <v>45764</v>
      </c>
      <c r="B172" s="456" t="s">
        <v>605</v>
      </c>
      <c r="C172" s="457" t="s">
        <v>366</v>
      </c>
      <c r="D172" s="425">
        <v>4500164017</v>
      </c>
      <c r="E172" s="457">
        <v>5200006591</v>
      </c>
      <c r="F172" s="425" t="s">
        <v>3556</v>
      </c>
      <c r="G172" s="458" t="s">
        <v>3557</v>
      </c>
      <c r="H172" s="458" t="s">
        <v>3194</v>
      </c>
      <c r="I172" s="458">
        <v>4500</v>
      </c>
      <c r="J172" s="458">
        <v>0</v>
      </c>
      <c r="K172" s="458">
        <v>60</v>
      </c>
      <c r="L172" s="462">
        <f t="shared" si="36"/>
        <v>75</v>
      </c>
      <c r="M172" s="463">
        <v>45819</v>
      </c>
      <c r="N172" s="463">
        <v>45815</v>
      </c>
      <c r="O172" s="464"/>
      <c r="P172" s="464" t="s">
        <v>103</v>
      </c>
      <c r="Q172" s="458"/>
      <c r="R172" s="472">
        <v>45768</v>
      </c>
      <c r="S172" s="472" t="s">
        <v>66</v>
      </c>
      <c r="T172" s="472">
        <v>45777</v>
      </c>
      <c r="U172" s="472"/>
      <c r="V172" s="473" t="s">
        <v>3558</v>
      </c>
      <c r="W172" s="473" t="s">
        <v>370</v>
      </c>
      <c r="X172" s="473">
        <v>63.7</v>
      </c>
      <c r="Y172" s="480">
        <f>X172*L172</f>
        <v>4777.5</v>
      </c>
      <c r="Z172" s="458"/>
      <c r="AA172" s="458" t="s">
        <v>3557</v>
      </c>
      <c r="AB172" s="458" t="s">
        <v>76</v>
      </c>
      <c r="AC172" s="458"/>
      <c r="AD172" s="458" t="s">
        <v>69</v>
      </c>
      <c r="AE172" s="458"/>
      <c r="AF172" s="458">
        <v>4500</v>
      </c>
      <c r="AG172" s="458">
        <f t="shared" si="34"/>
        <v>0</v>
      </c>
      <c r="AH172" s="489"/>
      <c r="AI172" s="458" t="s">
        <v>114</v>
      </c>
      <c r="AJ172" s="458"/>
      <c r="AK172" s="458"/>
      <c r="AL172" s="426">
        <f>I172</f>
        <v>4500</v>
      </c>
      <c r="AO172" s="495"/>
      <c r="AS172" s="425">
        <f>I172</f>
        <v>4500</v>
      </c>
      <c r="AT172" s="495"/>
      <c r="AY172" s="498">
        <f>I172/24</f>
        <v>187.5</v>
      </c>
      <c r="AZ172" s="425">
        <f>I172</f>
        <v>4500</v>
      </c>
      <c r="BT172" s="495"/>
      <c r="BV172" s="495"/>
      <c r="CC172" s="425">
        <f>L172</f>
        <v>75</v>
      </c>
      <c r="CK172" s="425">
        <f t="shared" si="27"/>
        <v>0</v>
      </c>
      <c r="CL172" s="425">
        <f t="shared" si="28"/>
        <v>75</v>
      </c>
      <c r="CM172" s="425">
        <f t="shared" si="29"/>
        <v>0</v>
      </c>
      <c r="CN172" s="495"/>
      <c r="CO172" s="495"/>
      <c r="CP172" s="495"/>
      <c r="CT172" s="495"/>
      <c r="CU172" s="495"/>
      <c r="CV172" s="495"/>
      <c r="CW172" s="495"/>
      <c r="CX172" s="495"/>
    </row>
    <row r="173" s="425" customFormat="1" ht="31" customHeight="1" spans="1:102">
      <c r="A173" s="455">
        <v>45791</v>
      </c>
      <c r="B173" s="456" t="s">
        <v>553</v>
      </c>
      <c r="C173" s="457" t="s">
        <v>271</v>
      </c>
      <c r="D173" s="425">
        <v>4500169682</v>
      </c>
      <c r="E173" s="457">
        <v>5200006790</v>
      </c>
      <c r="F173" s="425" t="s">
        <v>3559</v>
      </c>
      <c r="G173" s="458" t="s">
        <v>3560</v>
      </c>
      <c r="H173" s="458" t="s">
        <v>3194</v>
      </c>
      <c r="I173" s="458">
        <v>2700</v>
      </c>
      <c r="J173" s="458">
        <v>0</v>
      </c>
      <c r="K173" s="458">
        <v>30</v>
      </c>
      <c r="L173" s="462">
        <f t="shared" si="36"/>
        <v>90</v>
      </c>
      <c r="M173" s="463">
        <v>45819</v>
      </c>
      <c r="N173" s="463">
        <v>45815</v>
      </c>
      <c r="O173" s="464"/>
      <c r="P173" s="464" t="s">
        <v>103</v>
      </c>
      <c r="Q173" s="458"/>
      <c r="R173" s="472" t="s">
        <v>3561</v>
      </c>
      <c r="S173" s="472" t="s">
        <v>66</v>
      </c>
      <c r="T173" s="472" t="s">
        <v>3562</v>
      </c>
      <c r="U173" s="472" t="s">
        <v>3563</v>
      </c>
      <c r="V173" s="473" t="s">
        <v>3564</v>
      </c>
      <c r="W173" s="473" t="s">
        <v>558</v>
      </c>
      <c r="X173" s="473">
        <v>35.1</v>
      </c>
      <c r="Y173" s="480">
        <f>X173*L173</f>
        <v>3159</v>
      </c>
      <c r="Z173" s="458"/>
      <c r="AA173" s="458" t="s">
        <v>3328</v>
      </c>
      <c r="AB173" s="458" t="s">
        <v>76</v>
      </c>
      <c r="AC173" s="458"/>
      <c r="AD173" s="458" t="s">
        <v>69</v>
      </c>
      <c r="AE173" s="458"/>
      <c r="AF173" s="458">
        <v>2700</v>
      </c>
      <c r="AG173" s="458">
        <f t="shared" si="34"/>
        <v>0</v>
      </c>
      <c r="AH173" s="489"/>
      <c r="AI173" s="458" t="s">
        <v>403</v>
      </c>
      <c r="AJ173" s="458"/>
      <c r="AK173" s="458"/>
      <c r="AL173" s="426">
        <f>I173</f>
        <v>2700</v>
      </c>
      <c r="AO173" s="495"/>
      <c r="AQ173" s="425">
        <f>I173</f>
        <v>2700</v>
      </c>
      <c r="AS173" s="425">
        <f>I173</f>
        <v>2700</v>
      </c>
      <c r="AT173" s="495"/>
      <c r="AY173" s="498">
        <f>I173/24</f>
        <v>112.5</v>
      </c>
      <c r="BT173" s="495"/>
      <c r="BV173" s="495"/>
      <c r="CF173" s="425">
        <f>I173/30</f>
        <v>90</v>
      </c>
      <c r="CK173" s="425">
        <f t="shared" si="27"/>
        <v>0</v>
      </c>
      <c r="CL173" s="425">
        <f t="shared" si="28"/>
        <v>90</v>
      </c>
      <c r="CM173" s="425">
        <f t="shared" si="29"/>
        <v>0</v>
      </c>
      <c r="CN173" s="495"/>
      <c r="CO173" s="495"/>
      <c r="CP173" s="495"/>
      <c r="CT173" s="495"/>
      <c r="CU173" s="495"/>
      <c r="CV173" s="495"/>
      <c r="CW173" s="495"/>
      <c r="CX173" s="495"/>
    </row>
    <row r="174" s="425" customFormat="1" ht="31" customHeight="1" spans="1:102">
      <c r="A174" s="455">
        <v>45791</v>
      </c>
      <c r="B174" s="456" t="s">
        <v>553</v>
      </c>
      <c r="C174" s="457" t="s">
        <v>271</v>
      </c>
      <c r="D174" s="425">
        <v>4500169682</v>
      </c>
      <c r="E174" s="457">
        <v>5200006790</v>
      </c>
      <c r="F174" s="425" t="s">
        <v>3565</v>
      </c>
      <c r="G174" s="458" t="s">
        <v>3231</v>
      </c>
      <c r="H174" s="458" t="s">
        <v>3207</v>
      </c>
      <c r="I174" s="458">
        <v>6006</v>
      </c>
      <c r="J174" s="458">
        <v>0</v>
      </c>
      <c r="K174" s="458">
        <v>13</v>
      </c>
      <c r="L174" s="462">
        <f t="shared" si="36"/>
        <v>462</v>
      </c>
      <c r="M174" s="463">
        <v>45819</v>
      </c>
      <c r="N174" s="463">
        <v>45815</v>
      </c>
      <c r="O174" s="464"/>
      <c r="P174" s="464" t="s">
        <v>103</v>
      </c>
      <c r="Q174" s="458"/>
      <c r="R174" s="472" t="s">
        <v>3561</v>
      </c>
      <c r="S174" s="472" t="s">
        <v>66</v>
      </c>
      <c r="T174" s="472" t="s">
        <v>3562</v>
      </c>
      <c r="U174" s="472" t="s">
        <v>3563</v>
      </c>
      <c r="V174" s="473" t="s">
        <v>3566</v>
      </c>
      <c r="W174" s="473" t="s">
        <v>558</v>
      </c>
      <c r="X174" s="473">
        <v>0.9064</v>
      </c>
      <c r="Y174" s="480">
        <f t="shared" ref="Y174:Y180" si="42">X174*I174</f>
        <v>5443.8384</v>
      </c>
      <c r="Z174" s="458"/>
      <c r="AA174" s="458" t="s">
        <v>3206</v>
      </c>
      <c r="AB174" s="458" t="s">
        <v>76</v>
      </c>
      <c r="AC174" s="458"/>
      <c r="AD174" s="458" t="s">
        <v>69</v>
      </c>
      <c r="AE174" s="458"/>
      <c r="AF174" s="458"/>
      <c r="AG174" s="458"/>
      <c r="AH174" s="489"/>
      <c r="AI174" s="458" t="s">
        <v>403</v>
      </c>
      <c r="AJ174" s="458"/>
      <c r="AK174" s="458"/>
      <c r="AL174" s="426">
        <f>I174</f>
        <v>6006</v>
      </c>
      <c r="AO174" s="495"/>
      <c r="AQ174" s="425">
        <f>I174</f>
        <v>6006</v>
      </c>
      <c r="AS174" s="425">
        <f>I174</f>
        <v>6006</v>
      </c>
      <c r="AT174" s="495"/>
      <c r="AY174" s="498">
        <f>I174/24</f>
        <v>250.25</v>
      </c>
      <c r="BI174" s="425">
        <f>I174/13</f>
        <v>462</v>
      </c>
      <c r="BT174" s="495"/>
      <c r="BV174" s="495"/>
      <c r="CK174" s="425">
        <f t="shared" si="27"/>
        <v>0</v>
      </c>
      <c r="CL174" s="425">
        <f t="shared" si="28"/>
        <v>0</v>
      </c>
      <c r="CM174" s="425">
        <f t="shared" si="29"/>
        <v>0</v>
      </c>
      <c r="CN174" s="495"/>
      <c r="CO174" s="495"/>
      <c r="CP174" s="495"/>
      <c r="CT174" s="495"/>
      <c r="CU174" s="495"/>
      <c r="CV174" s="495"/>
      <c r="CW174" s="495"/>
      <c r="CX174" s="495"/>
    </row>
    <row r="175" s="425" customFormat="1" ht="31" customHeight="1" spans="1:102">
      <c r="A175" s="455">
        <v>45790</v>
      </c>
      <c r="B175" s="456" t="s">
        <v>598</v>
      </c>
      <c r="C175" s="457" t="s">
        <v>90</v>
      </c>
      <c r="D175" s="425">
        <v>4500166241</v>
      </c>
      <c r="E175" s="457" t="s">
        <v>3567</v>
      </c>
      <c r="F175" s="425" t="s">
        <v>3568</v>
      </c>
      <c r="G175" s="458" t="s">
        <v>3198</v>
      </c>
      <c r="H175" s="458" t="s">
        <v>3303</v>
      </c>
      <c r="I175" s="458">
        <v>12625</v>
      </c>
      <c r="J175" s="458">
        <v>0</v>
      </c>
      <c r="K175" s="458">
        <v>25</v>
      </c>
      <c r="L175" s="462">
        <f t="shared" si="36"/>
        <v>505</v>
      </c>
      <c r="M175" s="463">
        <v>45824</v>
      </c>
      <c r="N175" s="463">
        <v>45820</v>
      </c>
      <c r="O175" s="464"/>
      <c r="P175" s="464" t="s">
        <v>103</v>
      </c>
      <c r="Q175" s="458"/>
      <c r="R175" s="472">
        <v>45796</v>
      </c>
      <c r="S175" s="472" t="s">
        <v>96</v>
      </c>
      <c r="T175" s="472">
        <v>45804</v>
      </c>
      <c r="U175" s="472"/>
      <c r="V175" s="473" t="s">
        <v>3569</v>
      </c>
      <c r="W175" s="473" t="s">
        <v>602</v>
      </c>
      <c r="X175" s="473">
        <v>0.564</v>
      </c>
      <c r="Y175" s="480">
        <f t="shared" si="42"/>
        <v>7120.5</v>
      </c>
      <c r="Z175" s="458"/>
      <c r="AA175" s="458" t="s">
        <v>3198</v>
      </c>
      <c r="AB175" s="458" t="s">
        <v>76</v>
      </c>
      <c r="AC175" s="458"/>
      <c r="AD175" s="458" t="s">
        <v>69</v>
      </c>
      <c r="AE175" s="458"/>
      <c r="AF175" s="458">
        <f>12425+200</f>
        <v>12625</v>
      </c>
      <c r="AG175" s="458">
        <f t="shared" ref="AG175:AG186" si="43">AF175-I175</f>
        <v>0</v>
      </c>
      <c r="AH175" s="489"/>
      <c r="AI175" s="458"/>
      <c r="AJ175" s="458"/>
      <c r="AK175" s="458">
        <f>I175</f>
        <v>12625</v>
      </c>
      <c r="AM175" s="425">
        <f>I175</f>
        <v>12625</v>
      </c>
      <c r="AO175" s="495"/>
      <c r="AR175" s="425">
        <f>I175</f>
        <v>12625</v>
      </c>
      <c r="AT175" s="495"/>
      <c r="AY175" s="498">
        <f>I175/48</f>
        <v>263.020833333333</v>
      </c>
      <c r="BJ175" s="425">
        <f>I175/25</f>
        <v>505</v>
      </c>
      <c r="BT175" s="495"/>
      <c r="BV175" s="495"/>
      <c r="CK175" s="425">
        <f t="shared" si="27"/>
        <v>505</v>
      </c>
      <c r="CL175" s="425">
        <f t="shared" si="28"/>
        <v>0</v>
      </c>
      <c r="CM175" s="425">
        <f t="shared" si="29"/>
        <v>0</v>
      </c>
      <c r="CN175" s="495"/>
      <c r="CO175" s="495"/>
      <c r="CP175" s="495"/>
      <c r="CT175" s="495"/>
      <c r="CU175" s="495"/>
      <c r="CV175" s="495"/>
      <c r="CW175" s="495"/>
      <c r="CX175" s="495"/>
    </row>
    <row r="176" s="425" customFormat="1" ht="31" customHeight="1" spans="1:102">
      <c r="A176" s="455">
        <v>45775</v>
      </c>
      <c r="B176" s="456" t="s">
        <v>270</v>
      </c>
      <c r="C176" s="457" t="s">
        <v>271</v>
      </c>
      <c r="D176" s="425">
        <v>4500163394</v>
      </c>
      <c r="E176" s="457">
        <v>5200006588</v>
      </c>
      <c r="F176" s="425" t="s">
        <v>3570</v>
      </c>
      <c r="G176" s="458" t="s">
        <v>3231</v>
      </c>
      <c r="H176" s="458" t="s">
        <v>3207</v>
      </c>
      <c r="I176" s="458">
        <v>9893</v>
      </c>
      <c r="J176" s="458">
        <v>0</v>
      </c>
      <c r="K176" s="458">
        <v>13</v>
      </c>
      <c r="L176" s="462">
        <f t="shared" si="36"/>
        <v>761</v>
      </c>
      <c r="M176" s="463">
        <v>45824</v>
      </c>
      <c r="N176" s="463">
        <v>45820</v>
      </c>
      <c r="O176" s="464"/>
      <c r="P176" s="464" t="s">
        <v>103</v>
      </c>
      <c r="Q176" s="458"/>
      <c r="R176" s="472">
        <v>45796</v>
      </c>
      <c r="S176" s="472" t="s">
        <v>66</v>
      </c>
      <c r="T176" s="472" t="s">
        <v>3441</v>
      </c>
      <c r="U176" s="472"/>
      <c r="V176" s="473" t="s">
        <v>3571</v>
      </c>
      <c r="W176" s="473" t="s">
        <v>391</v>
      </c>
      <c r="X176" s="473">
        <v>1.16</v>
      </c>
      <c r="Y176" s="480">
        <f t="shared" si="42"/>
        <v>11475.88</v>
      </c>
      <c r="Z176" s="458"/>
      <c r="AA176" s="458" t="s">
        <v>3206</v>
      </c>
      <c r="AB176" s="458" t="s">
        <v>76</v>
      </c>
      <c r="AC176" s="458"/>
      <c r="AD176" s="458" t="s">
        <v>69</v>
      </c>
      <c r="AE176" s="458"/>
      <c r="AF176" s="458">
        <v>9893</v>
      </c>
      <c r="AG176" s="458">
        <f t="shared" si="43"/>
        <v>0</v>
      </c>
      <c r="AH176" s="489"/>
      <c r="AI176" s="458"/>
      <c r="AJ176" s="458"/>
      <c r="AK176" s="458"/>
      <c r="AL176" s="426">
        <f>I176</f>
        <v>9893</v>
      </c>
      <c r="AO176" s="495"/>
      <c r="AQ176" s="425">
        <f>I176</f>
        <v>9893</v>
      </c>
      <c r="AS176" s="425">
        <f>I176</f>
        <v>9893</v>
      </c>
      <c r="AT176" s="495"/>
      <c r="AY176" s="498">
        <f>I176/24</f>
        <v>412.208333333333</v>
      </c>
      <c r="BI176" s="425">
        <f>I176/13</f>
        <v>761</v>
      </c>
      <c r="BT176" s="495"/>
      <c r="BV176" s="495"/>
      <c r="CK176" s="425">
        <f t="shared" si="27"/>
        <v>0</v>
      </c>
      <c r="CL176" s="425">
        <f t="shared" si="28"/>
        <v>0</v>
      </c>
      <c r="CM176" s="425">
        <f t="shared" si="29"/>
        <v>0</v>
      </c>
      <c r="CN176" s="495"/>
      <c r="CO176" s="495"/>
      <c r="CP176" s="495"/>
      <c r="CT176" s="495"/>
      <c r="CU176" s="495"/>
      <c r="CV176" s="495"/>
      <c r="CW176" s="495"/>
      <c r="CX176" s="495"/>
    </row>
    <row r="177" s="425" customFormat="1" ht="31" customHeight="1" spans="1:102">
      <c r="A177" s="455">
        <v>45776</v>
      </c>
      <c r="B177" s="456" t="s">
        <v>1208</v>
      </c>
      <c r="C177" s="457" t="s">
        <v>153</v>
      </c>
      <c r="D177" s="425">
        <v>4500165392</v>
      </c>
      <c r="E177" s="457" t="s">
        <v>3572</v>
      </c>
      <c r="F177" s="425" t="s">
        <v>3573</v>
      </c>
      <c r="G177" s="458" t="s">
        <v>3272</v>
      </c>
      <c r="H177" s="458" t="s">
        <v>3207</v>
      </c>
      <c r="I177" s="458">
        <v>2327</v>
      </c>
      <c r="J177" s="458">
        <v>0</v>
      </c>
      <c r="K177" s="458">
        <v>13</v>
      </c>
      <c r="L177" s="462">
        <f t="shared" si="36"/>
        <v>179</v>
      </c>
      <c r="M177" s="463">
        <v>45824</v>
      </c>
      <c r="N177" s="463">
        <v>45820</v>
      </c>
      <c r="O177" s="464" t="s">
        <v>3574</v>
      </c>
      <c r="P177" s="464" t="s">
        <v>103</v>
      </c>
      <c r="Q177" s="458"/>
      <c r="R177" s="472">
        <v>45777</v>
      </c>
      <c r="S177" s="472" t="s">
        <v>66</v>
      </c>
      <c r="T177" s="472" t="s">
        <v>66</v>
      </c>
      <c r="U177" s="472"/>
      <c r="V177" s="473" t="s">
        <v>3575</v>
      </c>
      <c r="W177" s="473" t="s">
        <v>1213</v>
      </c>
      <c r="X177" s="473">
        <v>0.92</v>
      </c>
      <c r="Y177" s="480">
        <f t="shared" si="42"/>
        <v>2140.84</v>
      </c>
      <c r="Z177" s="458"/>
      <c r="AA177" s="458" t="s">
        <v>3272</v>
      </c>
      <c r="AB177" s="458" t="s">
        <v>76</v>
      </c>
      <c r="AC177" s="458"/>
      <c r="AD177" s="458" t="s">
        <v>69</v>
      </c>
      <c r="AE177" s="458"/>
      <c r="AF177" s="458">
        <v>2327</v>
      </c>
      <c r="AG177" s="458">
        <f t="shared" si="43"/>
        <v>0</v>
      </c>
      <c r="AH177" s="489"/>
      <c r="AI177" s="458"/>
      <c r="AJ177" s="458"/>
      <c r="AK177" s="458">
        <f>I177</f>
        <v>2327</v>
      </c>
      <c r="AO177" s="495"/>
      <c r="AP177" s="425">
        <f>I177</f>
        <v>2327</v>
      </c>
      <c r="AR177" s="425">
        <f>I177</f>
        <v>2327</v>
      </c>
      <c r="AT177" s="495"/>
      <c r="AY177" s="498">
        <f>I177/24</f>
        <v>96.9583333333333</v>
      </c>
      <c r="BH177" s="425">
        <f>I177/13</f>
        <v>179</v>
      </c>
      <c r="BT177" s="495"/>
      <c r="BV177" s="495"/>
      <c r="CK177" s="425">
        <f t="shared" si="27"/>
        <v>0</v>
      </c>
      <c r="CL177" s="425">
        <f t="shared" si="28"/>
        <v>0</v>
      </c>
      <c r="CM177" s="425">
        <f t="shared" si="29"/>
        <v>0</v>
      </c>
      <c r="CN177" s="495"/>
      <c r="CO177" s="495"/>
      <c r="CP177" s="495"/>
      <c r="CT177" s="495"/>
      <c r="CU177" s="495"/>
      <c r="CV177" s="495"/>
      <c r="CW177" s="495"/>
      <c r="CX177" s="495"/>
    </row>
    <row r="178" s="425" customFormat="1" ht="31" customHeight="1" spans="1:102">
      <c r="A178" s="455">
        <v>45790</v>
      </c>
      <c r="B178" s="456" t="s">
        <v>598</v>
      </c>
      <c r="C178" s="457" t="s">
        <v>90</v>
      </c>
      <c r="D178" s="425">
        <v>4500166249</v>
      </c>
      <c r="E178" s="457" t="s">
        <v>603</v>
      </c>
      <c r="F178" s="425" t="s">
        <v>3576</v>
      </c>
      <c r="G178" s="458" t="s">
        <v>3198</v>
      </c>
      <c r="H178" s="458" t="s">
        <v>3303</v>
      </c>
      <c r="I178" s="458">
        <v>15150</v>
      </c>
      <c r="J178" s="458">
        <v>0</v>
      </c>
      <c r="K178" s="458">
        <v>25</v>
      </c>
      <c r="L178" s="462">
        <f t="shared" si="36"/>
        <v>606</v>
      </c>
      <c r="M178" s="463">
        <v>45824</v>
      </c>
      <c r="N178" s="463">
        <v>45820</v>
      </c>
      <c r="O178" s="464"/>
      <c r="P178" s="464" t="s">
        <v>103</v>
      </c>
      <c r="Q178" s="458"/>
      <c r="R178" s="472">
        <v>45793</v>
      </c>
      <c r="S178" s="472" t="s">
        <v>96</v>
      </c>
      <c r="T178" s="472">
        <v>45807</v>
      </c>
      <c r="U178" s="472"/>
      <c r="V178" s="473" t="s">
        <v>3577</v>
      </c>
      <c r="W178" s="473" t="s">
        <v>226</v>
      </c>
      <c r="X178" s="473">
        <v>0.564</v>
      </c>
      <c r="Y178" s="480">
        <f t="shared" si="42"/>
        <v>8544.6</v>
      </c>
      <c r="Z178" s="458"/>
      <c r="AA178" s="458" t="s">
        <v>3198</v>
      </c>
      <c r="AB178" s="458" t="s">
        <v>76</v>
      </c>
      <c r="AC178" s="458"/>
      <c r="AD178" s="458" t="s">
        <v>69</v>
      </c>
      <c r="AE178" s="458"/>
      <c r="AF178" s="458">
        <f>12375+2775</f>
        <v>15150</v>
      </c>
      <c r="AG178" s="458">
        <f t="shared" si="43"/>
        <v>0</v>
      </c>
      <c r="AH178" s="489"/>
      <c r="AI178" s="458"/>
      <c r="AJ178" s="458"/>
      <c r="AK178" s="458">
        <f>I178</f>
        <v>15150</v>
      </c>
      <c r="AM178" s="425">
        <f>I178</f>
        <v>15150</v>
      </c>
      <c r="AO178" s="495"/>
      <c r="AR178" s="425">
        <f>I178</f>
        <v>15150</v>
      </c>
      <c r="AT178" s="495"/>
      <c r="AY178" s="498">
        <f>I178/48</f>
        <v>315.625</v>
      </c>
      <c r="BJ178" s="425">
        <f>I178/25</f>
        <v>606</v>
      </c>
      <c r="BT178" s="495"/>
      <c r="BV178" s="495"/>
      <c r="CK178" s="425">
        <f t="shared" si="27"/>
        <v>606</v>
      </c>
      <c r="CL178" s="425">
        <f t="shared" si="28"/>
        <v>0</v>
      </c>
      <c r="CM178" s="425">
        <f t="shared" si="29"/>
        <v>0</v>
      </c>
      <c r="CN178" s="495"/>
      <c r="CO178" s="495"/>
      <c r="CP178" s="495"/>
      <c r="CT178" s="495"/>
      <c r="CU178" s="495"/>
      <c r="CV178" s="495"/>
      <c r="CW178" s="495"/>
      <c r="CX178" s="495"/>
    </row>
    <row r="179" s="425" customFormat="1" ht="31" customHeight="1" spans="1:102">
      <c r="A179" s="455">
        <v>45790</v>
      </c>
      <c r="B179" s="456" t="s">
        <v>598</v>
      </c>
      <c r="C179" s="457" t="s">
        <v>90</v>
      </c>
      <c r="D179" s="425">
        <v>4500166259</v>
      </c>
      <c r="E179" s="457" t="s">
        <v>599</v>
      </c>
      <c r="F179" s="425" t="s">
        <v>3578</v>
      </c>
      <c r="G179" s="458" t="s">
        <v>3198</v>
      </c>
      <c r="H179" s="458" t="s">
        <v>3303</v>
      </c>
      <c r="I179" s="458">
        <v>20875</v>
      </c>
      <c r="J179" s="458">
        <v>0</v>
      </c>
      <c r="K179" s="458">
        <v>25</v>
      </c>
      <c r="L179" s="462">
        <f t="shared" si="36"/>
        <v>835</v>
      </c>
      <c r="M179" s="463">
        <v>45824</v>
      </c>
      <c r="N179" s="463">
        <v>45820</v>
      </c>
      <c r="O179" s="464"/>
      <c r="P179" s="464" t="s">
        <v>103</v>
      </c>
      <c r="Q179" s="458"/>
      <c r="R179" s="472">
        <v>45796</v>
      </c>
      <c r="S179" s="472" t="s">
        <v>96</v>
      </c>
      <c r="T179" s="472">
        <v>45800</v>
      </c>
      <c r="U179" s="472"/>
      <c r="V179" s="473" t="s">
        <v>3579</v>
      </c>
      <c r="W179" s="473" t="s">
        <v>602</v>
      </c>
      <c r="X179" s="473">
        <v>0.564</v>
      </c>
      <c r="Y179" s="480">
        <f t="shared" si="42"/>
        <v>11773.5</v>
      </c>
      <c r="Z179" s="458"/>
      <c r="AA179" s="458" t="s">
        <v>3198</v>
      </c>
      <c r="AB179" s="458" t="s">
        <v>76</v>
      </c>
      <c r="AC179" s="458"/>
      <c r="AD179" s="458" t="s">
        <v>69</v>
      </c>
      <c r="AE179" s="458"/>
      <c r="AF179" s="458">
        <f>20850+25</f>
        <v>20875</v>
      </c>
      <c r="AG179" s="458">
        <f t="shared" si="43"/>
        <v>0</v>
      </c>
      <c r="AH179" s="489"/>
      <c r="AI179" s="458"/>
      <c r="AJ179" s="458"/>
      <c r="AK179" s="458">
        <f>I179</f>
        <v>20875</v>
      </c>
      <c r="AM179" s="425">
        <f>I179</f>
        <v>20875</v>
      </c>
      <c r="AO179" s="495"/>
      <c r="AR179" s="425">
        <f>I179</f>
        <v>20875</v>
      </c>
      <c r="AT179" s="495"/>
      <c r="AY179" s="498">
        <f>I179/48</f>
        <v>434.895833333333</v>
      </c>
      <c r="BJ179" s="425">
        <f>I179/25</f>
        <v>835</v>
      </c>
      <c r="BT179" s="495"/>
      <c r="BV179" s="495"/>
      <c r="CK179" s="425">
        <f t="shared" si="27"/>
        <v>835</v>
      </c>
      <c r="CL179" s="425">
        <f t="shared" si="28"/>
        <v>0</v>
      </c>
      <c r="CM179" s="425">
        <f t="shared" si="29"/>
        <v>0</v>
      </c>
      <c r="CN179" s="495"/>
      <c r="CO179" s="495"/>
      <c r="CP179" s="495"/>
      <c r="CT179" s="495"/>
      <c r="CU179" s="495"/>
      <c r="CV179" s="495"/>
      <c r="CW179" s="495"/>
      <c r="CX179" s="495"/>
    </row>
    <row r="180" s="425" customFormat="1" ht="31" customHeight="1" spans="1:102">
      <c r="A180" s="455">
        <v>45790</v>
      </c>
      <c r="B180" s="456" t="s">
        <v>598</v>
      </c>
      <c r="C180" s="457" t="s">
        <v>90</v>
      </c>
      <c r="D180" s="425">
        <v>4500166234</v>
      </c>
      <c r="E180" s="457" t="s">
        <v>3580</v>
      </c>
      <c r="F180" s="425" t="s">
        <v>3581</v>
      </c>
      <c r="G180" s="458" t="s">
        <v>3198</v>
      </c>
      <c r="H180" s="458" t="s">
        <v>3303</v>
      </c>
      <c r="I180" s="458">
        <v>17400</v>
      </c>
      <c r="J180" s="458">
        <v>0</v>
      </c>
      <c r="K180" s="458">
        <v>25</v>
      </c>
      <c r="L180" s="462">
        <f t="shared" si="36"/>
        <v>696</v>
      </c>
      <c r="M180" s="463">
        <v>45826</v>
      </c>
      <c r="N180" s="463">
        <v>45822</v>
      </c>
      <c r="O180" s="464"/>
      <c r="P180" s="464" t="s">
        <v>103</v>
      </c>
      <c r="Q180" s="458"/>
      <c r="R180" s="472">
        <v>45793</v>
      </c>
      <c r="S180" s="472" t="s">
        <v>96</v>
      </c>
      <c r="T180" s="472">
        <v>45807</v>
      </c>
      <c r="U180" s="472"/>
      <c r="V180" s="473" t="s">
        <v>3582</v>
      </c>
      <c r="W180" s="473" t="s">
        <v>602</v>
      </c>
      <c r="X180" s="473">
        <v>0.564</v>
      </c>
      <c r="Y180" s="480">
        <f t="shared" si="42"/>
        <v>9813.6</v>
      </c>
      <c r="Z180" s="458"/>
      <c r="AA180" s="458" t="s">
        <v>3198</v>
      </c>
      <c r="AB180" s="458" t="s">
        <v>76</v>
      </c>
      <c r="AC180" s="458"/>
      <c r="AD180" s="458" t="s">
        <v>69</v>
      </c>
      <c r="AE180" s="458"/>
      <c r="AF180" s="458">
        <v>17400</v>
      </c>
      <c r="AG180" s="458">
        <f t="shared" si="43"/>
        <v>0</v>
      </c>
      <c r="AH180" s="489"/>
      <c r="AI180" s="458"/>
      <c r="AJ180" s="458"/>
      <c r="AK180" s="458">
        <f>I180</f>
        <v>17400</v>
      </c>
      <c r="AM180" s="425">
        <f>I180</f>
        <v>17400</v>
      </c>
      <c r="AO180" s="495"/>
      <c r="AR180" s="425">
        <f>I180</f>
        <v>17400</v>
      </c>
      <c r="AT180" s="495"/>
      <c r="AY180" s="498">
        <f>I180/48</f>
        <v>362.5</v>
      </c>
      <c r="BJ180" s="425">
        <f>I180/25</f>
        <v>696</v>
      </c>
      <c r="BT180" s="495"/>
      <c r="BV180" s="495"/>
      <c r="CK180" s="425">
        <f t="shared" si="27"/>
        <v>696</v>
      </c>
      <c r="CL180" s="425">
        <f t="shared" si="28"/>
        <v>0</v>
      </c>
      <c r="CM180" s="425">
        <f t="shared" si="29"/>
        <v>0</v>
      </c>
      <c r="CN180" s="495"/>
      <c r="CO180" s="495"/>
      <c r="CP180" s="495"/>
      <c r="CT180" s="495"/>
      <c r="CU180" s="495"/>
      <c r="CV180" s="495"/>
      <c r="CW180" s="495"/>
      <c r="CX180" s="495"/>
    </row>
    <row r="181" s="425" customFormat="1" ht="31" customHeight="1" spans="1:102">
      <c r="A181" s="455">
        <v>45818</v>
      </c>
      <c r="B181" s="456"/>
      <c r="C181" s="457"/>
      <c r="D181" s="425" t="s">
        <v>576</v>
      </c>
      <c r="E181" s="457"/>
      <c r="G181" s="458" t="s">
        <v>3150</v>
      </c>
      <c r="H181" s="458" t="s">
        <v>3151</v>
      </c>
      <c r="I181" s="458">
        <v>26</v>
      </c>
      <c r="J181" s="458">
        <v>0</v>
      </c>
      <c r="K181" s="458">
        <v>13</v>
      </c>
      <c r="L181" s="462">
        <f t="shared" si="36"/>
        <v>2</v>
      </c>
      <c r="M181" s="463">
        <v>45821</v>
      </c>
      <c r="N181" s="463">
        <v>45817</v>
      </c>
      <c r="O181" s="464"/>
      <c r="P181" s="464"/>
      <c r="Q181" s="458"/>
      <c r="R181" s="472" t="s">
        <v>66</v>
      </c>
      <c r="S181" s="472" t="s">
        <v>66</v>
      </c>
      <c r="T181" s="472" t="s">
        <v>66</v>
      </c>
      <c r="U181" s="472"/>
      <c r="V181" s="473" t="s">
        <v>3583</v>
      </c>
      <c r="W181" s="473" t="s">
        <v>79</v>
      </c>
      <c r="X181" s="473"/>
      <c r="Y181" s="480"/>
      <c r="Z181" s="458" t="s">
        <v>578</v>
      </c>
      <c r="AA181" s="458" t="s">
        <v>68</v>
      </c>
      <c r="AB181" s="458" t="s">
        <v>68</v>
      </c>
      <c r="AC181" s="458"/>
      <c r="AD181" s="458" t="s">
        <v>69</v>
      </c>
      <c r="AE181" s="458"/>
      <c r="AF181" s="458">
        <v>26</v>
      </c>
      <c r="AG181" s="458">
        <f t="shared" si="43"/>
        <v>0</v>
      </c>
      <c r="AH181" s="489"/>
      <c r="AI181" s="458"/>
      <c r="AJ181" s="458"/>
      <c r="AK181" s="458">
        <f>I181</f>
        <v>26</v>
      </c>
      <c r="AM181" s="425">
        <f>I181</f>
        <v>26</v>
      </c>
      <c r="AO181" s="495"/>
      <c r="AR181" s="425">
        <f>I181</f>
        <v>26</v>
      </c>
      <c r="AT181" s="495"/>
      <c r="AY181" s="498">
        <f>I181/48</f>
        <v>0.541666666666667</v>
      </c>
      <c r="BG181" s="425">
        <f>I181/13</f>
        <v>2</v>
      </c>
      <c r="BT181" s="495"/>
      <c r="BV181" s="495"/>
      <c r="CK181" s="425">
        <f t="shared" si="27"/>
        <v>0</v>
      </c>
      <c r="CL181" s="425">
        <f t="shared" si="28"/>
        <v>0</v>
      </c>
      <c r="CM181" s="425">
        <f t="shared" si="29"/>
        <v>0</v>
      </c>
      <c r="CN181" s="495"/>
      <c r="CO181" s="495"/>
      <c r="CP181" s="495"/>
      <c r="CT181" s="495"/>
      <c r="CU181" s="495"/>
      <c r="CV181" s="495"/>
      <c r="CW181" s="495"/>
      <c r="CX181" s="495"/>
    </row>
    <row r="182" s="425" customFormat="1" ht="31" customHeight="1" spans="1:102">
      <c r="A182" s="455">
        <v>45817</v>
      </c>
      <c r="B182" s="456"/>
      <c r="C182" s="457"/>
      <c r="D182" s="425" t="s">
        <v>3584</v>
      </c>
      <c r="E182" s="457"/>
      <c r="G182" s="458" t="s">
        <v>3585</v>
      </c>
      <c r="H182" s="458" t="s">
        <v>3194</v>
      </c>
      <c r="I182" s="458" t="s">
        <v>3586</v>
      </c>
      <c r="J182" s="458">
        <v>0</v>
      </c>
      <c r="K182" s="458">
        <v>60</v>
      </c>
      <c r="L182" s="462" t="e">
        <f t="shared" si="36"/>
        <v>#VALUE!</v>
      </c>
      <c r="M182" s="463">
        <v>45821</v>
      </c>
      <c r="N182" s="463">
        <v>45817</v>
      </c>
      <c r="O182" s="464"/>
      <c r="P182" s="464"/>
      <c r="Q182" s="458"/>
      <c r="R182" s="472" t="s">
        <v>66</v>
      </c>
      <c r="S182" s="472" t="s">
        <v>66</v>
      </c>
      <c r="T182" s="472" t="s">
        <v>66</v>
      </c>
      <c r="U182" s="472"/>
      <c r="V182" s="473" t="s">
        <v>3587</v>
      </c>
      <c r="W182" s="473" t="s">
        <v>79</v>
      </c>
      <c r="X182" s="473"/>
      <c r="Y182" s="480"/>
      <c r="Z182" s="458" t="s">
        <v>3588</v>
      </c>
      <c r="AA182" s="458" t="s">
        <v>68</v>
      </c>
      <c r="AB182" s="458" t="s">
        <v>68</v>
      </c>
      <c r="AC182" s="458"/>
      <c r="AD182" s="458" t="s">
        <v>69</v>
      </c>
      <c r="AE182" s="458"/>
      <c r="AF182" s="458"/>
      <c r="AG182" s="458" t="e">
        <f t="shared" si="43"/>
        <v>#VALUE!</v>
      </c>
      <c r="AH182" s="489"/>
      <c r="AI182" s="458"/>
      <c r="AJ182" s="458"/>
      <c r="AK182" s="458"/>
      <c r="AO182" s="495"/>
      <c r="AT182" s="495"/>
      <c r="AY182" s="498"/>
      <c r="BT182" s="495"/>
      <c r="BV182" s="495"/>
      <c r="CA182" s="425">
        <v>2</v>
      </c>
      <c r="CK182" s="425">
        <f t="shared" si="27"/>
        <v>0</v>
      </c>
      <c r="CL182" s="425">
        <f t="shared" si="28"/>
        <v>2</v>
      </c>
      <c r="CM182" s="425">
        <f t="shared" si="29"/>
        <v>0</v>
      </c>
      <c r="CN182" s="495"/>
      <c r="CO182" s="495"/>
      <c r="CP182" s="495"/>
      <c r="CT182" s="495"/>
      <c r="CU182" s="495"/>
      <c r="CV182" s="495"/>
      <c r="CW182" s="495"/>
      <c r="CX182" s="495"/>
    </row>
    <row r="183" s="425" customFormat="1" ht="31" customHeight="1" spans="1:102">
      <c r="A183" s="455">
        <v>45740</v>
      </c>
      <c r="B183" s="456" t="s">
        <v>152</v>
      </c>
      <c r="C183" s="457" t="s">
        <v>153</v>
      </c>
      <c r="D183" s="425">
        <v>4500160810</v>
      </c>
      <c r="E183" s="457">
        <v>9900924255</v>
      </c>
      <c r="F183" s="425" t="s">
        <v>3589</v>
      </c>
      <c r="G183" s="458" t="s">
        <v>3198</v>
      </c>
      <c r="H183" s="458" t="s">
        <v>3303</v>
      </c>
      <c r="I183" s="458">
        <v>8450</v>
      </c>
      <c r="J183" s="458">
        <v>0</v>
      </c>
      <c r="K183" s="458">
        <v>25</v>
      </c>
      <c r="L183" s="462">
        <f t="shared" si="36"/>
        <v>338</v>
      </c>
      <c r="M183" s="463">
        <v>45821</v>
      </c>
      <c r="N183" s="463">
        <v>45817</v>
      </c>
      <c r="O183" s="464"/>
      <c r="P183" s="464" t="s">
        <v>103</v>
      </c>
      <c r="Q183" s="458"/>
      <c r="R183" s="472">
        <v>45784</v>
      </c>
      <c r="S183" s="472" t="s">
        <v>66</v>
      </c>
      <c r="T183" s="472" t="s">
        <v>66</v>
      </c>
      <c r="U183" s="472"/>
      <c r="V183" s="512" t="s">
        <v>3590</v>
      </c>
      <c r="W183" s="473" t="s">
        <v>158</v>
      </c>
      <c r="X183" s="473">
        <v>1.65</v>
      </c>
      <c r="Y183" s="480">
        <f t="shared" ref="Y183:Y202" si="44">X183*I183</f>
        <v>13942.5</v>
      </c>
      <c r="Z183" s="458" t="s">
        <v>3591</v>
      </c>
      <c r="AA183" s="458" t="s">
        <v>3202</v>
      </c>
      <c r="AB183" s="458" t="s">
        <v>76</v>
      </c>
      <c r="AC183" s="458"/>
      <c r="AD183" s="458" t="s">
        <v>69</v>
      </c>
      <c r="AE183" s="458"/>
      <c r="AF183" s="458">
        <v>8450</v>
      </c>
      <c r="AG183" s="458">
        <f t="shared" si="43"/>
        <v>0</v>
      </c>
      <c r="AH183" s="489"/>
      <c r="AI183" s="458"/>
      <c r="AJ183" s="458"/>
      <c r="AK183" s="458">
        <f>I183</f>
        <v>8450</v>
      </c>
      <c r="AO183" s="495"/>
      <c r="AP183" s="425">
        <f>I183</f>
        <v>8450</v>
      </c>
      <c r="AR183" s="425">
        <f>I183</f>
        <v>8450</v>
      </c>
      <c r="AT183" s="495"/>
      <c r="AY183" s="498">
        <f>I183/24</f>
        <v>352.083333333333</v>
      </c>
      <c r="BK183" s="425">
        <f>I183/25</f>
        <v>338</v>
      </c>
      <c r="BT183" s="495"/>
      <c r="BV183" s="495"/>
      <c r="CK183" s="425">
        <f t="shared" si="27"/>
        <v>338</v>
      </c>
      <c r="CL183" s="425">
        <f t="shared" si="28"/>
        <v>0</v>
      </c>
      <c r="CM183" s="425">
        <f t="shared" si="29"/>
        <v>0</v>
      </c>
      <c r="CN183" s="495"/>
      <c r="CO183" s="495"/>
      <c r="CP183" s="495"/>
      <c r="CT183" s="495"/>
      <c r="CU183" s="495"/>
      <c r="CV183" s="495"/>
      <c r="CW183" s="495"/>
      <c r="CX183" s="495"/>
    </row>
    <row r="184" s="425" customFormat="1" ht="31" customHeight="1" spans="1:102">
      <c r="A184" s="455">
        <v>45768</v>
      </c>
      <c r="B184" s="456" t="s">
        <v>565</v>
      </c>
      <c r="C184" s="457" t="s">
        <v>416</v>
      </c>
      <c r="D184" s="425">
        <v>4500164022</v>
      </c>
      <c r="E184" s="457">
        <v>4500152584</v>
      </c>
      <c r="F184" s="425" t="s">
        <v>3592</v>
      </c>
      <c r="G184" s="458" t="s">
        <v>3161</v>
      </c>
      <c r="H184" s="458" t="s">
        <v>3221</v>
      </c>
      <c r="I184" s="458">
        <v>6250</v>
      </c>
      <c r="J184" s="458">
        <v>0</v>
      </c>
      <c r="K184" s="458">
        <v>50</v>
      </c>
      <c r="L184" s="462">
        <f t="shared" si="36"/>
        <v>125</v>
      </c>
      <c r="M184" s="463">
        <v>45822</v>
      </c>
      <c r="N184" s="463">
        <v>45818</v>
      </c>
      <c r="O184" s="464"/>
      <c r="P184" s="464" t="s">
        <v>103</v>
      </c>
      <c r="Q184" s="458" t="s">
        <v>567</v>
      </c>
      <c r="R184" s="472">
        <v>45768</v>
      </c>
      <c r="S184" s="472" t="s">
        <v>66</v>
      </c>
      <c r="T184" s="472" t="s">
        <v>3593</v>
      </c>
      <c r="U184" s="472"/>
      <c r="V184" s="473" t="s">
        <v>3594</v>
      </c>
      <c r="W184" s="473" t="s">
        <v>3595</v>
      </c>
      <c r="X184" s="473">
        <v>0.95</v>
      </c>
      <c r="Y184" s="480">
        <f t="shared" si="44"/>
        <v>5937.5</v>
      </c>
      <c r="Z184" s="458"/>
      <c r="AA184" s="458" t="s">
        <v>3596</v>
      </c>
      <c r="AB184" s="458" t="s">
        <v>76</v>
      </c>
      <c r="AC184" s="458"/>
      <c r="AD184" s="458" t="s">
        <v>69</v>
      </c>
      <c r="AE184" s="458"/>
      <c r="AF184" s="458">
        <f>50+6200</f>
        <v>6250</v>
      </c>
      <c r="AG184" s="458">
        <f t="shared" si="43"/>
        <v>0</v>
      </c>
      <c r="AH184" s="489"/>
      <c r="AI184" s="458"/>
      <c r="AJ184" s="458"/>
      <c r="AK184" s="458"/>
      <c r="AL184" s="426">
        <f>I184</f>
        <v>6250</v>
      </c>
      <c r="AO184" s="495"/>
      <c r="AS184" s="425">
        <f>I184</f>
        <v>6250</v>
      </c>
      <c r="AT184" s="495"/>
      <c r="AY184" s="498">
        <f>I184/24</f>
        <v>260.416666666667</v>
      </c>
      <c r="BB184" s="425">
        <f>I184</f>
        <v>6250</v>
      </c>
      <c r="BL184" s="425">
        <f>I184/25</f>
        <v>250</v>
      </c>
      <c r="BT184" s="495"/>
      <c r="BV184" s="495"/>
      <c r="CK184" s="425">
        <f t="shared" si="27"/>
        <v>250</v>
      </c>
      <c r="CL184" s="425">
        <f t="shared" si="28"/>
        <v>0</v>
      </c>
      <c r="CM184" s="425">
        <f t="shared" si="29"/>
        <v>0</v>
      </c>
      <c r="CN184" s="495"/>
      <c r="CO184" s="495"/>
      <c r="CP184" s="495"/>
      <c r="CT184" s="495"/>
      <c r="CU184" s="495"/>
      <c r="CV184" s="495"/>
      <c r="CW184" s="495"/>
      <c r="CX184" s="495"/>
    </row>
    <row r="185" s="425" customFormat="1" ht="31" customHeight="1" spans="1:102">
      <c r="A185" s="455">
        <v>45777</v>
      </c>
      <c r="B185" s="456" t="s">
        <v>570</v>
      </c>
      <c r="C185" s="457" t="s">
        <v>571</v>
      </c>
      <c r="D185" s="425">
        <v>4500165525</v>
      </c>
      <c r="E185" s="457"/>
      <c r="F185" s="425" t="s">
        <v>3597</v>
      </c>
      <c r="G185" s="458" t="s">
        <v>3158</v>
      </c>
      <c r="H185" s="458" t="s">
        <v>3159</v>
      </c>
      <c r="I185" s="458">
        <v>3328</v>
      </c>
      <c r="J185" s="458">
        <v>0</v>
      </c>
      <c r="K185" s="458">
        <v>52</v>
      </c>
      <c r="L185" s="462">
        <f t="shared" si="36"/>
        <v>64</v>
      </c>
      <c r="M185" s="463">
        <v>45823</v>
      </c>
      <c r="N185" s="463">
        <v>45819</v>
      </c>
      <c r="O185" s="464"/>
      <c r="P185" s="464" t="s">
        <v>103</v>
      </c>
      <c r="Q185" s="458" t="s">
        <v>573</v>
      </c>
      <c r="R185" s="472">
        <v>45792</v>
      </c>
      <c r="S185" s="472" t="s">
        <v>66</v>
      </c>
      <c r="T185" s="472">
        <v>45792</v>
      </c>
      <c r="U185" s="472"/>
      <c r="V185" s="473" t="s">
        <v>3598</v>
      </c>
      <c r="W185" s="473" t="s">
        <v>575</v>
      </c>
      <c r="X185" s="473">
        <v>0.92</v>
      </c>
      <c r="Y185" s="480">
        <f t="shared" si="44"/>
        <v>3061.76</v>
      </c>
      <c r="Z185" s="458"/>
      <c r="AA185" s="458" t="s">
        <v>3158</v>
      </c>
      <c r="AB185" s="458" t="s">
        <v>76</v>
      </c>
      <c r="AC185" s="458"/>
      <c r="AD185" s="458" t="s">
        <v>69</v>
      </c>
      <c r="AE185" s="458"/>
      <c r="AF185" s="458">
        <v>3328</v>
      </c>
      <c r="AG185" s="458">
        <f t="shared" si="43"/>
        <v>0</v>
      </c>
      <c r="AH185" s="489"/>
      <c r="AI185" s="458"/>
      <c r="AJ185" s="458"/>
      <c r="AK185" s="458"/>
      <c r="AL185" s="426">
        <f>I185</f>
        <v>3328</v>
      </c>
      <c r="AO185" s="495"/>
      <c r="AQ185" s="425">
        <f>I185</f>
        <v>3328</v>
      </c>
      <c r="AS185" s="425">
        <f>I185</f>
        <v>3328</v>
      </c>
      <c r="AT185" s="495"/>
      <c r="AY185" s="498">
        <f>I185/24</f>
        <v>138.666666666667</v>
      </c>
      <c r="BI185" s="425">
        <f>I185/13</f>
        <v>256</v>
      </c>
      <c r="BT185" s="495"/>
      <c r="BV185" s="495"/>
      <c r="CK185" s="425">
        <f t="shared" si="27"/>
        <v>0</v>
      </c>
      <c r="CL185" s="425">
        <f t="shared" si="28"/>
        <v>0</v>
      </c>
      <c r="CM185" s="425">
        <f t="shared" si="29"/>
        <v>0</v>
      </c>
      <c r="CN185" s="495"/>
      <c r="CO185" s="495"/>
      <c r="CP185" s="495"/>
      <c r="CT185" s="495"/>
      <c r="CU185" s="495"/>
      <c r="CV185" s="495"/>
      <c r="CW185" s="495"/>
      <c r="CX185" s="495"/>
    </row>
    <row r="186" s="425" customFormat="1" ht="31" customHeight="1" spans="1:102">
      <c r="A186" s="455">
        <v>45783</v>
      </c>
      <c r="B186" s="456" t="s">
        <v>3599</v>
      </c>
      <c r="C186" s="457" t="s">
        <v>116</v>
      </c>
      <c r="D186" s="425">
        <v>4500165566</v>
      </c>
      <c r="E186" s="457">
        <v>20811642</v>
      </c>
      <c r="F186" s="425" t="s">
        <v>3600</v>
      </c>
      <c r="G186" s="458" t="s">
        <v>3206</v>
      </c>
      <c r="H186" s="458" t="s">
        <v>3207</v>
      </c>
      <c r="I186" s="458">
        <v>1508</v>
      </c>
      <c r="J186" s="458">
        <v>0</v>
      </c>
      <c r="K186" s="458">
        <v>13</v>
      </c>
      <c r="L186" s="462">
        <f t="shared" si="36"/>
        <v>116</v>
      </c>
      <c r="M186" s="463">
        <v>45824</v>
      </c>
      <c r="N186" s="463">
        <v>45820</v>
      </c>
      <c r="O186" s="464"/>
      <c r="P186" s="464" t="s">
        <v>103</v>
      </c>
      <c r="Q186" s="458"/>
      <c r="R186" s="472">
        <v>45793</v>
      </c>
      <c r="S186" s="472" t="s">
        <v>96</v>
      </c>
      <c r="T186" s="472">
        <v>45803</v>
      </c>
      <c r="U186" s="472"/>
      <c r="V186" s="473" t="s">
        <v>3601</v>
      </c>
      <c r="W186" s="473" t="s">
        <v>3602</v>
      </c>
      <c r="X186" s="473">
        <v>0.95</v>
      </c>
      <c r="Y186" s="480">
        <f t="shared" si="44"/>
        <v>1432.6</v>
      </c>
      <c r="Z186" s="458"/>
      <c r="AA186" s="458" t="s">
        <v>3206</v>
      </c>
      <c r="AB186" s="458" t="s">
        <v>76</v>
      </c>
      <c r="AC186" s="458"/>
      <c r="AD186" s="458" t="s">
        <v>69</v>
      </c>
      <c r="AE186" s="458"/>
      <c r="AF186" s="458">
        <v>1508</v>
      </c>
      <c r="AG186" s="458">
        <f t="shared" si="43"/>
        <v>0</v>
      </c>
      <c r="AH186" s="489"/>
      <c r="AI186" s="458"/>
      <c r="AJ186" s="458"/>
      <c r="AK186" s="458"/>
      <c r="AL186" s="426">
        <f>I186</f>
        <v>1508</v>
      </c>
      <c r="AO186" s="495"/>
      <c r="AQ186" s="425">
        <f>I186</f>
        <v>1508</v>
      </c>
      <c r="AS186" s="425">
        <f>I186</f>
        <v>1508</v>
      </c>
      <c r="AT186" s="495"/>
      <c r="AY186" s="498">
        <f>I186/24</f>
        <v>62.8333333333333</v>
      </c>
      <c r="BI186" s="425">
        <f>I186/13</f>
        <v>116</v>
      </c>
      <c r="BT186" s="495"/>
      <c r="BV186" s="495"/>
      <c r="CK186" s="425">
        <f t="shared" si="27"/>
        <v>0</v>
      </c>
      <c r="CL186" s="425">
        <f t="shared" si="28"/>
        <v>0</v>
      </c>
      <c r="CM186" s="425">
        <f t="shared" si="29"/>
        <v>0</v>
      </c>
      <c r="CN186" s="495"/>
      <c r="CO186" s="495"/>
      <c r="CP186" s="495"/>
      <c r="CT186" s="495"/>
      <c r="CU186" s="495"/>
      <c r="CV186" s="495"/>
      <c r="CW186" s="495"/>
      <c r="CX186" s="495"/>
    </row>
    <row r="187" s="425" customFormat="1" ht="31" customHeight="1" spans="1:102">
      <c r="A187" s="455">
        <v>45771</v>
      </c>
      <c r="B187" s="456" t="s">
        <v>312</v>
      </c>
      <c r="C187" s="457" t="s">
        <v>90</v>
      </c>
      <c r="D187" s="425" t="s">
        <v>3603</v>
      </c>
      <c r="E187" s="457"/>
      <c r="G187" s="458" t="s">
        <v>3154</v>
      </c>
      <c r="H187" s="458" t="s">
        <v>3151</v>
      </c>
      <c r="I187" s="458">
        <v>3400</v>
      </c>
      <c r="J187" s="458">
        <v>0</v>
      </c>
      <c r="K187" s="458">
        <v>25</v>
      </c>
      <c r="L187" s="462">
        <f t="shared" si="36"/>
        <v>136</v>
      </c>
      <c r="M187" s="463">
        <v>45824</v>
      </c>
      <c r="N187" s="463">
        <v>45820</v>
      </c>
      <c r="O187" s="464"/>
      <c r="P187" s="464" t="s">
        <v>103</v>
      </c>
      <c r="Q187" s="458" t="s">
        <v>3604</v>
      </c>
      <c r="R187" s="472" t="s">
        <v>1144</v>
      </c>
      <c r="S187" s="472" t="s">
        <v>66</v>
      </c>
      <c r="T187" s="472" t="s">
        <v>66</v>
      </c>
      <c r="U187" s="472"/>
      <c r="V187" s="473" t="s">
        <v>3605</v>
      </c>
      <c r="W187" s="473" t="s">
        <v>3606</v>
      </c>
      <c r="X187" s="473">
        <v>0.9</v>
      </c>
      <c r="Y187" s="480">
        <f t="shared" si="44"/>
        <v>3060</v>
      </c>
      <c r="Z187" s="458" t="s">
        <v>3607</v>
      </c>
      <c r="AA187" s="458" t="s">
        <v>3154</v>
      </c>
      <c r="AB187" s="458" t="s">
        <v>76</v>
      </c>
      <c r="AC187" s="458"/>
      <c r="AD187" s="458" t="s">
        <v>69</v>
      </c>
      <c r="AE187" s="458"/>
      <c r="AF187" s="425">
        <v>3400</v>
      </c>
      <c r="AG187" s="458">
        <f>AF188-I187</f>
        <v>3400</v>
      </c>
      <c r="AH187" s="489"/>
      <c r="AI187" s="458"/>
      <c r="AJ187" s="458"/>
      <c r="AK187" s="458">
        <f t="shared" ref="AK187:AK197" si="45">I187</f>
        <v>3400</v>
      </c>
      <c r="AM187" s="425">
        <f t="shared" ref="AM187:AM197" si="46">I187</f>
        <v>3400</v>
      </c>
      <c r="AO187" s="495"/>
      <c r="AR187" s="425">
        <f t="shared" ref="AR187:AR197" si="47">I187</f>
        <v>3400</v>
      </c>
      <c r="AT187" s="495"/>
      <c r="AY187" s="498">
        <f t="shared" ref="AY187:AY197" si="48">I187/48</f>
        <v>70.8333333333333</v>
      </c>
      <c r="BJ187" s="425">
        <f>I187/25</f>
        <v>136</v>
      </c>
      <c r="BT187" s="495"/>
      <c r="BV187" s="495"/>
      <c r="CK187" s="425">
        <f t="shared" si="27"/>
        <v>136</v>
      </c>
      <c r="CL187" s="425">
        <f t="shared" si="28"/>
        <v>0</v>
      </c>
      <c r="CM187" s="425">
        <f t="shared" si="29"/>
        <v>0</v>
      </c>
      <c r="CN187" s="495"/>
      <c r="CO187" s="495"/>
      <c r="CP187" s="495"/>
      <c r="CT187" s="495"/>
      <c r="CU187" s="495"/>
      <c r="CV187" s="495"/>
      <c r="CW187" s="495"/>
      <c r="CX187" s="495"/>
    </row>
    <row r="188" s="425" customFormat="1" ht="31" customHeight="1" spans="1:102">
      <c r="A188" s="455">
        <v>45771</v>
      </c>
      <c r="B188" s="456" t="s">
        <v>312</v>
      </c>
      <c r="C188" s="457" t="s">
        <v>90</v>
      </c>
      <c r="D188" s="425" t="s">
        <v>3603</v>
      </c>
      <c r="E188" s="457"/>
      <c r="G188" s="458" t="s">
        <v>3154</v>
      </c>
      <c r="H188" s="458" t="s">
        <v>3151</v>
      </c>
      <c r="I188" s="458">
        <v>6800</v>
      </c>
      <c r="J188" s="458">
        <v>0</v>
      </c>
      <c r="K188" s="458">
        <v>25</v>
      </c>
      <c r="L188" s="462">
        <f t="shared" si="36"/>
        <v>272</v>
      </c>
      <c r="M188" s="463">
        <v>45824</v>
      </c>
      <c r="N188" s="463">
        <v>45820</v>
      </c>
      <c r="O188" s="464"/>
      <c r="P188" s="464" t="s">
        <v>103</v>
      </c>
      <c r="Q188" s="458" t="s">
        <v>3604</v>
      </c>
      <c r="R188" s="472" t="s">
        <v>1144</v>
      </c>
      <c r="S188" s="472" t="s">
        <v>66</v>
      </c>
      <c r="T188" s="472" t="s">
        <v>66</v>
      </c>
      <c r="U188" s="472"/>
      <c r="V188" s="473" t="s">
        <v>3605</v>
      </c>
      <c r="W188" s="473" t="s">
        <v>3606</v>
      </c>
      <c r="X188" s="473">
        <v>0.9</v>
      </c>
      <c r="Y188" s="480">
        <f t="shared" si="44"/>
        <v>6120</v>
      </c>
      <c r="Z188" s="458" t="s">
        <v>3607</v>
      </c>
      <c r="AA188" s="458" t="s">
        <v>3154</v>
      </c>
      <c r="AB188" s="458" t="s">
        <v>76</v>
      </c>
      <c r="AC188" s="458"/>
      <c r="AD188" s="458" t="s">
        <v>69</v>
      </c>
      <c r="AE188" s="458"/>
      <c r="AF188" s="458">
        <v>6800</v>
      </c>
      <c r="AG188" s="458">
        <f t="shared" ref="AG188:AG207" si="49">AF188-I188</f>
        <v>0</v>
      </c>
      <c r="AH188" s="489"/>
      <c r="AI188" s="458"/>
      <c r="AJ188" s="458"/>
      <c r="AK188" s="458">
        <f t="shared" si="45"/>
        <v>6800</v>
      </c>
      <c r="AM188" s="425">
        <f t="shared" si="46"/>
        <v>6800</v>
      </c>
      <c r="AO188" s="495"/>
      <c r="AR188" s="425">
        <f t="shared" si="47"/>
        <v>6800</v>
      </c>
      <c r="AT188" s="495"/>
      <c r="AY188" s="498">
        <f t="shared" si="48"/>
        <v>141.666666666667</v>
      </c>
      <c r="BJ188" s="425">
        <f>I188/25</f>
        <v>272</v>
      </c>
      <c r="BT188" s="495"/>
      <c r="BV188" s="495"/>
      <c r="CK188" s="425">
        <f t="shared" si="27"/>
        <v>272</v>
      </c>
      <c r="CL188" s="425">
        <f t="shared" si="28"/>
        <v>0</v>
      </c>
      <c r="CM188" s="425">
        <f t="shared" si="29"/>
        <v>0</v>
      </c>
      <c r="CN188" s="495"/>
      <c r="CO188" s="495"/>
      <c r="CP188" s="495"/>
      <c r="CT188" s="495"/>
      <c r="CU188" s="495"/>
      <c r="CV188" s="495"/>
      <c r="CW188" s="495"/>
      <c r="CX188" s="495"/>
    </row>
    <row r="189" s="425" customFormat="1" ht="31" customHeight="1" spans="1:102">
      <c r="A189" s="455">
        <v>45775</v>
      </c>
      <c r="B189" s="456" t="s">
        <v>128</v>
      </c>
      <c r="C189" s="457" t="s">
        <v>90</v>
      </c>
      <c r="D189" s="425">
        <v>4500162824</v>
      </c>
      <c r="E189" s="457" t="s">
        <v>3608</v>
      </c>
      <c r="F189" s="425" t="s">
        <v>3609</v>
      </c>
      <c r="G189" s="458" t="s">
        <v>3180</v>
      </c>
      <c r="H189" s="458" t="s">
        <v>3181</v>
      </c>
      <c r="I189" s="458">
        <v>4256</v>
      </c>
      <c r="J189" s="458">
        <v>0</v>
      </c>
      <c r="K189" s="458">
        <v>16</v>
      </c>
      <c r="L189" s="462">
        <f t="shared" si="36"/>
        <v>266</v>
      </c>
      <c r="M189" s="463">
        <v>45825</v>
      </c>
      <c r="N189" s="463">
        <v>45821</v>
      </c>
      <c r="O189" s="464"/>
      <c r="P189" s="464" t="s">
        <v>103</v>
      </c>
      <c r="Q189" s="458"/>
      <c r="R189" s="472" t="s">
        <v>3408</v>
      </c>
      <c r="S189" s="472" t="s">
        <v>66</v>
      </c>
      <c r="T189" s="472" t="s">
        <v>133</v>
      </c>
      <c r="U189" s="472"/>
      <c r="V189" s="473" t="s">
        <v>3610</v>
      </c>
      <c r="W189" s="473" t="s">
        <v>98</v>
      </c>
      <c r="X189" s="473">
        <v>1.008</v>
      </c>
      <c r="Y189" s="480">
        <f t="shared" si="44"/>
        <v>4290.048</v>
      </c>
      <c r="Z189" s="458" t="s">
        <v>3611</v>
      </c>
      <c r="AA189" s="458" t="s">
        <v>3180</v>
      </c>
      <c r="AB189" s="458" t="s">
        <v>76</v>
      </c>
      <c r="AC189" s="458"/>
      <c r="AD189" s="458" t="s">
        <v>69</v>
      </c>
      <c r="AE189" s="458"/>
      <c r="AF189" s="458">
        <v>4256</v>
      </c>
      <c r="AG189" s="458">
        <f t="shared" si="49"/>
        <v>0</v>
      </c>
      <c r="AH189" s="489"/>
      <c r="AI189" s="458"/>
      <c r="AJ189" s="458"/>
      <c r="AK189" s="458">
        <f t="shared" si="45"/>
        <v>4256</v>
      </c>
      <c r="AM189" s="425">
        <f t="shared" si="46"/>
        <v>4256</v>
      </c>
      <c r="AO189" s="495"/>
      <c r="AR189" s="425">
        <f t="shared" si="47"/>
        <v>4256</v>
      </c>
      <c r="AT189" s="495"/>
      <c r="AY189" s="498">
        <f t="shared" si="48"/>
        <v>88.6666666666667</v>
      </c>
      <c r="BM189" s="425">
        <f>I189/16</f>
        <v>266</v>
      </c>
      <c r="BT189" s="495"/>
      <c r="BV189" s="495"/>
      <c r="CK189" s="425">
        <f t="shared" si="27"/>
        <v>266</v>
      </c>
      <c r="CL189" s="425">
        <f t="shared" si="28"/>
        <v>0</v>
      </c>
      <c r="CM189" s="425">
        <f t="shared" si="29"/>
        <v>0</v>
      </c>
      <c r="CN189" s="495"/>
      <c r="CO189" s="495"/>
      <c r="CP189" s="495"/>
      <c r="CT189" s="495"/>
      <c r="CU189" s="495"/>
      <c r="CV189" s="495"/>
      <c r="CW189" s="495"/>
      <c r="CX189" s="495"/>
    </row>
    <row r="190" s="425" customFormat="1" ht="31" customHeight="1" spans="1:102">
      <c r="A190" s="455">
        <v>45775</v>
      </c>
      <c r="B190" s="456" t="s">
        <v>128</v>
      </c>
      <c r="C190" s="457" t="s">
        <v>90</v>
      </c>
      <c r="D190" s="425">
        <v>4500162824</v>
      </c>
      <c r="E190" s="457" t="s">
        <v>3612</v>
      </c>
      <c r="F190" s="425" t="s">
        <v>3613</v>
      </c>
      <c r="G190" s="458" t="s">
        <v>3180</v>
      </c>
      <c r="H190" s="458" t="s">
        <v>3181</v>
      </c>
      <c r="I190" s="458">
        <v>4096</v>
      </c>
      <c r="J190" s="458">
        <v>0</v>
      </c>
      <c r="K190" s="458">
        <v>16</v>
      </c>
      <c r="L190" s="462">
        <f t="shared" si="36"/>
        <v>256</v>
      </c>
      <c r="M190" s="463">
        <v>45825</v>
      </c>
      <c r="N190" s="463">
        <v>45821</v>
      </c>
      <c r="O190" s="464"/>
      <c r="P190" s="464" t="s">
        <v>103</v>
      </c>
      <c r="Q190" s="458"/>
      <c r="R190" s="472" t="s">
        <v>3408</v>
      </c>
      <c r="S190" s="472" t="s">
        <v>66</v>
      </c>
      <c r="T190" s="472" t="s">
        <v>133</v>
      </c>
      <c r="U190" s="472"/>
      <c r="V190" s="473" t="s">
        <v>3610</v>
      </c>
      <c r="W190" s="473" t="s">
        <v>98</v>
      </c>
      <c r="X190" s="473">
        <v>1.008</v>
      </c>
      <c r="Y190" s="480">
        <f t="shared" si="44"/>
        <v>4128.768</v>
      </c>
      <c r="Z190" s="458" t="s">
        <v>3614</v>
      </c>
      <c r="AA190" s="458" t="s">
        <v>3180</v>
      </c>
      <c r="AB190" s="458" t="s">
        <v>76</v>
      </c>
      <c r="AC190" s="458"/>
      <c r="AD190" s="458" t="s">
        <v>69</v>
      </c>
      <c r="AE190" s="458"/>
      <c r="AF190" s="458">
        <v>4096</v>
      </c>
      <c r="AG190" s="458">
        <f t="shared" si="49"/>
        <v>0</v>
      </c>
      <c r="AH190" s="489"/>
      <c r="AI190" s="458"/>
      <c r="AJ190" s="458"/>
      <c r="AK190" s="458">
        <f t="shared" si="45"/>
        <v>4096</v>
      </c>
      <c r="AM190" s="425">
        <f t="shared" si="46"/>
        <v>4096</v>
      </c>
      <c r="AO190" s="495"/>
      <c r="AR190" s="425">
        <f t="shared" si="47"/>
        <v>4096</v>
      </c>
      <c r="AT190" s="495"/>
      <c r="AY190" s="498">
        <f t="shared" si="48"/>
        <v>85.3333333333333</v>
      </c>
      <c r="BM190" s="425">
        <f>I190/16</f>
        <v>256</v>
      </c>
      <c r="BT190" s="495"/>
      <c r="BV190" s="495"/>
      <c r="CK190" s="425">
        <f t="shared" si="27"/>
        <v>256</v>
      </c>
      <c r="CL190" s="425">
        <f t="shared" si="28"/>
        <v>0</v>
      </c>
      <c r="CM190" s="425">
        <f t="shared" si="29"/>
        <v>0</v>
      </c>
      <c r="CN190" s="495"/>
      <c r="CO190" s="495"/>
      <c r="CP190" s="495"/>
      <c r="CT190" s="495"/>
      <c r="CU190" s="495"/>
      <c r="CV190" s="495"/>
      <c r="CW190" s="495"/>
      <c r="CX190" s="495"/>
    </row>
    <row r="191" s="425" customFormat="1" ht="31" customHeight="1" spans="1:102">
      <c r="A191" s="455">
        <v>45775</v>
      </c>
      <c r="B191" s="456" t="s">
        <v>128</v>
      </c>
      <c r="C191" s="457" t="s">
        <v>90</v>
      </c>
      <c r="D191" s="425">
        <v>4500162824</v>
      </c>
      <c r="E191" s="457" t="s">
        <v>3615</v>
      </c>
      <c r="F191" s="425" t="s">
        <v>3616</v>
      </c>
      <c r="G191" s="458" t="s">
        <v>3180</v>
      </c>
      <c r="H191" s="458" t="s">
        <v>3181</v>
      </c>
      <c r="I191" s="458">
        <v>6544</v>
      </c>
      <c r="J191" s="458">
        <v>0</v>
      </c>
      <c r="K191" s="458">
        <v>16</v>
      </c>
      <c r="L191" s="462">
        <f t="shared" si="36"/>
        <v>409</v>
      </c>
      <c r="M191" s="463">
        <v>45825</v>
      </c>
      <c r="N191" s="463">
        <v>45821</v>
      </c>
      <c r="O191" s="464"/>
      <c r="P191" s="464" t="s">
        <v>103</v>
      </c>
      <c r="Q191" s="458"/>
      <c r="R191" s="472" t="s">
        <v>3408</v>
      </c>
      <c r="S191" s="472" t="s">
        <v>66</v>
      </c>
      <c r="T191" s="472" t="s">
        <v>133</v>
      </c>
      <c r="U191" s="472"/>
      <c r="V191" s="473" t="s">
        <v>3610</v>
      </c>
      <c r="W191" s="473" t="s">
        <v>98</v>
      </c>
      <c r="X191" s="473">
        <v>1.008</v>
      </c>
      <c r="Y191" s="480">
        <f t="shared" si="44"/>
        <v>6596.352</v>
      </c>
      <c r="Z191" s="458"/>
      <c r="AA191" s="458" t="s">
        <v>3180</v>
      </c>
      <c r="AB191" s="458" t="s">
        <v>76</v>
      </c>
      <c r="AC191" s="458"/>
      <c r="AD191" s="458" t="s">
        <v>69</v>
      </c>
      <c r="AE191" s="458"/>
      <c r="AF191" s="458">
        <v>6544</v>
      </c>
      <c r="AG191" s="458">
        <f t="shared" si="49"/>
        <v>0</v>
      </c>
      <c r="AH191" s="489"/>
      <c r="AI191" s="458"/>
      <c r="AJ191" s="458"/>
      <c r="AK191" s="458">
        <f t="shared" si="45"/>
        <v>6544</v>
      </c>
      <c r="AM191" s="425">
        <f t="shared" si="46"/>
        <v>6544</v>
      </c>
      <c r="AO191" s="495"/>
      <c r="AR191" s="425">
        <f t="shared" si="47"/>
        <v>6544</v>
      </c>
      <c r="AT191" s="495"/>
      <c r="AY191" s="498">
        <f t="shared" si="48"/>
        <v>136.333333333333</v>
      </c>
      <c r="BM191" s="425">
        <f>I191/16</f>
        <v>409</v>
      </c>
      <c r="BT191" s="495"/>
      <c r="BV191" s="495"/>
      <c r="CK191" s="425">
        <f t="shared" si="27"/>
        <v>409</v>
      </c>
      <c r="CL191" s="425">
        <f t="shared" si="28"/>
        <v>0</v>
      </c>
      <c r="CM191" s="425">
        <f t="shared" si="29"/>
        <v>0</v>
      </c>
      <c r="CN191" s="495"/>
      <c r="CO191" s="495"/>
      <c r="CP191" s="495"/>
      <c r="CT191" s="495"/>
      <c r="CU191" s="495"/>
      <c r="CV191" s="495"/>
      <c r="CW191" s="495"/>
      <c r="CX191" s="495"/>
    </row>
    <row r="192" s="425" customFormat="1" ht="31" customHeight="1" spans="1:102">
      <c r="A192" s="455">
        <v>45775</v>
      </c>
      <c r="B192" s="456" t="s">
        <v>128</v>
      </c>
      <c r="C192" s="457" t="s">
        <v>90</v>
      </c>
      <c r="D192" s="425">
        <v>4500162824</v>
      </c>
      <c r="E192" s="457" t="s">
        <v>3617</v>
      </c>
      <c r="F192" s="425" t="s">
        <v>3618</v>
      </c>
      <c r="G192" s="458" t="s">
        <v>3180</v>
      </c>
      <c r="H192" s="458" t="s">
        <v>3181</v>
      </c>
      <c r="I192" s="458">
        <v>4896</v>
      </c>
      <c r="J192" s="458">
        <v>0</v>
      </c>
      <c r="K192" s="458">
        <v>16</v>
      </c>
      <c r="L192" s="462">
        <f t="shared" si="36"/>
        <v>306</v>
      </c>
      <c r="M192" s="463">
        <v>45825</v>
      </c>
      <c r="N192" s="463">
        <v>45821</v>
      </c>
      <c r="O192" s="464"/>
      <c r="P192" s="464" t="s">
        <v>103</v>
      </c>
      <c r="Q192" s="458"/>
      <c r="R192" s="472" t="s">
        <v>3408</v>
      </c>
      <c r="S192" s="472" t="s">
        <v>66</v>
      </c>
      <c r="T192" s="472" t="s">
        <v>133</v>
      </c>
      <c r="U192" s="472"/>
      <c r="V192" s="473" t="s">
        <v>3610</v>
      </c>
      <c r="W192" s="473" t="s">
        <v>98</v>
      </c>
      <c r="X192" s="473">
        <v>1.008</v>
      </c>
      <c r="Y192" s="480">
        <f t="shared" si="44"/>
        <v>4935.168</v>
      </c>
      <c r="Z192" s="458" t="s">
        <v>3619</v>
      </c>
      <c r="AA192" s="458" t="s">
        <v>3180</v>
      </c>
      <c r="AB192" s="458" t="s">
        <v>76</v>
      </c>
      <c r="AC192" s="458"/>
      <c r="AD192" s="458" t="s">
        <v>69</v>
      </c>
      <c r="AE192" s="458"/>
      <c r="AF192" s="458">
        <v>4896</v>
      </c>
      <c r="AG192" s="458">
        <f t="shared" si="49"/>
        <v>0</v>
      </c>
      <c r="AH192" s="489"/>
      <c r="AI192" s="458"/>
      <c r="AJ192" s="458"/>
      <c r="AK192" s="458">
        <f t="shared" si="45"/>
        <v>4896</v>
      </c>
      <c r="AM192" s="425">
        <f t="shared" si="46"/>
        <v>4896</v>
      </c>
      <c r="AO192" s="495"/>
      <c r="AR192" s="425">
        <f t="shared" si="47"/>
        <v>4896</v>
      </c>
      <c r="AT192" s="495"/>
      <c r="AY192" s="498">
        <f t="shared" si="48"/>
        <v>102</v>
      </c>
      <c r="BM192" s="425">
        <f>I192/16</f>
        <v>306</v>
      </c>
      <c r="BT192" s="495"/>
      <c r="BV192" s="495"/>
      <c r="CK192" s="425">
        <f t="shared" si="27"/>
        <v>306</v>
      </c>
      <c r="CL192" s="425">
        <f t="shared" si="28"/>
        <v>0</v>
      </c>
      <c r="CM192" s="425">
        <f t="shared" si="29"/>
        <v>0</v>
      </c>
      <c r="CN192" s="495"/>
      <c r="CO192" s="495"/>
      <c r="CP192" s="495"/>
      <c r="CT192" s="495"/>
      <c r="CU192" s="495"/>
      <c r="CV192" s="495"/>
      <c r="CW192" s="495"/>
      <c r="CX192" s="495"/>
    </row>
    <row r="193" s="425" customFormat="1" ht="31" customHeight="1" spans="1:102">
      <c r="A193" s="455">
        <v>45775</v>
      </c>
      <c r="B193" s="456" t="s">
        <v>128</v>
      </c>
      <c r="C193" s="457" t="s">
        <v>90</v>
      </c>
      <c r="D193" s="425">
        <v>4500162824</v>
      </c>
      <c r="E193" s="457" t="s">
        <v>3620</v>
      </c>
      <c r="F193" s="425" t="s">
        <v>3621</v>
      </c>
      <c r="G193" s="458" t="s">
        <v>3180</v>
      </c>
      <c r="H193" s="458" t="s">
        <v>3181</v>
      </c>
      <c r="I193" s="458">
        <v>5808</v>
      </c>
      <c r="J193" s="458">
        <v>0</v>
      </c>
      <c r="K193" s="458">
        <v>16</v>
      </c>
      <c r="L193" s="462">
        <f t="shared" si="36"/>
        <v>363</v>
      </c>
      <c r="M193" s="463">
        <v>45825</v>
      </c>
      <c r="N193" s="463">
        <v>45821</v>
      </c>
      <c r="O193" s="464"/>
      <c r="P193" s="464" t="s">
        <v>103</v>
      </c>
      <c r="Q193" s="458"/>
      <c r="R193" s="472" t="s">
        <v>3408</v>
      </c>
      <c r="S193" s="472" t="s">
        <v>66</v>
      </c>
      <c r="T193" s="472" t="s">
        <v>133</v>
      </c>
      <c r="U193" s="472"/>
      <c r="V193" s="473" t="s">
        <v>3610</v>
      </c>
      <c r="W193" s="473" t="s">
        <v>98</v>
      </c>
      <c r="X193" s="473">
        <v>1.008</v>
      </c>
      <c r="Y193" s="480">
        <f t="shared" si="44"/>
        <v>5854.464</v>
      </c>
      <c r="Z193" s="458" t="s">
        <v>3622</v>
      </c>
      <c r="AA193" s="458" t="s">
        <v>3180</v>
      </c>
      <c r="AB193" s="458" t="s">
        <v>76</v>
      </c>
      <c r="AC193" s="458"/>
      <c r="AD193" s="458" t="s">
        <v>69</v>
      </c>
      <c r="AE193" s="458"/>
      <c r="AF193" s="458">
        <v>5808</v>
      </c>
      <c r="AG193" s="458">
        <f t="shared" si="49"/>
        <v>0</v>
      </c>
      <c r="AH193" s="489"/>
      <c r="AI193" s="458"/>
      <c r="AJ193" s="458"/>
      <c r="AK193" s="458">
        <f t="shared" si="45"/>
        <v>5808</v>
      </c>
      <c r="AM193" s="425">
        <f t="shared" si="46"/>
        <v>5808</v>
      </c>
      <c r="AO193" s="495"/>
      <c r="AR193" s="425">
        <f t="shared" si="47"/>
        <v>5808</v>
      </c>
      <c r="AT193" s="495"/>
      <c r="AY193" s="498">
        <f t="shared" si="48"/>
        <v>121</v>
      </c>
      <c r="BM193" s="425">
        <f>I193/16</f>
        <v>363</v>
      </c>
      <c r="BT193" s="495"/>
      <c r="BV193" s="495"/>
      <c r="CK193" s="425">
        <f t="shared" si="27"/>
        <v>363</v>
      </c>
      <c r="CL193" s="425">
        <f t="shared" si="28"/>
        <v>0</v>
      </c>
      <c r="CM193" s="425">
        <f t="shared" si="29"/>
        <v>0</v>
      </c>
      <c r="CN193" s="495"/>
      <c r="CO193" s="495"/>
      <c r="CP193" s="495"/>
      <c r="CT193" s="495"/>
      <c r="CU193" s="495"/>
      <c r="CV193" s="495"/>
      <c r="CW193" s="495"/>
      <c r="CX193" s="495"/>
    </row>
    <row r="194" s="425" customFormat="1" ht="31" customHeight="1" spans="1:102">
      <c r="A194" s="455">
        <v>45789</v>
      </c>
      <c r="B194" s="456" t="s">
        <v>3623</v>
      </c>
      <c r="C194" s="457" t="s">
        <v>90</v>
      </c>
      <c r="D194" s="425">
        <v>4500168832</v>
      </c>
      <c r="E194" s="457">
        <v>217111822</v>
      </c>
      <c r="F194" s="425" t="s">
        <v>3624</v>
      </c>
      <c r="G194" s="458" t="s">
        <v>3272</v>
      </c>
      <c r="H194" s="458" t="s">
        <v>3207</v>
      </c>
      <c r="I194" s="458">
        <v>1755</v>
      </c>
      <c r="J194" s="458">
        <v>0</v>
      </c>
      <c r="K194" s="458">
        <v>13</v>
      </c>
      <c r="L194" s="462">
        <f t="shared" si="36"/>
        <v>135</v>
      </c>
      <c r="M194" s="463">
        <v>45827</v>
      </c>
      <c r="N194" s="463">
        <v>45824</v>
      </c>
      <c r="O194" s="464"/>
      <c r="P194" s="464" t="s">
        <v>103</v>
      </c>
      <c r="Q194" s="458"/>
      <c r="R194" s="472">
        <v>45793</v>
      </c>
      <c r="S194" s="472" t="s">
        <v>66</v>
      </c>
      <c r="T194" s="472" t="s">
        <v>66</v>
      </c>
      <c r="U194" s="472"/>
      <c r="V194" s="473" t="s">
        <v>3625</v>
      </c>
      <c r="W194" s="473" t="s">
        <v>3626</v>
      </c>
      <c r="X194" s="473">
        <v>0.552</v>
      </c>
      <c r="Y194" s="480">
        <f t="shared" si="44"/>
        <v>968.76</v>
      </c>
      <c r="Z194" s="458"/>
      <c r="AA194" s="458" t="s">
        <v>3359</v>
      </c>
      <c r="AB194" s="458" t="s">
        <v>76</v>
      </c>
      <c r="AC194" s="458"/>
      <c r="AD194" s="458" t="s">
        <v>69</v>
      </c>
      <c r="AE194" s="458"/>
      <c r="AF194" s="458">
        <v>1755</v>
      </c>
      <c r="AG194" s="458">
        <f t="shared" si="49"/>
        <v>0</v>
      </c>
      <c r="AH194" s="489"/>
      <c r="AI194" s="458"/>
      <c r="AJ194" s="458"/>
      <c r="AK194" s="458">
        <f t="shared" si="45"/>
        <v>1755</v>
      </c>
      <c r="AM194" s="425">
        <f t="shared" si="46"/>
        <v>1755</v>
      </c>
      <c r="AO194" s="495"/>
      <c r="AR194" s="425">
        <f t="shared" si="47"/>
        <v>1755</v>
      </c>
      <c r="AT194" s="495"/>
      <c r="AY194" s="498">
        <f t="shared" si="48"/>
        <v>36.5625</v>
      </c>
      <c r="BG194" s="425">
        <f>I194/13</f>
        <v>135</v>
      </c>
      <c r="BT194" s="495"/>
      <c r="BV194" s="495"/>
      <c r="CK194" s="425">
        <f t="shared" si="27"/>
        <v>0</v>
      </c>
      <c r="CL194" s="425">
        <f t="shared" si="28"/>
        <v>0</v>
      </c>
      <c r="CM194" s="425">
        <f t="shared" si="29"/>
        <v>0</v>
      </c>
      <c r="CN194" s="495"/>
      <c r="CO194" s="495"/>
      <c r="CP194" s="495"/>
      <c r="CT194" s="495"/>
      <c r="CU194" s="495"/>
      <c r="CV194" s="495"/>
      <c r="CW194" s="495"/>
      <c r="CX194" s="495"/>
    </row>
    <row r="195" s="425" customFormat="1" ht="31" customHeight="1" spans="1:102">
      <c r="A195" s="455">
        <v>45789</v>
      </c>
      <c r="B195" s="456" t="s">
        <v>3623</v>
      </c>
      <c r="C195" s="457" t="s">
        <v>90</v>
      </c>
      <c r="D195" s="425">
        <v>4500168889</v>
      </c>
      <c r="E195" s="457">
        <v>217111784</v>
      </c>
      <c r="F195" s="425" t="s">
        <v>3627</v>
      </c>
      <c r="G195" s="458" t="s">
        <v>3272</v>
      </c>
      <c r="H195" s="458" t="s">
        <v>3207</v>
      </c>
      <c r="I195" s="458">
        <v>3250</v>
      </c>
      <c r="J195" s="458">
        <v>0</v>
      </c>
      <c r="K195" s="458">
        <v>13</v>
      </c>
      <c r="L195" s="462">
        <f t="shared" si="36"/>
        <v>250</v>
      </c>
      <c r="M195" s="463">
        <v>45827</v>
      </c>
      <c r="N195" s="463">
        <v>45824</v>
      </c>
      <c r="O195" s="464" t="s">
        <v>3628</v>
      </c>
      <c r="P195" s="464" t="s">
        <v>103</v>
      </c>
      <c r="Q195" s="458"/>
      <c r="R195" s="472">
        <v>45793</v>
      </c>
      <c r="S195" s="472" t="s">
        <v>66</v>
      </c>
      <c r="T195" s="472" t="s">
        <v>66</v>
      </c>
      <c r="U195" s="472"/>
      <c r="V195" s="473" t="s">
        <v>3625</v>
      </c>
      <c r="W195" s="473" t="s">
        <v>3626</v>
      </c>
      <c r="X195" s="473">
        <v>0.5528</v>
      </c>
      <c r="Y195" s="480">
        <f t="shared" si="44"/>
        <v>1796.6</v>
      </c>
      <c r="Z195" s="458"/>
      <c r="AA195" s="458" t="s">
        <v>3359</v>
      </c>
      <c r="AB195" s="458" t="s">
        <v>76</v>
      </c>
      <c r="AC195" s="458"/>
      <c r="AD195" s="458" t="s">
        <v>69</v>
      </c>
      <c r="AE195" s="458"/>
      <c r="AF195" s="458">
        <v>3250</v>
      </c>
      <c r="AG195" s="458">
        <f t="shared" si="49"/>
        <v>0</v>
      </c>
      <c r="AH195" s="489"/>
      <c r="AI195" s="458"/>
      <c r="AJ195" s="458"/>
      <c r="AK195" s="458">
        <f t="shared" si="45"/>
        <v>3250</v>
      </c>
      <c r="AM195" s="425">
        <f t="shared" si="46"/>
        <v>3250</v>
      </c>
      <c r="AO195" s="495"/>
      <c r="AR195" s="425">
        <f t="shared" si="47"/>
        <v>3250</v>
      </c>
      <c r="AT195" s="495"/>
      <c r="AY195" s="498">
        <f t="shared" si="48"/>
        <v>67.7083333333333</v>
      </c>
      <c r="BG195" s="425">
        <f>I195/13</f>
        <v>250</v>
      </c>
      <c r="BT195" s="495"/>
      <c r="BV195" s="495"/>
      <c r="CK195" s="425">
        <f t="shared" ref="CK195:CK258" si="50">BM195+BL195+BK195+BJ195+BS195</f>
        <v>0</v>
      </c>
      <c r="CL195" s="425">
        <f t="shared" ref="CL195:CL258" si="51">CA195+CB195+CC195+CD195+CE195+CG195+CF195</f>
        <v>0</v>
      </c>
      <c r="CM195" s="425">
        <f t="shared" ref="CM195:CM258" si="52">BY195+BZ195</f>
        <v>0</v>
      </c>
      <c r="CN195" s="495"/>
      <c r="CO195" s="495"/>
      <c r="CP195" s="495"/>
      <c r="CT195" s="495"/>
      <c r="CU195" s="495"/>
      <c r="CV195" s="495"/>
      <c r="CW195" s="495"/>
      <c r="CX195" s="495"/>
    </row>
    <row r="196" s="425" customFormat="1" ht="31" customHeight="1" spans="1:102">
      <c r="A196" s="455">
        <v>45774</v>
      </c>
      <c r="B196" s="456" t="s">
        <v>3629</v>
      </c>
      <c r="C196" s="457" t="s">
        <v>90</v>
      </c>
      <c r="D196" s="425">
        <v>4500165138</v>
      </c>
      <c r="E196" s="457" t="s">
        <v>3630</v>
      </c>
      <c r="F196" s="425" t="s">
        <v>3631</v>
      </c>
      <c r="G196" s="458" t="s">
        <v>3198</v>
      </c>
      <c r="H196" s="458" t="s">
        <v>3303</v>
      </c>
      <c r="I196" s="458">
        <v>5625</v>
      </c>
      <c r="J196" s="458">
        <v>0</v>
      </c>
      <c r="K196" s="458">
        <v>25</v>
      </c>
      <c r="L196" s="462">
        <f t="shared" si="36"/>
        <v>225</v>
      </c>
      <c r="M196" s="463">
        <v>45828</v>
      </c>
      <c r="N196" s="463">
        <v>45824</v>
      </c>
      <c r="O196" s="464"/>
      <c r="P196" s="464" t="s">
        <v>103</v>
      </c>
      <c r="Q196" s="458"/>
      <c r="R196" s="472">
        <v>45796</v>
      </c>
      <c r="S196" s="472" t="s">
        <v>66</v>
      </c>
      <c r="T196" s="472" t="s">
        <v>66</v>
      </c>
      <c r="U196" s="472"/>
      <c r="V196" s="473" t="s">
        <v>3632</v>
      </c>
      <c r="W196" s="473" t="s">
        <v>2868</v>
      </c>
      <c r="X196" s="473">
        <v>0.564</v>
      </c>
      <c r="Y196" s="480">
        <f t="shared" si="44"/>
        <v>3172.5</v>
      </c>
      <c r="Z196" s="458"/>
      <c r="AA196" s="458" t="s">
        <v>3198</v>
      </c>
      <c r="AB196" s="458" t="s">
        <v>76</v>
      </c>
      <c r="AC196" s="458"/>
      <c r="AD196" s="458" t="s">
        <v>69</v>
      </c>
      <c r="AE196" s="458"/>
      <c r="AF196" s="458">
        <v>5625</v>
      </c>
      <c r="AG196" s="458">
        <f t="shared" si="49"/>
        <v>0</v>
      </c>
      <c r="AH196" s="489"/>
      <c r="AI196" s="458"/>
      <c r="AJ196" s="458"/>
      <c r="AK196" s="458">
        <f t="shared" si="45"/>
        <v>5625</v>
      </c>
      <c r="AM196" s="425">
        <f t="shared" si="46"/>
        <v>5625</v>
      </c>
      <c r="AO196" s="495"/>
      <c r="AR196" s="425">
        <f t="shared" si="47"/>
        <v>5625</v>
      </c>
      <c r="AT196" s="495"/>
      <c r="AY196" s="498">
        <f t="shared" si="48"/>
        <v>117.1875</v>
      </c>
      <c r="BJ196" s="425">
        <f>I196/25</f>
        <v>225</v>
      </c>
      <c r="BT196" s="495"/>
      <c r="BV196" s="495"/>
      <c r="CK196" s="425">
        <f t="shared" si="50"/>
        <v>225</v>
      </c>
      <c r="CL196" s="425">
        <f t="shared" si="51"/>
        <v>0</v>
      </c>
      <c r="CM196" s="425">
        <f t="shared" si="52"/>
        <v>0</v>
      </c>
      <c r="CN196" s="495"/>
      <c r="CO196" s="495"/>
      <c r="CP196" s="495"/>
      <c r="CT196" s="495"/>
      <c r="CU196" s="495"/>
      <c r="CV196" s="495"/>
      <c r="CW196" s="495"/>
      <c r="CX196" s="495"/>
    </row>
    <row r="197" s="425" customFormat="1" ht="31" customHeight="1" spans="1:102">
      <c r="A197" s="455">
        <v>45774</v>
      </c>
      <c r="B197" s="456" t="s">
        <v>3629</v>
      </c>
      <c r="C197" s="457" t="s">
        <v>90</v>
      </c>
      <c r="D197" s="425">
        <v>4500165084</v>
      </c>
      <c r="E197" s="457" t="s">
        <v>3633</v>
      </c>
      <c r="F197" s="425" t="s">
        <v>3634</v>
      </c>
      <c r="G197" s="458" t="s">
        <v>3198</v>
      </c>
      <c r="H197" s="458" t="s">
        <v>3303</v>
      </c>
      <c r="I197" s="458">
        <v>6625</v>
      </c>
      <c r="J197" s="458">
        <v>0</v>
      </c>
      <c r="K197" s="458">
        <v>25</v>
      </c>
      <c r="L197" s="462">
        <f t="shared" si="36"/>
        <v>265</v>
      </c>
      <c r="M197" s="463">
        <v>45828</v>
      </c>
      <c r="N197" s="463">
        <v>45824</v>
      </c>
      <c r="O197" s="464"/>
      <c r="P197" s="464" t="s">
        <v>103</v>
      </c>
      <c r="Q197" s="458"/>
      <c r="R197" s="472">
        <v>45796</v>
      </c>
      <c r="S197" s="472" t="s">
        <v>66</v>
      </c>
      <c r="T197" s="472" t="s">
        <v>66</v>
      </c>
      <c r="U197" s="472"/>
      <c r="V197" s="473" t="s">
        <v>3632</v>
      </c>
      <c r="W197" s="473" t="s">
        <v>2868</v>
      </c>
      <c r="X197" s="473">
        <v>0.5677</v>
      </c>
      <c r="Y197" s="480">
        <f t="shared" si="44"/>
        <v>3761.0125</v>
      </c>
      <c r="Z197" s="458" t="s">
        <v>3635</v>
      </c>
      <c r="AA197" s="458" t="s">
        <v>3198</v>
      </c>
      <c r="AB197" s="458" t="s">
        <v>76</v>
      </c>
      <c r="AC197" s="458"/>
      <c r="AD197" s="458" t="s">
        <v>69</v>
      </c>
      <c r="AE197" s="458"/>
      <c r="AF197" s="458">
        <v>6625</v>
      </c>
      <c r="AG197" s="458">
        <f t="shared" si="49"/>
        <v>0</v>
      </c>
      <c r="AH197" s="489"/>
      <c r="AI197" s="458"/>
      <c r="AJ197" s="458"/>
      <c r="AK197" s="458">
        <f t="shared" si="45"/>
        <v>6625</v>
      </c>
      <c r="AM197" s="425">
        <f t="shared" si="46"/>
        <v>6625</v>
      </c>
      <c r="AO197" s="495"/>
      <c r="AR197" s="425">
        <f t="shared" si="47"/>
        <v>6625</v>
      </c>
      <c r="AT197" s="495"/>
      <c r="AY197" s="498">
        <f t="shared" si="48"/>
        <v>138.020833333333</v>
      </c>
      <c r="BJ197" s="425">
        <f>I197/25</f>
        <v>265</v>
      </c>
      <c r="BT197" s="495"/>
      <c r="BV197" s="495"/>
      <c r="CK197" s="425">
        <f t="shared" si="50"/>
        <v>265</v>
      </c>
      <c r="CL197" s="425">
        <f t="shared" si="51"/>
        <v>0</v>
      </c>
      <c r="CM197" s="425">
        <f t="shared" si="52"/>
        <v>0</v>
      </c>
      <c r="CN197" s="495"/>
      <c r="CO197" s="495"/>
      <c r="CP197" s="495"/>
      <c r="CT197" s="495"/>
      <c r="CU197" s="495"/>
      <c r="CV197" s="495"/>
      <c r="CW197" s="495"/>
      <c r="CX197" s="495"/>
    </row>
    <row r="198" s="425" customFormat="1" ht="31" customHeight="1" spans="1:102">
      <c r="A198" s="455">
        <v>45789</v>
      </c>
      <c r="B198" s="456" t="s">
        <v>3636</v>
      </c>
      <c r="C198" s="457" t="s">
        <v>249</v>
      </c>
      <c r="D198" s="425">
        <v>4500166031</v>
      </c>
      <c r="E198" s="457" t="s">
        <v>3637</v>
      </c>
      <c r="F198" s="425" t="s">
        <v>3638</v>
      </c>
      <c r="G198" s="458" t="s">
        <v>3161</v>
      </c>
      <c r="H198" s="458" t="s">
        <v>3221</v>
      </c>
      <c r="I198" s="458">
        <v>1000</v>
      </c>
      <c r="J198" s="458">
        <v>0</v>
      </c>
      <c r="K198" s="458">
        <v>50</v>
      </c>
      <c r="L198" s="462">
        <f t="shared" si="36"/>
        <v>20</v>
      </c>
      <c r="M198" s="463">
        <v>45831</v>
      </c>
      <c r="N198" s="463">
        <v>45827</v>
      </c>
      <c r="O198" s="464" t="s">
        <v>3639</v>
      </c>
      <c r="P198" s="464" t="s">
        <v>103</v>
      </c>
      <c r="Q198" s="458"/>
      <c r="R198" s="472">
        <v>45789</v>
      </c>
      <c r="S198" s="472" t="s">
        <v>66</v>
      </c>
      <c r="T198" s="472" t="s">
        <v>66</v>
      </c>
      <c r="U198" s="472"/>
      <c r="V198" s="473" t="s">
        <v>3640</v>
      </c>
      <c r="W198" s="473" t="s">
        <v>3641</v>
      </c>
      <c r="X198" s="473">
        <v>0.95</v>
      </c>
      <c r="Y198" s="480">
        <f t="shared" si="44"/>
        <v>950</v>
      </c>
      <c r="Z198" s="458"/>
      <c r="AA198" s="458" t="s">
        <v>3161</v>
      </c>
      <c r="AB198" s="458" t="s">
        <v>76</v>
      </c>
      <c r="AC198" s="458"/>
      <c r="AD198" s="458" t="s">
        <v>69</v>
      </c>
      <c r="AE198" s="458"/>
      <c r="AF198" s="458">
        <f>950+50</f>
        <v>1000</v>
      </c>
      <c r="AG198" s="458">
        <f t="shared" si="49"/>
        <v>0</v>
      </c>
      <c r="AH198" s="489"/>
      <c r="AI198" s="458"/>
      <c r="AJ198" s="458"/>
      <c r="AK198" s="458"/>
      <c r="AL198" s="426">
        <f>I198</f>
        <v>1000</v>
      </c>
      <c r="AO198" s="495"/>
      <c r="AQ198" s="425">
        <f>I198</f>
        <v>1000</v>
      </c>
      <c r="AS198" s="425">
        <f>I198</f>
        <v>1000</v>
      </c>
      <c r="AT198" s="495"/>
      <c r="AY198" s="498">
        <f>I198/24</f>
        <v>41.6666666666667</v>
      </c>
      <c r="BL198" s="425">
        <f>I198/25</f>
        <v>40</v>
      </c>
      <c r="BT198" s="495"/>
      <c r="BV198" s="495"/>
      <c r="CK198" s="425">
        <f t="shared" si="50"/>
        <v>40</v>
      </c>
      <c r="CL198" s="425">
        <f t="shared" si="51"/>
        <v>0</v>
      </c>
      <c r="CM198" s="425">
        <f t="shared" si="52"/>
        <v>0</v>
      </c>
      <c r="CN198" s="495"/>
      <c r="CO198" s="495"/>
      <c r="CP198" s="495"/>
      <c r="CT198" s="495"/>
      <c r="CU198" s="495"/>
      <c r="CV198" s="495"/>
      <c r="CW198" s="495"/>
      <c r="CX198" s="495"/>
    </row>
    <row r="199" s="425" customFormat="1" ht="31" customHeight="1" spans="1:102">
      <c r="A199" s="455">
        <v>45769</v>
      </c>
      <c r="B199" s="456" t="s">
        <v>594</v>
      </c>
      <c r="C199" s="457" t="s">
        <v>356</v>
      </c>
      <c r="D199" s="425">
        <v>4500164587</v>
      </c>
      <c r="E199" s="457">
        <v>2000007585</v>
      </c>
      <c r="F199" s="425" t="s">
        <v>595</v>
      </c>
      <c r="G199" s="458" t="s">
        <v>3436</v>
      </c>
      <c r="H199" s="458" t="s">
        <v>424</v>
      </c>
      <c r="I199" s="458">
        <v>900</v>
      </c>
      <c r="J199" s="458">
        <v>0</v>
      </c>
      <c r="K199" s="458">
        <v>6</v>
      </c>
      <c r="L199" s="462">
        <f t="shared" si="36"/>
        <v>150</v>
      </c>
      <c r="M199" s="463">
        <v>45832</v>
      </c>
      <c r="N199" s="463">
        <v>45828</v>
      </c>
      <c r="O199" s="464" t="s">
        <v>3642</v>
      </c>
      <c r="P199" s="464" t="s">
        <v>103</v>
      </c>
      <c r="Q199" s="458"/>
      <c r="R199" s="472">
        <v>45804</v>
      </c>
      <c r="S199" s="472" t="s">
        <v>66</v>
      </c>
      <c r="T199" s="472">
        <v>45805</v>
      </c>
      <c r="U199" s="472" t="s">
        <v>596</v>
      </c>
      <c r="V199" s="473" t="s">
        <v>597</v>
      </c>
      <c r="W199" s="473" t="s">
        <v>370</v>
      </c>
      <c r="X199" s="473">
        <v>8.1</v>
      </c>
      <c r="Y199" s="480">
        <f t="shared" si="44"/>
        <v>7290</v>
      </c>
      <c r="Z199" s="458"/>
      <c r="AA199" s="458" t="s">
        <v>427</v>
      </c>
      <c r="AB199" s="458" t="s">
        <v>76</v>
      </c>
      <c r="AC199" s="458"/>
      <c r="AD199" s="458" t="s">
        <v>69</v>
      </c>
      <c r="AE199" s="458"/>
      <c r="AF199" s="458">
        <f>60+840</f>
        <v>900</v>
      </c>
      <c r="AG199" s="458">
        <f t="shared" si="49"/>
        <v>0</v>
      </c>
      <c r="AH199" s="489"/>
      <c r="AI199" s="458"/>
      <c r="AJ199" s="458"/>
      <c r="AK199" s="458"/>
      <c r="AL199" s="425">
        <f>I199*2</f>
        <v>1800</v>
      </c>
      <c r="AO199" s="495"/>
      <c r="AQ199" s="425">
        <f>I199*2</f>
        <v>1800</v>
      </c>
      <c r="AS199" s="425">
        <f>I199*2</f>
        <v>1800</v>
      </c>
      <c r="AT199" s="495"/>
      <c r="AY199" s="498">
        <f>I199/24*2</f>
        <v>75</v>
      </c>
      <c r="BT199" s="495"/>
      <c r="BU199" s="425">
        <f>I199</f>
        <v>900</v>
      </c>
      <c r="BV199" s="495"/>
      <c r="CK199" s="425">
        <f t="shared" si="50"/>
        <v>0</v>
      </c>
      <c r="CL199" s="425">
        <f t="shared" si="51"/>
        <v>0</v>
      </c>
      <c r="CM199" s="425">
        <f t="shared" si="52"/>
        <v>0</v>
      </c>
      <c r="CN199" s="495"/>
      <c r="CO199" s="495"/>
      <c r="CP199" s="495"/>
      <c r="CT199" s="495"/>
      <c r="CU199" s="495"/>
      <c r="CV199" s="495"/>
      <c r="CW199" s="495"/>
      <c r="CX199" s="495"/>
    </row>
    <row r="200" s="425" customFormat="1" ht="31" customHeight="1" spans="1:102">
      <c r="A200" s="455">
        <v>45791</v>
      </c>
      <c r="B200" s="456" t="s">
        <v>553</v>
      </c>
      <c r="C200" s="457" t="s">
        <v>271</v>
      </c>
      <c r="D200" s="425">
        <v>4500169682</v>
      </c>
      <c r="E200" s="457">
        <v>5200006790</v>
      </c>
      <c r="F200" s="425" t="s">
        <v>613</v>
      </c>
      <c r="G200" s="458" t="s">
        <v>3459</v>
      </c>
      <c r="H200" s="458" t="s">
        <v>424</v>
      </c>
      <c r="I200" s="458">
        <v>3180</v>
      </c>
      <c r="J200" s="458">
        <v>0</v>
      </c>
      <c r="K200" s="458">
        <v>6</v>
      </c>
      <c r="L200" s="462">
        <f t="shared" si="36"/>
        <v>530</v>
      </c>
      <c r="M200" s="463">
        <v>45819</v>
      </c>
      <c r="N200" s="463">
        <v>45815</v>
      </c>
      <c r="O200" s="464"/>
      <c r="P200" s="464" t="s">
        <v>103</v>
      </c>
      <c r="Q200" s="458" t="s">
        <v>614</v>
      </c>
      <c r="R200" s="472" t="s">
        <v>3561</v>
      </c>
      <c r="S200" s="472" t="s">
        <v>66</v>
      </c>
      <c r="T200" s="472" t="s">
        <v>3562</v>
      </c>
      <c r="U200" s="472" t="s">
        <v>3563</v>
      </c>
      <c r="V200" s="473" t="s">
        <v>3643</v>
      </c>
      <c r="W200" s="473" t="s">
        <v>558</v>
      </c>
      <c r="X200" s="473">
        <v>8.1</v>
      </c>
      <c r="Y200" s="480">
        <f t="shared" si="44"/>
        <v>25758</v>
      </c>
      <c r="Z200" s="458"/>
      <c r="AA200" s="458" t="s">
        <v>427</v>
      </c>
      <c r="AB200" s="458" t="s">
        <v>76</v>
      </c>
      <c r="AC200" s="458"/>
      <c r="AD200" s="458" t="s">
        <v>69</v>
      </c>
      <c r="AE200" s="458"/>
      <c r="AF200" s="458"/>
      <c r="AG200" s="458">
        <f t="shared" si="49"/>
        <v>-3180</v>
      </c>
      <c r="AH200" s="489"/>
      <c r="AI200" s="458" t="s">
        <v>403</v>
      </c>
      <c r="AJ200" s="458"/>
      <c r="AK200" s="458"/>
      <c r="AL200" s="425">
        <f>I200*2</f>
        <v>6360</v>
      </c>
      <c r="AO200" s="495"/>
      <c r="AQ200" s="425">
        <f>I200*2</f>
        <v>6360</v>
      </c>
      <c r="AS200" s="425">
        <f>I200*2</f>
        <v>6360</v>
      </c>
      <c r="AT200" s="495"/>
      <c r="AY200" s="498">
        <f>I200/24*2</f>
        <v>265</v>
      </c>
      <c r="BT200" s="495"/>
      <c r="BU200" s="425">
        <f>I200</f>
        <v>3180</v>
      </c>
      <c r="BV200" s="495"/>
      <c r="CK200" s="425">
        <f t="shared" si="50"/>
        <v>0</v>
      </c>
      <c r="CL200" s="425">
        <f t="shared" si="51"/>
        <v>0</v>
      </c>
      <c r="CM200" s="425">
        <f t="shared" si="52"/>
        <v>0</v>
      </c>
      <c r="CN200" s="495"/>
      <c r="CO200" s="495"/>
      <c r="CP200" s="495"/>
      <c r="CT200" s="495"/>
      <c r="CU200" s="495"/>
      <c r="CV200" s="495"/>
      <c r="CW200" s="495"/>
      <c r="CX200" s="495"/>
    </row>
    <row r="201" s="425" customFormat="1" ht="31" customHeight="1" spans="1:102">
      <c r="A201" s="455">
        <v>45786</v>
      </c>
      <c r="B201" s="456" t="s">
        <v>3644</v>
      </c>
      <c r="C201" s="457" t="s">
        <v>468</v>
      </c>
      <c r="D201" s="425">
        <v>4500165810</v>
      </c>
      <c r="E201" s="457"/>
      <c r="F201" s="425" t="s">
        <v>3645</v>
      </c>
      <c r="G201" s="458" t="s">
        <v>3161</v>
      </c>
      <c r="H201" s="458" t="s">
        <v>3221</v>
      </c>
      <c r="I201" s="458">
        <v>6700</v>
      </c>
      <c r="J201" s="458">
        <v>0</v>
      </c>
      <c r="K201" s="458">
        <v>50</v>
      </c>
      <c r="L201" s="462">
        <f t="shared" si="36"/>
        <v>134</v>
      </c>
      <c r="M201" s="463">
        <v>45820</v>
      </c>
      <c r="N201" s="463">
        <v>45817</v>
      </c>
      <c r="O201" s="464"/>
      <c r="P201" s="464" t="s">
        <v>103</v>
      </c>
      <c r="Q201" s="458"/>
      <c r="R201" s="472">
        <v>45790</v>
      </c>
      <c r="S201" s="472" t="s">
        <v>66</v>
      </c>
      <c r="T201" s="472">
        <v>45796</v>
      </c>
      <c r="U201" s="472"/>
      <c r="V201" s="473" t="s">
        <v>3646</v>
      </c>
      <c r="W201" s="473" t="s">
        <v>3647</v>
      </c>
      <c r="X201" s="473">
        <v>0.95</v>
      </c>
      <c r="Y201" s="480">
        <f t="shared" si="44"/>
        <v>6365</v>
      </c>
      <c r="Z201" s="458" t="s">
        <v>3648</v>
      </c>
      <c r="AA201" s="458" t="s">
        <v>3161</v>
      </c>
      <c r="AB201" s="458" t="s">
        <v>76</v>
      </c>
      <c r="AC201" s="458"/>
      <c r="AD201" s="458" t="s">
        <v>69</v>
      </c>
      <c r="AE201" s="458"/>
      <c r="AF201" s="458">
        <v>6700</v>
      </c>
      <c r="AG201" s="458">
        <f t="shared" si="49"/>
        <v>0</v>
      </c>
      <c r="AH201" s="489"/>
      <c r="AI201" s="458"/>
      <c r="AJ201" s="458"/>
      <c r="AK201" s="458"/>
      <c r="AL201" s="426">
        <f>I201</f>
        <v>6700</v>
      </c>
      <c r="AO201" s="495"/>
      <c r="AQ201" s="425">
        <f>I201</f>
        <v>6700</v>
      </c>
      <c r="AS201" s="425">
        <f>I201</f>
        <v>6700</v>
      </c>
      <c r="AT201" s="495"/>
      <c r="AY201" s="498">
        <f>I201/24</f>
        <v>279.166666666667</v>
      </c>
      <c r="BL201" s="425">
        <f>I201/25</f>
        <v>268</v>
      </c>
      <c r="BT201" s="495"/>
      <c r="BV201" s="495"/>
      <c r="CK201" s="425">
        <f t="shared" si="50"/>
        <v>268</v>
      </c>
      <c r="CL201" s="425">
        <f t="shared" si="51"/>
        <v>0</v>
      </c>
      <c r="CM201" s="425">
        <f t="shared" si="52"/>
        <v>0</v>
      </c>
      <c r="CN201" s="495"/>
      <c r="CO201" s="495"/>
      <c r="CP201" s="495"/>
      <c r="CT201" s="495"/>
      <c r="CU201" s="495"/>
      <c r="CV201" s="495"/>
      <c r="CW201" s="495"/>
      <c r="CX201" s="495"/>
    </row>
    <row r="202" s="425" customFormat="1" ht="31" customHeight="1" spans="1:102">
      <c r="A202" s="455">
        <v>45779</v>
      </c>
      <c r="B202" s="456" t="s">
        <v>582</v>
      </c>
      <c r="C202" s="457" t="s">
        <v>90</v>
      </c>
      <c r="D202" s="425">
        <v>4500165547</v>
      </c>
      <c r="E202" s="457" t="s">
        <v>583</v>
      </c>
      <c r="F202" s="425" t="s">
        <v>3649</v>
      </c>
      <c r="G202" s="458" t="s">
        <v>3150</v>
      </c>
      <c r="H202" s="458" t="s">
        <v>3151</v>
      </c>
      <c r="I202" s="458">
        <v>1248</v>
      </c>
      <c r="J202" s="458">
        <v>0</v>
      </c>
      <c r="K202" s="458">
        <v>52</v>
      </c>
      <c r="L202" s="462">
        <f t="shared" si="36"/>
        <v>24</v>
      </c>
      <c r="M202" s="463">
        <v>45821</v>
      </c>
      <c r="N202" s="463">
        <v>45817</v>
      </c>
      <c r="O202" s="464"/>
      <c r="P202" s="464" t="s">
        <v>103</v>
      </c>
      <c r="Q202" s="458"/>
      <c r="R202" s="472">
        <v>45796</v>
      </c>
      <c r="S202" s="472" t="s">
        <v>96</v>
      </c>
      <c r="T202" s="472" t="s">
        <v>66</v>
      </c>
      <c r="U202" s="472"/>
      <c r="V202" s="473" t="s">
        <v>585</v>
      </c>
      <c r="W202" s="473" t="s">
        <v>586</v>
      </c>
      <c r="X202" s="473">
        <v>0.552</v>
      </c>
      <c r="Y202" s="480">
        <f t="shared" si="44"/>
        <v>688.896</v>
      </c>
      <c r="Z202" s="458"/>
      <c r="AA202" s="458" t="s">
        <v>3150</v>
      </c>
      <c r="AB202" s="458" t="s">
        <v>76</v>
      </c>
      <c r="AC202" s="458"/>
      <c r="AD202" s="458" t="s">
        <v>69</v>
      </c>
      <c r="AE202" s="458"/>
      <c r="AF202" s="458">
        <v>1248</v>
      </c>
      <c r="AG202" s="458">
        <f t="shared" si="49"/>
        <v>0</v>
      </c>
      <c r="AH202" s="489"/>
      <c r="AI202" s="458"/>
      <c r="AJ202" s="458"/>
      <c r="AK202" s="458">
        <f>I202</f>
        <v>1248</v>
      </c>
      <c r="AM202" s="425">
        <f>I202</f>
        <v>1248</v>
      </c>
      <c r="AO202" s="495"/>
      <c r="AR202" s="425">
        <f>I202</f>
        <v>1248</v>
      </c>
      <c r="AT202" s="495"/>
      <c r="AY202" s="498">
        <f>I202/48</f>
        <v>26</v>
      </c>
      <c r="BG202" s="425">
        <f>I202/13</f>
        <v>96</v>
      </c>
      <c r="BT202" s="495"/>
      <c r="BV202" s="495"/>
      <c r="CK202" s="425">
        <f t="shared" si="50"/>
        <v>0</v>
      </c>
      <c r="CL202" s="425">
        <f t="shared" si="51"/>
        <v>0</v>
      </c>
      <c r="CM202" s="425">
        <f t="shared" si="52"/>
        <v>0</v>
      </c>
      <c r="CN202" s="495"/>
      <c r="CO202" s="495"/>
      <c r="CP202" s="495"/>
      <c r="CT202" s="495"/>
      <c r="CU202" s="495"/>
      <c r="CV202" s="495"/>
      <c r="CW202" s="495"/>
      <c r="CX202" s="495"/>
    </row>
    <row r="203" s="425" customFormat="1" ht="31" customHeight="1" spans="1:102">
      <c r="A203" s="455">
        <v>45779</v>
      </c>
      <c r="B203" s="456" t="s">
        <v>582</v>
      </c>
      <c r="C203" s="457" t="s">
        <v>90</v>
      </c>
      <c r="D203" s="425">
        <v>4500165547</v>
      </c>
      <c r="E203" s="457" t="s">
        <v>3650</v>
      </c>
      <c r="F203" s="425" t="s">
        <v>3651</v>
      </c>
      <c r="G203" s="458" t="s">
        <v>3652</v>
      </c>
      <c r="H203" s="458" t="s">
        <v>3194</v>
      </c>
      <c r="I203" s="458">
        <v>720</v>
      </c>
      <c r="J203" s="458">
        <v>0</v>
      </c>
      <c r="K203" s="458">
        <v>60</v>
      </c>
      <c r="L203" s="462">
        <f t="shared" si="36"/>
        <v>12</v>
      </c>
      <c r="M203" s="463">
        <v>45821</v>
      </c>
      <c r="N203" s="463">
        <v>45817</v>
      </c>
      <c r="O203" s="464"/>
      <c r="P203" s="464" t="s">
        <v>103</v>
      </c>
      <c r="Q203" s="458"/>
      <c r="R203" s="472">
        <v>45796</v>
      </c>
      <c r="S203" s="472" t="s">
        <v>96</v>
      </c>
      <c r="T203" s="472" t="s">
        <v>66</v>
      </c>
      <c r="U203" s="472"/>
      <c r="V203" s="473" t="s">
        <v>585</v>
      </c>
      <c r="W203" s="473" t="s">
        <v>586</v>
      </c>
      <c r="X203" s="473">
        <v>38.22</v>
      </c>
      <c r="Y203" s="480">
        <f>X203*L203</f>
        <v>458.64</v>
      </c>
      <c r="Z203" s="458"/>
      <c r="AA203" s="458" t="s">
        <v>3652</v>
      </c>
      <c r="AB203" s="458" t="s">
        <v>76</v>
      </c>
      <c r="AC203" s="458"/>
      <c r="AD203" s="458" t="s">
        <v>69</v>
      </c>
      <c r="AE203" s="458"/>
      <c r="AF203" s="458">
        <v>720</v>
      </c>
      <c r="AG203" s="458">
        <f t="shared" si="49"/>
        <v>0</v>
      </c>
      <c r="AH203" s="489"/>
      <c r="AI203" s="458"/>
      <c r="AJ203" s="458"/>
      <c r="AK203" s="458">
        <f>I203</f>
        <v>720</v>
      </c>
      <c r="AM203" s="425">
        <f>I203</f>
        <v>720</v>
      </c>
      <c r="AO203" s="495"/>
      <c r="AR203" s="425">
        <f>I203</f>
        <v>720</v>
      </c>
      <c r="AT203" s="495"/>
      <c r="AY203" s="498">
        <f>I203/48</f>
        <v>15</v>
      </c>
      <c r="BT203" s="495"/>
      <c r="BV203" s="495"/>
      <c r="CB203" s="425">
        <f>I203/60</f>
        <v>12</v>
      </c>
      <c r="CK203" s="425">
        <f t="shared" si="50"/>
        <v>0</v>
      </c>
      <c r="CL203" s="425">
        <f t="shared" si="51"/>
        <v>12</v>
      </c>
      <c r="CM203" s="425">
        <f t="shared" si="52"/>
        <v>0</v>
      </c>
      <c r="CN203" s="495"/>
      <c r="CO203" s="495"/>
      <c r="CP203" s="495"/>
      <c r="CT203" s="495"/>
      <c r="CU203" s="495"/>
      <c r="CV203" s="495"/>
      <c r="CW203" s="495"/>
      <c r="CX203" s="495"/>
    </row>
    <row r="204" s="425" customFormat="1" ht="31" customHeight="1" spans="1:102">
      <c r="A204" s="455">
        <v>45789</v>
      </c>
      <c r="B204" s="456" t="s">
        <v>3653</v>
      </c>
      <c r="C204" s="457" t="s">
        <v>249</v>
      </c>
      <c r="D204" s="425">
        <v>4500166127</v>
      </c>
      <c r="E204" s="457" t="s">
        <v>3654</v>
      </c>
      <c r="F204" s="425" t="s">
        <v>3655</v>
      </c>
      <c r="G204" s="458" t="s">
        <v>3419</v>
      </c>
      <c r="H204" s="458" t="s">
        <v>3221</v>
      </c>
      <c r="I204" s="458">
        <v>1000</v>
      </c>
      <c r="J204" s="458">
        <v>25</v>
      </c>
      <c r="K204" s="458">
        <v>50</v>
      </c>
      <c r="L204" s="462">
        <f t="shared" si="36"/>
        <v>20</v>
      </c>
      <c r="M204" s="463">
        <v>45826</v>
      </c>
      <c r="N204" s="463">
        <v>45822</v>
      </c>
      <c r="O204" s="464"/>
      <c r="P204" s="464" t="s">
        <v>103</v>
      </c>
      <c r="Q204" s="458"/>
      <c r="R204" s="472" t="s">
        <v>3656</v>
      </c>
      <c r="S204" s="472" t="s">
        <v>66</v>
      </c>
      <c r="T204" s="472" t="s">
        <v>3657</v>
      </c>
      <c r="U204" s="472"/>
      <c r="V204" s="473" t="s">
        <v>3658</v>
      </c>
      <c r="W204" s="473" t="s">
        <v>3659</v>
      </c>
      <c r="X204" s="473">
        <v>0.95</v>
      </c>
      <c r="Y204" s="480">
        <f>X204*I204</f>
        <v>950</v>
      </c>
      <c r="Z204" s="458"/>
      <c r="AA204" s="458" t="s">
        <v>3419</v>
      </c>
      <c r="AB204" s="458" t="s">
        <v>76</v>
      </c>
      <c r="AC204" s="458"/>
      <c r="AD204" s="458" t="s">
        <v>69</v>
      </c>
      <c r="AE204" s="458"/>
      <c r="AF204" s="458">
        <v>1000</v>
      </c>
      <c r="AG204" s="458">
        <f t="shared" si="49"/>
        <v>0</v>
      </c>
      <c r="AH204" s="489"/>
      <c r="AI204" s="458"/>
      <c r="AJ204" s="458"/>
      <c r="AK204" s="458"/>
      <c r="AL204" s="426">
        <f>I204</f>
        <v>1000</v>
      </c>
      <c r="AO204" s="495"/>
      <c r="AQ204" s="425">
        <f>I204</f>
        <v>1000</v>
      </c>
      <c r="AS204" s="425">
        <f>I204</f>
        <v>1000</v>
      </c>
      <c r="AT204" s="495"/>
      <c r="AY204" s="498">
        <f>I204/24</f>
        <v>41.6666666666667</v>
      </c>
      <c r="BL204" s="425">
        <f>I204/25</f>
        <v>40</v>
      </c>
      <c r="BT204" s="495"/>
      <c r="BV204" s="495"/>
      <c r="CK204" s="425">
        <f t="shared" si="50"/>
        <v>40</v>
      </c>
      <c r="CL204" s="425">
        <f t="shared" si="51"/>
        <v>0</v>
      </c>
      <c r="CM204" s="425">
        <f t="shared" si="52"/>
        <v>0</v>
      </c>
      <c r="CN204" s="495"/>
      <c r="CO204" s="495"/>
      <c r="CP204" s="495"/>
      <c r="CT204" s="495"/>
      <c r="CU204" s="495"/>
      <c r="CV204" s="495"/>
      <c r="CW204" s="495"/>
      <c r="CX204" s="495"/>
    </row>
    <row r="205" s="425" customFormat="1" ht="31" customHeight="1" spans="1:102">
      <c r="A205" s="455">
        <v>45791</v>
      </c>
      <c r="B205" s="456" t="s">
        <v>641</v>
      </c>
      <c r="C205" s="457" t="s">
        <v>366</v>
      </c>
      <c r="D205" s="425">
        <v>4500163632</v>
      </c>
      <c r="E205" s="457"/>
      <c r="F205" s="425" t="s">
        <v>3660</v>
      </c>
      <c r="G205" s="458" t="s">
        <v>3193</v>
      </c>
      <c r="H205" s="458" t="s">
        <v>3194</v>
      </c>
      <c r="I205" s="458">
        <v>3000</v>
      </c>
      <c r="J205" s="458">
        <v>0</v>
      </c>
      <c r="K205" s="458">
        <v>60</v>
      </c>
      <c r="L205" s="462">
        <f t="shared" si="36"/>
        <v>50</v>
      </c>
      <c r="M205" s="463">
        <v>45826</v>
      </c>
      <c r="N205" s="463">
        <v>45822</v>
      </c>
      <c r="O205" s="464"/>
      <c r="P205" s="464" t="s">
        <v>103</v>
      </c>
      <c r="Q205" s="458"/>
      <c r="R205" s="472">
        <v>45797</v>
      </c>
      <c r="S205" s="472" t="s">
        <v>66</v>
      </c>
      <c r="T205" s="472">
        <v>45799</v>
      </c>
      <c r="U205" s="472"/>
      <c r="V205" s="508" t="s">
        <v>3661</v>
      </c>
      <c r="W205" s="473" t="s">
        <v>458</v>
      </c>
      <c r="X205" s="473">
        <v>70.6047</v>
      </c>
      <c r="Y205" s="480">
        <f>X205*L205</f>
        <v>3530.235</v>
      </c>
      <c r="Z205" s="458"/>
      <c r="AA205" s="458" t="s">
        <v>3193</v>
      </c>
      <c r="AB205" s="458" t="s">
        <v>76</v>
      </c>
      <c r="AC205" s="458"/>
      <c r="AD205" s="458" t="s">
        <v>69</v>
      </c>
      <c r="AE205" s="458"/>
      <c r="AF205" s="458">
        <f>2940+60</f>
        <v>3000</v>
      </c>
      <c r="AG205" s="458">
        <f t="shared" si="49"/>
        <v>0</v>
      </c>
      <c r="AH205" s="489"/>
      <c r="AI205" s="458"/>
      <c r="AJ205" s="458"/>
      <c r="AK205" s="458"/>
      <c r="AL205" s="426">
        <f>I205</f>
        <v>3000</v>
      </c>
      <c r="AO205" s="495"/>
      <c r="AQ205" s="425">
        <f>I205</f>
        <v>3000</v>
      </c>
      <c r="AS205" s="425">
        <f>I205</f>
        <v>3000</v>
      </c>
      <c r="AT205" s="495"/>
      <c r="AY205" s="498">
        <f>I205/24</f>
        <v>125</v>
      </c>
      <c r="BT205" s="495"/>
      <c r="BV205" s="495"/>
      <c r="CC205" s="425">
        <f>I205/60</f>
        <v>50</v>
      </c>
      <c r="CK205" s="425">
        <f t="shared" si="50"/>
        <v>0</v>
      </c>
      <c r="CL205" s="425">
        <f t="shared" si="51"/>
        <v>50</v>
      </c>
      <c r="CM205" s="425">
        <f t="shared" si="52"/>
        <v>0</v>
      </c>
      <c r="CN205" s="495"/>
      <c r="CO205" s="495"/>
      <c r="CP205" s="495"/>
      <c r="CT205" s="495"/>
      <c r="CU205" s="495"/>
      <c r="CV205" s="495"/>
      <c r="CW205" s="495"/>
      <c r="CX205" s="495"/>
    </row>
    <row r="206" s="425" customFormat="1" ht="31" customHeight="1" spans="1:102">
      <c r="A206" s="455">
        <v>45769</v>
      </c>
      <c r="B206" s="456" t="s">
        <v>1355</v>
      </c>
      <c r="C206" s="457" t="s">
        <v>468</v>
      </c>
      <c r="D206" s="425">
        <v>4500164296</v>
      </c>
      <c r="E206" s="457">
        <v>5251215607</v>
      </c>
      <c r="F206" s="425" t="s">
        <v>3662</v>
      </c>
      <c r="G206" s="458" t="s">
        <v>3161</v>
      </c>
      <c r="H206" s="458" t="s">
        <v>3221</v>
      </c>
      <c r="I206" s="458">
        <v>16000</v>
      </c>
      <c r="J206" s="458">
        <v>0</v>
      </c>
      <c r="K206" s="458">
        <v>50</v>
      </c>
      <c r="L206" s="462">
        <f t="shared" si="36"/>
        <v>320</v>
      </c>
      <c r="M206" s="463">
        <v>45828</v>
      </c>
      <c r="N206" s="463">
        <v>45824</v>
      </c>
      <c r="O206" s="464"/>
      <c r="P206" s="464" t="s">
        <v>103</v>
      </c>
      <c r="Q206" s="458" t="s">
        <v>3663</v>
      </c>
      <c r="R206" s="472">
        <v>45775</v>
      </c>
      <c r="S206" s="472" t="s">
        <v>66</v>
      </c>
      <c r="T206" s="472" t="s">
        <v>3664</v>
      </c>
      <c r="U206" s="472" t="s">
        <v>3665</v>
      </c>
      <c r="V206" s="473" t="s">
        <v>3666</v>
      </c>
      <c r="W206" s="473" t="s">
        <v>304</v>
      </c>
      <c r="X206" s="473">
        <v>0.95</v>
      </c>
      <c r="Y206" s="480">
        <f>X206*I206</f>
        <v>15200</v>
      </c>
      <c r="Z206" s="458"/>
      <c r="AA206" s="458" t="s">
        <v>3161</v>
      </c>
      <c r="AB206" s="458" t="s">
        <v>76</v>
      </c>
      <c r="AC206" s="458"/>
      <c r="AD206" s="458" t="s">
        <v>69</v>
      </c>
      <c r="AE206" s="458"/>
      <c r="AF206" s="458">
        <v>16000</v>
      </c>
      <c r="AG206" s="458">
        <f t="shared" si="49"/>
        <v>0</v>
      </c>
      <c r="AH206" s="489"/>
      <c r="AI206" s="458"/>
      <c r="AJ206" s="458"/>
      <c r="AK206" s="458"/>
      <c r="AL206" s="426">
        <f>I206</f>
        <v>16000</v>
      </c>
      <c r="AO206" s="495"/>
      <c r="AQ206" s="425">
        <f>I206</f>
        <v>16000</v>
      </c>
      <c r="AS206" s="425">
        <f>I206</f>
        <v>16000</v>
      </c>
      <c r="AT206" s="495"/>
      <c r="AY206" s="498">
        <f>I206/24</f>
        <v>666.666666666667</v>
      </c>
      <c r="BL206" s="425">
        <f>I206/25</f>
        <v>640</v>
      </c>
      <c r="BT206" s="495"/>
      <c r="BV206" s="495"/>
      <c r="CK206" s="425">
        <f t="shared" si="50"/>
        <v>640</v>
      </c>
      <c r="CL206" s="425">
        <f t="shared" si="51"/>
        <v>0</v>
      </c>
      <c r="CM206" s="425">
        <f t="shared" si="52"/>
        <v>0</v>
      </c>
      <c r="CN206" s="495"/>
      <c r="CO206" s="495"/>
      <c r="CP206" s="495"/>
      <c r="CT206" s="495"/>
      <c r="CU206" s="495"/>
      <c r="CV206" s="495"/>
      <c r="CW206" s="495"/>
      <c r="CX206" s="495"/>
    </row>
    <row r="207" s="425" customFormat="1" ht="31" customHeight="1" spans="1:102">
      <c r="A207" s="455">
        <v>45789</v>
      </c>
      <c r="B207" s="456" t="s">
        <v>644</v>
      </c>
      <c r="C207" s="457" t="s">
        <v>645</v>
      </c>
      <c r="D207" s="425">
        <v>4500165851</v>
      </c>
      <c r="E207" s="457" t="s">
        <v>646</v>
      </c>
      <c r="F207" s="425" t="s">
        <v>3667</v>
      </c>
      <c r="G207" s="458" t="s">
        <v>3161</v>
      </c>
      <c r="H207" s="458" t="s">
        <v>3221</v>
      </c>
      <c r="I207" s="458">
        <v>2050</v>
      </c>
      <c r="J207" s="458">
        <v>0</v>
      </c>
      <c r="K207" s="458">
        <v>50</v>
      </c>
      <c r="L207" s="462">
        <f t="shared" si="36"/>
        <v>41</v>
      </c>
      <c r="M207" s="463">
        <v>45828</v>
      </c>
      <c r="N207" s="463">
        <v>45824</v>
      </c>
      <c r="O207" s="464"/>
      <c r="P207" s="464" t="s">
        <v>103</v>
      </c>
      <c r="Q207" s="458"/>
      <c r="R207" s="472">
        <v>45792</v>
      </c>
      <c r="S207" s="472" t="s">
        <v>66</v>
      </c>
      <c r="T207" s="472">
        <v>45793</v>
      </c>
      <c r="U207" s="472"/>
      <c r="V207" s="473" t="s">
        <v>3668</v>
      </c>
      <c r="W207" s="473" t="s">
        <v>649</v>
      </c>
      <c r="X207" s="473">
        <v>0.95</v>
      </c>
      <c r="Y207" s="480">
        <f>X207*I207</f>
        <v>1947.5</v>
      </c>
      <c r="Z207" s="458"/>
      <c r="AA207" s="458" t="s">
        <v>3161</v>
      </c>
      <c r="AB207" s="458" t="s">
        <v>76</v>
      </c>
      <c r="AC207" s="458"/>
      <c r="AD207" s="458" t="s">
        <v>69</v>
      </c>
      <c r="AE207" s="458"/>
      <c r="AF207" s="458">
        <v>2050</v>
      </c>
      <c r="AG207" s="458">
        <f t="shared" si="49"/>
        <v>0</v>
      </c>
      <c r="AH207" s="489"/>
      <c r="AI207" s="458"/>
      <c r="AJ207" s="458"/>
      <c r="AK207" s="458"/>
      <c r="AL207" s="426">
        <f>I207</f>
        <v>2050</v>
      </c>
      <c r="AO207" s="495"/>
      <c r="AQ207" s="425">
        <f>I207</f>
        <v>2050</v>
      </c>
      <c r="AS207" s="425">
        <f>I207</f>
        <v>2050</v>
      </c>
      <c r="AT207" s="495"/>
      <c r="AY207" s="498">
        <f>I207/24</f>
        <v>85.4166666666667</v>
      </c>
      <c r="BL207" s="425">
        <f>I207/25</f>
        <v>82</v>
      </c>
      <c r="BT207" s="495"/>
      <c r="BV207" s="495"/>
      <c r="CK207" s="425">
        <f t="shared" si="50"/>
        <v>82</v>
      </c>
      <c r="CL207" s="425">
        <f t="shared" si="51"/>
        <v>0</v>
      </c>
      <c r="CM207" s="425">
        <f t="shared" si="52"/>
        <v>0</v>
      </c>
      <c r="CN207" s="495"/>
      <c r="CO207" s="495"/>
      <c r="CP207" s="495"/>
      <c r="CT207" s="495"/>
      <c r="CU207" s="495"/>
      <c r="CV207" s="495"/>
      <c r="CW207" s="495"/>
      <c r="CX207" s="495"/>
    </row>
    <row r="208" s="425" customFormat="1" ht="31" customHeight="1" spans="1:102">
      <c r="A208" s="455">
        <v>45768</v>
      </c>
      <c r="B208" s="456" t="s">
        <v>741</v>
      </c>
      <c r="C208" s="457" t="s">
        <v>468</v>
      </c>
      <c r="D208" s="425">
        <v>4500164462</v>
      </c>
      <c r="E208" s="457">
        <v>7950403009</v>
      </c>
      <c r="F208" s="425" t="s">
        <v>742</v>
      </c>
      <c r="G208" s="458" t="s">
        <v>743</v>
      </c>
      <c r="H208" s="458" t="s">
        <v>744</v>
      </c>
      <c r="I208" s="458">
        <v>64</v>
      </c>
      <c r="J208" s="458">
        <v>0</v>
      </c>
      <c r="K208" s="458">
        <v>1</v>
      </c>
      <c r="L208" s="462">
        <f t="shared" si="36"/>
        <v>64</v>
      </c>
      <c r="M208" s="463">
        <v>45819</v>
      </c>
      <c r="N208" s="463">
        <v>45825</v>
      </c>
      <c r="O208" s="464" t="s">
        <v>3669</v>
      </c>
      <c r="P208" s="464" t="s">
        <v>103</v>
      </c>
      <c r="Q208" s="458"/>
      <c r="R208" s="472">
        <v>45792</v>
      </c>
      <c r="S208" s="472" t="s">
        <v>66</v>
      </c>
      <c r="T208" s="472">
        <v>45807</v>
      </c>
      <c r="U208" s="472"/>
      <c r="V208" s="473" t="s">
        <v>3670</v>
      </c>
      <c r="W208" s="473" t="s">
        <v>473</v>
      </c>
      <c r="X208" s="473">
        <v>0</v>
      </c>
      <c r="Y208" s="513">
        <f>X208*L208</f>
        <v>0</v>
      </c>
      <c r="Z208" s="458"/>
      <c r="AA208" s="458" t="s">
        <v>743</v>
      </c>
      <c r="AB208" s="458" t="s">
        <v>76</v>
      </c>
      <c r="AC208" s="458"/>
      <c r="AD208" s="458" t="s">
        <v>69</v>
      </c>
      <c r="AE208" s="458"/>
      <c r="AF208" s="458">
        <f>512+1860+2428</f>
        <v>4800</v>
      </c>
      <c r="AG208" s="458">
        <f>AF208-I209</f>
        <v>0</v>
      </c>
      <c r="AH208" s="489"/>
      <c r="AI208" s="458"/>
      <c r="AJ208" s="458"/>
      <c r="AK208" s="458"/>
      <c r="AO208" s="495"/>
      <c r="AT208" s="495"/>
      <c r="AY208" s="498"/>
      <c r="BT208" s="495"/>
      <c r="BV208" s="495"/>
      <c r="CK208" s="425">
        <f t="shared" si="50"/>
        <v>0</v>
      </c>
      <c r="CL208" s="425">
        <f t="shared" si="51"/>
        <v>0</v>
      </c>
      <c r="CM208" s="425">
        <f t="shared" si="52"/>
        <v>0</v>
      </c>
      <c r="CN208" s="495"/>
      <c r="CO208" s="495"/>
      <c r="CP208" s="495"/>
      <c r="CT208" s="495"/>
      <c r="CU208" s="495"/>
      <c r="CV208" s="495"/>
      <c r="CW208" s="495"/>
      <c r="CX208" s="495"/>
    </row>
    <row r="209" s="425" customFormat="1" ht="31" customHeight="1" spans="1:102">
      <c r="A209" s="455">
        <v>45768</v>
      </c>
      <c r="B209" s="456" t="s">
        <v>741</v>
      </c>
      <c r="C209" s="457" t="s">
        <v>468</v>
      </c>
      <c r="D209" s="425">
        <v>4500164462</v>
      </c>
      <c r="E209" s="457">
        <v>7950403009</v>
      </c>
      <c r="F209" s="425" t="s">
        <v>742</v>
      </c>
      <c r="G209" s="458" t="s">
        <v>3671</v>
      </c>
      <c r="H209" s="458" t="s">
        <v>3151</v>
      </c>
      <c r="I209" s="458">
        <v>4800</v>
      </c>
      <c r="J209" s="458">
        <v>0</v>
      </c>
      <c r="K209" s="458">
        <v>75</v>
      </c>
      <c r="L209" s="462">
        <f t="shared" si="36"/>
        <v>64</v>
      </c>
      <c r="M209" s="463">
        <v>45819</v>
      </c>
      <c r="N209" s="463">
        <v>45825</v>
      </c>
      <c r="O209" s="464" t="s">
        <v>3669</v>
      </c>
      <c r="P209" s="464" t="s">
        <v>103</v>
      </c>
      <c r="Q209" s="458"/>
      <c r="R209" s="472">
        <v>45792</v>
      </c>
      <c r="S209" s="472" t="s">
        <v>66</v>
      </c>
      <c r="T209" s="472">
        <v>45807</v>
      </c>
      <c r="U209" s="472"/>
      <c r="V209" s="473"/>
      <c r="W209" s="473" t="s">
        <v>473</v>
      </c>
      <c r="X209" s="473">
        <v>755</v>
      </c>
      <c r="Y209" s="480">
        <f>X209*L209</f>
        <v>48320</v>
      </c>
      <c r="Z209" s="458"/>
      <c r="AA209" s="458" t="s">
        <v>743</v>
      </c>
      <c r="AB209" s="458" t="s">
        <v>76</v>
      </c>
      <c r="AC209" s="458"/>
      <c r="AD209" s="458" t="s">
        <v>69</v>
      </c>
      <c r="AE209" s="458"/>
      <c r="AF209" s="458">
        <v>0</v>
      </c>
      <c r="AG209" s="458">
        <v>0</v>
      </c>
      <c r="AH209" s="489"/>
      <c r="AI209" s="458"/>
      <c r="AJ209" s="458"/>
      <c r="AK209" s="458"/>
      <c r="AL209" s="425">
        <f>I209*3</f>
        <v>14400</v>
      </c>
      <c r="AO209" s="495"/>
      <c r="AT209" s="495"/>
      <c r="AY209" s="498">
        <f>I209/24*3</f>
        <v>600</v>
      </c>
      <c r="BC209" s="425">
        <f>I209*3</f>
        <v>14400</v>
      </c>
      <c r="BD209" s="425">
        <f>I209*3</f>
        <v>14400</v>
      </c>
      <c r="BE209" s="425">
        <f>I209/3</f>
        <v>1600</v>
      </c>
      <c r="BF209" s="425">
        <f>I209/5</f>
        <v>960</v>
      </c>
      <c r="BT209" s="495"/>
      <c r="BV209" s="495"/>
      <c r="CK209" s="425">
        <f t="shared" si="50"/>
        <v>0</v>
      </c>
      <c r="CL209" s="425">
        <f t="shared" si="51"/>
        <v>0</v>
      </c>
      <c r="CM209" s="425">
        <f t="shared" si="52"/>
        <v>0</v>
      </c>
      <c r="CN209" s="495"/>
      <c r="CO209" s="495"/>
      <c r="CP209" s="495"/>
      <c r="CT209" s="495"/>
      <c r="CU209" s="495"/>
      <c r="CV209" s="495"/>
      <c r="CW209" s="495"/>
      <c r="CX209" s="495"/>
    </row>
    <row r="210" s="425" customFormat="1" ht="31" customHeight="1" spans="1:102">
      <c r="A210" s="455">
        <v>45784</v>
      </c>
      <c r="B210" s="456" t="s">
        <v>635</v>
      </c>
      <c r="C210" s="457" t="s">
        <v>139</v>
      </c>
      <c r="D210" s="425">
        <v>4500165600</v>
      </c>
      <c r="E210" s="457">
        <v>246989</v>
      </c>
      <c r="F210" s="425" t="s">
        <v>3672</v>
      </c>
      <c r="G210" s="458" t="s">
        <v>3158</v>
      </c>
      <c r="H210" s="458" t="s">
        <v>3159</v>
      </c>
      <c r="I210" s="458">
        <v>4368</v>
      </c>
      <c r="J210" s="458">
        <v>0</v>
      </c>
      <c r="K210" s="458">
        <v>52</v>
      </c>
      <c r="L210" s="462">
        <f t="shared" si="36"/>
        <v>84</v>
      </c>
      <c r="M210" s="463">
        <v>45828</v>
      </c>
      <c r="N210" s="463">
        <v>45824</v>
      </c>
      <c r="O210" s="464"/>
      <c r="P210" s="464" t="s">
        <v>103</v>
      </c>
      <c r="Q210" s="458"/>
      <c r="R210" s="472">
        <v>45800</v>
      </c>
      <c r="S210" s="472" t="s">
        <v>66</v>
      </c>
      <c r="T210" s="472" t="s">
        <v>3673</v>
      </c>
      <c r="U210" s="472" t="s">
        <v>3674</v>
      </c>
      <c r="V210" s="473" t="s">
        <v>3675</v>
      </c>
      <c r="W210" s="473" t="s">
        <v>640</v>
      </c>
      <c r="X210" s="473">
        <v>0.92</v>
      </c>
      <c r="Y210" s="480">
        <f t="shared" ref="Y210:Y225" si="53">X210*I210</f>
        <v>4018.56</v>
      </c>
      <c r="Z210" s="458"/>
      <c r="AA210" s="458" t="s">
        <v>3158</v>
      </c>
      <c r="AB210" s="458" t="s">
        <v>76</v>
      </c>
      <c r="AC210" s="458"/>
      <c r="AD210" s="458" t="s">
        <v>69</v>
      </c>
      <c r="AE210" s="458"/>
      <c r="AF210" s="458">
        <v>4368</v>
      </c>
      <c r="AG210" s="458">
        <f t="shared" ref="AG210:AG266" si="54">AF210-I210</f>
        <v>0</v>
      </c>
      <c r="AH210" s="489"/>
      <c r="AI210" s="458"/>
      <c r="AJ210" s="458"/>
      <c r="AK210" s="458"/>
      <c r="AL210" s="426">
        <f>I210</f>
        <v>4368</v>
      </c>
      <c r="AO210" s="495"/>
      <c r="AQ210" s="425">
        <f>I210</f>
        <v>4368</v>
      </c>
      <c r="AS210" s="425">
        <f>I210</f>
        <v>4368</v>
      </c>
      <c r="AT210" s="495"/>
      <c r="AY210" s="498">
        <f>I210/24</f>
        <v>182</v>
      </c>
      <c r="BI210" s="425">
        <f>I210/13</f>
        <v>336</v>
      </c>
      <c r="BT210" s="495"/>
      <c r="BV210" s="495"/>
      <c r="CK210" s="425">
        <f t="shared" si="50"/>
        <v>0</v>
      </c>
      <c r="CL210" s="425">
        <f t="shared" si="51"/>
        <v>0</v>
      </c>
      <c r="CM210" s="425">
        <f t="shared" si="52"/>
        <v>0</v>
      </c>
      <c r="CN210" s="495"/>
      <c r="CO210" s="495"/>
      <c r="CP210" s="495"/>
      <c r="CT210" s="495"/>
      <c r="CU210" s="495"/>
      <c r="CV210" s="495"/>
      <c r="CW210" s="495"/>
      <c r="CX210" s="495"/>
    </row>
    <row r="211" s="425" customFormat="1" ht="31" customHeight="1" spans="1:102">
      <c r="A211" s="455">
        <v>45762</v>
      </c>
      <c r="B211" s="456" t="s">
        <v>675</v>
      </c>
      <c r="C211" s="457" t="s">
        <v>676</v>
      </c>
      <c r="D211" s="425">
        <v>4500163691</v>
      </c>
      <c r="E211" s="457" t="s">
        <v>3676</v>
      </c>
      <c r="F211" s="425" t="s">
        <v>3677</v>
      </c>
      <c r="G211" s="458" t="s">
        <v>3161</v>
      </c>
      <c r="H211" s="458" t="s">
        <v>3221</v>
      </c>
      <c r="I211" s="458">
        <v>10000</v>
      </c>
      <c r="J211" s="458">
        <v>0</v>
      </c>
      <c r="K211" s="458">
        <v>50</v>
      </c>
      <c r="L211" s="462">
        <f t="shared" si="36"/>
        <v>200</v>
      </c>
      <c r="M211" s="463">
        <v>45818</v>
      </c>
      <c r="N211" s="463">
        <v>45825</v>
      </c>
      <c r="O211" s="464"/>
      <c r="P211" s="464" t="s">
        <v>103</v>
      </c>
      <c r="Q211" s="458" t="s">
        <v>3678</v>
      </c>
      <c r="R211" s="472">
        <v>45784</v>
      </c>
      <c r="S211" s="472" t="s">
        <v>66</v>
      </c>
      <c r="T211" s="472">
        <v>45813</v>
      </c>
      <c r="U211" s="472" t="s">
        <v>679</v>
      </c>
      <c r="V211" s="473" t="s">
        <v>3679</v>
      </c>
      <c r="W211" s="473" t="s">
        <v>473</v>
      </c>
      <c r="X211" s="473">
        <v>0.95</v>
      </c>
      <c r="Y211" s="480">
        <f t="shared" si="53"/>
        <v>9500</v>
      </c>
      <c r="Z211" s="509" t="s">
        <v>681</v>
      </c>
      <c r="AA211" s="458" t="s">
        <v>3161</v>
      </c>
      <c r="AB211" s="458" t="s">
        <v>76</v>
      </c>
      <c r="AC211" s="458"/>
      <c r="AD211" s="458" t="s">
        <v>69</v>
      </c>
      <c r="AE211" s="458"/>
      <c r="AF211" s="458">
        <v>10000</v>
      </c>
      <c r="AG211" s="458">
        <f t="shared" si="54"/>
        <v>0</v>
      </c>
      <c r="AH211" s="489"/>
      <c r="AI211" s="458"/>
      <c r="AJ211" s="458"/>
      <c r="AK211" s="458"/>
      <c r="AL211" s="426">
        <f>I211</f>
        <v>10000</v>
      </c>
      <c r="AO211" s="495"/>
      <c r="AQ211" s="425">
        <f>I211</f>
        <v>10000</v>
      </c>
      <c r="AS211" s="425">
        <f>I211</f>
        <v>10000</v>
      </c>
      <c r="AT211" s="495"/>
      <c r="AY211" s="498">
        <f>I211/24</f>
        <v>416.666666666667</v>
      </c>
      <c r="BL211" s="425">
        <f>I211/25</f>
        <v>400</v>
      </c>
      <c r="BT211" s="495"/>
      <c r="BV211" s="495"/>
      <c r="CK211" s="425">
        <f t="shared" si="50"/>
        <v>400</v>
      </c>
      <c r="CL211" s="425">
        <f t="shared" si="51"/>
        <v>0</v>
      </c>
      <c r="CM211" s="425">
        <f t="shared" si="52"/>
        <v>0</v>
      </c>
      <c r="CN211" s="495"/>
      <c r="CO211" s="495"/>
      <c r="CP211" s="495"/>
      <c r="CT211" s="495"/>
      <c r="CU211" s="495"/>
      <c r="CV211" s="495"/>
      <c r="CW211" s="495"/>
      <c r="CX211" s="495"/>
    </row>
    <row r="212" s="425" customFormat="1" ht="31" customHeight="1" spans="1:102">
      <c r="A212" s="455">
        <v>3</v>
      </c>
      <c r="B212" s="456" t="s">
        <v>719</v>
      </c>
      <c r="C212" s="457" t="s">
        <v>720</v>
      </c>
      <c r="D212" s="425">
        <v>4500167451</v>
      </c>
      <c r="E212" s="457" t="s">
        <v>721</v>
      </c>
      <c r="F212" s="425" t="s">
        <v>3680</v>
      </c>
      <c r="G212" s="458" t="s">
        <v>3681</v>
      </c>
      <c r="H212" s="458" t="s">
        <v>3682</v>
      </c>
      <c r="I212" s="458">
        <v>550</v>
      </c>
      <c r="J212" s="458">
        <v>0</v>
      </c>
      <c r="K212" s="458">
        <v>50</v>
      </c>
      <c r="L212" s="462">
        <f t="shared" si="36"/>
        <v>11</v>
      </c>
      <c r="M212" s="463">
        <v>45829</v>
      </c>
      <c r="N212" s="463">
        <v>45825</v>
      </c>
      <c r="O212" s="464"/>
      <c r="P212" s="464" t="s">
        <v>103</v>
      </c>
      <c r="Q212" s="458"/>
      <c r="R212" s="472">
        <v>45803</v>
      </c>
      <c r="S212" s="472" t="s">
        <v>66</v>
      </c>
      <c r="T212" s="472">
        <v>45813</v>
      </c>
      <c r="U212" s="472"/>
      <c r="V212" s="473" t="s">
        <v>3683</v>
      </c>
      <c r="W212" s="473" t="s">
        <v>207</v>
      </c>
      <c r="X212" s="473">
        <v>0.95</v>
      </c>
      <c r="Y212" s="480">
        <f t="shared" si="53"/>
        <v>522.5</v>
      </c>
      <c r="Z212" s="458" t="s">
        <v>724</v>
      </c>
      <c r="AA212" s="458" t="s">
        <v>3681</v>
      </c>
      <c r="AB212" s="458" t="s">
        <v>76</v>
      </c>
      <c r="AC212" s="458"/>
      <c r="AD212" s="458" t="s">
        <v>69</v>
      </c>
      <c r="AE212" s="458"/>
      <c r="AF212" s="458">
        <v>550</v>
      </c>
      <c r="AG212" s="458">
        <f t="shared" si="54"/>
        <v>0</v>
      </c>
      <c r="AH212" s="489"/>
      <c r="AI212" s="458"/>
      <c r="AJ212" s="458"/>
      <c r="AK212" s="458"/>
      <c r="AL212" s="425">
        <f>I212</f>
        <v>550</v>
      </c>
      <c r="AO212" s="495"/>
      <c r="AQ212" s="425">
        <f>I212</f>
        <v>550</v>
      </c>
      <c r="AS212" s="425">
        <f>I212</f>
        <v>550</v>
      </c>
      <c r="AT212" s="495"/>
      <c r="AY212" s="498">
        <f>I212/24*2</f>
        <v>45.8333333333333</v>
      </c>
      <c r="BS212" s="425">
        <f>I212/25</f>
        <v>22</v>
      </c>
      <c r="BT212" s="495"/>
      <c r="BV212" s="495"/>
      <c r="CK212" s="425">
        <f t="shared" si="50"/>
        <v>22</v>
      </c>
      <c r="CL212" s="425">
        <f t="shared" si="51"/>
        <v>0</v>
      </c>
      <c r="CM212" s="425">
        <f t="shared" si="52"/>
        <v>0</v>
      </c>
      <c r="CN212" s="495"/>
      <c r="CO212" s="495"/>
      <c r="CP212" s="495"/>
      <c r="CT212" s="495"/>
      <c r="CU212" s="495"/>
      <c r="CV212" s="495"/>
      <c r="CW212" s="495"/>
      <c r="CX212" s="495"/>
    </row>
    <row r="213" s="425" customFormat="1" ht="31" customHeight="1" spans="1:102">
      <c r="A213" s="455">
        <v>45799</v>
      </c>
      <c r="B213" s="456" t="s">
        <v>698</v>
      </c>
      <c r="C213" s="457" t="s">
        <v>699</v>
      </c>
      <c r="D213" s="425">
        <v>4500167533</v>
      </c>
      <c r="E213" s="457"/>
      <c r="F213" s="425" t="s">
        <v>3684</v>
      </c>
      <c r="G213" s="458" t="s">
        <v>3378</v>
      </c>
      <c r="H213" s="458" t="s">
        <v>3379</v>
      </c>
      <c r="I213" s="458">
        <v>400</v>
      </c>
      <c r="J213" s="458">
        <v>0</v>
      </c>
      <c r="K213" s="458">
        <v>50</v>
      </c>
      <c r="L213" s="462">
        <f t="shared" si="36"/>
        <v>8</v>
      </c>
      <c r="M213" s="463">
        <v>45831</v>
      </c>
      <c r="N213" s="463">
        <v>45827</v>
      </c>
      <c r="O213" s="464"/>
      <c r="P213" s="464" t="s">
        <v>103</v>
      </c>
      <c r="Q213" s="458"/>
      <c r="R213" s="472">
        <v>45799</v>
      </c>
      <c r="S213" s="472" t="s">
        <v>66</v>
      </c>
      <c r="T213" s="472" t="s">
        <v>66</v>
      </c>
      <c r="U213" s="472"/>
      <c r="V213" s="473" t="s">
        <v>3685</v>
      </c>
      <c r="W213" s="473" t="s">
        <v>473</v>
      </c>
      <c r="X213" s="473">
        <v>1.32</v>
      </c>
      <c r="Y213" s="480">
        <f t="shared" si="53"/>
        <v>528</v>
      </c>
      <c r="Z213" s="458"/>
      <c r="AA213" s="458" t="s">
        <v>3378</v>
      </c>
      <c r="AB213" s="458" t="s">
        <v>76</v>
      </c>
      <c r="AC213" s="458"/>
      <c r="AD213" s="458" t="s">
        <v>69</v>
      </c>
      <c r="AE213" s="458"/>
      <c r="AF213" s="458">
        <v>400</v>
      </c>
      <c r="AG213" s="458">
        <f t="shared" si="54"/>
        <v>0</v>
      </c>
      <c r="AH213" s="489"/>
      <c r="AI213" s="458"/>
      <c r="AJ213" s="458"/>
      <c r="AK213" s="458"/>
      <c r="AL213" s="425">
        <f>I213</f>
        <v>400</v>
      </c>
      <c r="AO213" s="495"/>
      <c r="AT213" s="495"/>
      <c r="AY213" s="498">
        <f>I213/24*2</f>
        <v>33.3333333333333</v>
      </c>
      <c r="BQ213" s="425">
        <f>I213</f>
        <v>400</v>
      </c>
      <c r="BR213" s="425">
        <f>I213</f>
        <v>400</v>
      </c>
      <c r="BS213" s="425">
        <f>I213/25</f>
        <v>16</v>
      </c>
      <c r="BT213" s="495"/>
      <c r="BV213" s="495"/>
      <c r="CK213" s="425">
        <f t="shared" si="50"/>
        <v>16</v>
      </c>
      <c r="CL213" s="425">
        <f t="shared" si="51"/>
        <v>0</v>
      </c>
      <c r="CM213" s="425">
        <f t="shared" si="52"/>
        <v>0</v>
      </c>
      <c r="CN213" s="495"/>
      <c r="CO213" s="495"/>
      <c r="CP213" s="495"/>
      <c r="CT213" s="495"/>
      <c r="CU213" s="495"/>
      <c r="CV213" s="495"/>
      <c r="CW213" s="495"/>
      <c r="CX213" s="495"/>
    </row>
    <row r="214" s="425" customFormat="1" ht="31" customHeight="1" spans="1:102">
      <c r="A214" s="455">
        <v>45790</v>
      </c>
      <c r="B214" s="456" t="s">
        <v>682</v>
      </c>
      <c r="C214" s="457" t="s">
        <v>683</v>
      </c>
      <c r="D214" s="425">
        <v>4500166306</v>
      </c>
      <c r="E214" s="457" t="s">
        <v>684</v>
      </c>
      <c r="F214" s="425" t="s">
        <v>3686</v>
      </c>
      <c r="G214" s="458" t="s">
        <v>3206</v>
      </c>
      <c r="H214" s="458" t="s">
        <v>3207</v>
      </c>
      <c r="I214" s="458">
        <v>1989</v>
      </c>
      <c r="J214" s="458">
        <v>0</v>
      </c>
      <c r="K214" s="458">
        <v>13</v>
      </c>
      <c r="L214" s="462">
        <f t="shared" si="36"/>
        <v>153</v>
      </c>
      <c r="M214" s="463">
        <v>45831</v>
      </c>
      <c r="N214" s="463">
        <f>M214-4</f>
        <v>45827</v>
      </c>
      <c r="O214" s="464"/>
      <c r="P214" s="464" t="s">
        <v>103</v>
      </c>
      <c r="Q214" s="458"/>
      <c r="R214" s="472">
        <v>45806</v>
      </c>
      <c r="S214" s="472" t="s">
        <v>66</v>
      </c>
      <c r="T214" s="472">
        <v>45806</v>
      </c>
      <c r="U214" s="472"/>
      <c r="V214" s="473" t="s">
        <v>3687</v>
      </c>
      <c r="W214" s="473" t="s">
        <v>575</v>
      </c>
      <c r="X214" s="473">
        <v>0.92</v>
      </c>
      <c r="Y214" s="480">
        <f t="shared" si="53"/>
        <v>1829.88</v>
      </c>
      <c r="Z214" s="458" t="s">
        <v>687</v>
      </c>
      <c r="AA214" s="458" t="s">
        <v>3206</v>
      </c>
      <c r="AB214" s="458" t="s">
        <v>76</v>
      </c>
      <c r="AC214" s="458"/>
      <c r="AD214" s="458" t="s">
        <v>69</v>
      </c>
      <c r="AE214" s="458"/>
      <c r="AF214" s="458">
        <v>1989</v>
      </c>
      <c r="AG214" s="458">
        <f t="shared" si="54"/>
        <v>0</v>
      </c>
      <c r="AH214" s="489"/>
      <c r="AI214" s="458"/>
      <c r="AJ214" s="458"/>
      <c r="AK214" s="458"/>
      <c r="AL214" s="426">
        <f>I214</f>
        <v>1989</v>
      </c>
      <c r="AO214" s="495"/>
      <c r="AQ214" s="425">
        <f>I214</f>
        <v>1989</v>
      </c>
      <c r="AS214" s="425">
        <f>I214</f>
        <v>1989</v>
      </c>
      <c r="AT214" s="495"/>
      <c r="AY214" s="498">
        <f>I214/24</f>
        <v>82.875</v>
      </c>
      <c r="BI214" s="425">
        <f>I214/13</f>
        <v>153</v>
      </c>
      <c r="BT214" s="495"/>
      <c r="BV214" s="495"/>
      <c r="CK214" s="425">
        <f t="shared" si="50"/>
        <v>0</v>
      </c>
      <c r="CL214" s="425">
        <f t="shared" si="51"/>
        <v>0</v>
      </c>
      <c r="CM214" s="425">
        <f t="shared" si="52"/>
        <v>0</v>
      </c>
      <c r="CN214" s="495"/>
      <c r="CO214" s="495"/>
      <c r="CP214" s="495"/>
      <c r="CT214" s="495"/>
      <c r="CU214" s="495"/>
      <c r="CV214" s="495"/>
      <c r="CW214" s="495"/>
      <c r="CX214" s="495"/>
    </row>
    <row r="215" s="425" customFormat="1" ht="31" customHeight="1" spans="1:102">
      <c r="A215" s="455">
        <v>45793</v>
      </c>
      <c r="B215" s="456" t="s">
        <v>688</v>
      </c>
      <c r="C215" s="457" t="s">
        <v>153</v>
      </c>
      <c r="D215" s="425">
        <v>4500166007</v>
      </c>
      <c r="E215" s="457">
        <v>3501527806</v>
      </c>
      <c r="F215" s="425" t="s">
        <v>3688</v>
      </c>
      <c r="G215" s="458" t="s">
        <v>3198</v>
      </c>
      <c r="H215" s="458" t="s">
        <v>3303</v>
      </c>
      <c r="I215" s="458">
        <v>1650</v>
      </c>
      <c r="J215" s="458">
        <v>0</v>
      </c>
      <c r="K215" s="458">
        <v>25</v>
      </c>
      <c r="L215" s="462">
        <f t="shared" si="36"/>
        <v>66</v>
      </c>
      <c r="M215" s="463">
        <v>45831</v>
      </c>
      <c r="N215" s="463">
        <v>45827</v>
      </c>
      <c r="O215" s="464" t="s">
        <v>3689</v>
      </c>
      <c r="P215" s="464" t="s">
        <v>103</v>
      </c>
      <c r="Q215" s="458"/>
      <c r="R215" s="472">
        <v>45798</v>
      </c>
      <c r="S215" s="472" t="s">
        <v>66</v>
      </c>
      <c r="T215" s="472" t="s">
        <v>66</v>
      </c>
      <c r="U215" s="472"/>
      <c r="V215" s="473" t="s">
        <v>3690</v>
      </c>
      <c r="W215" s="473" t="s">
        <v>692</v>
      </c>
      <c r="X215" s="473">
        <v>0.9514</v>
      </c>
      <c r="Y215" s="480">
        <f t="shared" si="53"/>
        <v>1569.81</v>
      </c>
      <c r="Z215" s="514" t="s">
        <v>693</v>
      </c>
      <c r="AA215" s="458" t="s">
        <v>3202</v>
      </c>
      <c r="AB215" s="458" t="s">
        <v>76</v>
      </c>
      <c r="AC215" s="458"/>
      <c r="AD215" s="458" t="s">
        <v>69</v>
      </c>
      <c r="AE215" s="458"/>
      <c r="AF215" s="458">
        <f>1625+25</f>
        <v>1650</v>
      </c>
      <c r="AG215" s="458">
        <f t="shared" si="54"/>
        <v>0</v>
      </c>
      <c r="AH215" s="489"/>
      <c r="AI215" s="458"/>
      <c r="AJ215" s="458"/>
      <c r="AK215" s="458">
        <f>I215</f>
        <v>1650</v>
      </c>
      <c r="AO215" s="495"/>
      <c r="AP215" s="425">
        <f>I215</f>
        <v>1650</v>
      </c>
      <c r="AR215" s="425">
        <f>I215</f>
        <v>1650</v>
      </c>
      <c r="AT215" s="495"/>
      <c r="AY215" s="498">
        <f>I215/24</f>
        <v>68.75</v>
      </c>
      <c r="BK215" s="425">
        <f>I215/25</f>
        <v>66</v>
      </c>
      <c r="BT215" s="495"/>
      <c r="BV215" s="495"/>
      <c r="CK215" s="425">
        <f t="shared" si="50"/>
        <v>66</v>
      </c>
      <c r="CL215" s="425">
        <f t="shared" si="51"/>
        <v>0</v>
      </c>
      <c r="CM215" s="425">
        <f t="shared" si="52"/>
        <v>0</v>
      </c>
      <c r="CN215" s="495"/>
      <c r="CO215" s="495"/>
      <c r="CP215" s="495"/>
      <c r="CT215" s="495"/>
      <c r="CU215" s="495"/>
      <c r="CV215" s="495"/>
      <c r="CW215" s="495"/>
      <c r="CX215" s="495"/>
    </row>
    <row r="216" s="425" customFormat="1" ht="31" customHeight="1" spans="1:102">
      <c r="A216" s="455">
        <v>45799</v>
      </c>
      <c r="B216" s="456" t="s">
        <v>128</v>
      </c>
      <c r="C216" s="457" t="s">
        <v>90</v>
      </c>
      <c r="D216" s="425">
        <v>4500167592</v>
      </c>
      <c r="E216" s="895" t="s">
        <v>3691</v>
      </c>
      <c r="F216" s="425" t="s">
        <v>3692</v>
      </c>
      <c r="G216" s="458" t="s">
        <v>3180</v>
      </c>
      <c r="H216" s="458" t="s">
        <v>3181</v>
      </c>
      <c r="I216" s="458">
        <v>7600</v>
      </c>
      <c r="J216" s="458">
        <v>0</v>
      </c>
      <c r="K216" s="458">
        <v>16</v>
      </c>
      <c r="L216" s="462">
        <f t="shared" si="36"/>
        <v>475</v>
      </c>
      <c r="M216" s="463">
        <v>45828</v>
      </c>
      <c r="N216" s="463">
        <v>45828</v>
      </c>
      <c r="O216" s="464" t="s">
        <v>3693</v>
      </c>
      <c r="P216" s="464" t="s">
        <v>103</v>
      </c>
      <c r="Q216" s="458"/>
      <c r="R216" s="472" t="s">
        <v>3408</v>
      </c>
      <c r="S216" s="472" t="s">
        <v>66</v>
      </c>
      <c r="T216" s="472" t="s">
        <v>133</v>
      </c>
      <c r="U216" s="472"/>
      <c r="V216" s="473" t="s">
        <v>3409</v>
      </c>
      <c r="W216" s="473" t="s">
        <v>98</v>
      </c>
      <c r="X216" s="473">
        <v>0.5936</v>
      </c>
      <c r="Y216" s="480">
        <f t="shared" si="53"/>
        <v>4511.36</v>
      </c>
      <c r="Z216" s="458" t="s">
        <v>3694</v>
      </c>
      <c r="AA216" s="458" t="s">
        <v>3180</v>
      </c>
      <c r="AB216" s="458" t="s">
        <v>76</v>
      </c>
      <c r="AC216" s="458"/>
      <c r="AD216" s="458" t="s">
        <v>69</v>
      </c>
      <c r="AE216" s="458"/>
      <c r="AF216" s="458">
        <v>7600</v>
      </c>
      <c r="AG216" s="458">
        <f t="shared" si="54"/>
        <v>0</v>
      </c>
      <c r="AH216" s="489"/>
      <c r="AI216" s="458"/>
      <c r="AJ216" s="458"/>
      <c r="AK216" s="458">
        <f>I216</f>
        <v>7600</v>
      </c>
      <c r="AM216" s="425">
        <f>I216</f>
        <v>7600</v>
      </c>
      <c r="AO216" s="495"/>
      <c r="AR216" s="425">
        <f>I216</f>
        <v>7600</v>
      </c>
      <c r="AT216" s="495"/>
      <c r="AY216" s="498">
        <f>I216/48</f>
        <v>158.333333333333</v>
      </c>
      <c r="BM216" s="425">
        <f>I216/16</f>
        <v>475</v>
      </c>
      <c r="BT216" s="495"/>
      <c r="BV216" s="495"/>
      <c r="CK216" s="425">
        <f t="shared" si="50"/>
        <v>475</v>
      </c>
      <c r="CL216" s="425">
        <f t="shared" si="51"/>
        <v>0</v>
      </c>
      <c r="CM216" s="425">
        <f t="shared" si="52"/>
        <v>0</v>
      </c>
      <c r="CN216" s="495"/>
      <c r="CO216" s="495"/>
      <c r="CP216" s="495"/>
      <c r="CT216" s="495"/>
      <c r="CU216" s="495"/>
      <c r="CV216" s="495"/>
      <c r="CW216" s="495"/>
      <c r="CX216" s="495"/>
    </row>
    <row r="217" s="425" customFormat="1" ht="31" customHeight="1" spans="1:102">
      <c r="A217" s="455">
        <v>45799</v>
      </c>
      <c r="B217" s="456" t="s">
        <v>128</v>
      </c>
      <c r="C217" s="457" t="s">
        <v>90</v>
      </c>
      <c r="D217" s="425">
        <v>4500167592</v>
      </c>
      <c r="E217" s="895" t="s">
        <v>3695</v>
      </c>
      <c r="F217" s="425" t="s">
        <v>3696</v>
      </c>
      <c r="G217" s="458" t="s">
        <v>3180</v>
      </c>
      <c r="H217" s="458" t="s">
        <v>3181</v>
      </c>
      <c r="I217" s="458">
        <v>9008</v>
      </c>
      <c r="J217" s="458">
        <v>0</v>
      </c>
      <c r="K217" s="458">
        <v>16</v>
      </c>
      <c r="L217" s="462">
        <f t="shared" si="36"/>
        <v>563</v>
      </c>
      <c r="M217" s="463">
        <v>45828</v>
      </c>
      <c r="N217" s="463">
        <v>45828</v>
      </c>
      <c r="O217" s="464" t="s">
        <v>3693</v>
      </c>
      <c r="P217" s="464" t="s">
        <v>103</v>
      </c>
      <c r="Q217" s="458"/>
      <c r="R217" s="472" t="s">
        <v>3408</v>
      </c>
      <c r="S217" s="472" t="s">
        <v>66</v>
      </c>
      <c r="T217" s="472" t="s">
        <v>133</v>
      </c>
      <c r="U217" s="472"/>
      <c r="V217" s="473" t="s">
        <v>3409</v>
      </c>
      <c r="W217" s="473" t="s">
        <v>98</v>
      </c>
      <c r="X217" s="473">
        <v>0.5936</v>
      </c>
      <c r="Y217" s="480">
        <f t="shared" si="53"/>
        <v>5347.1488</v>
      </c>
      <c r="Z217" s="458" t="s">
        <v>3697</v>
      </c>
      <c r="AA217" s="458" t="s">
        <v>3180</v>
      </c>
      <c r="AB217" s="458" t="s">
        <v>76</v>
      </c>
      <c r="AC217" s="458"/>
      <c r="AD217" s="458" t="s">
        <v>69</v>
      </c>
      <c r="AE217" s="458"/>
      <c r="AF217" s="458">
        <v>9008</v>
      </c>
      <c r="AG217" s="458">
        <f t="shared" si="54"/>
        <v>0</v>
      </c>
      <c r="AH217" s="489"/>
      <c r="AI217" s="458"/>
      <c r="AJ217" s="458"/>
      <c r="AK217" s="458">
        <f>I217</f>
        <v>9008</v>
      </c>
      <c r="AM217" s="425">
        <f>I217</f>
        <v>9008</v>
      </c>
      <c r="AO217" s="495"/>
      <c r="AR217" s="425">
        <f>I217</f>
        <v>9008</v>
      </c>
      <c r="AT217" s="495"/>
      <c r="AY217" s="498">
        <f>I217/48</f>
        <v>187.666666666667</v>
      </c>
      <c r="BM217" s="425">
        <f>I217/16</f>
        <v>563</v>
      </c>
      <c r="BT217" s="495"/>
      <c r="BV217" s="495"/>
      <c r="CK217" s="425">
        <f t="shared" si="50"/>
        <v>563</v>
      </c>
      <c r="CL217" s="425">
        <f t="shared" si="51"/>
        <v>0</v>
      </c>
      <c r="CM217" s="425">
        <f t="shared" si="52"/>
        <v>0</v>
      </c>
      <c r="CN217" s="495"/>
      <c r="CO217" s="495"/>
      <c r="CP217" s="495"/>
      <c r="CT217" s="495"/>
      <c r="CU217" s="495"/>
      <c r="CV217" s="495"/>
      <c r="CW217" s="495"/>
      <c r="CX217" s="495"/>
    </row>
    <row r="218" s="425" customFormat="1" ht="31" customHeight="1" spans="1:102">
      <c r="A218" s="455">
        <v>45792</v>
      </c>
      <c r="B218" s="456" t="s">
        <v>3698</v>
      </c>
      <c r="C218" s="457" t="s">
        <v>356</v>
      </c>
      <c r="D218" s="425">
        <v>4500166380</v>
      </c>
      <c r="E218" s="457" t="s">
        <v>3699</v>
      </c>
      <c r="F218" s="425" t="s">
        <v>3700</v>
      </c>
      <c r="G218" s="458" t="s">
        <v>3161</v>
      </c>
      <c r="H218" s="458" t="s">
        <v>3221</v>
      </c>
      <c r="I218" s="458">
        <v>4000</v>
      </c>
      <c r="J218" s="458">
        <v>0</v>
      </c>
      <c r="K218" s="458">
        <v>50</v>
      </c>
      <c r="L218" s="462">
        <f t="shared" si="36"/>
        <v>80</v>
      </c>
      <c r="M218" s="463">
        <v>45832</v>
      </c>
      <c r="N218" s="463">
        <v>45828</v>
      </c>
      <c r="O218" s="464"/>
      <c r="P218" s="464" t="s">
        <v>103</v>
      </c>
      <c r="Q218" s="458"/>
      <c r="R218" s="472" t="s">
        <v>3656</v>
      </c>
      <c r="S218" s="472" t="s">
        <v>66</v>
      </c>
      <c r="T218" s="472">
        <v>45805</v>
      </c>
      <c r="U218" s="472"/>
      <c r="V218" s="473" t="s">
        <v>3701</v>
      </c>
      <c r="W218" s="473" t="s">
        <v>808</v>
      </c>
      <c r="X218" s="473">
        <v>0.99</v>
      </c>
      <c r="Y218" s="480">
        <f t="shared" si="53"/>
        <v>3960</v>
      </c>
      <c r="Z218" s="458"/>
      <c r="AA218" s="458" t="s">
        <v>3161</v>
      </c>
      <c r="AB218" s="458" t="s">
        <v>76</v>
      </c>
      <c r="AC218" s="458"/>
      <c r="AD218" s="458" t="s">
        <v>69</v>
      </c>
      <c r="AE218" s="458"/>
      <c r="AF218" s="458">
        <v>4000</v>
      </c>
      <c r="AG218" s="458">
        <f t="shared" si="54"/>
        <v>0</v>
      </c>
      <c r="AH218" s="489"/>
      <c r="AI218" s="458"/>
      <c r="AJ218" s="458"/>
      <c r="AK218" s="458"/>
      <c r="AL218" s="426">
        <f>I218</f>
        <v>4000</v>
      </c>
      <c r="AO218" s="495"/>
      <c r="AQ218" s="425">
        <f>I218</f>
        <v>4000</v>
      </c>
      <c r="AS218" s="425">
        <f>I218</f>
        <v>4000</v>
      </c>
      <c r="AT218" s="495"/>
      <c r="AY218" s="498">
        <f>I218/24</f>
        <v>166.666666666667</v>
      </c>
      <c r="BL218" s="425">
        <f>I218/25</f>
        <v>160</v>
      </c>
      <c r="BT218" s="495"/>
      <c r="BV218" s="495"/>
      <c r="CK218" s="425">
        <f t="shared" si="50"/>
        <v>160</v>
      </c>
      <c r="CL218" s="425">
        <f t="shared" si="51"/>
        <v>0</v>
      </c>
      <c r="CM218" s="425">
        <f t="shared" si="52"/>
        <v>0</v>
      </c>
      <c r="CN218" s="495"/>
      <c r="CO218" s="495"/>
      <c r="CP218" s="495"/>
      <c r="CT218" s="495"/>
      <c r="CU218" s="495"/>
      <c r="CV218" s="495"/>
      <c r="CW218" s="495"/>
      <c r="CX218" s="495"/>
    </row>
    <row r="219" s="425" customFormat="1" ht="31" customHeight="1" spans="1:102">
      <c r="A219" s="455">
        <v>45799</v>
      </c>
      <c r="B219" s="456" t="s">
        <v>128</v>
      </c>
      <c r="C219" s="457" t="s">
        <v>90</v>
      </c>
      <c r="D219" s="425">
        <v>4500167592</v>
      </c>
      <c r="E219" s="895" t="s">
        <v>3702</v>
      </c>
      <c r="F219" s="425" t="s">
        <v>3703</v>
      </c>
      <c r="G219" s="458" t="s">
        <v>3180</v>
      </c>
      <c r="H219" s="458" t="s">
        <v>3181</v>
      </c>
      <c r="I219" s="458">
        <v>13520</v>
      </c>
      <c r="J219" s="458">
        <v>0</v>
      </c>
      <c r="K219" s="458">
        <v>16</v>
      </c>
      <c r="L219" s="462">
        <f t="shared" si="36"/>
        <v>845</v>
      </c>
      <c r="M219" s="463">
        <v>45828</v>
      </c>
      <c r="N219" s="463">
        <v>45828</v>
      </c>
      <c r="O219" s="464" t="s">
        <v>3693</v>
      </c>
      <c r="P219" s="464" t="s">
        <v>103</v>
      </c>
      <c r="Q219" s="458"/>
      <c r="R219" s="472" t="s">
        <v>3408</v>
      </c>
      <c r="S219" s="472" t="s">
        <v>66</v>
      </c>
      <c r="T219" s="472" t="s">
        <v>133</v>
      </c>
      <c r="U219" s="472"/>
      <c r="V219" s="473" t="s">
        <v>3409</v>
      </c>
      <c r="W219" s="473" t="s">
        <v>98</v>
      </c>
      <c r="X219" s="473">
        <v>0.5905</v>
      </c>
      <c r="Y219" s="480">
        <f t="shared" si="53"/>
        <v>7983.56</v>
      </c>
      <c r="Z219" s="458"/>
      <c r="AA219" s="458" t="s">
        <v>3180</v>
      </c>
      <c r="AB219" s="458" t="s">
        <v>76</v>
      </c>
      <c r="AC219" s="458"/>
      <c r="AD219" s="458" t="s">
        <v>69</v>
      </c>
      <c r="AE219" s="458"/>
      <c r="AF219" s="458">
        <v>13520</v>
      </c>
      <c r="AG219" s="458">
        <f t="shared" si="54"/>
        <v>0</v>
      </c>
      <c r="AH219" s="489"/>
      <c r="AI219" s="458"/>
      <c r="AJ219" s="458"/>
      <c r="AK219" s="458">
        <f>I219</f>
        <v>13520</v>
      </c>
      <c r="AM219" s="425">
        <f>I219</f>
        <v>13520</v>
      </c>
      <c r="AO219" s="495"/>
      <c r="AR219" s="425">
        <f>I219</f>
        <v>13520</v>
      </c>
      <c r="AT219" s="495"/>
      <c r="AY219" s="498">
        <f>I219/48</f>
        <v>281.666666666667</v>
      </c>
      <c r="BM219" s="425">
        <f>I219/16</f>
        <v>845</v>
      </c>
      <c r="BT219" s="495"/>
      <c r="BV219" s="495"/>
      <c r="CK219" s="425">
        <f t="shared" si="50"/>
        <v>845</v>
      </c>
      <c r="CL219" s="425">
        <f t="shared" si="51"/>
        <v>0</v>
      </c>
      <c r="CM219" s="425">
        <f t="shared" si="52"/>
        <v>0</v>
      </c>
      <c r="CN219" s="495"/>
      <c r="CO219" s="495"/>
      <c r="CP219" s="495"/>
      <c r="CT219" s="495"/>
      <c r="CU219" s="495"/>
      <c r="CV219" s="495"/>
      <c r="CW219" s="495"/>
      <c r="CX219" s="495"/>
    </row>
    <row r="220" s="425" customFormat="1" ht="31" customHeight="1" spans="1:102">
      <c r="A220" s="455">
        <v>45799</v>
      </c>
      <c r="B220" s="456" t="s">
        <v>128</v>
      </c>
      <c r="C220" s="457" t="s">
        <v>90</v>
      </c>
      <c r="D220" s="425">
        <v>4500167592</v>
      </c>
      <c r="E220" s="895" t="s">
        <v>3704</v>
      </c>
      <c r="F220" s="425" t="s">
        <v>3705</v>
      </c>
      <c r="G220" s="458" t="s">
        <v>3180</v>
      </c>
      <c r="H220" s="458" t="s">
        <v>3181</v>
      </c>
      <c r="I220" s="458">
        <v>11664</v>
      </c>
      <c r="J220" s="458">
        <v>0</v>
      </c>
      <c r="K220" s="458">
        <v>16</v>
      </c>
      <c r="L220" s="462">
        <f t="shared" si="36"/>
        <v>729</v>
      </c>
      <c r="M220" s="463">
        <v>45828</v>
      </c>
      <c r="N220" s="463">
        <v>45831</v>
      </c>
      <c r="O220" s="464" t="s">
        <v>3693</v>
      </c>
      <c r="P220" s="464" t="s">
        <v>103</v>
      </c>
      <c r="Q220" s="458"/>
      <c r="R220" s="472" t="s">
        <v>3408</v>
      </c>
      <c r="S220" s="472" t="s">
        <v>66</v>
      </c>
      <c r="T220" s="472" t="s">
        <v>133</v>
      </c>
      <c r="U220" s="472"/>
      <c r="V220" s="473" t="s">
        <v>3409</v>
      </c>
      <c r="W220" s="473" t="s">
        <v>98</v>
      </c>
      <c r="X220" s="473">
        <v>0.5905</v>
      </c>
      <c r="Y220" s="480">
        <f t="shared" si="53"/>
        <v>6887.592</v>
      </c>
      <c r="Z220" s="458" t="s">
        <v>3706</v>
      </c>
      <c r="AA220" s="458" t="s">
        <v>3180</v>
      </c>
      <c r="AB220" s="458" t="s">
        <v>76</v>
      </c>
      <c r="AC220" s="458"/>
      <c r="AD220" s="458" t="s">
        <v>69</v>
      </c>
      <c r="AE220" s="458"/>
      <c r="AF220" s="458">
        <v>11664</v>
      </c>
      <c r="AG220" s="458">
        <f t="shared" si="54"/>
        <v>0</v>
      </c>
      <c r="AH220" s="489"/>
      <c r="AI220" s="458"/>
      <c r="AJ220" s="458"/>
      <c r="AK220" s="458">
        <f>I220</f>
        <v>11664</v>
      </c>
      <c r="AM220" s="425">
        <f>I220</f>
        <v>11664</v>
      </c>
      <c r="AO220" s="495"/>
      <c r="AR220" s="425">
        <f>I220</f>
        <v>11664</v>
      </c>
      <c r="AT220" s="495"/>
      <c r="AY220" s="498">
        <f>I220/48</f>
        <v>243</v>
      </c>
      <c r="BM220" s="425">
        <f>I220/16</f>
        <v>729</v>
      </c>
      <c r="BT220" s="495"/>
      <c r="BV220" s="495"/>
      <c r="CK220" s="425">
        <f t="shared" si="50"/>
        <v>729</v>
      </c>
      <c r="CL220" s="425">
        <f t="shared" si="51"/>
        <v>0</v>
      </c>
      <c r="CM220" s="425">
        <f t="shared" si="52"/>
        <v>0</v>
      </c>
      <c r="CN220" s="495"/>
      <c r="CO220" s="495"/>
      <c r="CP220" s="495"/>
      <c r="CT220" s="495"/>
      <c r="CU220" s="495"/>
      <c r="CV220" s="495"/>
      <c r="CW220" s="495"/>
      <c r="CX220" s="495"/>
    </row>
    <row r="221" s="425" customFormat="1" ht="31" customHeight="1" spans="1:102">
      <c r="A221" s="455">
        <v>45799</v>
      </c>
      <c r="B221" s="456" t="s">
        <v>128</v>
      </c>
      <c r="C221" s="457" t="s">
        <v>90</v>
      </c>
      <c r="D221" s="425">
        <v>4500167592</v>
      </c>
      <c r="E221" s="895" t="s">
        <v>3707</v>
      </c>
      <c r="F221" s="425" t="s">
        <v>3708</v>
      </c>
      <c r="G221" s="458" t="s">
        <v>3180</v>
      </c>
      <c r="H221" s="458" t="s">
        <v>3181</v>
      </c>
      <c r="I221" s="458">
        <v>9488</v>
      </c>
      <c r="J221" s="458">
        <v>0</v>
      </c>
      <c r="K221" s="458">
        <v>16</v>
      </c>
      <c r="L221" s="462">
        <f t="shared" ref="L221:L284" si="55">I221/K221</f>
        <v>593</v>
      </c>
      <c r="M221" s="463">
        <v>45828</v>
      </c>
      <c r="N221" s="463">
        <v>45831</v>
      </c>
      <c r="O221" s="464" t="s">
        <v>3693</v>
      </c>
      <c r="P221" s="464" t="s">
        <v>103</v>
      </c>
      <c r="Q221" s="458"/>
      <c r="R221" s="472" t="s">
        <v>3408</v>
      </c>
      <c r="S221" s="472" t="s">
        <v>66</v>
      </c>
      <c r="T221" s="472" t="s">
        <v>133</v>
      </c>
      <c r="U221" s="472"/>
      <c r="V221" s="473" t="s">
        <v>3409</v>
      </c>
      <c r="W221" s="473" t="s">
        <v>98</v>
      </c>
      <c r="X221" s="473">
        <v>0.5936</v>
      </c>
      <c r="Y221" s="480">
        <f t="shared" si="53"/>
        <v>5632.0768</v>
      </c>
      <c r="Z221" s="458"/>
      <c r="AA221" s="458" t="s">
        <v>3180</v>
      </c>
      <c r="AB221" s="458" t="s">
        <v>76</v>
      </c>
      <c r="AC221" s="458"/>
      <c r="AD221" s="458" t="s">
        <v>69</v>
      </c>
      <c r="AE221" s="458"/>
      <c r="AF221" s="458">
        <v>9488</v>
      </c>
      <c r="AG221" s="458">
        <f t="shared" si="54"/>
        <v>0</v>
      </c>
      <c r="AH221" s="489"/>
      <c r="AI221" s="458"/>
      <c r="AJ221" s="458"/>
      <c r="AK221" s="458">
        <f>I221</f>
        <v>9488</v>
      </c>
      <c r="AM221" s="425">
        <f>I221</f>
        <v>9488</v>
      </c>
      <c r="AO221" s="495"/>
      <c r="AR221" s="425">
        <f>I221</f>
        <v>9488</v>
      </c>
      <c r="AT221" s="495"/>
      <c r="AY221" s="498">
        <f>I221/48</f>
        <v>197.666666666667</v>
      </c>
      <c r="BM221" s="425">
        <f>I221/16</f>
        <v>593</v>
      </c>
      <c r="BT221" s="495"/>
      <c r="BV221" s="495"/>
      <c r="CK221" s="425">
        <f t="shared" si="50"/>
        <v>593</v>
      </c>
      <c r="CL221" s="425">
        <f t="shared" si="51"/>
        <v>0</v>
      </c>
      <c r="CM221" s="425">
        <f t="shared" si="52"/>
        <v>0</v>
      </c>
      <c r="CN221" s="495"/>
      <c r="CO221" s="495"/>
      <c r="CP221" s="495"/>
      <c r="CT221" s="495"/>
      <c r="CU221" s="495"/>
      <c r="CV221" s="495"/>
      <c r="CW221" s="495"/>
      <c r="CX221" s="495"/>
    </row>
    <row r="222" s="425" customFormat="1" ht="31" customHeight="1" spans="1:102">
      <c r="A222" s="455">
        <v>45799</v>
      </c>
      <c r="B222" s="456" t="s">
        <v>128</v>
      </c>
      <c r="C222" s="457" t="s">
        <v>90</v>
      </c>
      <c r="D222" s="425">
        <v>4500167592</v>
      </c>
      <c r="E222" s="895" t="s">
        <v>3709</v>
      </c>
      <c r="F222" s="425" t="s">
        <v>3710</v>
      </c>
      <c r="G222" s="458" t="s">
        <v>3180</v>
      </c>
      <c r="H222" s="458" t="s">
        <v>3181</v>
      </c>
      <c r="I222" s="458">
        <v>9120</v>
      </c>
      <c r="J222" s="458">
        <v>0</v>
      </c>
      <c r="K222" s="458">
        <v>16</v>
      </c>
      <c r="L222" s="462">
        <f t="shared" si="55"/>
        <v>570</v>
      </c>
      <c r="M222" s="463">
        <v>45828</v>
      </c>
      <c r="N222" s="463">
        <v>45831</v>
      </c>
      <c r="O222" s="464" t="s">
        <v>3693</v>
      </c>
      <c r="P222" s="464" t="s">
        <v>103</v>
      </c>
      <c r="Q222" s="458" t="s">
        <v>3711</v>
      </c>
      <c r="R222" s="472" t="s">
        <v>3408</v>
      </c>
      <c r="S222" s="472" t="s">
        <v>66</v>
      </c>
      <c r="T222" s="472" t="s">
        <v>133</v>
      </c>
      <c r="U222" s="472"/>
      <c r="V222" s="473" t="s">
        <v>3409</v>
      </c>
      <c r="W222" s="473" t="s">
        <v>98</v>
      </c>
      <c r="X222" s="473">
        <v>0.5936</v>
      </c>
      <c r="Y222" s="480">
        <f t="shared" si="53"/>
        <v>5413.632</v>
      </c>
      <c r="Z222" s="458" t="s">
        <v>3712</v>
      </c>
      <c r="AA222" s="458" t="s">
        <v>3180</v>
      </c>
      <c r="AB222" s="458" t="s">
        <v>76</v>
      </c>
      <c r="AC222" s="458"/>
      <c r="AD222" s="458" t="s">
        <v>69</v>
      </c>
      <c r="AE222" s="458"/>
      <c r="AF222" s="458">
        <v>9120</v>
      </c>
      <c r="AG222" s="458">
        <f t="shared" si="54"/>
        <v>0</v>
      </c>
      <c r="AH222" s="489"/>
      <c r="AI222" s="458"/>
      <c r="AJ222" s="458"/>
      <c r="AK222" s="458">
        <f>I222</f>
        <v>9120</v>
      </c>
      <c r="AM222" s="425">
        <f>I222</f>
        <v>9120</v>
      </c>
      <c r="AO222" s="495"/>
      <c r="AR222" s="425">
        <f>I222</f>
        <v>9120</v>
      </c>
      <c r="AT222" s="495"/>
      <c r="AY222" s="498">
        <f>I222/48</f>
        <v>190</v>
      </c>
      <c r="BM222" s="425">
        <f>I222/16</f>
        <v>570</v>
      </c>
      <c r="BT222" s="495"/>
      <c r="BV222" s="495"/>
      <c r="CK222" s="425">
        <f t="shared" si="50"/>
        <v>570</v>
      </c>
      <c r="CL222" s="425">
        <f t="shared" si="51"/>
        <v>0</v>
      </c>
      <c r="CM222" s="425">
        <f t="shared" si="52"/>
        <v>0</v>
      </c>
      <c r="CN222" s="495"/>
      <c r="CO222" s="495"/>
      <c r="CP222" s="495"/>
      <c r="CT222" s="495"/>
      <c r="CU222" s="495"/>
      <c r="CV222" s="495"/>
      <c r="CW222" s="495"/>
      <c r="CX222" s="495"/>
    </row>
    <row r="223" s="425" customFormat="1" ht="31" customHeight="1" spans="1:102">
      <c r="A223" s="455">
        <v>45798</v>
      </c>
      <c r="B223" s="456" t="s">
        <v>823</v>
      </c>
      <c r="C223" s="457" t="s">
        <v>824</v>
      </c>
      <c r="D223" s="425">
        <v>4500166269</v>
      </c>
      <c r="E223" s="457"/>
      <c r="F223" s="425" t="s">
        <v>3713</v>
      </c>
      <c r="G223" s="458" t="s">
        <v>3165</v>
      </c>
      <c r="H223" s="458" t="s">
        <v>3303</v>
      </c>
      <c r="I223" s="458">
        <v>300</v>
      </c>
      <c r="J223" s="458">
        <v>0</v>
      </c>
      <c r="K223" s="458">
        <v>25</v>
      </c>
      <c r="L223" s="462">
        <f t="shared" si="55"/>
        <v>12</v>
      </c>
      <c r="M223" s="463">
        <v>45834</v>
      </c>
      <c r="N223" s="463">
        <v>45831</v>
      </c>
      <c r="O223" s="464"/>
      <c r="P223" s="464" t="s">
        <v>103</v>
      </c>
      <c r="Q223" s="458"/>
      <c r="R223" s="472">
        <v>45798</v>
      </c>
      <c r="S223" s="472" t="s">
        <v>66</v>
      </c>
      <c r="T223" s="472" t="s">
        <v>66</v>
      </c>
      <c r="U223" s="472"/>
      <c r="V223" s="473" t="s">
        <v>3714</v>
      </c>
      <c r="W223" s="473" t="s">
        <v>269</v>
      </c>
      <c r="X223" s="473">
        <v>0.9469</v>
      </c>
      <c r="Y223" s="480">
        <f t="shared" si="53"/>
        <v>284.07</v>
      </c>
      <c r="Z223" s="458" t="s">
        <v>3715</v>
      </c>
      <c r="AA223" s="458" t="s">
        <v>3165</v>
      </c>
      <c r="AB223" s="458" t="s">
        <v>76</v>
      </c>
      <c r="AC223" s="458"/>
      <c r="AD223" s="458" t="s">
        <v>69</v>
      </c>
      <c r="AE223" s="458"/>
      <c r="AF223" s="458">
        <v>300</v>
      </c>
      <c r="AG223" s="458">
        <f t="shared" si="54"/>
        <v>0</v>
      </c>
      <c r="AH223" s="489"/>
      <c r="AI223" s="458"/>
      <c r="AJ223" s="458"/>
      <c r="AK223" s="458"/>
      <c r="AL223" s="426">
        <f>I223</f>
        <v>300</v>
      </c>
      <c r="AO223" s="495"/>
      <c r="AQ223" s="425">
        <f>I223</f>
        <v>300</v>
      </c>
      <c r="AS223" s="425">
        <f>I223</f>
        <v>300</v>
      </c>
      <c r="AT223" s="495"/>
      <c r="AY223" s="498">
        <f>I223/24</f>
        <v>12.5</v>
      </c>
      <c r="BL223" s="425">
        <f>I223/25</f>
        <v>12</v>
      </c>
      <c r="BT223" s="495"/>
      <c r="BV223" s="495"/>
      <c r="CK223" s="425">
        <f t="shared" si="50"/>
        <v>12</v>
      </c>
      <c r="CL223" s="425">
        <f t="shared" si="51"/>
        <v>0</v>
      </c>
      <c r="CM223" s="425">
        <f t="shared" si="52"/>
        <v>0</v>
      </c>
      <c r="CN223" s="495"/>
      <c r="CO223" s="495"/>
      <c r="CP223" s="495"/>
      <c r="CT223" s="495"/>
      <c r="CU223" s="495"/>
      <c r="CV223" s="495"/>
      <c r="CW223" s="495"/>
      <c r="CX223" s="495"/>
    </row>
    <row r="224" s="425" customFormat="1" ht="31" customHeight="1" spans="1:102">
      <c r="A224" s="455">
        <v>45798</v>
      </c>
      <c r="B224" s="456" t="s">
        <v>725</v>
      </c>
      <c r="C224" s="457" t="s">
        <v>726</v>
      </c>
      <c r="D224" s="425">
        <v>4500167360</v>
      </c>
      <c r="E224" s="457" t="s">
        <v>727</v>
      </c>
      <c r="F224" s="425" t="s">
        <v>3716</v>
      </c>
      <c r="G224" s="458" t="s">
        <v>3161</v>
      </c>
      <c r="H224" s="458" t="s">
        <v>3221</v>
      </c>
      <c r="I224" s="458">
        <v>3000</v>
      </c>
      <c r="J224" s="458">
        <v>0</v>
      </c>
      <c r="K224" s="458">
        <v>50</v>
      </c>
      <c r="L224" s="462">
        <f t="shared" si="55"/>
        <v>60</v>
      </c>
      <c r="M224" s="463">
        <v>45835</v>
      </c>
      <c r="N224" s="463">
        <v>45831</v>
      </c>
      <c r="O224" s="464"/>
      <c r="P224" s="464" t="s">
        <v>103</v>
      </c>
      <c r="Q224" s="458"/>
      <c r="R224" s="472">
        <v>45804</v>
      </c>
      <c r="S224" s="472" t="s">
        <v>66</v>
      </c>
      <c r="T224" s="472">
        <v>45805</v>
      </c>
      <c r="U224" s="472"/>
      <c r="V224" s="473" t="s">
        <v>3717</v>
      </c>
      <c r="W224" s="473" t="s">
        <v>207</v>
      </c>
      <c r="X224" s="473">
        <v>0.924</v>
      </c>
      <c r="Y224" s="480">
        <f t="shared" si="53"/>
        <v>2772</v>
      </c>
      <c r="Z224" s="458"/>
      <c r="AA224" s="458" t="s">
        <v>3161</v>
      </c>
      <c r="AB224" s="458" t="s">
        <v>76</v>
      </c>
      <c r="AC224" s="458"/>
      <c r="AD224" s="458" t="s">
        <v>69</v>
      </c>
      <c r="AE224" s="458"/>
      <c r="AF224" s="458">
        <v>3000</v>
      </c>
      <c r="AG224" s="458">
        <f t="shared" si="54"/>
        <v>0</v>
      </c>
      <c r="AH224" s="489"/>
      <c r="AI224" s="458"/>
      <c r="AJ224" s="458"/>
      <c r="AK224" s="458"/>
      <c r="AL224" s="426">
        <f>I224</f>
        <v>3000</v>
      </c>
      <c r="AO224" s="495"/>
      <c r="AQ224" s="425">
        <f>I224</f>
        <v>3000</v>
      </c>
      <c r="AS224" s="425">
        <f>I224</f>
        <v>3000</v>
      </c>
      <c r="AT224" s="495"/>
      <c r="AY224" s="498">
        <f>I224/24</f>
        <v>125</v>
      </c>
      <c r="BL224" s="425">
        <f>I224/25</f>
        <v>120</v>
      </c>
      <c r="BT224" s="495"/>
      <c r="BV224" s="495"/>
      <c r="CK224" s="425">
        <f t="shared" si="50"/>
        <v>120</v>
      </c>
      <c r="CL224" s="425">
        <f t="shared" si="51"/>
        <v>0</v>
      </c>
      <c r="CM224" s="425">
        <f t="shared" si="52"/>
        <v>0</v>
      </c>
      <c r="CN224" s="495"/>
      <c r="CO224" s="495"/>
      <c r="CP224" s="495"/>
      <c r="CT224" s="495"/>
      <c r="CU224" s="495"/>
      <c r="CV224" s="495"/>
      <c r="CW224" s="495"/>
      <c r="CX224" s="495"/>
    </row>
    <row r="225" s="425" customFormat="1" ht="31" customHeight="1" spans="1:102">
      <c r="A225" s="455">
        <v>45799</v>
      </c>
      <c r="B225" s="456" t="s">
        <v>128</v>
      </c>
      <c r="C225" s="457" t="s">
        <v>90</v>
      </c>
      <c r="D225" s="425">
        <v>4500167592</v>
      </c>
      <c r="E225" s="895" t="s">
        <v>3718</v>
      </c>
      <c r="F225" s="425" t="s">
        <v>3719</v>
      </c>
      <c r="G225" s="458" t="s">
        <v>3180</v>
      </c>
      <c r="H225" s="458" t="s">
        <v>3181</v>
      </c>
      <c r="I225" s="458">
        <v>10112</v>
      </c>
      <c r="J225" s="458">
        <v>0</v>
      </c>
      <c r="K225" s="458">
        <v>16</v>
      </c>
      <c r="L225" s="462">
        <f t="shared" si="55"/>
        <v>632</v>
      </c>
      <c r="M225" s="463">
        <v>45828</v>
      </c>
      <c r="N225" s="463">
        <v>45832</v>
      </c>
      <c r="O225" s="464" t="s">
        <v>3693</v>
      </c>
      <c r="P225" s="464" t="s">
        <v>103</v>
      </c>
      <c r="Q225" s="458"/>
      <c r="R225" s="472" t="s">
        <v>3408</v>
      </c>
      <c r="S225" s="472" t="s">
        <v>66</v>
      </c>
      <c r="T225" s="472" t="s">
        <v>133</v>
      </c>
      <c r="U225" s="472"/>
      <c r="V225" s="473" t="s">
        <v>3409</v>
      </c>
      <c r="W225" s="473" t="s">
        <v>98</v>
      </c>
      <c r="X225" s="473">
        <v>0.5905</v>
      </c>
      <c r="Y225" s="480">
        <f t="shared" si="53"/>
        <v>5971.136</v>
      </c>
      <c r="Z225" s="458" t="s">
        <v>3720</v>
      </c>
      <c r="AA225" s="458" t="s">
        <v>3180</v>
      </c>
      <c r="AB225" s="458" t="s">
        <v>76</v>
      </c>
      <c r="AC225" s="458"/>
      <c r="AD225" s="458" t="s">
        <v>69</v>
      </c>
      <c r="AE225" s="458"/>
      <c r="AF225" s="458">
        <v>10112</v>
      </c>
      <c r="AG225" s="458">
        <f t="shared" si="54"/>
        <v>0</v>
      </c>
      <c r="AH225" s="489"/>
      <c r="AI225" s="458"/>
      <c r="AJ225" s="458"/>
      <c r="AK225" s="458">
        <f>I225</f>
        <v>10112</v>
      </c>
      <c r="AM225" s="425">
        <f>I225</f>
        <v>10112</v>
      </c>
      <c r="AO225" s="495"/>
      <c r="AR225" s="425">
        <f>I225</f>
        <v>10112</v>
      </c>
      <c r="AT225" s="495"/>
      <c r="AY225" s="498">
        <f>I225/48</f>
        <v>210.666666666667</v>
      </c>
      <c r="BM225" s="425">
        <f>I225/16</f>
        <v>632</v>
      </c>
      <c r="BT225" s="495"/>
      <c r="BV225" s="495"/>
      <c r="CK225" s="425">
        <f t="shared" si="50"/>
        <v>632</v>
      </c>
      <c r="CL225" s="425">
        <f t="shared" si="51"/>
        <v>0</v>
      </c>
      <c r="CM225" s="425">
        <f t="shared" si="52"/>
        <v>0</v>
      </c>
      <c r="CN225" s="495"/>
      <c r="CO225" s="495"/>
      <c r="CP225" s="495"/>
      <c r="CT225" s="495"/>
      <c r="CU225" s="495"/>
      <c r="CV225" s="495"/>
      <c r="CW225" s="495"/>
      <c r="CX225" s="495"/>
    </row>
    <row r="226" s="425" customFormat="1" ht="31" customHeight="1" spans="1:102">
      <c r="A226" s="455">
        <v>45764</v>
      </c>
      <c r="B226" s="456" t="s">
        <v>605</v>
      </c>
      <c r="C226" s="457" t="s">
        <v>366</v>
      </c>
      <c r="D226" s="425">
        <v>4500164017</v>
      </c>
      <c r="E226" s="457">
        <v>5200006591</v>
      </c>
      <c r="F226" s="425" t="s">
        <v>737</v>
      </c>
      <c r="G226" s="458" t="s">
        <v>3721</v>
      </c>
      <c r="H226" s="458" t="s">
        <v>3722</v>
      </c>
      <c r="I226" s="458">
        <v>18000</v>
      </c>
      <c r="J226" s="458">
        <v>0</v>
      </c>
      <c r="K226" s="458">
        <v>90</v>
      </c>
      <c r="L226" s="462">
        <f t="shared" si="55"/>
        <v>200</v>
      </c>
      <c r="M226" s="463">
        <v>45819</v>
      </c>
      <c r="N226" s="463">
        <v>45815</v>
      </c>
      <c r="O226" s="464"/>
      <c r="P226" s="464" t="s">
        <v>103</v>
      </c>
      <c r="Q226" s="458"/>
      <c r="R226" s="472">
        <v>45768</v>
      </c>
      <c r="S226" s="472" t="s">
        <v>66</v>
      </c>
      <c r="T226" s="472">
        <v>45777</v>
      </c>
      <c r="U226" s="472"/>
      <c r="V226" s="508" t="s">
        <v>3723</v>
      </c>
      <c r="W226" s="473" t="s">
        <v>370</v>
      </c>
      <c r="X226" s="473">
        <v>172.2144</v>
      </c>
      <c r="Y226" s="480">
        <f>X226*L226</f>
        <v>34442.88</v>
      </c>
      <c r="Z226" s="458"/>
      <c r="AA226" s="482" t="s">
        <v>3721</v>
      </c>
      <c r="AB226" s="458" t="s">
        <v>76</v>
      </c>
      <c r="AC226" s="458"/>
      <c r="AD226" s="458" t="s">
        <v>69</v>
      </c>
      <c r="AE226" s="458"/>
      <c r="AF226" s="458">
        <v>18000</v>
      </c>
      <c r="AG226" s="458">
        <f t="shared" si="54"/>
        <v>0</v>
      </c>
      <c r="AH226" s="489"/>
      <c r="AI226" s="458" t="s">
        <v>114</v>
      </c>
      <c r="AJ226" s="458"/>
      <c r="AK226" s="458"/>
      <c r="AL226" s="426">
        <f>I226</f>
        <v>18000</v>
      </c>
      <c r="AO226" s="495"/>
      <c r="AS226" s="425">
        <f>I226</f>
        <v>18000</v>
      </c>
      <c r="AT226" s="495"/>
      <c r="AY226" s="498">
        <f>I226/24</f>
        <v>750</v>
      </c>
      <c r="AZ226" s="425">
        <f>I226</f>
        <v>18000</v>
      </c>
      <c r="BT226" s="495"/>
      <c r="BV226" s="495"/>
      <c r="BZ226" s="425">
        <f>L226</f>
        <v>200</v>
      </c>
      <c r="CK226" s="425">
        <f t="shared" si="50"/>
        <v>0</v>
      </c>
      <c r="CL226" s="425">
        <f t="shared" si="51"/>
        <v>0</v>
      </c>
      <c r="CM226" s="425">
        <f t="shared" si="52"/>
        <v>200</v>
      </c>
      <c r="CN226" s="495"/>
      <c r="CO226" s="495"/>
      <c r="CP226" s="495"/>
      <c r="CT226" s="495"/>
      <c r="CU226" s="495"/>
      <c r="CV226" s="495"/>
      <c r="CW226" s="495"/>
      <c r="CX226" s="495"/>
    </row>
    <row r="227" s="425" customFormat="1" ht="31" customHeight="1" spans="1:102">
      <c r="A227" s="455">
        <v>45797</v>
      </c>
      <c r="B227" s="456" t="s">
        <v>658</v>
      </c>
      <c r="C227" s="457" t="s">
        <v>310</v>
      </c>
      <c r="D227" s="425">
        <v>4500167152</v>
      </c>
      <c r="E227" s="457" t="s">
        <v>659</v>
      </c>
      <c r="F227" s="425" t="s">
        <v>3724</v>
      </c>
      <c r="G227" s="458" t="s">
        <v>3378</v>
      </c>
      <c r="H227" s="458" t="s">
        <v>3379</v>
      </c>
      <c r="I227" s="458">
        <v>1800</v>
      </c>
      <c r="J227" s="458">
        <v>0</v>
      </c>
      <c r="K227" s="458">
        <v>50</v>
      </c>
      <c r="L227" s="462">
        <f t="shared" si="55"/>
        <v>36</v>
      </c>
      <c r="M227" s="463">
        <v>45831</v>
      </c>
      <c r="N227" s="463">
        <v>45827</v>
      </c>
      <c r="O227" s="464"/>
      <c r="P227" s="464" t="s">
        <v>103</v>
      </c>
      <c r="Q227" s="458"/>
      <c r="R227" s="472">
        <v>45797</v>
      </c>
      <c r="S227" s="472" t="s">
        <v>66</v>
      </c>
      <c r="T227" s="472">
        <v>45807</v>
      </c>
      <c r="U227" s="472"/>
      <c r="V227" s="473" t="s">
        <v>3725</v>
      </c>
      <c r="W227" s="473" t="s">
        <v>473</v>
      </c>
      <c r="X227" s="473">
        <v>1.32</v>
      </c>
      <c r="Y227" s="480">
        <f t="shared" ref="Y227:Y261" si="56">X227*I227</f>
        <v>2376</v>
      </c>
      <c r="Z227" s="458"/>
      <c r="AA227" s="458" t="s">
        <v>3378</v>
      </c>
      <c r="AB227" s="458" t="s">
        <v>76</v>
      </c>
      <c r="AC227" s="458"/>
      <c r="AD227" s="458" t="s">
        <v>69</v>
      </c>
      <c r="AE227" s="458"/>
      <c r="AF227" s="458">
        <v>1800</v>
      </c>
      <c r="AG227" s="458">
        <f t="shared" si="54"/>
        <v>0</v>
      </c>
      <c r="AH227" s="489"/>
      <c r="AI227" s="458"/>
      <c r="AJ227" s="458"/>
      <c r="AK227" s="458"/>
      <c r="AL227" s="425">
        <f>I227</f>
        <v>1800</v>
      </c>
      <c r="AO227" s="495"/>
      <c r="AT227" s="495"/>
      <c r="AY227" s="498">
        <f>I227/24*2</f>
        <v>150</v>
      </c>
      <c r="BQ227" s="425">
        <f>I227</f>
        <v>1800</v>
      </c>
      <c r="BR227" s="425">
        <f>I227</f>
        <v>1800</v>
      </c>
      <c r="BS227" s="425">
        <f>I227/25</f>
        <v>72</v>
      </c>
      <c r="BT227" s="495"/>
      <c r="BV227" s="495"/>
      <c r="CK227" s="425">
        <f t="shared" si="50"/>
        <v>72</v>
      </c>
      <c r="CL227" s="425">
        <f t="shared" si="51"/>
        <v>0</v>
      </c>
      <c r="CM227" s="425">
        <f t="shared" si="52"/>
        <v>0</v>
      </c>
      <c r="CN227" s="495"/>
      <c r="CO227" s="495"/>
      <c r="CP227" s="495"/>
      <c r="CT227" s="495"/>
      <c r="CU227" s="495"/>
      <c r="CV227" s="495"/>
      <c r="CW227" s="495"/>
      <c r="CX227" s="495"/>
    </row>
    <row r="228" s="425" customFormat="1" ht="31" customHeight="1" spans="1:102">
      <c r="A228" s="455">
        <v>45790</v>
      </c>
      <c r="B228" s="456" t="s">
        <v>709</v>
      </c>
      <c r="C228" s="457" t="s">
        <v>271</v>
      </c>
      <c r="D228" s="425">
        <v>4500166177</v>
      </c>
      <c r="E228" s="457" t="s">
        <v>710</v>
      </c>
      <c r="F228" s="425" t="s">
        <v>3726</v>
      </c>
      <c r="G228" s="458" t="s">
        <v>3158</v>
      </c>
      <c r="H228" s="458" t="s">
        <v>3159</v>
      </c>
      <c r="I228" s="458">
        <v>1053</v>
      </c>
      <c r="J228" s="458">
        <v>0</v>
      </c>
      <c r="K228" s="468">
        <v>52</v>
      </c>
      <c r="L228" s="462">
        <f t="shared" si="55"/>
        <v>20.25</v>
      </c>
      <c r="M228" s="463">
        <v>45831</v>
      </c>
      <c r="N228" s="463">
        <v>45827</v>
      </c>
      <c r="O228" s="464"/>
      <c r="P228" s="464" t="s">
        <v>103</v>
      </c>
      <c r="Q228" s="458"/>
      <c r="R228" s="472">
        <v>45805</v>
      </c>
      <c r="S228" s="472" t="s">
        <v>66</v>
      </c>
      <c r="T228" s="472">
        <v>45803</v>
      </c>
      <c r="U228" s="472"/>
      <c r="V228" s="473" t="s">
        <v>3727</v>
      </c>
      <c r="W228" s="473" t="s">
        <v>715</v>
      </c>
      <c r="X228" s="473">
        <v>0.92</v>
      </c>
      <c r="Y228" s="480">
        <f t="shared" si="56"/>
        <v>968.76</v>
      </c>
      <c r="Z228" s="458" t="s">
        <v>716</v>
      </c>
      <c r="AA228" s="458" t="s">
        <v>3158</v>
      </c>
      <c r="AB228" s="458" t="s">
        <v>76</v>
      </c>
      <c r="AC228" s="458"/>
      <c r="AD228" s="458" t="s">
        <v>69</v>
      </c>
      <c r="AE228" s="458"/>
      <c r="AF228" s="458">
        <v>1053</v>
      </c>
      <c r="AG228" s="458">
        <f t="shared" si="54"/>
        <v>0</v>
      </c>
      <c r="AH228" s="489"/>
      <c r="AI228" s="458"/>
      <c r="AJ228" s="458"/>
      <c r="AK228" s="458"/>
      <c r="AL228" s="426">
        <f>I228</f>
        <v>1053</v>
      </c>
      <c r="AO228" s="495"/>
      <c r="AQ228" s="425">
        <f>I228</f>
        <v>1053</v>
      </c>
      <c r="AS228" s="425">
        <f>I228</f>
        <v>1053</v>
      </c>
      <c r="AT228" s="495"/>
      <c r="AY228" s="498">
        <f>I228/24</f>
        <v>43.875</v>
      </c>
      <c r="BI228" s="425">
        <f>I228/13</f>
        <v>81</v>
      </c>
      <c r="BT228" s="495"/>
      <c r="BV228" s="495"/>
      <c r="CK228" s="425">
        <f t="shared" si="50"/>
        <v>0</v>
      </c>
      <c r="CL228" s="425">
        <f t="shared" si="51"/>
        <v>0</v>
      </c>
      <c r="CM228" s="425">
        <f t="shared" si="52"/>
        <v>0</v>
      </c>
      <c r="CN228" s="495"/>
      <c r="CO228" s="495"/>
      <c r="CP228" s="495"/>
      <c r="CT228" s="495"/>
      <c r="CU228" s="495"/>
      <c r="CV228" s="495"/>
      <c r="CW228" s="495"/>
      <c r="CX228" s="495"/>
    </row>
    <row r="229" s="425" customFormat="1" ht="31" customHeight="1" spans="1:102">
      <c r="A229" s="455">
        <v>45775</v>
      </c>
      <c r="B229" s="456" t="s">
        <v>128</v>
      </c>
      <c r="C229" s="457" t="s">
        <v>90</v>
      </c>
      <c r="D229" s="425">
        <v>4500162828</v>
      </c>
      <c r="E229" s="457" t="s">
        <v>3728</v>
      </c>
      <c r="F229" s="425" t="s">
        <v>3729</v>
      </c>
      <c r="G229" s="458" t="s">
        <v>3180</v>
      </c>
      <c r="H229" s="458" t="s">
        <v>3181</v>
      </c>
      <c r="I229" s="458">
        <v>7536</v>
      </c>
      <c r="J229" s="458">
        <v>0</v>
      </c>
      <c r="K229" s="458">
        <v>16</v>
      </c>
      <c r="L229" s="462">
        <f t="shared" si="55"/>
        <v>471</v>
      </c>
      <c r="M229" s="463">
        <v>45832</v>
      </c>
      <c r="N229" s="463">
        <v>45828</v>
      </c>
      <c r="O229" s="464" t="s">
        <v>3730</v>
      </c>
      <c r="P229" s="464" t="s">
        <v>103</v>
      </c>
      <c r="Q229" s="458"/>
      <c r="R229" s="472" t="s">
        <v>3408</v>
      </c>
      <c r="S229" s="472" t="s">
        <v>66</v>
      </c>
      <c r="T229" s="472" t="s">
        <v>133</v>
      </c>
      <c r="U229" s="472"/>
      <c r="V229" s="473" t="s">
        <v>3409</v>
      </c>
      <c r="W229" s="473" t="s">
        <v>98</v>
      </c>
      <c r="X229" s="473">
        <v>1.008</v>
      </c>
      <c r="Y229" s="480">
        <f t="shared" si="56"/>
        <v>7596.288</v>
      </c>
      <c r="Z229" s="458" t="s">
        <v>3731</v>
      </c>
      <c r="AA229" s="458" t="s">
        <v>3180</v>
      </c>
      <c r="AB229" s="458" t="s">
        <v>76</v>
      </c>
      <c r="AC229" s="458"/>
      <c r="AD229" s="458" t="s">
        <v>69</v>
      </c>
      <c r="AE229" s="458"/>
      <c r="AF229" s="458">
        <v>7536</v>
      </c>
      <c r="AG229" s="458">
        <f t="shared" si="54"/>
        <v>0</v>
      </c>
      <c r="AH229" s="489"/>
      <c r="AI229" s="458"/>
      <c r="AJ229" s="458"/>
      <c r="AK229" s="458">
        <f>I229</f>
        <v>7536</v>
      </c>
      <c r="AM229" s="425">
        <f>I229</f>
        <v>7536</v>
      </c>
      <c r="AO229" s="495"/>
      <c r="AR229" s="425">
        <f>I229</f>
        <v>7536</v>
      </c>
      <c r="AT229" s="495"/>
      <c r="AY229" s="498">
        <f>I229/48</f>
        <v>157</v>
      </c>
      <c r="BM229" s="425">
        <f>I229/16</f>
        <v>471</v>
      </c>
      <c r="BT229" s="495"/>
      <c r="BV229" s="495"/>
      <c r="CK229" s="425">
        <f t="shared" si="50"/>
        <v>471</v>
      </c>
      <c r="CL229" s="425">
        <f t="shared" si="51"/>
        <v>0</v>
      </c>
      <c r="CM229" s="425">
        <f t="shared" si="52"/>
        <v>0</v>
      </c>
      <c r="CN229" s="495"/>
      <c r="CO229" s="495"/>
      <c r="CP229" s="495"/>
      <c r="CT229" s="495"/>
      <c r="CU229" s="495"/>
      <c r="CV229" s="495"/>
      <c r="CW229" s="495"/>
      <c r="CX229" s="495"/>
    </row>
    <row r="230" s="425" customFormat="1" ht="31" customHeight="1" spans="1:102">
      <c r="A230" s="455">
        <v>45772</v>
      </c>
      <c r="B230" s="456" t="s">
        <v>702</v>
      </c>
      <c r="C230" s="457" t="s">
        <v>366</v>
      </c>
      <c r="D230" s="425">
        <v>4500164834</v>
      </c>
      <c r="E230" s="457"/>
      <c r="F230" s="425" t="s">
        <v>3732</v>
      </c>
      <c r="G230" s="458" t="s">
        <v>3161</v>
      </c>
      <c r="H230" s="458" t="s">
        <v>3221</v>
      </c>
      <c r="I230" s="458">
        <v>1200</v>
      </c>
      <c r="J230" s="458">
        <v>0</v>
      </c>
      <c r="K230" s="458">
        <v>50</v>
      </c>
      <c r="L230" s="462">
        <f t="shared" si="55"/>
        <v>24</v>
      </c>
      <c r="M230" s="463">
        <v>45833</v>
      </c>
      <c r="N230" s="463">
        <v>45828</v>
      </c>
      <c r="O230" s="464"/>
      <c r="P230" s="464" t="s">
        <v>103</v>
      </c>
      <c r="Q230" s="458"/>
      <c r="R230" s="472">
        <v>45777</v>
      </c>
      <c r="S230" s="472" t="s">
        <v>66</v>
      </c>
      <c r="T230" s="472">
        <v>45789</v>
      </c>
      <c r="U230" s="472"/>
      <c r="V230" s="473" t="s">
        <v>3733</v>
      </c>
      <c r="W230" s="473" t="s">
        <v>395</v>
      </c>
      <c r="X230" s="473">
        <v>0.95</v>
      </c>
      <c r="Y230" s="480">
        <f t="shared" si="56"/>
        <v>1140</v>
      </c>
      <c r="Z230" s="458" t="s">
        <v>705</v>
      </c>
      <c r="AA230" s="458" t="s">
        <v>3161</v>
      </c>
      <c r="AB230" s="458" t="s">
        <v>76</v>
      </c>
      <c r="AC230" s="458"/>
      <c r="AD230" s="458" t="s">
        <v>69</v>
      </c>
      <c r="AE230" s="458"/>
      <c r="AF230" s="458">
        <v>1200</v>
      </c>
      <c r="AG230" s="458">
        <f t="shared" si="54"/>
        <v>0</v>
      </c>
      <c r="AH230" s="489"/>
      <c r="AI230" s="458"/>
      <c r="AJ230" s="458"/>
      <c r="AK230" s="458"/>
      <c r="AL230" s="426">
        <f>I230</f>
        <v>1200</v>
      </c>
      <c r="AO230" s="495"/>
      <c r="AQ230" s="425">
        <f>I230</f>
        <v>1200</v>
      </c>
      <c r="AS230" s="425">
        <f>I230</f>
        <v>1200</v>
      </c>
      <c r="AT230" s="495"/>
      <c r="AY230" s="498">
        <f>I230/24</f>
        <v>50</v>
      </c>
      <c r="BL230" s="425">
        <f>I230/25</f>
        <v>48</v>
      </c>
      <c r="BT230" s="495"/>
      <c r="BV230" s="495"/>
      <c r="CK230" s="425">
        <f t="shared" si="50"/>
        <v>48</v>
      </c>
      <c r="CL230" s="425">
        <f t="shared" si="51"/>
        <v>0</v>
      </c>
      <c r="CM230" s="425">
        <f t="shared" si="52"/>
        <v>0</v>
      </c>
      <c r="CN230" s="495"/>
      <c r="CO230" s="495"/>
      <c r="CP230" s="495"/>
      <c r="CT230" s="495"/>
      <c r="CU230" s="495"/>
      <c r="CV230" s="495"/>
      <c r="CW230" s="495"/>
      <c r="CX230" s="495"/>
    </row>
    <row r="231" s="425" customFormat="1" ht="31" customHeight="1" spans="1:102">
      <c r="A231" s="455">
        <v>45726</v>
      </c>
      <c r="B231" s="456" t="s">
        <v>489</v>
      </c>
      <c r="C231" s="457" t="s">
        <v>249</v>
      </c>
      <c r="D231" s="425">
        <v>4500159555</v>
      </c>
      <c r="E231" s="457" t="s">
        <v>3734</v>
      </c>
      <c r="F231" s="425" t="s">
        <v>3735</v>
      </c>
      <c r="G231" s="458" t="s">
        <v>3464</v>
      </c>
      <c r="H231" s="458" t="s">
        <v>3237</v>
      </c>
      <c r="I231" s="458">
        <v>2124</v>
      </c>
      <c r="J231" s="458">
        <v>0</v>
      </c>
      <c r="K231" s="458">
        <v>12</v>
      </c>
      <c r="L231" s="462">
        <f t="shared" si="55"/>
        <v>177</v>
      </c>
      <c r="M231" s="463">
        <v>45834</v>
      </c>
      <c r="N231" s="463">
        <v>45831</v>
      </c>
      <c r="O231" s="464"/>
      <c r="P231" s="464" t="s">
        <v>103</v>
      </c>
      <c r="Q231" s="458" t="s">
        <v>3736</v>
      </c>
      <c r="R231" s="472" t="s">
        <v>411</v>
      </c>
      <c r="S231" s="472" t="s">
        <v>96</v>
      </c>
      <c r="T231" s="472" t="s">
        <v>3465</v>
      </c>
      <c r="U231" s="472"/>
      <c r="V231" s="473" t="s">
        <v>3737</v>
      </c>
      <c r="W231" s="473" t="s">
        <v>414</v>
      </c>
      <c r="X231" s="473">
        <v>2.1629</v>
      </c>
      <c r="Y231" s="480">
        <f t="shared" si="56"/>
        <v>4593.9996</v>
      </c>
      <c r="Z231" s="458" t="s">
        <v>3738</v>
      </c>
      <c r="AA231" s="458" t="s">
        <v>3464</v>
      </c>
      <c r="AB231" s="458" t="s">
        <v>76</v>
      </c>
      <c r="AC231" s="458"/>
      <c r="AD231" s="458" t="s">
        <v>69</v>
      </c>
      <c r="AE231" s="458"/>
      <c r="AF231" s="458">
        <v>2124</v>
      </c>
      <c r="AG231" s="458">
        <f t="shared" si="54"/>
        <v>0</v>
      </c>
      <c r="AH231" s="489"/>
      <c r="AI231" s="458"/>
      <c r="AJ231" s="458"/>
      <c r="AK231" s="458"/>
      <c r="AL231" s="425">
        <f>I231*2</f>
        <v>4248</v>
      </c>
      <c r="AO231" s="495"/>
      <c r="AQ231" s="425">
        <f>I231*2</f>
        <v>4248</v>
      </c>
      <c r="AS231" s="425">
        <f>I231*2</f>
        <v>4248</v>
      </c>
      <c r="AT231" s="495"/>
      <c r="AY231" s="498">
        <f>I231/24</f>
        <v>88.5</v>
      </c>
      <c r="BT231" s="495"/>
      <c r="BV231" s="495"/>
      <c r="CH231" s="425">
        <f>I231</f>
        <v>2124</v>
      </c>
      <c r="CI231" s="425">
        <f>I231</f>
        <v>2124</v>
      </c>
      <c r="CJ231" s="425">
        <f>I231</f>
        <v>2124</v>
      </c>
      <c r="CK231" s="425">
        <f t="shared" si="50"/>
        <v>0</v>
      </c>
      <c r="CL231" s="425">
        <f t="shared" si="51"/>
        <v>0</v>
      </c>
      <c r="CM231" s="425">
        <f t="shared" si="52"/>
        <v>0</v>
      </c>
      <c r="CN231" s="495"/>
      <c r="CO231" s="495"/>
      <c r="CP231" s="495"/>
      <c r="CT231" s="495"/>
      <c r="CU231" s="495"/>
      <c r="CV231" s="495"/>
      <c r="CW231" s="495"/>
      <c r="CX231" s="495"/>
    </row>
    <row r="232" s="425" customFormat="1" ht="31" customHeight="1" spans="1:102">
      <c r="A232" s="455">
        <v>45798</v>
      </c>
      <c r="B232" s="456" t="s">
        <v>480</v>
      </c>
      <c r="C232" s="457" t="s">
        <v>356</v>
      </c>
      <c r="D232" s="425">
        <v>4500167394</v>
      </c>
      <c r="E232" s="457" t="s">
        <v>3739</v>
      </c>
      <c r="F232" s="425" t="s">
        <v>3740</v>
      </c>
      <c r="G232" s="458" t="s">
        <v>3464</v>
      </c>
      <c r="H232" s="458" t="s">
        <v>3237</v>
      </c>
      <c r="I232" s="458">
        <v>504</v>
      </c>
      <c r="J232" s="458">
        <v>0</v>
      </c>
      <c r="K232" s="458">
        <v>12</v>
      </c>
      <c r="L232" s="462">
        <f t="shared" si="55"/>
        <v>42</v>
      </c>
      <c r="M232" s="463">
        <v>45835</v>
      </c>
      <c r="N232" s="463">
        <v>45831</v>
      </c>
      <c r="O232" s="464"/>
      <c r="P232" s="464" t="s">
        <v>103</v>
      </c>
      <c r="Q232" s="458" t="s">
        <v>3741</v>
      </c>
      <c r="R232" s="472" t="s">
        <v>411</v>
      </c>
      <c r="S232" s="472" t="s">
        <v>96</v>
      </c>
      <c r="T232" s="472">
        <v>45811</v>
      </c>
      <c r="U232" s="472"/>
      <c r="V232" s="473" t="s">
        <v>3742</v>
      </c>
      <c r="W232" s="473" t="s">
        <v>485</v>
      </c>
      <c r="X232" s="473">
        <v>2.2418</v>
      </c>
      <c r="Y232" s="480">
        <f t="shared" si="56"/>
        <v>1129.8672</v>
      </c>
      <c r="Z232" s="458" t="s">
        <v>3743</v>
      </c>
      <c r="AA232" s="458" t="s">
        <v>3744</v>
      </c>
      <c r="AB232" s="458" t="s">
        <v>76</v>
      </c>
      <c r="AC232" s="458"/>
      <c r="AD232" s="458" t="s">
        <v>69</v>
      </c>
      <c r="AE232" s="458"/>
      <c r="AF232" s="458">
        <v>504</v>
      </c>
      <c r="AG232" s="458">
        <f t="shared" si="54"/>
        <v>0</v>
      </c>
      <c r="AH232" s="489"/>
      <c r="AI232" s="458"/>
      <c r="AJ232" s="458"/>
      <c r="AK232" s="458"/>
      <c r="AL232" s="425">
        <f>I232*2</f>
        <v>1008</v>
      </c>
      <c r="AM232" s="425">
        <f>I232*2</f>
        <v>1008</v>
      </c>
      <c r="AO232" s="495"/>
      <c r="AS232" s="425">
        <f>I232*2</f>
        <v>1008</v>
      </c>
      <c r="AT232" s="495"/>
      <c r="AY232" s="498">
        <f>I232/24*2</f>
        <v>42</v>
      </c>
      <c r="BT232" s="495"/>
      <c r="BV232" s="495"/>
      <c r="CH232" s="425">
        <f>I232</f>
        <v>504</v>
      </c>
      <c r="CI232" s="425">
        <f>I232</f>
        <v>504</v>
      </c>
      <c r="CJ232" s="425">
        <f>I232</f>
        <v>504</v>
      </c>
      <c r="CK232" s="425">
        <f t="shared" si="50"/>
        <v>0</v>
      </c>
      <c r="CL232" s="425">
        <f t="shared" si="51"/>
        <v>0</v>
      </c>
      <c r="CM232" s="425">
        <f t="shared" si="52"/>
        <v>0</v>
      </c>
      <c r="CN232" s="495"/>
      <c r="CO232" s="495"/>
      <c r="CP232" s="495"/>
      <c r="CT232" s="495"/>
      <c r="CU232" s="495"/>
      <c r="CV232" s="495"/>
      <c r="CW232" s="495"/>
      <c r="CX232" s="495"/>
    </row>
    <row r="233" s="425" customFormat="1" ht="31" customHeight="1" spans="1:102">
      <c r="A233" s="455">
        <v>45790</v>
      </c>
      <c r="B233" s="456" t="s">
        <v>694</v>
      </c>
      <c r="C233" s="457" t="s">
        <v>153</v>
      </c>
      <c r="D233" s="425">
        <v>4500166281</v>
      </c>
      <c r="E233" s="895" t="s">
        <v>695</v>
      </c>
      <c r="F233" s="425" t="s">
        <v>3745</v>
      </c>
      <c r="G233" s="458" t="s">
        <v>3272</v>
      </c>
      <c r="H233" s="458" t="s">
        <v>3207</v>
      </c>
      <c r="I233" s="458">
        <v>8216</v>
      </c>
      <c r="J233" s="458">
        <v>0</v>
      </c>
      <c r="K233" s="458">
        <v>13</v>
      </c>
      <c r="L233" s="462">
        <f t="shared" si="55"/>
        <v>632</v>
      </c>
      <c r="M233" s="463">
        <v>45832</v>
      </c>
      <c r="N233" s="463">
        <v>45832</v>
      </c>
      <c r="O233" s="464"/>
      <c r="P233" s="464" t="s">
        <v>103</v>
      </c>
      <c r="Q233" s="458"/>
      <c r="R233" s="472">
        <v>45803</v>
      </c>
      <c r="S233" s="472" t="s">
        <v>66</v>
      </c>
      <c r="T233" s="472" t="s">
        <v>66</v>
      </c>
      <c r="U233" s="472"/>
      <c r="V233" s="473" t="s">
        <v>3746</v>
      </c>
      <c r="W233" s="473" t="s">
        <v>164</v>
      </c>
      <c r="X233" s="473">
        <v>0.92</v>
      </c>
      <c r="Y233" s="480">
        <f t="shared" si="56"/>
        <v>7558.72</v>
      </c>
      <c r="Z233" s="458"/>
      <c r="AA233" s="458" t="s">
        <v>3272</v>
      </c>
      <c r="AB233" s="458" t="s">
        <v>76</v>
      </c>
      <c r="AC233" s="458"/>
      <c r="AD233" s="458" t="s">
        <v>69</v>
      </c>
      <c r="AE233" s="458"/>
      <c r="AF233" s="458">
        <v>8216</v>
      </c>
      <c r="AG233" s="458">
        <f t="shared" si="54"/>
        <v>0</v>
      </c>
      <c r="AH233" s="489"/>
      <c r="AI233" s="458"/>
      <c r="AJ233" s="458"/>
      <c r="AK233" s="458">
        <f t="shared" ref="AK233:AK239" si="57">I233</f>
        <v>8216</v>
      </c>
      <c r="AO233" s="495"/>
      <c r="AP233" s="425">
        <f>I233</f>
        <v>8216</v>
      </c>
      <c r="AR233" s="425">
        <f t="shared" ref="AR233:AR239" si="58">I233</f>
        <v>8216</v>
      </c>
      <c r="AT233" s="495"/>
      <c r="AY233" s="498">
        <f>I233/24</f>
        <v>342.333333333333</v>
      </c>
      <c r="BH233" s="425">
        <f>I233/13</f>
        <v>632</v>
      </c>
      <c r="BT233" s="495"/>
      <c r="BV233" s="495"/>
      <c r="CK233" s="425">
        <f t="shared" si="50"/>
        <v>0</v>
      </c>
      <c r="CL233" s="425">
        <f t="shared" si="51"/>
        <v>0</v>
      </c>
      <c r="CM233" s="425">
        <f t="shared" si="52"/>
        <v>0</v>
      </c>
      <c r="CN233" s="495"/>
      <c r="CO233" s="495"/>
      <c r="CP233" s="495"/>
      <c r="CT233" s="495"/>
      <c r="CU233" s="495"/>
      <c r="CV233" s="495"/>
      <c r="CW233" s="495"/>
      <c r="CX233" s="495"/>
    </row>
    <row r="234" s="425" customFormat="1" ht="31" customHeight="1" spans="1:102">
      <c r="A234" s="455">
        <v>45747</v>
      </c>
      <c r="B234" s="456" t="s">
        <v>730</v>
      </c>
      <c r="C234" s="457" t="s">
        <v>90</v>
      </c>
      <c r="D234" s="425">
        <v>4500161570</v>
      </c>
      <c r="E234" s="457" t="s">
        <v>731</v>
      </c>
      <c r="F234" s="425" t="s">
        <v>3747</v>
      </c>
      <c r="G234" s="458" t="s">
        <v>3272</v>
      </c>
      <c r="H234" s="458" t="s">
        <v>3207</v>
      </c>
      <c r="I234" s="458">
        <v>195</v>
      </c>
      <c r="J234" s="458">
        <v>0</v>
      </c>
      <c r="K234" s="458">
        <v>13</v>
      </c>
      <c r="L234" s="462">
        <f t="shared" si="55"/>
        <v>15</v>
      </c>
      <c r="M234" s="463">
        <v>45833</v>
      </c>
      <c r="N234" s="463">
        <v>45835</v>
      </c>
      <c r="O234" s="464"/>
      <c r="P234" s="464" t="s">
        <v>103</v>
      </c>
      <c r="Q234" s="458"/>
      <c r="R234" s="472">
        <v>45800</v>
      </c>
      <c r="S234" s="472" t="s">
        <v>66</v>
      </c>
      <c r="T234" s="472" t="s">
        <v>66</v>
      </c>
      <c r="U234" s="472"/>
      <c r="V234" s="473" t="s">
        <v>733</v>
      </c>
      <c r="W234" s="473" t="s">
        <v>734</v>
      </c>
      <c r="X234" s="473">
        <v>0.92</v>
      </c>
      <c r="Y234" s="480">
        <f t="shared" si="56"/>
        <v>179.4</v>
      </c>
      <c r="Z234" s="458"/>
      <c r="AA234" s="458" t="s">
        <v>3359</v>
      </c>
      <c r="AB234" s="458" t="s">
        <v>76</v>
      </c>
      <c r="AC234" s="458"/>
      <c r="AD234" s="458" t="s">
        <v>69</v>
      </c>
      <c r="AE234" s="458"/>
      <c r="AF234" s="458">
        <v>195</v>
      </c>
      <c r="AG234" s="458">
        <f t="shared" si="54"/>
        <v>0</v>
      </c>
      <c r="AH234" s="489"/>
      <c r="AI234" s="458"/>
      <c r="AJ234" s="458"/>
      <c r="AK234" s="458">
        <f t="shared" si="57"/>
        <v>195</v>
      </c>
      <c r="AM234" s="425">
        <f t="shared" ref="AM234:AM239" si="59">I234</f>
        <v>195</v>
      </c>
      <c r="AO234" s="495"/>
      <c r="AR234" s="425">
        <f t="shared" si="58"/>
        <v>195</v>
      </c>
      <c r="AT234" s="495"/>
      <c r="AY234" s="498">
        <f t="shared" ref="AY234:AY239" si="60">I234/48</f>
        <v>4.0625</v>
      </c>
      <c r="BG234" s="425">
        <f>I234/13</f>
        <v>15</v>
      </c>
      <c r="BT234" s="495"/>
      <c r="BV234" s="495"/>
      <c r="CK234" s="425">
        <f t="shared" si="50"/>
        <v>0</v>
      </c>
      <c r="CL234" s="425">
        <f t="shared" si="51"/>
        <v>0</v>
      </c>
      <c r="CM234" s="425">
        <f t="shared" si="52"/>
        <v>0</v>
      </c>
      <c r="CN234" s="495"/>
      <c r="CO234" s="495"/>
      <c r="CP234" s="495"/>
      <c r="CT234" s="495"/>
      <c r="CU234" s="495"/>
      <c r="CV234" s="495"/>
      <c r="CW234" s="495"/>
      <c r="CX234" s="495"/>
    </row>
    <row r="235" s="425" customFormat="1" ht="31" customHeight="1" spans="1:102">
      <c r="A235" s="455">
        <v>45747</v>
      </c>
      <c r="B235" s="456" t="s">
        <v>730</v>
      </c>
      <c r="C235" s="457" t="s">
        <v>90</v>
      </c>
      <c r="D235" s="425">
        <v>4500161570</v>
      </c>
      <c r="E235" s="457" t="s">
        <v>735</v>
      </c>
      <c r="F235" s="425" t="s">
        <v>3748</v>
      </c>
      <c r="G235" s="458" t="s">
        <v>3272</v>
      </c>
      <c r="H235" s="458" t="s">
        <v>3207</v>
      </c>
      <c r="I235" s="458">
        <v>130</v>
      </c>
      <c r="J235" s="458">
        <v>0</v>
      </c>
      <c r="K235" s="458">
        <v>13</v>
      </c>
      <c r="L235" s="462">
        <f t="shared" si="55"/>
        <v>10</v>
      </c>
      <c r="M235" s="463">
        <v>45833</v>
      </c>
      <c r="N235" s="463">
        <v>45835</v>
      </c>
      <c r="O235" s="464"/>
      <c r="P235" s="464" t="s">
        <v>103</v>
      </c>
      <c r="Q235" s="458"/>
      <c r="R235" s="472">
        <v>45800</v>
      </c>
      <c r="S235" s="472" t="s">
        <v>66</v>
      </c>
      <c r="T235" s="472" t="s">
        <v>66</v>
      </c>
      <c r="U235" s="472"/>
      <c r="V235" s="473" t="s">
        <v>733</v>
      </c>
      <c r="W235" s="473" t="s">
        <v>734</v>
      </c>
      <c r="X235" s="473">
        <v>0.92</v>
      </c>
      <c r="Y235" s="480">
        <f t="shared" si="56"/>
        <v>119.6</v>
      </c>
      <c r="Z235" s="458"/>
      <c r="AA235" s="458" t="s">
        <v>3359</v>
      </c>
      <c r="AB235" s="458" t="s">
        <v>76</v>
      </c>
      <c r="AC235" s="458"/>
      <c r="AD235" s="458" t="s">
        <v>69</v>
      </c>
      <c r="AE235" s="458"/>
      <c r="AF235" s="458">
        <v>130</v>
      </c>
      <c r="AG235" s="458">
        <f t="shared" si="54"/>
        <v>0</v>
      </c>
      <c r="AH235" s="489"/>
      <c r="AI235" s="458"/>
      <c r="AJ235" s="458"/>
      <c r="AK235" s="458">
        <f t="shared" si="57"/>
        <v>130</v>
      </c>
      <c r="AM235" s="425">
        <f t="shared" si="59"/>
        <v>130</v>
      </c>
      <c r="AO235" s="495"/>
      <c r="AR235" s="425">
        <f t="shared" si="58"/>
        <v>130</v>
      </c>
      <c r="AT235" s="495"/>
      <c r="AY235" s="498">
        <f t="shared" si="60"/>
        <v>2.70833333333333</v>
      </c>
      <c r="BG235" s="425">
        <f>I235/13</f>
        <v>10</v>
      </c>
      <c r="BT235" s="495"/>
      <c r="BV235" s="495"/>
      <c r="CK235" s="425">
        <f t="shared" si="50"/>
        <v>0</v>
      </c>
      <c r="CL235" s="425">
        <f t="shared" si="51"/>
        <v>0</v>
      </c>
      <c r="CM235" s="425">
        <f t="shared" si="52"/>
        <v>0</v>
      </c>
      <c r="CN235" s="495"/>
      <c r="CO235" s="495"/>
      <c r="CP235" s="495"/>
      <c r="CT235" s="495"/>
      <c r="CU235" s="495"/>
      <c r="CV235" s="495"/>
      <c r="CW235" s="495"/>
      <c r="CX235" s="495"/>
    </row>
    <row r="236" s="425" customFormat="1" ht="31" customHeight="1" spans="1:102">
      <c r="A236" s="455">
        <v>45798</v>
      </c>
      <c r="B236" s="456" t="s">
        <v>128</v>
      </c>
      <c r="C236" s="457" t="s">
        <v>90</v>
      </c>
      <c r="D236" s="425">
        <v>4500167380</v>
      </c>
      <c r="E236" s="895" t="s">
        <v>3749</v>
      </c>
      <c r="F236" s="425" t="s">
        <v>3750</v>
      </c>
      <c r="G236" s="458" t="s">
        <v>3180</v>
      </c>
      <c r="H236" s="458" t="s">
        <v>3181</v>
      </c>
      <c r="I236" s="458">
        <v>8480</v>
      </c>
      <c r="J236" s="458">
        <v>0</v>
      </c>
      <c r="K236" s="458">
        <v>16</v>
      </c>
      <c r="L236" s="462">
        <f t="shared" si="55"/>
        <v>530</v>
      </c>
      <c r="M236" s="463">
        <v>45835</v>
      </c>
      <c r="N236" s="463">
        <v>45838</v>
      </c>
      <c r="O236" s="464" t="s">
        <v>865</v>
      </c>
      <c r="P236" s="464" t="s">
        <v>103</v>
      </c>
      <c r="Q236" s="458"/>
      <c r="R236" s="472" t="s">
        <v>3408</v>
      </c>
      <c r="S236" s="472" t="s">
        <v>66</v>
      </c>
      <c r="T236" s="472" t="s">
        <v>133</v>
      </c>
      <c r="U236" s="472"/>
      <c r="V236" s="473" t="s">
        <v>3751</v>
      </c>
      <c r="W236" s="473" t="s">
        <v>98</v>
      </c>
      <c r="X236" s="473">
        <v>0.5936</v>
      </c>
      <c r="Y236" s="480">
        <f t="shared" si="56"/>
        <v>5033.728</v>
      </c>
      <c r="Z236" s="458" t="s">
        <v>3752</v>
      </c>
      <c r="AA236" s="458" t="s">
        <v>3180</v>
      </c>
      <c r="AB236" s="458" t="s">
        <v>76</v>
      </c>
      <c r="AC236" s="458"/>
      <c r="AD236" s="458" t="s">
        <v>69</v>
      </c>
      <c r="AE236" s="458"/>
      <c r="AF236" s="458">
        <v>8480</v>
      </c>
      <c r="AG236" s="458">
        <f t="shared" si="54"/>
        <v>0</v>
      </c>
      <c r="AH236" s="489"/>
      <c r="AI236" s="458"/>
      <c r="AJ236" s="458"/>
      <c r="AK236" s="458">
        <f t="shared" si="57"/>
        <v>8480</v>
      </c>
      <c r="AM236" s="425">
        <f t="shared" si="59"/>
        <v>8480</v>
      </c>
      <c r="AO236" s="495"/>
      <c r="AR236" s="425">
        <f t="shared" si="58"/>
        <v>8480</v>
      </c>
      <c r="AT236" s="495"/>
      <c r="AY236" s="498">
        <f t="shared" si="60"/>
        <v>176.666666666667</v>
      </c>
      <c r="BM236" s="425">
        <f>I236/16</f>
        <v>530</v>
      </c>
      <c r="BT236" s="495"/>
      <c r="BV236" s="495"/>
      <c r="CK236" s="425">
        <f t="shared" si="50"/>
        <v>530</v>
      </c>
      <c r="CL236" s="425">
        <f t="shared" si="51"/>
        <v>0</v>
      </c>
      <c r="CM236" s="425">
        <f t="shared" si="52"/>
        <v>0</v>
      </c>
      <c r="CN236" s="495"/>
      <c r="CO236" s="495"/>
      <c r="CP236" s="495"/>
      <c r="CT236" s="495"/>
      <c r="CU236" s="495"/>
      <c r="CV236" s="495"/>
      <c r="CW236" s="495"/>
      <c r="CX236" s="495"/>
    </row>
    <row r="237" s="425" customFormat="1" ht="31" customHeight="1" spans="1:102">
      <c r="A237" s="455">
        <v>45798</v>
      </c>
      <c r="B237" s="456" t="s">
        <v>128</v>
      </c>
      <c r="C237" s="457" t="s">
        <v>90</v>
      </c>
      <c r="D237" s="425">
        <v>4500167380</v>
      </c>
      <c r="E237" s="895" t="s">
        <v>3753</v>
      </c>
      <c r="F237" s="425" t="s">
        <v>3754</v>
      </c>
      <c r="G237" s="458" t="s">
        <v>3180</v>
      </c>
      <c r="H237" s="458" t="s">
        <v>3181</v>
      </c>
      <c r="I237" s="458">
        <v>6352</v>
      </c>
      <c r="J237" s="458">
        <v>0</v>
      </c>
      <c r="K237" s="458">
        <v>16</v>
      </c>
      <c r="L237" s="462">
        <f t="shared" si="55"/>
        <v>397</v>
      </c>
      <c r="M237" s="463">
        <v>45835</v>
      </c>
      <c r="N237" s="463">
        <v>45838</v>
      </c>
      <c r="O237" s="464" t="s">
        <v>865</v>
      </c>
      <c r="P237" s="464" t="s">
        <v>103</v>
      </c>
      <c r="Q237" s="458"/>
      <c r="R237" s="472" t="s">
        <v>3408</v>
      </c>
      <c r="S237" s="472" t="s">
        <v>66</v>
      </c>
      <c r="T237" s="472" t="s">
        <v>133</v>
      </c>
      <c r="U237" s="472"/>
      <c r="V237" s="473" t="s">
        <v>3751</v>
      </c>
      <c r="W237" s="473" t="s">
        <v>98</v>
      </c>
      <c r="X237" s="473">
        <v>0.5936</v>
      </c>
      <c r="Y237" s="480">
        <f t="shared" si="56"/>
        <v>3770.5472</v>
      </c>
      <c r="Z237" s="458" t="s">
        <v>3755</v>
      </c>
      <c r="AA237" s="458" t="s">
        <v>3180</v>
      </c>
      <c r="AB237" s="458" t="s">
        <v>76</v>
      </c>
      <c r="AC237" s="458"/>
      <c r="AD237" s="458" t="s">
        <v>69</v>
      </c>
      <c r="AE237" s="458"/>
      <c r="AF237" s="458">
        <v>6352</v>
      </c>
      <c r="AG237" s="458">
        <f t="shared" si="54"/>
        <v>0</v>
      </c>
      <c r="AH237" s="489"/>
      <c r="AI237" s="458"/>
      <c r="AJ237" s="458"/>
      <c r="AK237" s="458">
        <f t="shared" si="57"/>
        <v>6352</v>
      </c>
      <c r="AM237" s="425">
        <f t="shared" si="59"/>
        <v>6352</v>
      </c>
      <c r="AO237" s="495"/>
      <c r="AR237" s="425">
        <f t="shared" si="58"/>
        <v>6352</v>
      </c>
      <c r="AT237" s="495"/>
      <c r="AY237" s="498">
        <f t="shared" si="60"/>
        <v>132.333333333333</v>
      </c>
      <c r="BM237" s="425">
        <f>I237/16</f>
        <v>397</v>
      </c>
      <c r="BT237" s="495"/>
      <c r="BV237" s="495"/>
      <c r="CK237" s="425">
        <f t="shared" si="50"/>
        <v>397</v>
      </c>
      <c r="CL237" s="425">
        <f t="shared" si="51"/>
        <v>0</v>
      </c>
      <c r="CM237" s="425">
        <f t="shared" si="52"/>
        <v>0</v>
      </c>
      <c r="CN237" s="495"/>
      <c r="CO237" s="495"/>
      <c r="CP237" s="495"/>
      <c r="CT237" s="495"/>
      <c r="CU237" s="495"/>
      <c r="CV237" s="495"/>
      <c r="CW237" s="495"/>
      <c r="CX237" s="495"/>
    </row>
    <row r="238" s="425" customFormat="1" ht="31" customHeight="1" spans="1:102">
      <c r="A238" s="455">
        <v>45798</v>
      </c>
      <c r="B238" s="456" t="s">
        <v>128</v>
      </c>
      <c r="C238" s="457" t="s">
        <v>90</v>
      </c>
      <c r="D238" s="425">
        <v>4500167380</v>
      </c>
      <c r="E238" s="895" t="s">
        <v>3756</v>
      </c>
      <c r="F238" s="425" t="s">
        <v>3757</v>
      </c>
      <c r="G238" s="458" t="s">
        <v>3180</v>
      </c>
      <c r="H238" s="458" t="s">
        <v>3181</v>
      </c>
      <c r="I238" s="458">
        <v>7536</v>
      </c>
      <c r="J238" s="458">
        <v>0</v>
      </c>
      <c r="K238" s="458">
        <v>16</v>
      </c>
      <c r="L238" s="462">
        <f t="shared" si="55"/>
        <v>471</v>
      </c>
      <c r="M238" s="463">
        <v>45835</v>
      </c>
      <c r="N238" s="463">
        <v>45838</v>
      </c>
      <c r="O238" s="464" t="s">
        <v>865</v>
      </c>
      <c r="P238" s="464" t="s">
        <v>103</v>
      </c>
      <c r="Q238" s="458"/>
      <c r="R238" s="472" t="s">
        <v>3408</v>
      </c>
      <c r="S238" s="472" t="s">
        <v>66</v>
      </c>
      <c r="T238" s="472" t="s">
        <v>133</v>
      </c>
      <c r="U238" s="472"/>
      <c r="V238" s="473" t="s">
        <v>3751</v>
      </c>
      <c r="W238" s="473" t="s">
        <v>98</v>
      </c>
      <c r="X238" s="473">
        <v>0.5936</v>
      </c>
      <c r="Y238" s="480">
        <f t="shared" si="56"/>
        <v>4473.3696</v>
      </c>
      <c r="Z238" s="458" t="s">
        <v>3758</v>
      </c>
      <c r="AA238" s="458" t="s">
        <v>3180</v>
      </c>
      <c r="AB238" s="458" t="s">
        <v>76</v>
      </c>
      <c r="AC238" s="458"/>
      <c r="AD238" s="458" t="s">
        <v>69</v>
      </c>
      <c r="AE238" s="458"/>
      <c r="AF238" s="458">
        <f>7520+16</f>
        <v>7536</v>
      </c>
      <c r="AG238" s="458">
        <f t="shared" si="54"/>
        <v>0</v>
      </c>
      <c r="AH238" s="489"/>
      <c r="AI238" s="458"/>
      <c r="AJ238" s="458"/>
      <c r="AK238" s="458">
        <f t="shared" si="57"/>
        <v>7536</v>
      </c>
      <c r="AM238" s="425">
        <f t="shared" si="59"/>
        <v>7536</v>
      </c>
      <c r="AO238" s="495"/>
      <c r="AR238" s="425">
        <f t="shared" si="58"/>
        <v>7536</v>
      </c>
      <c r="AT238" s="495"/>
      <c r="AY238" s="498">
        <f t="shared" si="60"/>
        <v>157</v>
      </c>
      <c r="BM238" s="425">
        <f>I238/16</f>
        <v>471</v>
      </c>
      <c r="BT238" s="495"/>
      <c r="BV238" s="495"/>
      <c r="CK238" s="425">
        <f t="shared" si="50"/>
        <v>471</v>
      </c>
      <c r="CL238" s="425">
        <f t="shared" si="51"/>
        <v>0</v>
      </c>
      <c r="CM238" s="425">
        <f t="shared" si="52"/>
        <v>0</v>
      </c>
      <c r="CN238" s="495"/>
      <c r="CO238" s="495"/>
      <c r="CP238" s="495"/>
      <c r="CT238" s="495"/>
      <c r="CU238" s="495"/>
      <c r="CV238" s="495"/>
      <c r="CW238" s="495"/>
      <c r="CX238" s="495"/>
    </row>
    <row r="239" s="425" customFormat="1" ht="31" customHeight="1" spans="1:102">
      <c r="A239" s="455">
        <v>45768</v>
      </c>
      <c r="B239" s="456" t="s">
        <v>3759</v>
      </c>
      <c r="C239" s="457" t="s">
        <v>90</v>
      </c>
      <c r="D239" s="425">
        <v>4500164421</v>
      </c>
      <c r="E239" s="895" t="s">
        <v>784</v>
      </c>
      <c r="F239" s="425" t="s">
        <v>3760</v>
      </c>
      <c r="G239" s="458" t="s">
        <v>3198</v>
      </c>
      <c r="H239" s="458" t="s">
        <v>3303</v>
      </c>
      <c r="I239" s="458">
        <v>5825</v>
      </c>
      <c r="J239" s="458">
        <v>0</v>
      </c>
      <c r="K239" s="458">
        <v>25</v>
      </c>
      <c r="L239" s="462">
        <f t="shared" si="55"/>
        <v>233</v>
      </c>
      <c r="M239" s="463">
        <v>45824</v>
      </c>
      <c r="N239" s="463">
        <v>45820</v>
      </c>
      <c r="O239" s="464"/>
      <c r="P239" s="464" t="s">
        <v>103</v>
      </c>
      <c r="Q239" s="458"/>
      <c r="R239" s="472">
        <v>45771</v>
      </c>
      <c r="S239" s="472" t="s">
        <v>66</v>
      </c>
      <c r="T239" s="472" t="s">
        <v>66</v>
      </c>
      <c r="U239" s="472"/>
      <c r="V239" s="473" t="s">
        <v>786</v>
      </c>
      <c r="W239" s="473" t="s">
        <v>316</v>
      </c>
      <c r="X239" s="473">
        <v>0.564</v>
      </c>
      <c r="Y239" s="480">
        <f t="shared" si="56"/>
        <v>3285.3</v>
      </c>
      <c r="Z239" s="458" t="s">
        <v>787</v>
      </c>
      <c r="AA239" s="458" t="s">
        <v>3198</v>
      </c>
      <c r="AB239" s="458" t="s">
        <v>76</v>
      </c>
      <c r="AC239" s="458"/>
      <c r="AD239" s="458" t="s">
        <v>69</v>
      </c>
      <c r="AE239" s="458"/>
      <c r="AF239" s="458">
        <v>5825</v>
      </c>
      <c r="AG239" s="458">
        <f t="shared" si="54"/>
        <v>0</v>
      </c>
      <c r="AH239" s="489"/>
      <c r="AI239" s="458"/>
      <c r="AJ239" s="458"/>
      <c r="AK239" s="458">
        <f t="shared" si="57"/>
        <v>5825</v>
      </c>
      <c r="AM239" s="425">
        <f t="shared" si="59"/>
        <v>5825</v>
      </c>
      <c r="AO239" s="495"/>
      <c r="AR239" s="425">
        <f t="shared" si="58"/>
        <v>5825</v>
      </c>
      <c r="AT239" s="495"/>
      <c r="AY239" s="498">
        <f t="shared" si="60"/>
        <v>121.354166666667</v>
      </c>
      <c r="BJ239" s="425">
        <f>I239/25</f>
        <v>233</v>
      </c>
      <c r="BT239" s="495"/>
      <c r="BV239" s="495"/>
      <c r="CK239" s="425">
        <f t="shared" si="50"/>
        <v>233</v>
      </c>
      <c r="CL239" s="425">
        <f t="shared" si="51"/>
        <v>0</v>
      </c>
      <c r="CM239" s="425">
        <f t="shared" si="52"/>
        <v>0</v>
      </c>
      <c r="CN239" s="495"/>
      <c r="CO239" s="495"/>
      <c r="CP239" s="495"/>
      <c r="CT239" s="495"/>
      <c r="CU239" s="495"/>
      <c r="CV239" s="495"/>
      <c r="CW239" s="495"/>
      <c r="CX239" s="495"/>
    </row>
    <row r="240" s="425" customFormat="1" ht="31" customHeight="1" spans="1:102">
      <c r="A240" s="455">
        <v>45797</v>
      </c>
      <c r="B240" s="456" t="s">
        <v>754</v>
      </c>
      <c r="C240" s="457" t="s">
        <v>356</v>
      </c>
      <c r="D240" s="425">
        <v>4500166380</v>
      </c>
      <c r="E240" s="457" t="s">
        <v>755</v>
      </c>
      <c r="F240" s="425" t="s">
        <v>756</v>
      </c>
      <c r="G240" s="458" t="s">
        <v>3436</v>
      </c>
      <c r="H240" s="458" t="s">
        <v>424</v>
      </c>
      <c r="I240" s="458">
        <v>1620</v>
      </c>
      <c r="J240" s="458">
        <v>0</v>
      </c>
      <c r="K240" s="458">
        <v>6</v>
      </c>
      <c r="L240" s="462">
        <f t="shared" si="55"/>
        <v>270</v>
      </c>
      <c r="M240" s="463">
        <v>45832</v>
      </c>
      <c r="N240" s="463">
        <v>45828</v>
      </c>
      <c r="O240" s="464"/>
      <c r="P240" s="464" t="s">
        <v>103</v>
      </c>
      <c r="Q240" s="458"/>
      <c r="R240" s="472">
        <v>45799</v>
      </c>
      <c r="S240" s="472" t="s">
        <v>66</v>
      </c>
      <c r="T240" s="472">
        <v>45805</v>
      </c>
      <c r="U240" s="472"/>
      <c r="V240" s="473" t="s">
        <v>3761</v>
      </c>
      <c r="W240" s="473" t="s">
        <v>395</v>
      </c>
      <c r="X240" s="473">
        <v>8.1</v>
      </c>
      <c r="Y240" s="480">
        <f t="shared" si="56"/>
        <v>13122</v>
      </c>
      <c r="Z240" s="458"/>
      <c r="AA240" s="458" t="s">
        <v>427</v>
      </c>
      <c r="AB240" s="458" t="s">
        <v>76</v>
      </c>
      <c r="AC240" s="458"/>
      <c r="AD240" s="458" t="s">
        <v>69</v>
      </c>
      <c r="AE240" s="458"/>
      <c r="AF240" s="458">
        <v>1620</v>
      </c>
      <c r="AG240" s="458">
        <f t="shared" si="54"/>
        <v>0</v>
      </c>
      <c r="AH240" s="489"/>
      <c r="AI240" s="458"/>
      <c r="AJ240" s="458"/>
      <c r="AK240" s="458"/>
      <c r="AL240" s="425">
        <f>I240*2</f>
        <v>3240</v>
      </c>
      <c r="AO240" s="495"/>
      <c r="AQ240" s="425">
        <f>I240*2</f>
        <v>3240</v>
      </c>
      <c r="AS240" s="425">
        <f>I240*2</f>
        <v>3240</v>
      </c>
      <c r="AT240" s="495"/>
      <c r="AY240" s="498">
        <f>I240/24*2</f>
        <v>135</v>
      </c>
      <c r="BT240" s="495"/>
      <c r="BU240" s="425">
        <f>I240</f>
        <v>1620</v>
      </c>
      <c r="BV240" s="495"/>
      <c r="CK240" s="425">
        <f t="shared" si="50"/>
        <v>0</v>
      </c>
      <c r="CL240" s="425">
        <f t="shared" si="51"/>
        <v>0</v>
      </c>
      <c r="CM240" s="425">
        <f t="shared" si="52"/>
        <v>0</v>
      </c>
      <c r="CN240" s="495"/>
      <c r="CO240" s="495"/>
      <c r="CP240" s="495"/>
      <c r="CT240" s="495"/>
      <c r="CU240" s="495"/>
      <c r="CV240" s="495"/>
      <c r="CW240" s="495"/>
      <c r="CX240" s="495"/>
    </row>
    <row r="241" s="425" customFormat="1" ht="31" customHeight="1" spans="1:102">
      <c r="A241" s="455">
        <v>45771</v>
      </c>
      <c r="B241" s="456" t="s">
        <v>3759</v>
      </c>
      <c r="C241" s="457" t="s">
        <v>90</v>
      </c>
      <c r="D241" s="425" t="s">
        <v>3762</v>
      </c>
      <c r="E241" s="457"/>
      <c r="G241" s="458" t="s">
        <v>3154</v>
      </c>
      <c r="H241" s="458" t="s">
        <v>3151</v>
      </c>
      <c r="I241" s="458">
        <v>6550</v>
      </c>
      <c r="J241" s="458">
        <v>0</v>
      </c>
      <c r="K241" s="458">
        <v>25</v>
      </c>
      <c r="L241" s="462">
        <f t="shared" si="55"/>
        <v>262</v>
      </c>
      <c r="M241" s="463">
        <v>45811</v>
      </c>
      <c r="N241" s="463">
        <v>45830</v>
      </c>
      <c r="O241" s="464"/>
      <c r="P241" s="464" t="s">
        <v>103</v>
      </c>
      <c r="Q241" s="458" t="s">
        <v>3604</v>
      </c>
      <c r="R241" s="472" t="s">
        <v>1144</v>
      </c>
      <c r="S241" s="472" t="s">
        <v>66</v>
      </c>
      <c r="T241" s="472" t="s">
        <v>66</v>
      </c>
      <c r="U241" s="472"/>
      <c r="V241" s="473" t="s">
        <v>3605</v>
      </c>
      <c r="W241" s="473" t="s">
        <v>3606</v>
      </c>
      <c r="X241" s="473">
        <v>0.9</v>
      </c>
      <c r="Y241" s="480">
        <f t="shared" si="56"/>
        <v>5895</v>
      </c>
      <c r="Z241" s="458" t="s">
        <v>3763</v>
      </c>
      <c r="AA241" s="458" t="s">
        <v>3154</v>
      </c>
      <c r="AB241" s="458" t="s">
        <v>76</v>
      </c>
      <c r="AC241" s="458"/>
      <c r="AD241" s="458" t="s">
        <v>69</v>
      </c>
      <c r="AE241" s="458"/>
      <c r="AF241" s="458">
        <f>6500+50</f>
        <v>6550</v>
      </c>
      <c r="AG241" s="458">
        <f t="shared" si="54"/>
        <v>0</v>
      </c>
      <c r="AH241" s="489"/>
      <c r="AI241" s="458"/>
      <c r="AJ241" s="458"/>
      <c r="AK241" s="458">
        <f>I241</f>
        <v>6550</v>
      </c>
      <c r="AM241" s="425">
        <f>I241</f>
        <v>6550</v>
      </c>
      <c r="AO241" s="495"/>
      <c r="AR241" s="425">
        <f>I241</f>
        <v>6550</v>
      </c>
      <c r="AT241" s="495"/>
      <c r="AY241" s="498">
        <f>I241/48</f>
        <v>136.458333333333</v>
      </c>
      <c r="BJ241" s="425">
        <f>I241/25</f>
        <v>262</v>
      </c>
      <c r="BT241" s="495"/>
      <c r="BV241" s="495"/>
      <c r="CK241" s="425">
        <f t="shared" si="50"/>
        <v>262</v>
      </c>
      <c r="CL241" s="425">
        <f t="shared" si="51"/>
        <v>0</v>
      </c>
      <c r="CM241" s="425">
        <f t="shared" si="52"/>
        <v>0</v>
      </c>
      <c r="CN241" s="495"/>
      <c r="CO241" s="495"/>
      <c r="CP241" s="495"/>
      <c r="CT241" s="495"/>
      <c r="CU241" s="495"/>
      <c r="CV241" s="495"/>
      <c r="CW241" s="495"/>
      <c r="CX241" s="495"/>
    </row>
    <row r="242" s="425" customFormat="1" ht="31" customHeight="1" spans="1:102">
      <c r="A242" s="455">
        <v>45792</v>
      </c>
      <c r="B242" s="456" t="s">
        <v>778</v>
      </c>
      <c r="C242" s="457" t="s">
        <v>139</v>
      </c>
      <c r="D242" s="425">
        <v>4500166480</v>
      </c>
      <c r="E242" s="457">
        <v>4400483986</v>
      </c>
      <c r="F242" s="425" t="s">
        <v>3764</v>
      </c>
      <c r="G242" s="458" t="s">
        <v>3165</v>
      </c>
      <c r="H242" s="458" t="s">
        <v>3303</v>
      </c>
      <c r="I242" s="458">
        <v>6000</v>
      </c>
      <c r="J242" s="458">
        <v>0</v>
      </c>
      <c r="K242" s="458">
        <v>25</v>
      </c>
      <c r="L242" s="462">
        <f t="shared" si="55"/>
        <v>240</v>
      </c>
      <c r="M242" s="463">
        <v>45834</v>
      </c>
      <c r="N242" s="463">
        <v>45831</v>
      </c>
      <c r="O242" s="464"/>
      <c r="P242" s="464" t="s">
        <v>103</v>
      </c>
      <c r="Q242" s="458"/>
      <c r="R242" s="472">
        <v>45792</v>
      </c>
      <c r="S242" s="472" t="s">
        <v>66</v>
      </c>
      <c r="T242" s="472" t="s">
        <v>3765</v>
      </c>
      <c r="U242" s="472"/>
      <c r="V242" s="473" t="s">
        <v>3766</v>
      </c>
      <c r="W242" s="473" t="s">
        <v>781</v>
      </c>
      <c r="X242" s="473">
        <v>0.9365</v>
      </c>
      <c r="Y242" s="480">
        <f t="shared" si="56"/>
        <v>5619</v>
      </c>
      <c r="Z242" s="509" t="s">
        <v>782</v>
      </c>
      <c r="AA242" s="458" t="s">
        <v>3188</v>
      </c>
      <c r="AB242" s="458" t="s">
        <v>76</v>
      </c>
      <c r="AC242" s="458"/>
      <c r="AD242" s="458" t="s">
        <v>69</v>
      </c>
      <c r="AE242" s="458"/>
      <c r="AF242" s="458">
        <f>4500+1500</f>
        <v>6000</v>
      </c>
      <c r="AG242" s="458">
        <f t="shared" si="54"/>
        <v>0</v>
      </c>
      <c r="AH242" s="489"/>
      <c r="AI242" s="458"/>
      <c r="AJ242" s="458"/>
      <c r="AK242" s="458"/>
      <c r="AL242" s="426">
        <f>I242</f>
        <v>6000</v>
      </c>
      <c r="AO242" s="495"/>
      <c r="AS242" s="425">
        <f>I242</f>
        <v>6000</v>
      </c>
      <c r="AT242" s="495"/>
      <c r="AY242" s="498">
        <f>I242/24*2</f>
        <v>500</v>
      </c>
      <c r="BB242" s="425">
        <f>I242</f>
        <v>6000</v>
      </c>
      <c r="BL242" s="425">
        <f>I242/25</f>
        <v>240</v>
      </c>
      <c r="BT242" s="495"/>
      <c r="BV242" s="495"/>
      <c r="CK242" s="425">
        <f t="shared" si="50"/>
        <v>240</v>
      </c>
      <c r="CL242" s="425">
        <f t="shared" si="51"/>
        <v>0</v>
      </c>
      <c r="CM242" s="425">
        <f t="shared" si="52"/>
        <v>0</v>
      </c>
      <c r="CN242" s="495"/>
      <c r="CO242" s="495"/>
      <c r="CP242" s="495"/>
      <c r="CT242" s="495"/>
      <c r="CU242" s="495"/>
      <c r="CV242" s="495"/>
      <c r="CW242" s="495"/>
      <c r="CX242" s="495"/>
    </row>
    <row r="243" s="425" customFormat="1" ht="31" customHeight="1" spans="1:102">
      <c r="A243" s="455">
        <v>45793</v>
      </c>
      <c r="B243" s="456" t="s">
        <v>748</v>
      </c>
      <c r="C243" s="457" t="s">
        <v>749</v>
      </c>
      <c r="D243" s="425">
        <v>4500166647</v>
      </c>
      <c r="E243" s="457">
        <v>21209747</v>
      </c>
      <c r="F243" s="425" t="s">
        <v>750</v>
      </c>
      <c r="G243" s="458" t="s">
        <v>3436</v>
      </c>
      <c r="H243" s="458" t="s">
        <v>424</v>
      </c>
      <c r="I243" s="458">
        <v>1002</v>
      </c>
      <c r="J243" s="458">
        <v>0</v>
      </c>
      <c r="K243" s="458">
        <v>6</v>
      </c>
      <c r="L243" s="462">
        <f t="shared" si="55"/>
        <v>167</v>
      </c>
      <c r="M243" s="463">
        <v>45831</v>
      </c>
      <c r="N243" s="463">
        <v>45831</v>
      </c>
      <c r="O243" s="464" t="s">
        <v>3767</v>
      </c>
      <c r="P243" s="464" t="s">
        <v>103</v>
      </c>
      <c r="Q243" s="458"/>
      <c r="R243" s="472">
        <v>45804</v>
      </c>
      <c r="S243" s="472" t="s">
        <v>66</v>
      </c>
      <c r="T243" s="472">
        <v>45804</v>
      </c>
      <c r="U243" s="472"/>
      <c r="V243" s="473" t="s">
        <v>3768</v>
      </c>
      <c r="W243" s="473" t="s">
        <v>752</v>
      </c>
      <c r="X243" s="473">
        <v>8.1</v>
      </c>
      <c r="Y243" s="480">
        <f t="shared" si="56"/>
        <v>8116.2</v>
      </c>
      <c r="Z243" s="458" t="s">
        <v>753</v>
      </c>
      <c r="AA243" s="458" t="s">
        <v>427</v>
      </c>
      <c r="AB243" s="458" t="s">
        <v>76</v>
      </c>
      <c r="AC243" s="458"/>
      <c r="AD243" s="458" t="s">
        <v>69</v>
      </c>
      <c r="AE243" s="458"/>
      <c r="AF243" s="458">
        <v>1002</v>
      </c>
      <c r="AG243" s="458">
        <f t="shared" si="54"/>
        <v>0</v>
      </c>
      <c r="AH243" s="489"/>
      <c r="AI243" s="458"/>
      <c r="AJ243" s="458"/>
      <c r="AK243" s="458"/>
      <c r="AL243" s="425">
        <f>I243*2</f>
        <v>2004</v>
      </c>
      <c r="AO243" s="495"/>
      <c r="AQ243" s="425">
        <f>I243*2</f>
        <v>2004</v>
      </c>
      <c r="AS243" s="425">
        <f>I243*2</f>
        <v>2004</v>
      </c>
      <c r="AT243" s="495"/>
      <c r="AY243" s="498">
        <f>I243/24*2</f>
        <v>83.5</v>
      </c>
      <c r="BT243" s="495"/>
      <c r="BU243" s="425">
        <f>I243</f>
        <v>1002</v>
      </c>
      <c r="BV243" s="495"/>
      <c r="CK243" s="425">
        <f t="shared" si="50"/>
        <v>0</v>
      </c>
      <c r="CL243" s="425">
        <f t="shared" si="51"/>
        <v>0</v>
      </c>
      <c r="CM243" s="425">
        <f t="shared" si="52"/>
        <v>0</v>
      </c>
      <c r="CN243" s="495"/>
      <c r="CO243" s="495"/>
      <c r="CP243" s="495"/>
      <c r="CT243" s="495"/>
      <c r="CU243" s="495"/>
      <c r="CV243" s="495"/>
      <c r="CW243" s="495"/>
      <c r="CX243" s="495"/>
    </row>
    <row r="244" s="425" customFormat="1" ht="31" customHeight="1" spans="1:102">
      <c r="A244" s="455">
        <v>45791</v>
      </c>
      <c r="B244" s="456" t="s">
        <v>769</v>
      </c>
      <c r="C244" s="457" t="s">
        <v>249</v>
      </c>
      <c r="D244" s="425">
        <v>4500166375</v>
      </c>
      <c r="E244" s="457" t="s">
        <v>770</v>
      </c>
      <c r="F244" s="425" t="s">
        <v>3769</v>
      </c>
      <c r="G244" s="458" t="s">
        <v>3158</v>
      </c>
      <c r="H244" s="458" t="s">
        <v>3159</v>
      </c>
      <c r="I244" s="458">
        <v>15600</v>
      </c>
      <c r="J244" s="458">
        <v>0</v>
      </c>
      <c r="K244" s="458">
        <v>52</v>
      </c>
      <c r="L244" s="462">
        <f t="shared" si="55"/>
        <v>300</v>
      </c>
      <c r="M244" s="463">
        <v>45835</v>
      </c>
      <c r="N244" s="463">
        <v>45831</v>
      </c>
      <c r="O244" s="464" t="s">
        <v>772</v>
      </c>
      <c r="P244" s="464" t="s">
        <v>103</v>
      </c>
      <c r="Q244" s="458" t="s">
        <v>773</v>
      </c>
      <c r="R244" s="472">
        <v>45791</v>
      </c>
      <c r="S244" s="472" t="s">
        <v>66</v>
      </c>
      <c r="T244" s="472" t="s">
        <v>3770</v>
      </c>
      <c r="U244" s="472"/>
      <c r="V244" s="473" t="s">
        <v>3771</v>
      </c>
      <c r="W244" s="473" t="s">
        <v>776</v>
      </c>
      <c r="X244" s="473">
        <v>0.92</v>
      </c>
      <c r="Y244" s="480">
        <f t="shared" si="56"/>
        <v>14352</v>
      </c>
      <c r="Z244" s="458" t="s">
        <v>777</v>
      </c>
      <c r="AA244" s="458" t="s">
        <v>3158</v>
      </c>
      <c r="AB244" s="458" t="s">
        <v>76</v>
      </c>
      <c r="AC244" s="458"/>
      <c r="AD244" s="458" t="s">
        <v>69</v>
      </c>
      <c r="AE244" s="458"/>
      <c r="AF244" s="458">
        <f>14560+1040</f>
        <v>15600</v>
      </c>
      <c r="AG244" s="458">
        <f t="shared" si="54"/>
        <v>0</v>
      </c>
      <c r="AH244" s="489"/>
      <c r="AI244" s="458"/>
      <c r="AJ244" s="458"/>
      <c r="AK244" s="458"/>
      <c r="AL244" s="426">
        <f>I244</f>
        <v>15600</v>
      </c>
      <c r="AO244" s="495"/>
      <c r="AQ244" s="425">
        <f>I244</f>
        <v>15600</v>
      </c>
      <c r="AS244" s="425">
        <f>I244</f>
        <v>15600</v>
      </c>
      <c r="AT244" s="495"/>
      <c r="AY244" s="498">
        <f>I244/24</f>
        <v>650</v>
      </c>
      <c r="BI244" s="425">
        <f>I244/13</f>
        <v>1200</v>
      </c>
      <c r="BT244" s="495"/>
      <c r="BV244" s="495"/>
      <c r="CK244" s="425">
        <f t="shared" si="50"/>
        <v>0</v>
      </c>
      <c r="CL244" s="425">
        <f t="shared" si="51"/>
        <v>0</v>
      </c>
      <c r="CM244" s="425">
        <f t="shared" si="52"/>
        <v>0</v>
      </c>
      <c r="CN244" s="495"/>
      <c r="CO244" s="495"/>
      <c r="CP244" s="495"/>
      <c r="CT244" s="495"/>
      <c r="CU244" s="495"/>
      <c r="CV244" s="495"/>
      <c r="CW244" s="495"/>
      <c r="CX244" s="495"/>
    </row>
    <row r="245" s="425" customFormat="1" ht="31" customHeight="1" spans="1:102">
      <c r="A245" s="455">
        <v>45797</v>
      </c>
      <c r="B245" s="456" t="s">
        <v>122</v>
      </c>
      <c r="C245" s="457" t="s">
        <v>116</v>
      </c>
      <c r="D245" s="425">
        <v>4500166286</v>
      </c>
      <c r="E245" s="457">
        <v>20846870</v>
      </c>
      <c r="F245" s="425" t="s">
        <v>3772</v>
      </c>
      <c r="G245" s="458" t="s">
        <v>3206</v>
      </c>
      <c r="H245" s="458" t="s">
        <v>3207</v>
      </c>
      <c r="I245" s="458">
        <v>1521</v>
      </c>
      <c r="J245" s="458">
        <v>0</v>
      </c>
      <c r="K245" s="458">
        <v>13</v>
      </c>
      <c r="L245" s="462">
        <f t="shared" si="55"/>
        <v>117</v>
      </c>
      <c r="M245" s="463">
        <v>45838</v>
      </c>
      <c r="N245" s="463">
        <v>45834</v>
      </c>
      <c r="O245" s="464"/>
      <c r="P245" s="464" t="s">
        <v>103</v>
      </c>
      <c r="Q245" s="458"/>
      <c r="R245" s="472">
        <v>45790</v>
      </c>
      <c r="S245" s="472" t="s">
        <v>96</v>
      </c>
      <c r="T245" s="472">
        <v>45817</v>
      </c>
      <c r="U245" s="472"/>
      <c r="V245" s="473" t="s">
        <v>3773</v>
      </c>
      <c r="W245" s="473" t="s">
        <v>121</v>
      </c>
      <c r="X245" s="473">
        <v>0.9475</v>
      </c>
      <c r="Y245" s="480">
        <f t="shared" si="56"/>
        <v>1441.1475</v>
      </c>
      <c r="Z245" s="458" t="s">
        <v>3774</v>
      </c>
      <c r="AA245" s="458" t="s">
        <v>3206</v>
      </c>
      <c r="AB245" s="458" t="s">
        <v>76</v>
      </c>
      <c r="AC245" s="458"/>
      <c r="AD245" s="458" t="s">
        <v>69</v>
      </c>
      <c r="AE245" s="458"/>
      <c r="AF245" s="458">
        <v>1521</v>
      </c>
      <c r="AG245" s="458">
        <f t="shared" si="54"/>
        <v>0</v>
      </c>
      <c r="AH245" s="489"/>
      <c r="AI245" s="458"/>
      <c r="AJ245" s="458"/>
      <c r="AK245" s="458"/>
      <c r="AL245" s="426">
        <f>I245</f>
        <v>1521</v>
      </c>
      <c r="AO245" s="495"/>
      <c r="AQ245" s="425">
        <f>I245</f>
        <v>1521</v>
      </c>
      <c r="AS245" s="425">
        <f>I245</f>
        <v>1521</v>
      </c>
      <c r="AT245" s="495"/>
      <c r="AY245" s="498">
        <f>I245/24</f>
        <v>63.375</v>
      </c>
      <c r="BI245" s="425">
        <f>I245/13</f>
        <v>117</v>
      </c>
      <c r="BT245" s="495"/>
      <c r="BV245" s="495"/>
      <c r="CK245" s="425">
        <f t="shared" si="50"/>
        <v>0</v>
      </c>
      <c r="CL245" s="425">
        <f t="shared" si="51"/>
        <v>0</v>
      </c>
      <c r="CM245" s="425">
        <f t="shared" si="52"/>
        <v>0</v>
      </c>
      <c r="CN245" s="495"/>
      <c r="CO245" s="495"/>
      <c r="CP245" s="495"/>
      <c r="CT245" s="495"/>
      <c r="CU245" s="495"/>
      <c r="CV245" s="495"/>
      <c r="CW245" s="495"/>
      <c r="CX245" s="495"/>
    </row>
    <row r="246" s="425" customFormat="1" ht="31" customHeight="1" spans="1:102">
      <c r="A246" s="455">
        <v>45826</v>
      </c>
      <c r="B246" s="456" t="s">
        <v>122</v>
      </c>
      <c r="C246" s="457" t="s">
        <v>116</v>
      </c>
      <c r="D246" s="425">
        <v>4500166286</v>
      </c>
      <c r="E246" s="457">
        <v>20846870</v>
      </c>
      <c r="F246" s="425" t="s">
        <v>3775</v>
      </c>
      <c r="G246" s="458" t="s">
        <v>3206</v>
      </c>
      <c r="H246" s="458" t="s">
        <v>3207</v>
      </c>
      <c r="I246" s="458">
        <v>988</v>
      </c>
      <c r="J246" s="458">
        <v>0</v>
      </c>
      <c r="K246" s="458">
        <v>13</v>
      </c>
      <c r="L246" s="462">
        <f t="shared" si="55"/>
        <v>76</v>
      </c>
      <c r="M246" s="463">
        <v>45838</v>
      </c>
      <c r="N246" s="463">
        <v>45834</v>
      </c>
      <c r="O246" s="464"/>
      <c r="P246" s="464" t="s">
        <v>103</v>
      </c>
      <c r="Q246" s="458"/>
      <c r="R246" s="472">
        <v>45811</v>
      </c>
      <c r="S246" s="472" t="s">
        <v>96</v>
      </c>
      <c r="T246" s="472">
        <v>45817</v>
      </c>
      <c r="U246" s="472"/>
      <c r="V246" s="473" t="s">
        <v>3773</v>
      </c>
      <c r="W246" s="473" t="s">
        <v>121</v>
      </c>
      <c r="X246" s="473">
        <v>0.9116</v>
      </c>
      <c r="Y246" s="480">
        <f t="shared" si="56"/>
        <v>900.6608</v>
      </c>
      <c r="Z246" s="458" t="s">
        <v>3776</v>
      </c>
      <c r="AA246" s="458" t="s">
        <v>3206</v>
      </c>
      <c r="AB246" s="458" t="s">
        <v>76</v>
      </c>
      <c r="AC246" s="458"/>
      <c r="AD246" s="458" t="s">
        <v>69</v>
      </c>
      <c r="AE246" s="458"/>
      <c r="AF246" s="458">
        <v>988</v>
      </c>
      <c r="AG246" s="458">
        <f t="shared" si="54"/>
        <v>0</v>
      </c>
      <c r="AH246" s="489"/>
      <c r="AI246" s="458"/>
      <c r="AJ246" s="458"/>
      <c r="AK246" s="458"/>
      <c r="AL246" s="426">
        <f>I246</f>
        <v>988</v>
      </c>
      <c r="AO246" s="495"/>
      <c r="AQ246" s="425">
        <f>I246</f>
        <v>988</v>
      </c>
      <c r="AS246" s="425">
        <f>I246</f>
        <v>988</v>
      </c>
      <c r="AT246" s="495"/>
      <c r="AY246" s="498">
        <f>I246/24</f>
        <v>41.1666666666667</v>
      </c>
      <c r="BI246" s="425">
        <f>I246/13</f>
        <v>76</v>
      </c>
      <c r="BT246" s="495"/>
      <c r="BV246" s="495"/>
      <c r="CK246" s="425">
        <f t="shared" si="50"/>
        <v>0</v>
      </c>
      <c r="CL246" s="425">
        <f t="shared" si="51"/>
        <v>0</v>
      </c>
      <c r="CM246" s="425">
        <f t="shared" si="52"/>
        <v>0</v>
      </c>
      <c r="CN246" s="495"/>
      <c r="CO246" s="495"/>
      <c r="CP246" s="495"/>
      <c r="CT246" s="495"/>
      <c r="CU246" s="495"/>
      <c r="CV246" s="495"/>
      <c r="CW246" s="495"/>
      <c r="CX246" s="495"/>
    </row>
    <row r="247" s="425" customFormat="1" ht="31" customHeight="1" spans="1:102">
      <c r="A247" s="455">
        <v>45775</v>
      </c>
      <c r="B247" s="456" t="s">
        <v>128</v>
      </c>
      <c r="C247" s="457" t="s">
        <v>90</v>
      </c>
      <c r="D247" s="425">
        <v>4500162963</v>
      </c>
      <c r="E247" s="457" t="s">
        <v>3777</v>
      </c>
      <c r="F247" s="425" t="s">
        <v>3778</v>
      </c>
      <c r="G247" s="458" t="s">
        <v>3180</v>
      </c>
      <c r="H247" s="458" t="s">
        <v>3181</v>
      </c>
      <c r="I247" s="458">
        <v>8720</v>
      </c>
      <c r="J247" s="458">
        <v>0</v>
      </c>
      <c r="K247" s="458">
        <v>16</v>
      </c>
      <c r="L247" s="462">
        <f t="shared" si="55"/>
        <v>545</v>
      </c>
      <c r="M247" s="463">
        <v>45835</v>
      </c>
      <c r="N247" s="463">
        <v>45838</v>
      </c>
      <c r="O247" s="464" t="s">
        <v>3779</v>
      </c>
      <c r="P247" s="464" t="s">
        <v>103</v>
      </c>
      <c r="Q247" s="458"/>
      <c r="R247" s="472" t="s">
        <v>3408</v>
      </c>
      <c r="S247" s="472" t="s">
        <v>66</v>
      </c>
      <c r="T247" s="472" t="s">
        <v>133</v>
      </c>
      <c r="U247" s="472"/>
      <c r="V247" s="473" t="s">
        <v>3409</v>
      </c>
      <c r="W247" s="473" t="s">
        <v>98</v>
      </c>
      <c r="X247" s="473">
        <v>1.008</v>
      </c>
      <c r="Y247" s="480">
        <f t="shared" si="56"/>
        <v>8789.76</v>
      </c>
      <c r="Z247" s="458" t="s">
        <v>3780</v>
      </c>
      <c r="AA247" s="458" t="s">
        <v>3180</v>
      </c>
      <c r="AB247" s="458" t="s">
        <v>76</v>
      </c>
      <c r="AC247" s="458"/>
      <c r="AD247" s="458" t="s">
        <v>69</v>
      </c>
      <c r="AE247" s="458"/>
      <c r="AF247" s="458">
        <v>8720</v>
      </c>
      <c r="AG247" s="458">
        <f t="shared" si="54"/>
        <v>0</v>
      </c>
      <c r="AH247" s="489"/>
      <c r="AI247" s="458"/>
      <c r="AJ247" s="458"/>
      <c r="AK247" s="458">
        <f t="shared" ref="AK247:AK255" si="61">I247</f>
        <v>8720</v>
      </c>
      <c r="AM247" s="425">
        <f t="shared" ref="AM247:AM255" si="62">I247</f>
        <v>8720</v>
      </c>
      <c r="AO247" s="495"/>
      <c r="AR247" s="425">
        <f t="shared" ref="AR247:AR255" si="63">I247</f>
        <v>8720</v>
      </c>
      <c r="AT247" s="495"/>
      <c r="AY247" s="498">
        <f t="shared" ref="AY247:AY255" si="64">I247/48</f>
        <v>181.666666666667</v>
      </c>
      <c r="BM247" s="425">
        <f t="shared" ref="BM247:BM255" si="65">I247/16</f>
        <v>545</v>
      </c>
      <c r="BT247" s="495"/>
      <c r="BV247" s="495"/>
      <c r="CK247" s="425">
        <f t="shared" si="50"/>
        <v>545</v>
      </c>
      <c r="CL247" s="425">
        <f t="shared" si="51"/>
        <v>0</v>
      </c>
      <c r="CM247" s="425">
        <f t="shared" si="52"/>
        <v>0</v>
      </c>
      <c r="CN247" s="495"/>
      <c r="CO247" s="495"/>
      <c r="CP247" s="495"/>
      <c r="CT247" s="495"/>
      <c r="CU247" s="495"/>
      <c r="CV247" s="495"/>
      <c r="CW247" s="495"/>
      <c r="CX247" s="495"/>
    </row>
    <row r="248" s="425" customFormat="1" ht="31" customHeight="1" spans="1:102">
      <c r="A248" s="455">
        <v>45799</v>
      </c>
      <c r="B248" s="456" t="s">
        <v>128</v>
      </c>
      <c r="C248" s="457" t="s">
        <v>90</v>
      </c>
      <c r="D248" s="425">
        <v>4500167593</v>
      </c>
      <c r="E248" s="895" t="s">
        <v>3781</v>
      </c>
      <c r="F248" s="425" t="s">
        <v>3782</v>
      </c>
      <c r="G248" s="458" t="s">
        <v>3180</v>
      </c>
      <c r="H248" s="458" t="s">
        <v>3181</v>
      </c>
      <c r="I248" s="458">
        <v>7600</v>
      </c>
      <c r="J248" s="458">
        <v>0</v>
      </c>
      <c r="K248" s="458">
        <v>16</v>
      </c>
      <c r="L248" s="462">
        <f t="shared" si="55"/>
        <v>475</v>
      </c>
      <c r="M248" s="463">
        <v>45835</v>
      </c>
      <c r="N248" s="463">
        <v>45838</v>
      </c>
      <c r="O248" s="464" t="s">
        <v>3779</v>
      </c>
      <c r="P248" s="464" t="s">
        <v>103</v>
      </c>
      <c r="Q248" s="458"/>
      <c r="R248" s="472" t="s">
        <v>3408</v>
      </c>
      <c r="S248" s="472" t="s">
        <v>66</v>
      </c>
      <c r="T248" s="472" t="s">
        <v>133</v>
      </c>
      <c r="U248" s="472"/>
      <c r="V248" s="473" t="s">
        <v>3409</v>
      </c>
      <c r="W248" s="473" t="s">
        <v>98</v>
      </c>
      <c r="X248" s="473">
        <v>0.5936</v>
      </c>
      <c r="Y248" s="480">
        <f t="shared" si="56"/>
        <v>4511.36</v>
      </c>
      <c r="Z248" s="458" t="s">
        <v>3783</v>
      </c>
      <c r="AA248" s="458" t="s">
        <v>3180</v>
      </c>
      <c r="AB248" s="458" t="s">
        <v>76</v>
      </c>
      <c r="AC248" s="458"/>
      <c r="AD248" s="458" t="s">
        <v>69</v>
      </c>
      <c r="AE248" s="458"/>
      <c r="AF248" s="458">
        <v>7600</v>
      </c>
      <c r="AG248" s="458">
        <f t="shared" si="54"/>
        <v>0</v>
      </c>
      <c r="AH248" s="489"/>
      <c r="AI248" s="458"/>
      <c r="AJ248" s="458"/>
      <c r="AK248" s="458">
        <f t="shared" si="61"/>
        <v>7600</v>
      </c>
      <c r="AM248" s="425">
        <f t="shared" si="62"/>
        <v>7600</v>
      </c>
      <c r="AO248" s="495"/>
      <c r="AR248" s="425">
        <f t="shared" si="63"/>
        <v>7600</v>
      </c>
      <c r="AT248" s="495"/>
      <c r="AY248" s="498">
        <f t="shared" si="64"/>
        <v>158.333333333333</v>
      </c>
      <c r="BM248" s="425">
        <f t="shared" si="65"/>
        <v>475</v>
      </c>
      <c r="BT248" s="495"/>
      <c r="BV248" s="495"/>
      <c r="CK248" s="425">
        <f t="shared" si="50"/>
        <v>475</v>
      </c>
      <c r="CL248" s="425">
        <f t="shared" si="51"/>
        <v>0</v>
      </c>
      <c r="CM248" s="425">
        <f t="shared" si="52"/>
        <v>0</v>
      </c>
      <c r="CN248" s="495"/>
      <c r="CO248" s="495"/>
      <c r="CP248" s="495"/>
      <c r="CT248" s="495"/>
      <c r="CU248" s="495"/>
      <c r="CV248" s="495"/>
      <c r="CW248" s="495"/>
      <c r="CX248" s="495"/>
    </row>
    <row r="249" s="425" customFormat="1" ht="31" customHeight="1" spans="1:102">
      <c r="A249" s="455">
        <v>45799</v>
      </c>
      <c r="B249" s="456" t="s">
        <v>128</v>
      </c>
      <c r="C249" s="457" t="s">
        <v>90</v>
      </c>
      <c r="D249" s="425">
        <v>4500167593</v>
      </c>
      <c r="E249" s="895" t="s">
        <v>3784</v>
      </c>
      <c r="F249" s="425" t="s">
        <v>3785</v>
      </c>
      <c r="G249" s="458" t="s">
        <v>3180</v>
      </c>
      <c r="H249" s="458" t="s">
        <v>3181</v>
      </c>
      <c r="I249" s="458">
        <v>9008</v>
      </c>
      <c r="J249" s="458">
        <v>0</v>
      </c>
      <c r="K249" s="458">
        <v>16</v>
      </c>
      <c r="L249" s="462">
        <f t="shared" si="55"/>
        <v>563</v>
      </c>
      <c r="M249" s="463">
        <v>45835</v>
      </c>
      <c r="N249" s="463">
        <v>45838</v>
      </c>
      <c r="O249" s="464" t="s">
        <v>3779</v>
      </c>
      <c r="P249" s="464" t="s">
        <v>103</v>
      </c>
      <c r="Q249" s="458"/>
      <c r="R249" s="472" t="s">
        <v>3408</v>
      </c>
      <c r="S249" s="472" t="s">
        <v>66</v>
      </c>
      <c r="T249" s="472" t="s">
        <v>133</v>
      </c>
      <c r="U249" s="472"/>
      <c r="V249" s="473" t="s">
        <v>3409</v>
      </c>
      <c r="W249" s="473" t="s">
        <v>98</v>
      </c>
      <c r="X249" s="473">
        <v>0.5936</v>
      </c>
      <c r="Y249" s="480">
        <f t="shared" si="56"/>
        <v>5347.1488</v>
      </c>
      <c r="Z249" s="458" t="s">
        <v>3786</v>
      </c>
      <c r="AA249" s="458" t="s">
        <v>3180</v>
      </c>
      <c r="AB249" s="458" t="s">
        <v>76</v>
      </c>
      <c r="AC249" s="458"/>
      <c r="AD249" s="458" t="s">
        <v>69</v>
      </c>
      <c r="AE249" s="458"/>
      <c r="AF249" s="458">
        <v>9008</v>
      </c>
      <c r="AG249" s="458">
        <f t="shared" si="54"/>
        <v>0</v>
      </c>
      <c r="AH249" s="489"/>
      <c r="AI249" s="458"/>
      <c r="AJ249" s="458"/>
      <c r="AK249" s="458">
        <f t="shared" si="61"/>
        <v>9008</v>
      </c>
      <c r="AM249" s="425">
        <f t="shared" si="62"/>
        <v>9008</v>
      </c>
      <c r="AO249" s="495"/>
      <c r="AR249" s="425">
        <f t="shared" si="63"/>
        <v>9008</v>
      </c>
      <c r="AT249" s="495"/>
      <c r="AY249" s="498">
        <f t="shared" si="64"/>
        <v>187.666666666667</v>
      </c>
      <c r="BM249" s="425">
        <f t="shared" si="65"/>
        <v>563</v>
      </c>
      <c r="BT249" s="495"/>
      <c r="BV249" s="495"/>
      <c r="CK249" s="425">
        <f t="shared" si="50"/>
        <v>563</v>
      </c>
      <c r="CL249" s="425">
        <f t="shared" si="51"/>
        <v>0</v>
      </c>
      <c r="CM249" s="425">
        <f t="shared" si="52"/>
        <v>0</v>
      </c>
      <c r="CN249" s="495"/>
      <c r="CO249" s="495"/>
      <c r="CP249" s="495"/>
      <c r="CT249" s="495"/>
      <c r="CU249" s="495"/>
      <c r="CV249" s="495"/>
      <c r="CW249" s="495"/>
      <c r="CX249" s="495"/>
    </row>
    <row r="250" s="425" customFormat="1" ht="31" customHeight="1" spans="1:102">
      <c r="A250" s="455">
        <v>45799</v>
      </c>
      <c r="B250" s="456" t="s">
        <v>128</v>
      </c>
      <c r="C250" s="457" t="s">
        <v>90</v>
      </c>
      <c r="D250" s="425">
        <v>4500167593</v>
      </c>
      <c r="E250" s="895" t="s">
        <v>3787</v>
      </c>
      <c r="F250" s="425" t="s">
        <v>3788</v>
      </c>
      <c r="G250" s="458" t="s">
        <v>3180</v>
      </c>
      <c r="H250" s="458" t="s">
        <v>3181</v>
      </c>
      <c r="I250" s="458">
        <v>13520</v>
      </c>
      <c r="J250" s="458">
        <v>0</v>
      </c>
      <c r="K250" s="458">
        <v>16</v>
      </c>
      <c r="L250" s="462">
        <f t="shared" si="55"/>
        <v>845</v>
      </c>
      <c r="M250" s="463">
        <v>45835</v>
      </c>
      <c r="N250" s="463">
        <v>45838</v>
      </c>
      <c r="O250" s="464" t="s">
        <v>3779</v>
      </c>
      <c r="P250" s="464" t="s">
        <v>103</v>
      </c>
      <c r="Q250" s="458"/>
      <c r="R250" s="472" t="s">
        <v>3408</v>
      </c>
      <c r="S250" s="472" t="s">
        <v>66</v>
      </c>
      <c r="T250" s="472" t="s">
        <v>133</v>
      </c>
      <c r="U250" s="472"/>
      <c r="V250" s="473" t="s">
        <v>3409</v>
      </c>
      <c r="W250" s="473" t="s">
        <v>98</v>
      </c>
      <c r="X250" s="473">
        <v>0.5905</v>
      </c>
      <c r="Y250" s="480">
        <f t="shared" si="56"/>
        <v>7983.56</v>
      </c>
      <c r="Z250" s="458" t="s">
        <v>3789</v>
      </c>
      <c r="AA250" s="458" t="s">
        <v>3180</v>
      </c>
      <c r="AB250" s="458" t="s">
        <v>76</v>
      </c>
      <c r="AC250" s="458"/>
      <c r="AD250" s="458" t="s">
        <v>69</v>
      </c>
      <c r="AE250" s="458"/>
      <c r="AF250" s="458">
        <v>13520</v>
      </c>
      <c r="AG250" s="458">
        <f t="shared" si="54"/>
        <v>0</v>
      </c>
      <c r="AH250" s="489"/>
      <c r="AI250" s="458"/>
      <c r="AJ250" s="458"/>
      <c r="AK250" s="458">
        <f t="shared" si="61"/>
        <v>13520</v>
      </c>
      <c r="AM250" s="425">
        <f t="shared" si="62"/>
        <v>13520</v>
      </c>
      <c r="AO250" s="495"/>
      <c r="AR250" s="425">
        <f t="shared" si="63"/>
        <v>13520</v>
      </c>
      <c r="AT250" s="495"/>
      <c r="AY250" s="498">
        <f t="shared" si="64"/>
        <v>281.666666666667</v>
      </c>
      <c r="BM250" s="425">
        <f t="shared" si="65"/>
        <v>845</v>
      </c>
      <c r="BT250" s="495"/>
      <c r="BV250" s="495"/>
      <c r="CK250" s="425">
        <f t="shared" si="50"/>
        <v>845</v>
      </c>
      <c r="CL250" s="425">
        <f t="shared" si="51"/>
        <v>0</v>
      </c>
      <c r="CM250" s="425">
        <f t="shared" si="52"/>
        <v>0</v>
      </c>
      <c r="CN250" s="495"/>
      <c r="CO250" s="495"/>
      <c r="CP250" s="495"/>
      <c r="CT250" s="495"/>
      <c r="CU250" s="495"/>
      <c r="CV250" s="495"/>
      <c r="CW250" s="495"/>
      <c r="CX250" s="495"/>
    </row>
    <row r="251" s="425" customFormat="1" ht="31" customHeight="1" spans="1:102">
      <c r="A251" s="455">
        <v>45799</v>
      </c>
      <c r="B251" s="456" t="s">
        <v>128</v>
      </c>
      <c r="C251" s="457" t="s">
        <v>90</v>
      </c>
      <c r="D251" s="425">
        <v>4500167593</v>
      </c>
      <c r="E251" s="895" t="s">
        <v>3790</v>
      </c>
      <c r="F251" s="425" t="s">
        <v>3791</v>
      </c>
      <c r="G251" s="458" t="s">
        <v>3180</v>
      </c>
      <c r="H251" s="458" t="s">
        <v>3181</v>
      </c>
      <c r="I251" s="458">
        <v>11664</v>
      </c>
      <c r="J251" s="458">
        <v>0</v>
      </c>
      <c r="K251" s="458">
        <v>16</v>
      </c>
      <c r="L251" s="462">
        <f t="shared" si="55"/>
        <v>729</v>
      </c>
      <c r="M251" s="463">
        <v>45835</v>
      </c>
      <c r="N251" s="463">
        <v>45838</v>
      </c>
      <c r="O251" s="464" t="s">
        <v>3779</v>
      </c>
      <c r="P251" s="464" t="s">
        <v>103</v>
      </c>
      <c r="Q251" s="458"/>
      <c r="R251" s="472" t="s">
        <v>3408</v>
      </c>
      <c r="S251" s="472" t="s">
        <v>66</v>
      </c>
      <c r="T251" s="472" t="s">
        <v>133</v>
      </c>
      <c r="U251" s="472"/>
      <c r="V251" s="473" t="s">
        <v>3409</v>
      </c>
      <c r="W251" s="473" t="s">
        <v>98</v>
      </c>
      <c r="X251" s="473">
        <v>0.5905</v>
      </c>
      <c r="Y251" s="480">
        <f t="shared" si="56"/>
        <v>6887.592</v>
      </c>
      <c r="Z251" s="458" t="s">
        <v>3792</v>
      </c>
      <c r="AA251" s="458" t="s">
        <v>3180</v>
      </c>
      <c r="AB251" s="458" t="s">
        <v>76</v>
      </c>
      <c r="AC251" s="458"/>
      <c r="AD251" s="458" t="s">
        <v>69</v>
      </c>
      <c r="AE251" s="458"/>
      <c r="AF251" s="458">
        <v>11664</v>
      </c>
      <c r="AG251" s="458">
        <f t="shared" si="54"/>
        <v>0</v>
      </c>
      <c r="AH251" s="489"/>
      <c r="AI251" s="458"/>
      <c r="AJ251" s="458"/>
      <c r="AK251" s="458">
        <f t="shared" si="61"/>
        <v>11664</v>
      </c>
      <c r="AM251" s="425">
        <f t="shared" si="62"/>
        <v>11664</v>
      </c>
      <c r="AO251" s="495"/>
      <c r="AR251" s="425">
        <f t="shared" si="63"/>
        <v>11664</v>
      </c>
      <c r="AT251" s="495"/>
      <c r="AY251" s="498">
        <f t="shared" si="64"/>
        <v>243</v>
      </c>
      <c r="BM251" s="425">
        <f t="shared" si="65"/>
        <v>729</v>
      </c>
      <c r="BT251" s="495"/>
      <c r="BV251" s="495"/>
      <c r="CK251" s="425">
        <f t="shared" si="50"/>
        <v>729</v>
      </c>
      <c r="CL251" s="425">
        <f t="shared" si="51"/>
        <v>0</v>
      </c>
      <c r="CM251" s="425">
        <f t="shared" si="52"/>
        <v>0</v>
      </c>
      <c r="CN251" s="495"/>
      <c r="CO251" s="495"/>
      <c r="CP251" s="495"/>
      <c r="CT251" s="495"/>
      <c r="CU251" s="495"/>
      <c r="CV251" s="495"/>
      <c r="CW251" s="495"/>
      <c r="CX251" s="495"/>
    </row>
    <row r="252" s="425" customFormat="1" ht="31" customHeight="1" spans="1:102">
      <c r="A252" s="455">
        <v>45799</v>
      </c>
      <c r="B252" s="456" t="s">
        <v>128</v>
      </c>
      <c r="C252" s="457" t="s">
        <v>90</v>
      </c>
      <c r="D252" s="425">
        <v>4500167593</v>
      </c>
      <c r="E252" s="895" t="s">
        <v>3793</v>
      </c>
      <c r="F252" s="425" t="s">
        <v>3794</v>
      </c>
      <c r="G252" s="458" t="s">
        <v>3180</v>
      </c>
      <c r="H252" s="458" t="s">
        <v>3181</v>
      </c>
      <c r="I252" s="458">
        <v>9488</v>
      </c>
      <c r="J252" s="458">
        <v>0</v>
      </c>
      <c r="K252" s="458">
        <v>16</v>
      </c>
      <c r="L252" s="462">
        <f t="shared" si="55"/>
        <v>593</v>
      </c>
      <c r="M252" s="463">
        <v>45835</v>
      </c>
      <c r="N252" s="463">
        <v>45838</v>
      </c>
      <c r="O252" s="464" t="s">
        <v>3779</v>
      </c>
      <c r="P252" s="464" t="s">
        <v>103</v>
      </c>
      <c r="Q252" s="458" t="s">
        <v>923</v>
      </c>
      <c r="R252" s="472" t="s">
        <v>3408</v>
      </c>
      <c r="S252" s="472" t="s">
        <v>66</v>
      </c>
      <c r="T252" s="472" t="s">
        <v>133</v>
      </c>
      <c r="U252" s="472"/>
      <c r="V252" s="473" t="s">
        <v>3409</v>
      </c>
      <c r="W252" s="473" t="s">
        <v>98</v>
      </c>
      <c r="X252" s="473">
        <v>0.5936</v>
      </c>
      <c r="Y252" s="480">
        <f t="shared" si="56"/>
        <v>5632.0768</v>
      </c>
      <c r="Z252" s="458" t="s">
        <v>3795</v>
      </c>
      <c r="AA252" s="458" t="s">
        <v>3180</v>
      </c>
      <c r="AB252" s="458" t="s">
        <v>76</v>
      </c>
      <c r="AC252" s="458"/>
      <c r="AD252" s="458" t="s">
        <v>69</v>
      </c>
      <c r="AE252" s="458"/>
      <c r="AF252" s="458">
        <f>9472+16</f>
        <v>9488</v>
      </c>
      <c r="AG252" s="458">
        <f t="shared" si="54"/>
        <v>0</v>
      </c>
      <c r="AH252" s="489"/>
      <c r="AI252" s="458"/>
      <c r="AJ252" s="458"/>
      <c r="AK252" s="458">
        <f t="shared" si="61"/>
        <v>9488</v>
      </c>
      <c r="AM252" s="425">
        <f t="shared" si="62"/>
        <v>9488</v>
      </c>
      <c r="AO252" s="495"/>
      <c r="AR252" s="425">
        <f t="shared" si="63"/>
        <v>9488</v>
      </c>
      <c r="AT252" s="495"/>
      <c r="AY252" s="498">
        <f t="shared" si="64"/>
        <v>197.666666666667</v>
      </c>
      <c r="BM252" s="425">
        <f t="shared" si="65"/>
        <v>593</v>
      </c>
      <c r="BT252" s="495"/>
      <c r="BV252" s="495"/>
      <c r="CK252" s="425">
        <f t="shared" si="50"/>
        <v>593</v>
      </c>
      <c r="CL252" s="425">
        <f t="shared" si="51"/>
        <v>0</v>
      </c>
      <c r="CM252" s="425">
        <f t="shared" si="52"/>
        <v>0</v>
      </c>
      <c r="CN252" s="495"/>
      <c r="CO252" s="495"/>
      <c r="CP252" s="495"/>
      <c r="CT252" s="495"/>
      <c r="CU252" s="495"/>
      <c r="CV252" s="495"/>
      <c r="CW252" s="495"/>
      <c r="CX252" s="495"/>
    </row>
    <row r="253" s="425" customFormat="1" ht="31" customHeight="1" spans="1:102">
      <c r="A253" s="455">
        <v>45799</v>
      </c>
      <c r="B253" s="456" t="s">
        <v>128</v>
      </c>
      <c r="C253" s="457" t="s">
        <v>90</v>
      </c>
      <c r="D253" s="425">
        <v>4500167593</v>
      </c>
      <c r="E253" s="895" t="s">
        <v>3796</v>
      </c>
      <c r="F253" s="425" t="s">
        <v>3797</v>
      </c>
      <c r="G253" s="458" t="s">
        <v>3180</v>
      </c>
      <c r="H253" s="458" t="s">
        <v>3181</v>
      </c>
      <c r="I253" s="458">
        <v>10112</v>
      </c>
      <c r="J253" s="458">
        <v>0</v>
      </c>
      <c r="K253" s="458">
        <v>16</v>
      </c>
      <c r="L253" s="462">
        <f t="shared" si="55"/>
        <v>632</v>
      </c>
      <c r="M253" s="463">
        <v>45835</v>
      </c>
      <c r="N253" s="463">
        <v>45838</v>
      </c>
      <c r="O253" s="464" t="s">
        <v>3779</v>
      </c>
      <c r="P253" s="464" t="s">
        <v>103</v>
      </c>
      <c r="Q253" s="458"/>
      <c r="R253" s="472" t="s">
        <v>3408</v>
      </c>
      <c r="S253" s="472" t="s">
        <v>66</v>
      </c>
      <c r="T253" s="472" t="s">
        <v>133</v>
      </c>
      <c r="U253" s="472"/>
      <c r="V253" s="473" t="s">
        <v>3409</v>
      </c>
      <c r="W253" s="473" t="s">
        <v>98</v>
      </c>
      <c r="X253" s="473">
        <v>0.5905</v>
      </c>
      <c r="Y253" s="480">
        <f t="shared" si="56"/>
        <v>5971.136</v>
      </c>
      <c r="Z253" s="458" t="s">
        <v>3798</v>
      </c>
      <c r="AA253" s="458" t="s">
        <v>3180</v>
      </c>
      <c r="AB253" s="458" t="s">
        <v>76</v>
      </c>
      <c r="AC253" s="458"/>
      <c r="AD253" s="458" t="s">
        <v>69</v>
      </c>
      <c r="AE253" s="458"/>
      <c r="AF253" s="458">
        <v>10112</v>
      </c>
      <c r="AG253" s="458">
        <f t="shared" si="54"/>
        <v>0</v>
      </c>
      <c r="AH253" s="489"/>
      <c r="AI253" s="458"/>
      <c r="AJ253" s="458"/>
      <c r="AK253" s="458">
        <f t="shared" si="61"/>
        <v>10112</v>
      </c>
      <c r="AM253" s="425">
        <f t="shared" si="62"/>
        <v>10112</v>
      </c>
      <c r="AO253" s="495"/>
      <c r="AR253" s="425">
        <f t="shared" si="63"/>
        <v>10112</v>
      </c>
      <c r="AT253" s="495"/>
      <c r="AY253" s="498">
        <f t="shared" si="64"/>
        <v>210.666666666667</v>
      </c>
      <c r="BM253" s="425">
        <f t="shared" si="65"/>
        <v>632</v>
      </c>
      <c r="BT253" s="495"/>
      <c r="BV253" s="495"/>
      <c r="CK253" s="425">
        <f t="shared" si="50"/>
        <v>632</v>
      </c>
      <c r="CL253" s="425">
        <f t="shared" si="51"/>
        <v>0</v>
      </c>
      <c r="CM253" s="425">
        <f t="shared" si="52"/>
        <v>0</v>
      </c>
      <c r="CN253" s="495"/>
      <c r="CO253" s="495"/>
      <c r="CP253" s="495"/>
      <c r="CT253" s="495"/>
      <c r="CU253" s="495"/>
      <c r="CV253" s="495"/>
      <c r="CW253" s="495"/>
      <c r="CX253" s="495"/>
    </row>
    <row r="254" s="425" customFormat="1" ht="31" customHeight="1" spans="1:102">
      <c r="A254" s="455">
        <v>45799</v>
      </c>
      <c r="B254" s="456" t="s">
        <v>128</v>
      </c>
      <c r="C254" s="457" t="s">
        <v>90</v>
      </c>
      <c r="D254" s="425">
        <v>4500167593</v>
      </c>
      <c r="E254" s="895" t="s">
        <v>3799</v>
      </c>
      <c r="F254" s="425" t="s">
        <v>3800</v>
      </c>
      <c r="G254" s="458" t="s">
        <v>3180</v>
      </c>
      <c r="H254" s="458" t="s">
        <v>3181</v>
      </c>
      <c r="I254" s="458">
        <v>9120</v>
      </c>
      <c r="J254" s="458">
        <v>0</v>
      </c>
      <c r="K254" s="458">
        <v>16</v>
      </c>
      <c r="L254" s="462">
        <f t="shared" si="55"/>
        <v>570</v>
      </c>
      <c r="M254" s="463">
        <v>45835</v>
      </c>
      <c r="N254" s="463">
        <v>45838</v>
      </c>
      <c r="O254" s="464" t="s">
        <v>3779</v>
      </c>
      <c r="P254" s="464" t="s">
        <v>103</v>
      </c>
      <c r="Q254" s="458"/>
      <c r="R254" s="472" t="s">
        <v>3408</v>
      </c>
      <c r="S254" s="472" t="s">
        <v>66</v>
      </c>
      <c r="T254" s="472" t="s">
        <v>133</v>
      </c>
      <c r="U254" s="472"/>
      <c r="V254" s="473" t="s">
        <v>3409</v>
      </c>
      <c r="W254" s="473" t="s">
        <v>98</v>
      </c>
      <c r="X254" s="473">
        <v>0.5936</v>
      </c>
      <c r="Y254" s="480">
        <f t="shared" si="56"/>
        <v>5413.632</v>
      </c>
      <c r="Z254" s="458" t="s">
        <v>3801</v>
      </c>
      <c r="AA254" s="458" t="s">
        <v>3180</v>
      </c>
      <c r="AB254" s="458" t="s">
        <v>76</v>
      </c>
      <c r="AC254" s="458"/>
      <c r="AD254" s="458" t="s">
        <v>69</v>
      </c>
      <c r="AE254" s="458"/>
      <c r="AF254" s="458">
        <v>9120</v>
      </c>
      <c r="AG254" s="458">
        <f t="shared" si="54"/>
        <v>0</v>
      </c>
      <c r="AH254" s="489"/>
      <c r="AI254" s="458"/>
      <c r="AJ254" s="458"/>
      <c r="AK254" s="458">
        <f t="shared" si="61"/>
        <v>9120</v>
      </c>
      <c r="AM254" s="425">
        <f t="shared" si="62"/>
        <v>9120</v>
      </c>
      <c r="AO254" s="495"/>
      <c r="AR254" s="425">
        <f t="shared" si="63"/>
        <v>9120</v>
      </c>
      <c r="AT254" s="495"/>
      <c r="AY254" s="498">
        <f t="shared" si="64"/>
        <v>190</v>
      </c>
      <c r="BM254" s="425">
        <f t="shared" si="65"/>
        <v>570</v>
      </c>
      <c r="BT254" s="495"/>
      <c r="BV254" s="495"/>
      <c r="CK254" s="425">
        <f t="shared" si="50"/>
        <v>570</v>
      </c>
      <c r="CL254" s="425">
        <f t="shared" si="51"/>
        <v>0</v>
      </c>
      <c r="CM254" s="425">
        <f t="shared" si="52"/>
        <v>0</v>
      </c>
      <c r="CN254" s="495"/>
      <c r="CO254" s="495"/>
      <c r="CP254" s="495"/>
      <c r="CT254" s="495"/>
      <c r="CU254" s="495"/>
      <c r="CV254" s="495"/>
      <c r="CW254" s="495"/>
      <c r="CX254" s="495"/>
    </row>
    <row r="255" s="425" customFormat="1" ht="31" customHeight="1" spans="1:102">
      <c r="A255" s="455">
        <v>45775</v>
      </c>
      <c r="B255" s="456" t="s">
        <v>128</v>
      </c>
      <c r="C255" s="457" t="s">
        <v>90</v>
      </c>
      <c r="D255" s="425">
        <v>4500162965</v>
      </c>
      <c r="E255" s="457" t="s">
        <v>3802</v>
      </c>
      <c r="F255" s="425" t="s">
        <v>3803</v>
      </c>
      <c r="G255" s="458" t="s">
        <v>3180</v>
      </c>
      <c r="H255" s="458" t="s">
        <v>3181</v>
      </c>
      <c r="I255" s="458">
        <v>7648</v>
      </c>
      <c r="J255" s="458">
        <v>0</v>
      </c>
      <c r="K255" s="458">
        <v>16</v>
      </c>
      <c r="L255" s="462">
        <f t="shared" si="55"/>
        <v>478</v>
      </c>
      <c r="M255" s="463">
        <v>45838</v>
      </c>
      <c r="N255" s="463">
        <v>45838</v>
      </c>
      <c r="O255" s="464" t="s">
        <v>865</v>
      </c>
      <c r="P255" s="464" t="s">
        <v>103</v>
      </c>
      <c r="Q255" s="458"/>
      <c r="R255" s="472" t="s">
        <v>3408</v>
      </c>
      <c r="S255" s="472" t="s">
        <v>66</v>
      </c>
      <c r="T255" s="472" t="s">
        <v>133</v>
      </c>
      <c r="U255" s="472"/>
      <c r="V255" s="473" t="s">
        <v>3409</v>
      </c>
      <c r="W255" s="473" t="s">
        <v>98</v>
      </c>
      <c r="X255" s="473">
        <v>1.008</v>
      </c>
      <c r="Y255" s="480">
        <f t="shared" si="56"/>
        <v>7709.184</v>
      </c>
      <c r="Z255" s="458" t="s">
        <v>3804</v>
      </c>
      <c r="AA255" s="458" t="s">
        <v>3180</v>
      </c>
      <c r="AB255" s="458" t="s">
        <v>76</v>
      </c>
      <c r="AC255" s="458"/>
      <c r="AD255" s="458" t="s">
        <v>69</v>
      </c>
      <c r="AE255" s="458"/>
      <c r="AF255" s="458">
        <v>7648</v>
      </c>
      <c r="AG255" s="458">
        <f t="shared" si="54"/>
        <v>0</v>
      </c>
      <c r="AH255" s="489"/>
      <c r="AI255" s="458"/>
      <c r="AJ255" s="458"/>
      <c r="AK255" s="458">
        <f t="shared" si="61"/>
        <v>7648</v>
      </c>
      <c r="AM255" s="425">
        <f t="shared" si="62"/>
        <v>7648</v>
      </c>
      <c r="AO255" s="495"/>
      <c r="AR255" s="425">
        <f t="shared" si="63"/>
        <v>7648</v>
      </c>
      <c r="AT255" s="495"/>
      <c r="AY255" s="498">
        <f t="shared" si="64"/>
        <v>159.333333333333</v>
      </c>
      <c r="BM255" s="425">
        <f t="shared" si="65"/>
        <v>478</v>
      </c>
      <c r="BT255" s="495"/>
      <c r="BV255" s="495"/>
      <c r="CK255" s="425">
        <f t="shared" si="50"/>
        <v>478</v>
      </c>
      <c r="CL255" s="425">
        <f t="shared" si="51"/>
        <v>0</v>
      </c>
      <c r="CM255" s="425">
        <f t="shared" si="52"/>
        <v>0</v>
      </c>
      <c r="CN255" s="495"/>
      <c r="CO255" s="495"/>
      <c r="CP255" s="495"/>
      <c r="CT255" s="495"/>
      <c r="CU255" s="495"/>
      <c r="CV255" s="495"/>
      <c r="CW255" s="495"/>
      <c r="CX255" s="495"/>
    </row>
    <row r="256" s="425" customFormat="1" ht="31" customHeight="1" spans="1:102">
      <c r="A256" s="455">
        <v>45797</v>
      </c>
      <c r="B256" s="456" t="s">
        <v>881</v>
      </c>
      <c r="C256" s="457" t="s">
        <v>882</v>
      </c>
      <c r="D256" s="425">
        <v>4500166992</v>
      </c>
      <c r="E256" s="895" t="s">
        <v>883</v>
      </c>
      <c r="F256" s="425" t="s">
        <v>3805</v>
      </c>
      <c r="G256" s="458" t="s">
        <v>3161</v>
      </c>
      <c r="H256" s="458" t="s">
        <v>3221</v>
      </c>
      <c r="I256" s="458">
        <v>1650</v>
      </c>
      <c r="J256" s="458">
        <v>0</v>
      </c>
      <c r="K256" s="458">
        <v>50</v>
      </c>
      <c r="L256" s="462">
        <f t="shared" si="55"/>
        <v>33</v>
      </c>
      <c r="M256" s="463">
        <v>45842</v>
      </c>
      <c r="N256" s="463">
        <f>M256-4</f>
        <v>45838</v>
      </c>
      <c r="O256" s="464"/>
      <c r="P256" s="464" t="s">
        <v>103</v>
      </c>
      <c r="Q256" s="458"/>
      <c r="R256" s="472">
        <v>45797</v>
      </c>
      <c r="S256" s="472" t="s">
        <v>66</v>
      </c>
      <c r="T256" s="472" t="s">
        <v>3806</v>
      </c>
      <c r="U256" s="472"/>
      <c r="V256" s="473" t="s">
        <v>3807</v>
      </c>
      <c r="W256" s="473" t="s">
        <v>886</v>
      </c>
      <c r="X256" s="473">
        <v>0.941</v>
      </c>
      <c r="Y256" s="480">
        <f t="shared" si="56"/>
        <v>1552.65</v>
      </c>
      <c r="Z256" s="458" t="s">
        <v>887</v>
      </c>
      <c r="AA256" s="458" t="s">
        <v>3161</v>
      </c>
      <c r="AB256" s="458" t="s">
        <v>76</v>
      </c>
      <c r="AC256" s="458"/>
      <c r="AD256" s="458" t="s">
        <v>69</v>
      </c>
      <c r="AE256" s="458"/>
      <c r="AF256" s="458">
        <v>1650</v>
      </c>
      <c r="AG256" s="458">
        <f t="shared" si="54"/>
        <v>0</v>
      </c>
      <c r="AH256" s="489"/>
      <c r="AI256" s="458"/>
      <c r="AJ256" s="458"/>
      <c r="AK256" s="458"/>
      <c r="AL256" s="426">
        <f>I256</f>
        <v>1650</v>
      </c>
      <c r="AO256" s="495"/>
      <c r="AQ256" s="425">
        <f>I256</f>
        <v>1650</v>
      </c>
      <c r="AS256" s="425">
        <f>I256</f>
        <v>1650</v>
      </c>
      <c r="AT256" s="495"/>
      <c r="AY256" s="498">
        <f>I256/24</f>
        <v>68.75</v>
      </c>
      <c r="BL256" s="425">
        <f>I256/25</f>
        <v>66</v>
      </c>
      <c r="BT256" s="495"/>
      <c r="BV256" s="495"/>
      <c r="CK256" s="425">
        <f t="shared" si="50"/>
        <v>66</v>
      </c>
      <c r="CL256" s="425">
        <f t="shared" si="51"/>
        <v>0</v>
      </c>
      <c r="CM256" s="425">
        <f t="shared" si="52"/>
        <v>0</v>
      </c>
      <c r="CN256" s="495"/>
      <c r="CO256" s="495"/>
      <c r="CP256" s="495"/>
      <c r="CT256" s="495"/>
      <c r="CU256" s="495"/>
      <c r="CV256" s="495"/>
      <c r="CW256" s="495"/>
      <c r="CX256" s="495"/>
    </row>
    <row r="257" s="425" customFormat="1" ht="31" customHeight="1" spans="1:102">
      <c r="A257" s="455">
        <v>45798</v>
      </c>
      <c r="B257" s="456" t="s">
        <v>788</v>
      </c>
      <c r="C257" s="457" t="s">
        <v>90</v>
      </c>
      <c r="D257" s="425">
        <v>4500167106</v>
      </c>
      <c r="E257" s="457" t="s">
        <v>789</v>
      </c>
      <c r="F257" s="425" t="s">
        <v>3808</v>
      </c>
      <c r="G257" s="458" t="s">
        <v>3272</v>
      </c>
      <c r="H257" s="458" t="s">
        <v>3207</v>
      </c>
      <c r="I257" s="458">
        <v>1612</v>
      </c>
      <c r="J257" s="458">
        <v>0</v>
      </c>
      <c r="K257" s="458">
        <v>13</v>
      </c>
      <c r="L257" s="462">
        <f t="shared" si="55"/>
        <v>124</v>
      </c>
      <c r="M257" s="463">
        <v>45839</v>
      </c>
      <c r="N257" s="463">
        <v>45840</v>
      </c>
      <c r="O257" s="464" t="s">
        <v>3809</v>
      </c>
      <c r="P257" s="464" t="s">
        <v>103</v>
      </c>
      <c r="Q257" s="458"/>
      <c r="R257" s="472" t="s">
        <v>3810</v>
      </c>
      <c r="S257" s="472" t="s">
        <v>66</v>
      </c>
      <c r="T257" s="472" t="s">
        <v>66</v>
      </c>
      <c r="U257" s="472"/>
      <c r="V257" s="473" t="s">
        <v>3811</v>
      </c>
      <c r="W257" s="473" t="s">
        <v>794</v>
      </c>
      <c r="X257" s="473">
        <v>0.5528</v>
      </c>
      <c r="Y257" s="480">
        <f t="shared" si="56"/>
        <v>891.1136</v>
      </c>
      <c r="Z257" s="458" t="s">
        <v>795</v>
      </c>
      <c r="AA257" s="458" t="s">
        <v>3359</v>
      </c>
      <c r="AB257" s="458" t="s">
        <v>76</v>
      </c>
      <c r="AC257" s="458"/>
      <c r="AD257" s="458" t="s">
        <v>69</v>
      </c>
      <c r="AE257" s="458"/>
      <c r="AF257" s="458">
        <v>1612</v>
      </c>
      <c r="AG257" s="458">
        <f t="shared" si="54"/>
        <v>0</v>
      </c>
      <c r="AH257" s="489"/>
      <c r="AI257" s="458"/>
      <c r="AJ257" s="458"/>
      <c r="AK257" s="458">
        <f>I257</f>
        <v>1612</v>
      </c>
      <c r="AM257" s="425">
        <f>I257</f>
        <v>1612</v>
      </c>
      <c r="AO257" s="495"/>
      <c r="AR257" s="425">
        <f>I257</f>
        <v>1612</v>
      </c>
      <c r="AT257" s="495"/>
      <c r="AY257" s="498">
        <f>I257/48</f>
        <v>33.5833333333333</v>
      </c>
      <c r="BG257" s="425">
        <f>I257/13</f>
        <v>124</v>
      </c>
      <c r="BT257" s="495"/>
      <c r="BV257" s="495"/>
      <c r="CK257" s="425">
        <f t="shared" si="50"/>
        <v>0</v>
      </c>
      <c r="CL257" s="425">
        <f t="shared" si="51"/>
        <v>0</v>
      </c>
      <c r="CM257" s="425">
        <f t="shared" si="52"/>
        <v>0</v>
      </c>
      <c r="CN257" s="495"/>
      <c r="CO257" s="495"/>
      <c r="CP257" s="495"/>
      <c r="CT257" s="495"/>
      <c r="CU257" s="495"/>
      <c r="CV257" s="495"/>
      <c r="CW257" s="495"/>
      <c r="CX257" s="495"/>
    </row>
    <row r="258" s="425" customFormat="1" ht="31" customHeight="1" spans="1:102">
      <c r="A258" s="455">
        <v>45800</v>
      </c>
      <c r="B258" s="456" t="s">
        <v>913</v>
      </c>
      <c r="C258" s="457" t="s">
        <v>90</v>
      </c>
      <c r="D258" s="425">
        <v>4500167614</v>
      </c>
      <c r="E258" s="457" t="s">
        <v>914</v>
      </c>
      <c r="F258" s="425" t="s">
        <v>3812</v>
      </c>
      <c r="G258" s="458" t="s">
        <v>3272</v>
      </c>
      <c r="H258" s="458" t="s">
        <v>3207</v>
      </c>
      <c r="I258" s="458">
        <v>975</v>
      </c>
      <c r="J258" s="458">
        <v>0</v>
      </c>
      <c r="K258" s="458">
        <v>13</v>
      </c>
      <c r="L258" s="462">
        <f t="shared" si="55"/>
        <v>75</v>
      </c>
      <c r="M258" s="463">
        <v>45841</v>
      </c>
      <c r="N258" s="463">
        <v>45845</v>
      </c>
      <c r="O258" s="464"/>
      <c r="P258" s="464" t="s">
        <v>103</v>
      </c>
      <c r="Q258" s="458"/>
      <c r="R258" s="472">
        <v>45811</v>
      </c>
      <c r="S258" s="472" t="s">
        <v>66</v>
      </c>
      <c r="T258" s="472" t="s">
        <v>66</v>
      </c>
      <c r="U258" s="472"/>
      <c r="V258" s="473" t="s">
        <v>916</v>
      </c>
      <c r="W258" s="473" t="s">
        <v>794</v>
      </c>
      <c r="X258" s="473">
        <v>0.5559</v>
      </c>
      <c r="Y258" s="480">
        <f t="shared" si="56"/>
        <v>542.0025</v>
      </c>
      <c r="Z258" s="458" t="s">
        <v>917</v>
      </c>
      <c r="AA258" s="458" t="s">
        <v>3359</v>
      </c>
      <c r="AB258" s="458" t="s">
        <v>76</v>
      </c>
      <c r="AC258" s="458"/>
      <c r="AD258" s="458" t="s">
        <v>69</v>
      </c>
      <c r="AE258" s="458"/>
      <c r="AF258" s="458">
        <v>975</v>
      </c>
      <c r="AG258" s="458">
        <f t="shared" si="54"/>
        <v>0</v>
      </c>
      <c r="AH258" s="489"/>
      <c r="AI258" s="458"/>
      <c r="AJ258" s="458"/>
      <c r="AK258" s="458">
        <f>I258</f>
        <v>975</v>
      </c>
      <c r="AM258" s="425">
        <f>I258</f>
        <v>975</v>
      </c>
      <c r="AO258" s="495"/>
      <c r="AR258" s="425">
        <f>I258</f>
        <v>975</v>
      </c>
      <c r="AT258" s="495"/>
      <c r="AY258" s="498">
        <f>I258/48</f>
        <v>20.3125</v>
      </c>
      <c r="BG258" s="425">
        <f>I258/13</f>
        <v>75</v>
      </c>
      <c r="BT258" s="495"/>
      <c r="BV258" s="495"/>
      <c r="CK258" s="425">
        <f t="shared" si="50"/>
        <v>0</v>
      </c>
      <c r="CL258" s="425">
        <f t="shared" si="51"/>
        <v>0</v>
      </c>
      <c r="CM258" s="425">
        <f t="shared" si="52"/>
        <v>0</v>
      </c>
      <c r="CN258" s="495"/>
      <c r="CO258" s="495"/>
      <c r="CP258" s="495"/>
      <c r="CT258" s="495"/>
      <c r="CU258" s="495"/>
      <c r="CV258" s="495"/>
      <c r="CW258" s="495"/>
      <c r="CX258" s="495"/>
    </row>
    <row r="259" s="425" customFormat="1" ht="31" customHeight="1" spans="1:102">
      <c r="A259" s="455">
        <v>45749</v>
      </c>
      <c r="B259" s="456" t="s">
        <v>445</v>
      </c>
      <c r="C259" s="457" t="s">
        <v>801</v>
      </c>
      <c r="D259" s="425">
        <v>4500162426</v>
      </c>
      <c r="E259" s="457" t="s">
        <v>802</v>
      </c>
      <c r="F259" s="425" t="s">
        <v>3813</v>
      </c>
      <c r="G259" s="458" t="s">
        <v>3541</v>
      </c>
      <c r="H259" s="458" t="s">
        <v>3542</v>
      </c>
      <c r="I259" s="458">
        <v>1050</v>
      </c>
      <c r="J259" s="458">
        <v>0</v>
      </c>
      <c r="K259" s="458">
        <v>50</v>
      </c>
      <c r="L259" s="462">
        <f t="shared" si="55"/>
        <v>21</v>
      </c>
      <c r="M259" s="463">
        <v>45830</v>
      </c>
      <c r="N259" s="463">
        <v>45826</v>
      </c>
      <c r="O259" s="464"/>
      <c r="P259" s="464" t="s">
        <v>103</v>
      </c>
      <c r="Q259" s="458"/>
      <c r="R259" s="472">
        <v>45796</v>
      </c>
      <c r="S259" s="472" t="s">
        <v>66</v>
      </c>
      <c r="T259" s="472" t="s">
        <v>3814</v>
      </c>
      <c r="U259" s="472"/>
      <c r="V259" s="473" t="s">
        <v>3815</v>
      </c>
      <c r="W259" s="473" t="s">
        <v>3816</v>
      </c>
      <c r="X259" s="473">
        <v>0.95</v>
      </c>
      <c r="Y259" s="480">
        <f t="shared" si="56"/>
        <v>997.5</v>
      </c>
      <c r="Z259" s="458"/>
      <c r="AA259" s="458" t="s">
        <v>3541</v>
      </c>
      <c r="AB259" s="458" t="s">
        <v>76</v>
      </c>
      <c r="AC259" s="458"/>
      <c r="AD259" s="458" t="s">
        <v>69</v>
      </c>
      <c r="AE259" s="458"/>
      <c r="AF259" s="458">
        <v>1050</v>
      </c>
      <c r="AG259" s="458">
        <f t="shared" si="54"/>
        <v>0</v>
      </c>
      <c r="AH259" s="489"/>
      <c r="AI259" s="458"/>
      <c r="AJ259" s="458"/>
      <c r="AK259" s="458"/>
      <c r="AL259" s="425">
        <f>I259</f>
        <v>1050</v>
      </c>
      <c r="AO259" s="495"/>
      <c r="AQ259" s="425">
        <f>I259</f>
        <v>1050</v>
      </c>
      <c r="AT259" s="495"/>
      <c r="AW259" s="425">
        <f>I259</f>
        <v>1050</v>
      </c>
      <c r="AY259" s="498">
        <f>I259/24</f>
        <v>43.75</v>
      </c>
      <c r="BS259" s="425">
        <f>I259/25</f>
        <v>42</v>
      </c>
      <c r="BT259" s="495"/>
      <c r="BV259" s="495"/>
      <c r="CK259" s="425">
        <f t="shared" ref="CK259:CK322" si="66">BM259+BL259+BK259+BJ259+BS259</f>
        <v>42</v>
      </c>
      <c r="CL259" s="425">
        <f t="shared" ref="CL259:CL322" si="67">CA259+CB259+CC259+CD259+CE259+CG259+CF259</f>
        <v>0</v>
      </c>
      <c r="CM259" s="425">
        <f t="shared" ref="CM259:CM322" si="68">BY259+BZ259</f>
        <v>0</v>
      </c>
      <c r="CN259" s="495"/>
      <c r="CO259" s="495"/>
      <c r="CP259" s="495"/>
      <c r="CT259" s="495"/>
      <c r="CU259" s="495"/>
      <c r="CV259" s="495"/>
      <c r="CW259" s="495"/>
      <c r="CX259" s="495"/>
    </row>
    <row r="260" s="425" customFormat="1" ht="31" customHeight="1" spans="1:102">
      <c r="A260" s="455">
        <v>45749</v>
      </c>
      <c r="B260" s="456" t="s">
        <v>796</v>
      </c>
      <c r="C260" s="457" t="s">
        <v>797</v>
      </c>
      <c r="D260" s="425">
        <v>4500162410</v>
      </c>
      <c r="E260" s="457" t="s">
        <v>798</v>
      </c>
      <c r="F260" s="425" t="s">
        <v>3817</v>
      </c>
      <c r="G260" s="458" t="s">
        <v>3541</v>
      </c>
      <c r="H260" s="458" t="s">
        <v>3542</v>
      </c>
      <c r="I260" s="458">
        <v>3650</v>
      </c>
      <c r="J260" s="458">
        <v>0</v>
      </c>
      <c r="K260" s="458">
        <v>50</v>
      </c>
      <c r="L260" s="462">
        <f t="shared" si="55"/>
        <v>73</v>
      </c>
      <c r="M260" s="463">
        <v>45830</v>
      </c>
      <c r="N260" s="463">
        <v>45826</v>
      </c>
      <c r="O260" s="464"/>
      <c r="P260" s="464" t="s">
        <v>103</v>
      </c>
      <c r="Q260" s="458"/>
      <c r="R260" s="472">
        <v>45796</v>
      </c>
      <c r="S260" s="472" t="s">
        <v>66</v>
      </c>
      <c r="T260" s="472">
        <v>45803</v>
      </c>
      <c r="U260" s="472"/>
      <c r="V260" s="473" t="s">
        <v>3818</v>
      </c>
      <c r="W260" s="473" t="s">
        <v>3816</v>
      </c>
      <c r="X260" s="473">
        <v>0.95</v>
      </c>
      <c r="Y260" s="480">
        <f t="shared" si="56"/>
        <v>3467.5</v>
      </c>
      <c r="Z260" s="458"/>
      <c r="AA260" s="458" t="s">
        <v>3541</v>
      </c>
      <c r="AB260" s="458" t="s">
        <v>76</v>
      </c>
      <c r="AC260" s="458"/>
      <c r="AD260" s="458" t="s">
        <v>69</v>
      </c>
      <c r="AE260" s="458"/>
      <c r="AF260" s="458">
        <v>3650</v>
      </c>
      <c r="AG260" s="458">
        <f t="shared" si="54"/>
        <v>0</v>
      </c>
      <c r="AH260" s="489"/>
      <c r="AI260" s="458"/>
      <c r="AJ260" s="458"/>
      <c r="AK260" s="458"/>
      <c r="AL260" s="425">
        <f>I260</f>
        <v>3650</v>
      </c>
      <c r="AO260" s="495"/>
      <c r="AQ260" s="425">
        <f>I260</f>
        <v>3650</v>
      </c>
      <c r="AT260" s="495"/>
      <c r="AW260" s="425">
        <f>I260</f>
        <v>3650</v>
      </c>
      <c r="AY260" s="498">
        <f>I260/24</f>
        <v>152.083333333333</v>
      </c>
      <c r="BS260" s="425">
        <f>I260/25</f>
        <v>146</v>
      </c>
      <c r="BT260" s="495"/>
      <c r="BV260" s="495"/>
      <c r="CK260" s="425">
        <f t="shared" si="66"/>
        <v>146</v>
      </c>
      <c r="CL260" s="425">
        <f t="shared" si="67"/>
        <v>0</v>
      </c>
      <c r="CM260" s="425">
        <f t="shared" si="68"/>
        <v>0</v>
      </c>
      <c r="CN260" s="495"/>
      <c r="CO260" s="495"/>
      <c r="CP260" s="495"/>
      <c r="CT260" s="495"/>
      <c r="CU260" s="495"/>
      <c r="CV260" s="495"/>
      <c r="CW260" s="495"/>
      <c r="CX260" s="495"/>
    </row>
    <row r="261" s="425" customFormat="1" ht="31" customHeight="1" spans="1:102">
      <c r="A261" s="455">
        <v>45776</v>
      </c>
      <c r="B261" s="456" t="s">
        <v>796</v>
      </c>
      <c r="C261" s="457" t="s">
        <v>797</v>
      </c>
      <c r="D261" s="425">
        <v>4500162410</v>
      </c>
      <c r="E261" s="457" t="s">
        <v>798</v>
      </c>
      <c r="F261" s="425" t="s">
        <v>3819</v>
      </c>
      <c r="G261" s="458" t="s">
        <v>3820</v>
      </c>
      <c r="H261" s="458" t="s">
        <v>3821</v>
      </c>
      <c r="I261" s="458">
        <v>2400</v>
      </c>
      <c r="J261" s="458">
        <v>0</v>
      </c>
      <c r="K261" s="458">
        <v>30</v>
      </c>
      <c r="L261" s="462">
        <f t="shared" si="55"/>
        <v>80</v>
      </c>
      <c r="M261" s="463">
        <v>45830</v>
      </c>
      <c r="N261" s="463">
        <v>45826</v>
      </c>
      <c r="O261" s="464"/>
      <c r="P261" s="464" t="s">
        <v>103</v>
      </c>
      <c r="Q261" s="458"/>
      <c r="R261" s="472">
        <v>45796</v>
      </c>
      <c r="S261" s="472" t="s">
        <v>66</v>
      </c>
      <c r="T261" s="472">
        <v>45803</v>
      </c>
      <c r="U261" s="472"/>
      <c r="V261" s="473" t="s">
        <v>3822</v>
      </c>
      <c r="W261" s="473" t="s">
        <v>3816</v>
      </c>
      <c r="X261" s="473">
        <v>44.6</v>
      </c>
      <c r="Y261" s="480">
        <f>X261*L261</f>
        <v>3568</v>
      </c>
      <c r="Z261" s="458"/>
      <c r="AA261" s="458" t="s">
        <v>3820</v>
      </c>
      <c r="AB261" s="458" t="s">
        <v>76</v>
      </c>
      <c r="AC261" s="458"/>
      <c r="AD261" s="458" t="s">
        <v>69</v>
      </c>
      <c r="AE261" s="458"/>
      <c r="AF261" s="458">
        <v>2400</v>
      </c>
      <c r="AG261" s="458">
        <f t="shared" si="54"/>
        <v>0</v>
      </c>
      <c r="AH261" s="489"/>
      <c r="AI261" s="458"/>
      <c r="AJ261" s="458"/>
      <c r="AK261" s="458"/>
      <c r="AL261" s="425">
        <f>I261</f>
        <v>2400</v>
      </c>
      <c r="AO261" s="495"/>
      <c r="AQ261" s="425">
        <f>I261</f>
        <v>2400</v>
      </c>
      <c r="AT261" s="495"/>
      <c r="AW261" s="425">
        <f>I261</f>
        <v>2400</v>
      </c>
      <c r="AY261" s="498">
        <f>I261/24</f>
        <v>100</v>
      </c>
      <c r="BT261" s="495"/>
      <c r="BV261" s="495"/>
      <c r="CG261" s="425">
        <f>I261/30</f>
        <v>80</v>
      </c>
      <c r="CK261" s="425">
        <f t="shared" si="66"/>
        <v>0</v>
      </c>
      <c r="CL261" s="425">
        <f t="shared" si="67"/>
        <v>80</v>
      </c>
      <c r="CM261" s="425">
        <f t="shared" si="68"/>
        <v>0</v>
      </c>
      <c r="CN261" s="495"/>
      <c r="CO261" s="495"/>
      <c r="CP261" s="495"/>
      <c r="CT261" s="495"/>
      <c r="CU261" s="495"/>
      <c r="CV261" s="495"/>
      <c r="CW261" s="495"/>
      <c r="CX261" s="495"/>
    </row>
    <row r="262" s="425" customFormat="1" ht="31" customHeight="1" spans="1:102">
      <c r="A262" s="455">
        <v>45776</v>
      </c>
      <c r="B262" s="456" t="s">
        <v>445</v>
      </c>
      <c r="C262" s="457" t="s">
        <v>3823</v>
      </c>
      <c r="D262" s="425">
        <v>4500162426</v>
      </c>
      <c r="E262" s="457" t="s">
        <v>802</v>
      </c>
      <c r="F262" s="425" t="s">
        <v>3824</v>
      </c>
      <c r="G262" s="458" t="s">
        <v>3820</v>
      </c>
      <c r="H262" s="458" t="s">
        <v>3821</v>
      </c>
      <c r="I262" s="458">
        <v>2100</v>
      </c>
      <c r="J262" s="458">
        <v>0</v>
      </c>
      <c r="K262" s="458">
        <v>30</v>
      </c>
      <c r="L262" s="462">
        <f t="shared" si="55"/>
        <v>70</v>
      </c>
      <c r="M262" s="463">
        <v>45830</v>
      </c>
      <c r="N262" s="463">
        <v>45826</v>
      </c>
      <c r="O262" s="464"/>
      <c r="P262" s="464" t="s">
        <v>103</v>
      </c>
      <c r="Q262" s="458"/>
      <c r="R262" s="472">
        <v>45796</v>
      </c>
      <c r="S262" s="472" t="s">
        <v>66</v>
      </c>
      <c r="T262" s="472">
        <v>45792</v>
      </c>
      <c r="U262" s="472"/>
      <c r="V262" s="473" t="s">
        <v>3825</v>
      </c>
      <c r="W262" s="473" t="s">
        <v>3816</v>
      </c>
      <c r="X262" s="473">
        <v>44.6</v>
      </c>
      <c r="Y262" s="480">
        <f>X262*L262</f>
        <v>3122</v>
      </c>
      <c r="Z262" s="458"/>
      <c r="AA262" s="458" t="s">
        <v>3820</v>
      </c>
      <c r="AB262" s="458" t="s">
        <v>76</v>
      </c>
      <c r="AC262" s="458"/>
      <c r="AD262" s="458" t="s">
        <v>69</v>
      </c>
      <c r="AE262" s="458"/>
      <c r="AF262" s="458">
        <v>2100</v>
      </c>
      <c r="AG262" s="458">
        <f t="shared" si="54"/>
        <v>0</v>
      </c>
      <c r="AH262" s="489"/>
      <c r="AI262" s="458"/>
      <c r="AJ262" s="458"/>
      <c r="AK262" s="458"/>
      <c r="AL262" s="425">
        <f>I262</f>
        <v>2100</v>
      </c>
      <c r="AO262" s="495"/>
      <c r="AQ262" s="425">
        <f>I262</f>
        <v>2100</v>
      </c>
      <c r="AT262" s="495"/>
      <c r="AW262" s="425">
        <f>I262</f>
        <v>2100</v>
      </c>
      <c r="AY262" s="498">
        <f>I262/24</f>
        <v>87.5</v>
      </c>
      <c r="BT262" s="495"/>
      <c r="BV262" s="495"/>
      <c r="CG262" s="425">
        <f>I262/30</f>
        <v>70</v>
      </c>
      <c r="CK262" s="425">
        <f t="shared" si="66"/>
        <v>0</v>
      </c>
      <c r="CL262" s="425">
        <f t="shared" si="67"/>
        <v>70</v>
      </c>
      <c r="CM262" s="425">
        <f t="shared" si="68"/>
        <v>0</v>
      </c>
      <c r="CN262" s="495"/>
      <c r="CO262" s="495"/>
      <c r="CP262" s="495"/>
      <c r="CT262" s="495"/>
      <c r="CU262" s="495"/>
      <c r="CV262" s="495"/>
      <c r="CW262" s="495"/>
      <c r="CX262" s="495"/>
    </row>
    <row r="263" s="425" customFormat="1" ht="31" customHeight="1" spans="1:102">
      <c r="A263" s="455">
        <v>45741</v>
      </c>
      <c r="B263" s="456" t="s">
        <v>817</v>
      </c>
      <c r="C263" s="457" t="s">
        <v>153</v>
      </c>
      <c r="D263" s="425">
        <v>4500161390</v>
      </c>
      <c r="E263" s="457"/>
      <c r="F263" s="425" t="s">
        <v>925</v>
      </c>
      <c r="G263" s="458" t="s">
        <v>819</v>
      </c>
      <c r="H263" s="458" t="s">
        <v>744</v>
      </c>
      <c r="I263" s="458">
        <v>72</v>
      </c>
      <c r="J263" s="458">
        <v>0</v>
      </c>
      <c r="K263" s="458">
        <v>1</v>
      </c>
      <c r="L263" s="462">
        <f t="shared" si="55"/>
        <v>72</v>
      </c>
      <c r="M263" s="463">
        <v>45831</v>
      </c>
      <c r="N263" s="463">
        <v>45827</v>
      </c>
      <c r="O263" s="464"/>
      <c r="P263" s="464" t="s">
        <v>103</v>
      </c>
      <c r="Q263" s="458"/>
      <c r="R263" s="472">
        <v>45790</v>
      </c>
      <c r="S263" s="472" t="s">
        <v>66</v>
      </c>
      <c r="T263" s="472" t="s">
        <v>66</v>
      </c>
      <c r="U263" s="472"/>
      <c r="V263" s="473" t="s">
        <v>820</v>
      </c>
      <c r="W263" s="473" t="s">
        <v>821</v>
      </c>
      <c r="X263" s="473">
        <v>0</v>
      </c>
      <c r="Y263" s="480">
        <f>X263*L263</f>
        <v>0</v>
      </c>
      <c r="Z263" s="509" t="s">
        <v>926</v>
      </c>
      <c r="AA263" s="458" t="s">
        <v>819</v>
      </c>
      <c r="AB263" s="458" t="s">
        <v>76</v>
      </c>
      <c r="AC263" s="458"/>
      <c r="AD263" s="458" t="s">
        <v>69</v>
      </c>
      <c r="AE263" s="458"/>
      <c r="AF263" s="458">
        <v>0</v>
      </c>
      <c r="AG263" s="458">
        <v>0</v>
      </c>
      <c r="AH263" s="489"/>
      <c r="AI263" s="458"/>
      <c r="AJ263" s="458"/>
      <c r="AK263" s="458"/>
      <c r="AO263" s="495"/>
      <c r="AT263" s="495"/>
      <c r="AY263" s="498"/>
      <c r="BT263" s="495"/>
      <c r="BV263" s="495"/>
      <c r="CK263" s="425">
        <f t="shared" si="66"/>
        <v>0</v>
      </c>
      <c r="CL263" s="425">
        <f t="shared" si="67"/>
        <v>0</v>
      </c>
      <c r="CM263" s="425">
        <f t="shared" si="68"/>
        <v>0</v>
      </c>
      <c r="CN263" s="495"/>
      <c r="CO263" s="495"/>
      <c r="CP263" s="495"/>
      <c r="CT263" s="495"/>
      <c r="CU263" s="495"/>
      <c r="CV263" s="495"/>
      <c r="CW263" s="495"/>
      <c r="CX263" s="495"/>
    </row>
    <row r="264" s="425" customFormat="1" ht="31" customHeight="1" spans="1:102">
      <c r="A264" s="455">
        <v>45741</v>
      </c>
      <c r="B264" s="456" t="s">
        <v>817</v>
      </c>
      <c r="C264" s="457" t="s">
        <v>153</v>
      </c>
      <c r="D264" s="425">
        <v>4500161390</v>
      </c>
      <c r="E264" s="457"/>
      <c r="F264" s="425" t="s">
        <v>925</v>
      </c>
      <c r="G264" s="458">
        <v>77711</v>
      </c>
      <c r="H264" s="458" t="s">
        <v>3151</v>
      </c>
      <c r="I264" s="458">
        <v>5400</v>
      </c>
      <c r="J264" s="458">
        <v>0</v>
      </c>
      <c r="K264" s="458">
        <v>75</v>
      </c>
      <c r="L264" s="462">
        <f t="shared" si="55"/>
        <v>72</v>
      </c>
      <c r="M264" s="463">
        <v>45831</v>
      </c>
      <c r="N264" s="463">
        <v>45827</v>
      </c>
      <c r="O264" s="464"/>
      <c r="P264" s="464" t="s">
        <v>103</v>
      </c>
      <c r="Q264" s="458"/>
      <c r="R264" s="472">
        <v>45790</v>
      </c>
      <c r="S264" s="472" t="s">
        <v>66</v>
      </c>
      <c r="T264" s="472" t="s">
        <v>66</v>
      </c>
      <c r="U264" s="472"/>
      <c r="V264" s="473"/>
      <c r="W264" s="473" t="s">
        <v>821</v>
      </c>
      <c r="X264" s="473">
        <v>762.5</v>
      </c>
      <c r="Y264" s="480">
        <f>X264*L264</f>
        <v>54900</v>
      </c>
      <c r="Z264" s="509" t="s">
        <v>926</v>
      </c>
      <c r="AA264" s="458" t="s">
        <v>819</v>
      </c>
      <c r="AB264" s="458" t="s">
        <v>76</v>
      </c>
      <c r="AC264" s="458"/>
      <c r="AD264" s="458" t="s">
        <v>69</v>
      </c>
      <c r="AE264" s="458"/>
      <c r="AF264" s="458">
        <v>0</v>
      </c>
      <c r="AG264" s="458">
        <v>0</v>
      </c>
      <c r="AH264" s="489"/>
      <c r="AI264" s="458"/>
      <c r="AJ264" s="458"/>
      <c r="AK264" s="458">
        <f>I264*3</f>
        <v>16200</v>
      </c>
      <c r="AO264" s="495"/>
      <c r="AT264" s="495"/>
      <c r="AY264" s="498">
        <f>I264/24*3</f>
        <v>675</v>
      </c>
      <c r="BC264" s="425">
        <f>I264*3</f>
        <v>16200</v>
      </c>
      <c r="BD264" s="425">
        <f>I264*3</f>
        <v>16200</v>
      </c>
      <c r="BE264" s="425">
        <f>I264</f>
        <v>5400</v>
      </c>
      <c r="BF264" s="425">
        <f>I264/5</f>
        <v>1080</v>
      </c>
      <c r="BT264" s="495"/>
      <c r="BV264" s="495"/>
      <c r="CK264" s="425">
        <f t="shared" si="66"/>
        <v>0</v>
      </c>
      <c r="CL264" s="425">
        <f t="shared" si="67"/>
        <v>0</v>
      </c>
      <c r="CM264" s="425">
        <f t="shared" si="68"/>
        <v>0</v>
      </c>
      <c r="CN264" s="495"/>
      <c r="CO264" s="495"/>
      <c r="CP264" s="495"/>
      <c r="CT264" s="495"/>
      <c r="CU264" s="495"/>
      <c r="CV264" s="495"/>
      <c r="CW264" s="495"/>
      <c r="CX264" s="495"/>
    </row>
    <row r="265" s="425" customFormat="1" ht="31" customHeight="1" spans="1:102">
      <c r="A265" s="455">
        <v>45792</v>
      </c>
      <c r="B265" s="456" t="s">
        <v>805</v>
      </c>
      <c r="C265" s="457" t="s">
        <v>356</v>
      </c>
      <c r="D265" s="425">
        <v>4500166563</v>
      </c>
      <c r="E265" s="457"/>
      <c r="F265" s="425" t="s">
        <v>806</v>
      </c>
      <c r="G265" s="458" t="s">
        <v>3436</v>
      </c>
      <c r="H265" s="458" t="s">
        <v>424</v>
      </c>
      <c r="I265" s="458">
        <v>240</v>
      </c>
      <c r="J265" s="458">
        <v>0</v>
      </c>
      <c r="K265" s="458">
        <v>6</v>
      </c>
      <c r="L265" s="462">
        <f t="shared" si="55"/>
        <v>40</v>
      </c>
      <c r="M265" s="463">
        <v>45834</v>
      </c>
      <c r="N265" s="463">
        <v>45831</v>
      </c>
      <c r="O265" s="464"/>
      <c r="P265" s="464" t="s">
        <v>103</v>
      </c>
      <c r="Q265" s="458"/>
      <c r="R265" s="472">
        <v>45804</v>
      </c>
      <c r="S265" s="472" t="s">
        <v>66</v>
      </c>
      <c r="T265" s="472">
        <v>45805</v>
      </c>
      <c r="U265" s="472"/>
      <c r="V265" s="473" t="s">
        <v>3826</v>
      </c>
      <c r="W265" s="473" t="s">
        <v>808</v>
      </c>
      <c r="X265" s="473">
        <v>8.1</v>
      </c>
      <c r="Y265" s="480">
        <f>X265*I265</f>
        <v>1944</v>
      </c>
      <c r="Z265" s="458" t="s">
        <v>809</v>
      </c>
      <c r="AA265" s="458" t="s">
        <v>427</v>
      </c>
      <c r="AB265" s="458" t="s">
        <v>76</v>
      </c>
      <c r="AC265" s="458"/>
      <c r="AD265" s="458" t="s">
        <v>69</v>
      </c>
      <c r="AE265" s="458"/>
      <c r="AF265" s="458">
        <v>240</v>
      </c>
      <c r="AG265" s="458">
        <f>AF265-I265</f>
        <v>0</v>
      </c>
      <c r="AH265" s="489"/>
      <c r="AI265" s="458"/>
      <c r="AJ265" s="458"/>
      <c r="AK265" s="458"/>
      <c r="AL265" s="425">
        <f>I265*2</f>
        <v>480</v>
      </c>
      <c r="AO265" s="495"/>
      <c r="AQ265" s="425">
        <f>I265*2</f>
        <v>480</v>
      </c>
      <c r="AS265" s="425">
        <f>I265*2</f>
        <v>480</v>
      </c>
      <c r="AT265" s="495"/>
      <c r="AY265" s="498">
        <f>I265/24*2</f>
        <v>20</v>
      </c>
      <c r="BT265" s="495"/>
      <c r="BU265" s="425">
        <f>I265</f>
        <v>240</v>
      </c>
      <c r="BV265" s="495"/>
      <c r="CK265" s="425">
        <f t="shared" si="66"/>
        <v>0</v>
      </c>
      <c r="CL265" s="425">
        <f t="shared" si="67"/>
        <v>0</v>
      </c>
      <c r="CM265" s="425">
        <f t="shared" si="68"/>
        <v>0</v>
      </c>
      <c r="CN265" s="495"/>
      <c r="CO265" s="495"/>
      <c r="CP265" s="495"/>
      <c r="CT265" s="495"/>
      <c r="CU265" s="495"/>
      <c r="CV265" s="495"/>
      <c r="CW265" s="495"/>
      <c r="CX265" s="495"/>
    </row>
    <row r="266" s="425" customFormat="1" ht="31" customHeight="1" spans="1:102">
      <c r="A266" s="455">
        <v>45741</v>
      </c>
      <c r="B266" s="456" t="s">
        <v>817</v>
      </c>
      <c r="C266" s="457" t="s">
        <v>153</v>
      </c>
      <c r="D266" s="425">
        <v>4500161400</v>
      </c>
      <c r="E266" s="457"/>
      <c r="F266" s="425" t="s">
        <v>818</v>
      </c>
      <c r="G266" s="458" t="s">
        <v>819</v>
      </c>
      <c r="H266" s="458" t="s">
        <v>744</v>
      </c>
      <c r="I266" s="458">
        <v>72</v>
      </c>
      <c r="J266" s="458">
        <v>0</v>
      </c>
      <c r="K266" s="458">
        <v>1</v>
      </c>
      <c r="L266" s="462">
        <f t="shared" si="55"/>
        <v>72</v>
      </c>
      <c r="M266" s="463">
        <v>45835</v>
      </c>
      <c r="N266" s="463">
        <v>45831</v>
      </c>
      <c r="O266" s="464"/>
      <c r="P266" s="464" t="s">
        <v>103</v>
      </c>
      <c r="Q266" s="458"/>
      <c r="R266" s="472">
        <v>45790</v>
      </c>
      <c r="S266" s="472" t="s">
        <v>66</v>
      </c>
      <c r="T266" s="472" t="s">
        <v>66</v>
      </c>
      <c r="U266" s="472"/>
      <c r="V266" s="473" t="s">
        <v>820</v>
      </c>
      <c r="W266" s="473" t="s">
        <v>821</v>
      </c>
      <c r="X266" s="473">
        <v>0</v>
      </c>
      <c r="Y266" s="480">
        <f>X266*L266</f>
        <v>0</v>
      </c>
      <c r="Z266" s="509" t="s">
        <v>822</v>
      </c>
      <c r="AA266" s="458" t="s">
        <v>819</v>
      </c>
      <c r="AB266" s="458" t="s">
        <v>76</v>
      </c>
      <c r="AC266" s="458"/>
      <c r="AD266" s="458" t="s">
        <v>69</v>
      </c>
      <c r="AE266" s="458"/>
      <c r="AF266" s="458">
        <f>4080+1320</f>
        <v>5400</v>
      </c>
      <c r="AG266" s="458">
        <f>AF266-I267</f>
        <v>0</v>
      </c>
      <c r="AH266" s="489"/>
      <c r="AI266" s="458"/>
      <c r="AJ266" s="458"/>
      <c r="AK266" s="458"/>
      <c r="AO266" s="495"/>
      <c r="AT266" s="495"/>
      <c r="AY266" s="498"/>
      <c r="BT266" s="495"/>
      <c r="BV266" s="495"/>
      <c r="CK266" s="425">
        <f t="shared" si="66"/>
        <v>0</v>
      </c>
      <c r="CL266" s="425">
        <f t="shared" si="67"/>
        <v>0</v>
      </c>
      <c r="CM266" s="425">
        <f t="shared" si="68"/>
        <v>0</v>
      </c>
      <c r="CN266" s="495"/>
      <c r="CO266" s="495"/>
      <c r="CP266" s="495"/>
      <c r="CT266" s="495"/>
      <c r="CU266" s="495"/>
      <c r="CV266" s="495"/>
      <c r="CW266" s="495"/>
      <c r="CX266" s="495"/>
    </row>
    <row r="267" s="425" customFormat="1" ht="31" customHeight="1" spans="1:102">
      <c r="A267" s="455">
        <v>45741</v>
      </c>
      <c r="B267" s="456" t="s">
        <v>817</v>
      </c>
      <c r="C267" s="457" t="s">
        <v>153</v>
      </c>
      <c r="D267" s="425">
        <v>4500161400</v>
      </c>
      <c r="E267" s="457"/>
      <c r="F267" s="425" t="s">
        <v>818</v>
      </c>
      <c r="G267" s="458">
        <v>77711</v>
      </c>
      <c r="H267" s="458" t="s">
        <v>3151</v>
      </c>
      <c r="I267" s="458">
        <v>5400</v>
      </c>
      <c r="J267" s="458">
        <v>0</v>
      </c>
      <c r="K267" s="458">
        <v>75</v>
      </c>
      <c r="L267" s="462">
        <f t="shared" si="55"/>
        <v>72</v>
      </c>
      <c r="M267" s="463">
        <v>45835</v>
      </c>
      <c r="N267" s="463">
        <v>45831</v>
      </c>
      <c r="O267" s="464"/>
      <c r="P267" s="464" t="s">
        <v>103</v>
      </c>
      <c r="Q267" s="458"/>
      <c r="R267" s="472">
        <v>45790</v>
      </c>
      <c r="S267" s="472" t="s">
        <v>66</v>
      </c>
      <c r="T267" s="472" t="s">
        <v>66</v>
      </c>
      <c r="U267" s="472"/>
      <c r="V267" s="473"/>
      <c r="W267" s="473" t="s">
        <v>821</v>
      </c>
      <c r="X267" s="473">
        <v>762.5</v>
      </c>
      <c r="Y267" s="480">
        <f>X267*L267</f>
        <v>54900</v>
      </c>
      <c r="Z267" s="509" t="s">
        <v>822</v>
      </c>
      <c r="AA267" s="458" t="s">
        <v>819</v>
      </c>
      <c r="AB267" s="458" t="s">
        <v>76</v>
      </c>
      <c r="AC267" s="458"/>
      <c r="AD267" s="458" t="s">
        <v>69</v>
      </c>
      <c r="AE267" s="458"/>
      <c r="AF267" s="458">
        <v>0</v>
      </c>
      <c r="AG267" s="458">
        <v>0</v>
      </c>
      <c r="AH267" s="489"/>
      <c r="AI267" s="458"/>
      <c r="AJ267" s="458"/>
      <c r="AK267" s="458">
        <f>I267*3</f>
        <v>16200</v>
      </c>
      <c r="AO267" s="495"/>
      <c r="AT267" s="495"/>
      <c r="AY267" s="498">
        <f>I267/24*3</f>
        <v>675</v>
      </c>
      <c r="BC267" s="425">
        <f>I267*3</f>
        <v>16200</v>
      </c>
      <c r="BD267" s="425">
        <f>I267*3</f>
        <v>16200</v>
      </c>
      <c r="BE267" s="425">
        <f>I267</f>
        <v>5400</v>
      </c>
      <c r="BF267" s="425">
        <f>I267/5</f>
        <v>1080</v>
      </c>
      <c r="BT267" s="495"/>
      <c r="BV267" s="495"/>
      <c r="CK267" s="425">
        <f t="shared" si="66"/>
        <v>0</v>
      </c>
      <c r="CL267" s="425">
        <f t="shared" si="67"/>
        <v>0</v>
      </c>
      <c r="CM267" s="425">
        <f t="shared" si="68"/>
        <v>0</v>
      </c>
      <c r="CN267" s="495"/>
      <c r="CO267" s="495"/>
      <c r="CP267" s="495"/>
      <c r="CT267" s="495"/>
      <c r="CU267" s="495"/>
      <c r="CV267" s="495"/>
      <c r="CW267" s="495"/>
      <c r="CX267" s="495"/>
    </row>
    <row r="268" s="425" customFormat="1" ht="31" customHeight="1" spans="1:102">
      <c r="A268" s="455">
        <v>45777</v>
      </c>
      <c r="B268" s="456" t="s">
        <v>810</v>
      </c>
      <c r="C268" s="457" t="s">
        <v>416</v>
      </c>
      <c r="D268" s="425">
        <v>4500163986</v>
      </c>
      <c r="E268" s="457" t="s">
        <v>811</v>
      </c>
      <c r="F268" s="425" t="s">
        <v>3827</v>
      </c>
      <c r="G268" s="458" t="s">
        <v>3161</v>
      </c>
      <c r="H268" s="458" t="s">
        <v>3221</v>
      </c>
      <c r="I268" s="458">
        <v>1000</v>
      </c>
      <c r="J268" s="458">
        <v>0</v>
      </c>
      <c r="K268" s="458">
        <v>50</v>
      </c>
      <c r="L268" s="462">
        <f t="shared" si="55"/>
        <v>20</v>
      </c>
      <c r="M268" s="463">
        <v>45838</v>
      </c>
      <c r="N268" s="463">
        <v>45834</v>
      </c>
      <c r="O268" s="464"/>
      <c r="P268" s="464" t="s">
        <v>103</v>
      </c>
      <c r="Q268" s="458"/>
      <c r="R268" s="472">
        <v>45789</v>
      </c>
      <c r="S268" s="472" t="s">
        <v>66</v>
      </c>
      <c r="T268" s="472" t="s">
        <v>3828</v>
      </c>
      <c r="U268" s="472"/>
      <c r="V268" s="473" t="s">
        <v>3829</v>
      </c>
      <c r="W268" s="473" t="s">
        <v>815</v>
      </c>
      <c r="X268" s="473">
        <v>0.95</v>
      </c>
      <c r="Y268" s="480">
        <f t="shared" ref="Y268:Y278" si="69">X268*I268</f>
        <v>950</v>
      </c>
      <c r="Z268" s="458" t="s">
        <v>816</v>
      </c>
      <c r="AA268" s="458" t="s">
        <v>3161</v>
      </c>
      <c r="AB268" s="458" t="s">
        <v>76</v>
      </c>
      <c r="AC268" s="458"/>
      <c r="AD268" s="458" t="s">
        <v>69</v>
      </c>
      <c r="AE268" s="458"/>
      <c r="AF268" s="458">
        <v>1000</v>
      </c>
      <c r="AG268" s="458">
        <f t="shared" ref="AG268:AG302" si="70">AF268-I268</f>
        <v>0</v>
      </c>
      <c r="AH268" s="489"/>
      <c r="AI268" s="458"/>
      <c r="AJ268" s="458"/>
      <c r="AK268" s="458"/>
      <c r="AL268" s="426">
        <f>I268</f>
        <v>1000</v>
      </c>
      <c r="AO268" s="495"/>
      <c r="AQ268" s="425">
        <f>I268</f>
        <v>1000</v>
      </c>
      <c r="AS268" s="425">
        <f>I268</f>
        <v>1000</v>
      </c>
      <c r="AT268" s="495"/>
      <c r="AY268" s="498">
        <f>I268/24</f>
        <v>41.6666666666667</v>
      </c>
      <c r="BL268" s="425">
        <f>I268/25</f>
        <v>40</v>
      </c>
      <c r="BT268" s="495"/>
      <c r="BV268" s="495"/>
      <c r="CK268" s="425">
        <f t="shared" si="66"/>
        <v>40</v>
      </c>
      <c r="CL268" s="425">
        <f t="shared" si="67"/>
        <v>0</v>
      </c>
      <c r="CM268" s="425">
        <f t="shared" si="68"/>
        <v>0</v>
      </c>
      <c r="CN268" s="495"/>
      <c r="CO268" s="495"/>
      <c r="CP268" s="495"/>
      <c r="CT268" s="495"/>
      <c r="CU268" s="495"/>
      <c r="CV268" s="495"/>
      <c r="CW268" s="495"/>
      <c r="CX268" s="495"/>
    </row>
    <row r="269" s="425" customFormat="1" ht="31" customHeight="1" spans="1:102">
      <c r="A269" s="455">
        <v>45797</v>
      </c>
      <c r="B269" s="456" t="s">
        <v>125</v>
      </c>
      <c r="C269" s="457" t="s">
        <v>71</v>
      </c>
      <c r="D269" s="425">
        <v>4500166977</v>
      </c>
      <c r="E269" s="457">
        <v>20846871</v>
      </c>
      <c r="F269" s="425" t="s">
        <v>3830</v>
      </c>
      <c r="G269" s="458" t="s">
        <v>3206</v>
      </c>
      <c r="H269" s="458" t="s">
        <v>3207</v>
      </c>
      <c r="I269" s="458">
        <v>156</v>
      </c>
      <c r="J269" s="458">
        <v>0</v>
      </c>
      <c r="K269" s="458">
        <v>13</v>
      </c>
      <c r="L269" s="462">
        <f t="shared" si="55"/>
        <v>12</v>
      </c>
      <c r="M269" s="463">
        <v>45838</v>
      </c>
      <c r="N269" s="463">
        <v>45834</v>
      </c>
      <c r="O269" s="464"/>
      <c r="P269" s="464" t="s">
        <v>103</v>
      </c>
      <c r="Q269" s="458"/>
      <c r="R269" s="472">
        <v>45811</v>
      </c>
      <c r="S269" s="472" t="s">
        <v>96</v>
      </c>
      <c r="T269" s="472" t="s">
        <v>3312</v>
      </c>
      <c r="U269" s="472"/>
      <c r="V269" s="473" t="s">
        <v>3831</v>
      </c>
      <c r="W269" s="473" t="s">
        <v>121</v>
      </c>
      <c r="X269" s="473">
        <v>0.9526</v>
      </c>
      <c r="Y269" s="480">
        <f t="shared" si="69"/>
        <v>148.6056</v>
      </c>
      <c r="Z269" s="458" t="s">
        <v>3832</v>
      </c>
      <c r="AA269" s="458" t="s">
        <v>3206</v>
      </c>
      <c r="AB269" s="458" t="s">
        <v>76</v>
      </c>
      <c r="AC269" s="458"/>
      <c r="AD269" s="458" t="s">
        <v>69</v>
      </c>
      <c r="AE269" s="458"/>
      <c r="AF269" s="458">
        <v>156</v>
      </c>
      <c r="AG269" s="458">
        <f t="shared" si="70"/>
        <v>0</v>
      </c>
      <c r="AH269" s="489"/>
      <c r="AI269" s="458"/>
      <c r="AJ269" s="458"/>
      <c r="AK269" s="458"/>
      <c r="AL269" s="426">
        <f>I269</f>
        <v>156</v>
      </c>
      <c r="AO269" s="495"/>
      <c r="AQ269" s="425">
        <f>I269</f>
        <v>156</v>
      </c>
      <c r="AS269" s="425">
        <f>I269</f>
        <v>156</v>
      </c>
      <c r="AT269" s="495"/>
      <c r="AY269" s="498">
        <f>I269/24</f>
        <v>6.5</v>
      </c>
      <c r="BI269" s="425">
        <f>I269/13</f>
        <v>12</v>
      </c>
      <c r="BT269" s="495"/>
      <c r="BV269" s="495"/>
      <c r="CK269" s="425">
        <f t="shared" si="66"/>
        <v>0</v>
      </c>
      <c r="CL269" s="425">
        <f t="shared" si="67"/>
        <v>0</v>
      </c>
      <c r="CM269" s="425">
        <f t="shared" si="68"/>
        <v>0</v>
      </c>
      <c r="CN269" s="495"/>
      <c r="CO269" s="495"/>
      <c r="CP269" s="495"/>
      <c r="CT269" s="495"/>
      <c r="CU269" s="495"/>
      <c r="CV269" s="495"/>
      <c r="CW269" s="495"/>
      <c r="CX269" s="495"/>
    </row>
    <row r="270" s="425" customFormat="1" ht="31" customHeight="1" spans="1:102">
      <c r="A270" s="455">
        <v>45797</v>
      </c>
      <c r="B270" s="456" t="s">
        <v>270</v>
      </c>
      <c r="C270" s="457" t="s">
        <v>271</v>
      </c>
      <c r="D270" s="425">
        <v>4500167011</v>
      </c>
      <c r="E270" s="457">
        <v>5200006751</v>
      </c>
      <c r="F270" s="425" t="s">
        <v>3833</v>
      </c>
      <c r="G270" s="458" t="s">
        <v>3231</v>
      </c>
      <c r="H270" s="458" t="s">
        <v>3207</v>
      </c>
      <c r="I270" s="458">
        <v>2002</v>
      </c>
      <c r="J270" s="458">
        <v>0</v>
      </c>
      <c r="K270" s="458">
        <v>13</v>
      </c>
      <c r="L270" s="462">
        <f t="shared" si="55"/>
        <v>154</v>
      </c>
      <c r="M270" s="463">
        <v>45838</v>
      </c>
      <c r="N270" s="463">
        <v>45834</v>
      </c>
      <c r="O270" s="464"/>
      <c r="P270" s="464" t="s">
        <v>103</v>
      </c>
      <c r="Q270" s="458"/>
      <c r="R270" s="472">
        <v>45805</v>
      </c>
      <c r="S270" s="472" t="s">
        <v>66</v>
      </c>
      <c r="T270" s="472" t="s">
        <v>3441</v>
      </c>
      <c r="U270" s="472" t="s">
        <v>3563</v>
      </c>
      <c r="V270" s="473" t="s">
        <v>3571</v>
      </c>
      <c r="W270" s="473" t="s">
        <v>391</v>
      </c>
      <c r="X270" s="473">
        <v>0.9116</v>
      </c>
      <c r="Y270" s="480">
        <f t="shared" si="69"/>
        <v>1825.0232</v>
      </c>
      <c r="Z270" s="458" t="s">
        <v>3834</v>
      </c>
      <c r="AA270" s="458" t="s">
        <v>3206</v>
      </c>
      <c r="AB270" s="458" t="s">
        <v>76</v>
      </c>
      <c r="AC270" s="458"/>
      <c r="AD270" s="458" t="s">
        <v>69</v>
      </c>
      <c r="AE270" s="458"/>
      <c r="AF270" s="458">
        <v>2002</v>
      </c>
      <c r="AG270" s="458">
        <f t="shared" si="70"/>
        <v>0</v>
      </c>
      <c r="AH270" s="489"/>
      <c r="AI270" s="458"/>
      <c r="AJ270" s="458"/>
      <c r="AK270" s="458"/>
      <c r="AL270" s="426">
        <f>I270</f>
        <v>2002</v>
      </c>
      <c r="AO270" s="495"/>
      <c r="AQ270" s="425">
        <f>I270</f>
        <v>2002</v>
      </c>
      <c r="AS270" s="425">
        <f>I270</f>
        <v>2002</v>
      </c>
      <c r="AT270" s="495"/>
      <c r="AY270" s="498">
        <f>I270/24</f>
        <v>83.4166666666667</v>
      </c>
      <c r="BI270" s="425">
        <f>I270/13</f>
        <v>154</v>
      </c>
      <c r="BT270" s="495"/>
      <c r="BV270" s="495"/>
      <c r="CK270" s="425">
        <f t="shared" si="66"/>
        <v>0</v>
      </c>
      <c r="CL270" s="425">
        <f t="shared" si="67"/>
        <v>0</v>
      </c>
      <c r="CM270" s="425">
        <f t="shared" si="68"/>
        <v>0</v>
      </c>
      <c r="CN270" s="495"/>
      <c r="CO270" s="495"/>
      <c r="CP270" s="495"/>
      <c r="CT270" s="495"/>
      <c r="CU270" s="495"/>
      <c r="CV270" s="495"/>
      <c r="CW270" s="495"/>
      <c r="CX270" s="495"/>
    </row>
    <row r="271" s="425" customFormat="1" ht="31" customHeight="1" spans="1:102">
      <c r="A271" s="455">
        <v>45799</v>
      </c>
      <c r="B271" s="456" t="s">
        <v>489</v>
      </c>
      <c r="C271" s="457" t="s">
        <v>249</v>
      </c>
      <c r="D271" s="425">
        <v>4500167501</v>
      </c>
      <c r="E271" s="457" t="s">
        <v>3835</v>
      </c>
      <c r="F271" s="425" t="s">
        <v>3836</v>
      </c>
      <c r="G271" s="458" t="s">
        <v>3464</v>
      </c>
      <c r="H271" s="458" t="s">
        <v>3237</v>
      </c>
      <c r="I271" s="458">
        <v>504</v>
      </c>
      <c r="J271" s="458">
        <v>0</v>
      </c>
      <c r="K271" s="458">
        <v>12</v>
      </c>
      <c r="L271" s="462">
        <f t="shared" si="55"/>
        <v>42</v>
      </c>
      <c r="M271" s="463">
        <v>45838</v>
      </c>
      <c r="N271" s="463">
        <v>45834</v>
      </c>
      <c r="O271" s="464"/>
      <c r="P271" s="464" t="s">
        <v>103</v>
      </c>
      <c r="Q271" s="458"/>
      <c r="R271" s="472" t="s">
        <v>411</v>
      </c>
      <c r="S271" s="472" t="s">
        <v>96</v>
      </c>
      <c r="T271" s="472">
        <v>45812</v>
      </c>
      <c r="U271" s="472"/>
      <c r="V271" s="473" t="s">
        <v>3837</v>
      </c>
      <c r="W271" s="473" t="s">
        <v>414</v>
      </c>
      <c r="X271" s="473">
        <v>2.2418</v>
      </c>
      <c r="Y271" s="480">
        <f t="shared" si="69"/>
        <v>1129.8672</v>
      </c>
      <c r="Z271" s="516" t="s">
        <v>3838</v>
      </c>
      <c r="AA271" s="458" t="s">
        <v>3464</v>
      </c>
      <c r="AB271" s="458" t="s">
        <v>76</v>
      </c>
      <c r="AC271" s="458"/>
      <c r="AD271" s="458" t="s">
        <v>69</v>
      </c>
      <c r="AE271" s="458"/>
      <c r="AF271" s="458">
        <f>492+12</f>
        <v>504</v>
      </c>
      <c r="AG271" s="458">
        <f t="shared" si="70"/>
        <v>0</v>
      </c>
      <c r="AH271" s="489"/>
      <c r="AI271" s="458"/>
      <c r="AJ271" s="458"/>
      <c r="AK271" s="458"/>
      <c r="AL271" s="425">
        <f>I271*2</f>
        <v>1008</v>
      </c>
      <c r="AO271" s="495"/>
      <c r="AQ271" s="425">
        <f>I271*2</f>
        <v>1008</v>
      </c>
      <c r="AS271" s="425">
        <f>I271*2</f>
        <v>1008</v>
      </c>
      <c r="AT271" s="495"/>
      <c r="AY271" s="498">
        <f t="shared" ref="AY271:AY276" si="71">I271/24*2</f>
        <v>42</v>
      </c>
      <c r="BT271" s="495"/>
      <c r="BV271" s="495"/>
      <c r="CH271" s="425">
        <f>I271</f>
        <v>504</v>
      </c>
      <c r="CI271" s="425">
        <f>I271</f>
        <v>504</v>
      </c>
      <c r="CJ271" s="425">
        <f>I271</f>
        <v>504</v>
      </c>
      <c r="CK271" s="425">
        <f t="shared" si="66"/>
        <v>0</v>
      </c>
      <c r="CL271" s="425">
        <f t="shared" si="67"/>
        <v>0</v>
      </c>
      <c r="CM271" s="425">
        <f t="shared" si="68"/>
        <v>0</v>
      </c>
      <c r="CN271" s="495"/>
      <c r="CO271" s="495"/>
      <c r="CP271" s="495"/>
      <c r="CT271" s="495"/>
      <c r="CU271" s="495"/>
      <c r="CV271" s="495"/>
      <c r="CW271" s="495"/>
      <c r="CX271" s="495"/>
    </row>
    <row r="272" s="425" customFormat="1" ht="31" customHeight="1" spans="1:102">
      <c r="A272" s="455">
        <v>45804</v>
      </c>
      <c r="B272" s="456" t="s">
        <v>840</v>
      </c>
      <c r="C272" s="457" t="s">
        <v>841</v>
      </c>
      <c r="D272" s="425">
        <v>4500168055</v>
      </c>
      <c r="E272" s="457"/>
      <c r="F272" s="425" t="s">
        <v>3839</v>
      </c>
      <c r="G272" s="458" t="s">
        <v>3378</v>
      </c>
      <c r="H272" s="458" t="s">
        <v>3379</v>
      </c>
      <c r="I272" s="458">
        <v>700</v>
      </c>
      <c r="J272" s="458">
        <v>0</v>
      </c>
      <c r="K272" s="458">
        <v>50</v>
      </c>
      <c r="L272" s="462">
        <f t="shared" si="55"/>
        <v>14</v>
      </c>
      <c r="M272" s="463">
        <v>45838</v>
      </c>
      <c r="N272" s="463">
        <v>45834</v>
      </c>
      <c r="O272" s="464"/>
      <c r="P272" s="464" t="s">
        <v>103</v>
      </c>
      <c r="Q272" s="458"/>
      <c r="R272" s="472">
        <v>45814</v>
      </c>
      <c r="S272" s="472" t="s">
        <v>66</v>
      </c>
      <c r="T272" s="472" t="s">
        <v>66</v>
      </c>
      <c r="U272" s="472"/>
      <c r="V272" s="473" t="s">
        <v>3840</v>
      </c>
      <c r="W272" s="473" t="s">
        <v>473</v>
      </c>
      <c r="X272" s="473">
        <v>1.32</v>
      </c>
      <c r="Y272" s="480">
        <f t="shared" si="69"/>
        <v>924</v>
      </c>
      <c r="Z272" s="458"/>
      <c r="AA272" s="458" t="s">
        <v>3378</v>
      </c>
      <c r="AB272" s="458" t="s">
        <v>76</v>
      </c>
      <c r="AC272" s="458"/>
      <c r="AD272" s="458" t="s">
        <v>69</v>
      </c>
      <c r="AE272" s="458"/>
      <c r="AF272" s="458">
        <v>700</v>
      </c>
      <c r="AG272" s="458">
        <f t="shared" si="70"/>
        <v>0</v>
      </c>
      <c r="AH272" s="489"/>
      <c r="AI272" s="458"/>
      <c r="AJ272" s="458"/>
      <c r="AK272" s="458"/>
      <c r="AL272" s="425">
        <f>I272</f>
        <v>700</v>
      </c>
      <c r="AO272" s="495"/>
      <c r="AT272" s="495"/>
      <c r="AY272" s="498">
        <f t="shared" si="71"/>
        <v>58.3333333333333</v>
      </c>
      <c r="BQ272" s="425">
        <f>I272</f>
        <v>700</v>
      </c>
      <c r="BR272" s="425">
        <f>I272</f>
        <v>700</v>
      </c>
      <c r="BS272" s="425">
        <f>I272/25</f>
        <v>28</v>
      </c>
      <c r="BT272" s="495"/>
      <c r="BV272" s="495"/>
      <c r="CK272" s="425">
        <f t="shared" si="66"/>
        <v>28</v>
      </c>
      <c r="CL272" s="425">
        <f t="shared" si="67"/>
        <v>0</v>
      </c>
      <c r="CM272" s="425">
        <f t="shared" si="68"/>
        <v>0</v>
      </c>
      <c r="CN272" s="495"/>
      <c r="CO272" s="495"/>
      <c r="CP272" s="495"/>
      <c r="CT272" s="495"/>
      <c r="CU272" s="495"/>
      <c r="CV272" s="495"/>
      <c r="CW272" s="495"/>
      <c r="CX272" s="495"/>
    </row>
    <row r="273" s="425" customFormat="1" ht="31" customHeight="1" spans="1:102">
      <c r="A273" s="455">
        <v>45798</v>
      </c>
      <c r="B273" s="456" t="s">
        <v>280</v>
      </c>
      <c r="C273" s="457" t="s">
        <v>249</v>
      </c>
      <c r="D273" s="425">
        <v>4500167191</v>
      </c>
      <c r="E273" s="457" t="s">
        <v>828</v>
      </c>
      <c r="F273" s="425" t="s">
        <v>829</v>
      </c>
      <c r="G273" s="458" t="s">
        <v>3436</v>
      </c>
      <c r="H273" s="458" t="s">
        <v>424</v>
      </c>
      <c r="I273" s="458">
        <v>8700</v>
      </c>
      <c r="J273" s="458">
        <v>0</v>
      </c>
      <c r="K273" s="458">
        <v>6</v>
      </c>
      <c r="L273" s="462">
        <f t="shared" si="55"/>
        <v>1450</v>
      </c>
      <c r="M273" s="463">
        <v>45839</v>
      </c>
      <c r="N273" s="463">
        <f t="shared" ref="N273:N281" si="72">M273-4</f>
        <v>45835</v>
      </c>
      <c r="O273" s="464"/>
      <c r="P273" s="464" t="s">
        <v>103</v>
      </c>
      <c r="Q273" s="458"/>
      <c r="R273" s="472">
        <v>45798</v>
      </c>
      <c r="S273" s="472" t="s">
        <v>66</v>
      </c>
      <c r="T273" s="472" t="s">
        <v>3841</v>
      </c>
      <c r="U273" s="472"/>
      <c r="V273" s="473" t="s">
        <v>3842</v>
      </c>
      <c r="W273" s="473" t="s">
        <v>285</v>
      </c>
      <c r="X273" s="473">
        <v>8.1</v>
      </c>
      <c r="Y273" s="480">
        <f t="shared" si="69"/>
        <v>70470</v>
      </c>
      <c r="Z273" s="458" t="s">
        <v>832</v>
      </c>
      <c r="AA273" s="458" t="s">
        <v>427</v>
      </c>
      <c r="AB273" s="458" t="s">
        <v>76</v>
      </c>
      <c r="AC273" s="458"/>
      <c r="AD273" s="458" t="s">
        <v>69</v>
      </c>
      <c r="AE273" s="458"/>
      <c r="AF273" s="458">
        <f>5400+3300</f>
        <v>8700</v>
      </c>
      <c r="AG273" s="458">
        <f t="shared" si="70"/>
        <v>0</v>
      </c>
      <c r="AH273" s="489"/>
      <c r="AI273" s="458"/>
      <c r="AJ273" s="458"/>
      <c r="AK273" s="458"/>
      <c r="AL273" s="425">
        <f>I273*2</f>
        <v>17400</v>
      </c>
      <c r="AO273" s="495"/>
      <c r="AQ273" s="425">
        <f>I273*2</f>
        <v>17400</v>
      </c>
      <c r="AS273" s="425">
        <f>I273*2</f>
        <v>17400</v>
      </c>
      <c r="AT273" s="495"/>
      <c r="AY273" s="498">
        <f t="shared" si="71"/>
        <v>725</v>
      </c>
      <c r="BT273" s="495"/>
      <c r="BU273" s="425">
        <f>I273</f>
        <v>8700</v>
      </c>
      <c r="BV273" s="495"/>
      <c r="CK273" s="425">
        <f t="shared" si="66"/>
        <v>0</v>
      </c>
      <c r="CL273" s="425">
        <f t="shared" si="67"/>
        <v>0</v>
      </c>
      <c r="CM273" s="425">
        <f t="shared" si="68"/>
        <v>0</v>
      </c>
      <c r="CN273" s="495"/>
      <c r="CO273" s="495"/>
      <c r="CP273" s="495"/>
      <c r="CT273" s="495"/>
      <c r="CU273" s="495"/>
      <c r="CV273" s="495"/>
      <c r="CW273" s="495"/>
      <c r="CX273" s="495"/>
    </row>
    <row r="274" s="425" customFormat="1" ht="31" customHeight="1" spans="1:102">
      <c r="A274" s="455">
        <v>45808</v>
      </c>
      <c r="B274" s="456" t="s">
        <v>840</v>
      </c>
      <c r="C274" s="457" t="s">
        <v>841</v>
      </c>
      <c r="D274" s="425">
        <v>4500168594</v>
      </c>
      <c r="E274" s="457"/>
      <c r="F274" s="425" t="s">
        <v>3843</v>
      </c>
      <c r="G274" s="458" t="s">
        <v>3378</v>
      </c>
      <c r="H274" s="458" t="s">
        <v>3379</v>
      </c>
      <c r="I274" s="458">
        <v>500</v>
      </c>
      <c r="J274" s="458">
        <v>0</v>
      </c>
      <c r="K274" s="458">
        <v>50</v>
      </c>
      <c r="L274" s="462">
        <f t="shared" si="55"/>
        <v>10</v>
      </c>
      <c r="M274" s="463">
        <v>45840</v>
      </c>
      <c r="N274" s="463">
        <f t="shared" si="72"/>
        <v>45836</v>
      </c>
      <c r="O274" s="464"/>
      <c r="P274" s="464" t="s">
        <v>103</v>
      </c>
      <c r="Q274" s="458"/>
      <c r="R274" s="472">
        <v>45814</v>
      </c>
      <c r="S274" s="472" t="s">
        <v>66</v>
      </c>
      <c r="T274" s="472" t="s">
        <v>66</v>
      </c>
      <c r="U274" s="472"/>
      <c r="V274" s="473" t="s">
        <v>3844</v>
      </c>
      <c r="W274" s="473" t="s">
        <v>853</v>
      </c>
      <c r="X274" s="473">
        <v>1.32</v>
      </c>
      <c r="Y274" s="480">
        <f t="shared" si="69"/>
        <v>660</v>
      </c>
      <c r="Z274" s="458" t="s">
        <v>856</v>
      </c>
      <c r="AA274" s="458" t="s">
        <v>3378</v>
      </c>
      <c r="AB274" s="458" t="s">
        <v>76</v>
      </c>
      <c r="AC274" s="458"/>
      <c r="AD274" s="458" t="s">
        <v>69</v>
      </c>
      <c r="AE274" s="458"/>
      <c r="AF274" s="458">
        <v>500</v>
      </c>
      <c r="AG274" s="458">
        <f t="shared" si="70"/>
        <v>0</v>
      </c>
      <c r="AH274" s="489"/>
      <c r="AI274" s="458"/>
      <c r="AJ274" s="458"/>
      <c r="AK274" s="458"/>
      <c r="AL274" s="425">
        <f t="shared" ref="AL274:AL283" si="73">I274</f>
        <v>500</v>
      </c>
      <c r="AO274" s="495"/>
      <c r="AT274" s="495"/>
      <c r="AY274" s="498">
        <f t="shared" si="71"/>
        <v>41.6666666666667</v>
      </c>
      <c r="BQ274" s="425">
        <f>I274</f>
        <v>500</v>
      </c>
      <c r="BR274" s="425">
        <f>I274</f>
        <v>500</v>
      </c>
      <c r="BS274" s="425">
        <f>I274/25</f>
        <v>20</v>
      </c>
      <c r="BT274" s="495"/>
      <c r="BV274" s="495"/>
      <c r="CK274" s="425">
        <f t="shared" si="66"/>
        <v>20</v>
      </c>
      <c r="CL274" s="425">
        <f t="shared" si="67"/>
        <v>0</v>
      </c>
      <c r="CM274" s="425">
        <f t="shared" si="68"/>
        <v>0</v>
      </c>
      <c r="CN274" s="495"/>
      <c r="CO274" s="495"/>
      <c r="CP274" s="495"/>
      <c r="CT274" s="495"/>
      <c r="CU274" s="495"/>
      <c r="CV274" s="495"/>
      <c r="CW274" s="495"/>
      <c r="CX274" s="495"/>
    </row>
    <row r="275" s="425" customFormat="1" ht="31" customHeight="1" spans="1:102">
      <c r="A275" s="455">
        <v>45803</v>
      </c>
      <c r="B275" s="456" t="s">
        <v>845</v>
      </c>
      <c r="C275" s="457" t="s">
        <v>271</v>
      </c>
      <c r="D275" s="425">
        <v>4500168001</v>
      </c>
      <c r="E275" s="457">
        <v>4400487406</v>
      </c>
      <c r="F275" s="425" t="s">
        <v>3845</v>
      </c>
      <c r="G275" s="458" t="s">
        <v>3165</v>
      </c>
      <c r="H275" s="458" t="s">
        <v>3303</v>
      </c>
      <c r="I275" s="458">
        <v>2400</v>
      </c>
      <c r="J275" s="458">
        <v>0</v>
      </c>
      <c r="K275" s="458">
        <v>25</v>
      </c>
      <c r="L275" s="462">
        <f t="shared" si="55"/>
        <v>96</v>
      </c>
      <c r="M275" s="463">
        <v>45840</v>
      </c>
      <c r="N275" s="463">
        <f t="shared" si="72"/>
        <v>45836</v>
      </c>
      <c r="O275" s="464"/>
      <c r="P275" s="464" t="s">
        <v>103</v>
      </c>
      <c r="Q275" s="458"/>
      <c r="R275" s="472">
        <v>45803</v>
      </c>
      <c r="S275" s="472" t="s">
        <v>66</v>
      </c>
      <c r="T275" s="472" t="s">
        <v>3846</v>
      </c>
      <c r="U275" s="472"/>
      <c r="V275" s="473" t="s">
        <v>3847</v>
      </c>
      <c r="W275" s="473" t="s">
        <v>849</v>
      </c>
      <c r="X275" s="473">
        <v>0.9245</v>
      </c>
      <c r="Y275" s="480">
        <f t="shared" si="69"/>
        <v>2218.8</v>
      </c>
      <c r="Z275" s="509" t="s">
        <v>850</v>
      </c>
      <c r="AA275" s="458" t="s">
        <v>3188</v>
      </c>
      <c r="AB275" s="458" t="s">
        <v>76</v>
      </c>
      <c r="AC275" s="458"/>
      <c r="AD275" s="458" t="s">
        <v>69</v>
      </c>
      <c r="AE275" s="458"/>
      <c r="AF275" s="458">
        <v>2400</v>
      </c>
      <c r="AG275" s="458">
        <f t="shared" si="70"/>
        <v>0</v>
      </c>
      <c r="AH275" s="489"/>
      <c r="AI275" s="458"/>
      <c r="AJ275" s="458"/>
      <c r="AK275" s="458"/>
      <c r="AL275" s="426">
        <f t="shared" si="73"/>
        <v>2400</v>
      </c>
      <c r="AO275" s="495"/>
      <c r="AS275" s="425">
        <f>I275</f>
        <v>2400</v>
      </c>
      <c r="AT275" s="495"/>
      <c r="AY275" s="498">
        <f t="shared" si="71"/>
        <v>200</v>
      </c>
      <c r="BB275" s="425">
        <f>I275</f>
        <v>2400</v>
      </c>
      <c r="BL275" s="425">
        <f>I275/25</f>
        <v>96</v>
      </c>
      <c r="BT275" s="495"/>
      <c r="BV275" s="495"/>
      <c r="CK275" s="425">
        <f t="shared" si="66"/>
        <v>96</v>
      </c>
      <c r="CL275" s="425">
        <f t="shared" si="67"/>
        <v>0</v>
      </c>
      <c r="CM275" s="425">
        <f t="shared" si="68"/>
        <v>0</v>
      </c>
      <c r="CN275" s="495"/>
      <c r="CO275" s="495"/>
      <c r="CP275" s="495"/>
      <c r="CT275" s="495"/>
      <c r="CU275" s="495"/>
      <c r="CV275" s="495"/>
      <c r="CW275" s="495"/>
      <c r="CX275" s="495"/>
    </row>
    <row r="276" s="425" customFormat="1" ht="31" customHeight="1" spans="1:102">
      <c r="A276" s="455">
        <v>45806</v>
      </c>
      <c r="B276" s="456" t="s">
        <v>840</v>
      </c>
      <c r="C276" s="457" t="s">
        <v>841</v>
      </c>
      <c r="D276" s="425">
        <v>4500168463</v>
      </c>
      <c r="E276" s="457"/>
      <c r="F276" s="425" t="s">
        <v>3848</v>
      </c>
      <c r="G276" s="458" t="s">
        <v>3378</v>
      </c>
      <c r="H276" s="458" t="s">
        <v>3379</v>
      </c>
      <c r="I276" s="458">
        <v>500</v>
      </c>
      <c r="J276" s="458">
        <v>0</v>
      </c>
      <c r="K276" s="458">
        <v>50</v>
      </c>
      <c r="L276" s="462">
        <f t="shared" si="55"/>
        <v>10</v>
      </c>
      <c r="M276" s="463">
        <v>45840</v>
      </c>
      <c r="N276" s="463">
        <f t="shared" si="72"/>
        <v>45836</v>
      </c>
      <c r="O276" s="464"/>
      <c r="P276" s="464" t="s">
        <v>103</v>
      </c>
      <c r="Q276" s="458"/>
      <c r="R276" s="472">
        <v>45814</v>
      </c>
      <c r="S276" s="472" t="s">
        <v>66</v>
      </c>
      <c r="T276" s="472" t="s">
        <v>66</v>
      </c>
      <c r="U276" s="472"/>
      <c r="V276" s="473" t="s">
        <v>3844</v>
      </c>
      <c r="W276" s="473" t="s">
        <v>853</v>
      </c>
      <c r="X276" s="473">
        <v>1.32</v>
      </c>
      <c r="Y276" s="480">
        <f t="shared" si="69"/>
        <v>660</v>
      </c>
      <c r="Z276" s="458" t="s">
        <v>854</v>
      </c>
      <c r="AA276" s="458" t="s">
        <v>3378</v>
      </c>
      <c r="AB276" s="458" t="s">
        <v>76</v>
      </c>
      <c r="AC276" s="458"/>
      <c r="AD276" s="458" t="s">
        <v>69</v>
      </c>
      <c r="AE276" s="458"/>
      <c r="AF276" s="458">
        <v>500</v>
      </c>
      <c r="AG276" s="458">
        <f t="shared" si="70"/>
        <v>0</v>
      </c>
      <c r="AH276" s="489"/>
      <c r="AI276" s="458"/>
      <c r="AJ276" s="458"/>
      <c r="AK276" s="458"/>
      <c r="AL276" s="425">
        <f t="shared" si="73"/>
        <v>500</v>
      </c>
      <c r="AO276" s="495"/>
      <c r="AT276" s="495"/>
      <c r="AY276" s="498">
        <f t="shared" si="71"/>
        <v>41.6666666666667</v>
      </c>
      <c r="BQ276" s="425">
        <f>I276</f>
        <v>500</v>
      </c>
      <c r="BR276" s="425">
        <f>I276</f>
        <v>500</v>
      </c>
      <c r="BS276" s="425">
        <f>I276/25</f>
        <v>20</v>
      </c>
      <c r="BT276" s="495"/>
      <c r="BV276" s="495"/>
      <c r="CK276" s="425">
        <f t="shared" si="66"/>
        <v>20</v>
      </c>
      <c r="CL276" s="425">
        <f t="shared" si="67"/>
        <v>0</v>
      </c>
      <c r="CM276" s="425">
        <f t="shared" si="68"/>
        <v>0</v>
      </c>
      <c r="CN276" s="495"/>
      <c r="CO276" s="495"/>
      <c r="CP276" s="495"/>
      <c r="CT276" s="495"/>
      <c r="CU276" s="495"/>
      <c r="CV276" s="495"/>
      <c r="CW276" s="495"/>
      <c r="CX276" s="495"/>
    </row>
    <row r="277" s="425" customFormat="1" ht="31" customHeight="1" spans="1:102">
      <c r="A277" s="455">
        <v>45807</v>
      </c>
      <c r="B277" s="456" t="s">
        <v>888</v>
      </c>
      <c r="C277" s="457" t="s">
        <v>889</v>
      </c>
      <c r="D277" s="425">
        <v>4500168579</v>
      </c>
      <c r="E277" s="457"/>
      <c r="F277" s="425" t="s">
        <v>3849</v>
      </c>
      <c r="G277" s="458" t="s">
        <v>3206</v>
      </c>
      <c r="H277" s="458" t="s">
        <v>3207</v>
      </c>
      <c r="I277" s="458">
        <v>1664</v>
      </c>
      <c r="J277" s="458">
        <v>0</v>
      </c>
      <c r="K277" s="458">
        <v>13</v>
      </c>
      <c r="L277" s="462">
        <f t="shared" si="55"/>
        <v>128</v>
      </c>
      <c r="M277" s="463">
        <v>45842</v>
      </c>
      <c r="N277" s="463">
        <f t="shared" si="72"/>
        <v>45838</v>
      </c>
      <c r="O277" s="464"/>
      <c r="P277" s="464" t="s">
        <v>103</v>
      </c>
      <c r="Q277" s="458"/>
      <c r="R277" s="472">
        <v>45817</v>
      </c>
      <c r="S277" s="472" t="s">
        <v>66</v>
      </c>
      <c r="T277" s="472">
        <v>45825</v>
      </c>
      <c r="U277" s="472"/>
      <c r="V277" s="473" t="s">
        <v>3850</v>
      </c>
      <c r="W277" s="473" t="s">
        <v>370</v>
      </c>
      <c r="X277" s="473">
        <v>0.8947</v>
      </c>
      <c r="Y277" s="480">
        <f t="shared" si="69"/>
        <v>1488.7808</v>
      </c>
      <c r="Z277" s="509" t="s">
        <v>892</v>
      </c>
      <c r="AA277" s="458" t="s">
        <v>3206</v>
      </c>
      <c r="AB277" s="458" t="s">
        <v>76</v>
      </c>
      <c r="AC277" s="458"/>
      <c r="AD277" s="458" t="s">
        <v>69</v>
      </c>
      <c r="AE277" s="458"/>
      <c r="AF277" s="458">
        <v>1664</v>
      </c>
      <c r="AG277" s="458">
        <f t="shared" si="70"/>
        <v>0</v>
      </c>
      <c r="AH277" s="489"/>
      <c r="AI277" s="458"/>
      <c r="AJ277" s="458"/>
      <c r="AK277" s="458"/>
      <c r="AL277" s="426">
        <f t="shared" si="73"/>
        <v>1664</v>
      </c>
      <c r="AO277" s="495"/>
      <c r="AQ277" s="425">
        <f t="shared" ref="AQ277:AQ283" si="74">I277</f>
        <v>1664</v>
      </c>
      <c r="AS277" s="425">
        <f>I277</f>
        <v>1664</v>
      </c>
      <c r="AT277" s="495"/>
      <c r="AY277" s="498">
        <f>I277/24</f>
        <v>69.3333333333333</v>
      </c>
      <c r="BI277" s="425">
        <f>I277/13</f>
        <v>128</v>
      </c>
      <c r="BT277" s="495"/>
      <c r="BV277" s="495"/>
      <c r="CK277" s="425">
        <f t="shared" si="66"/>
        <v>0</v>
      </c>
      <c r="CL277" s="425">
        <f t="shared" si="67"/>
        <v>0</v>
      </c>
      <c r="CM277" s="425">
        <f t="shared" si="68"/>
        <v>0</v>
      </c>
      <c r="CN277" s="495"/>
      <c r="CO277" s="495"/>
      <c r="CP277" s="495"/>
      <c r="CT277" s="495"/>
      <c r="CU277" s="495"/>
      <c r="CV277" s="495"/>
      <c r="CW277" s="495"/>
      <c r="CX277" s="495"/>
    </row>
    <row r="278" s="425" customFormat="1" ht="31" customHeight="1" spans="1:102">
      <c r="A278" s="455">
        <v>45769</v>
      </c>
      <c r="B278" s="456" t="s">
        <v>3851</v>
      </c>
      <c r="C278" s="457" t="s">
        <v>249</v>
      </c>
      <c r="D278" s="425">
        <v>4500163807</v>
      </c>
      <c r="E278" s="457">
        <v>240022</v>
      </c>
      <c r="F278" s="425" t="s">
        <v>3852</v>
      </c>
      <c r="G278" s="458" t="s">
        <v>3143</v>
      </c>
      <c r="H278" s="458" t="s">
        <v>3144</v>
      </c>
      <c r="I278" s="458">
        <v>120</v>
      </c>
      <c r="J278" s="458">
        <v>0</v>
      </c>
      <c r="K278" s="458">
        <v>24</v>
      </c>
      <c r="L278" s="462">
        <f t="shared" si="55"/>
        <v>5</v>
      </c>
      <c r="M278" s="463">
        <v>45842</v>
      </c>
      <c r="N278" s="463">
        <f t="shared" si="72"/>
        <v>45838</v>
      </c>
      <c r="O278" s="464"/>
      <c r="P278" s="464" t="s">
        <v>103</v>
      </c>
      <c r="Q278" s="458"/>
      <c r="R278" s="472">
        <v>45769</v>
      </c>
      <c r="S278" s="472" t="s">
        <v>66</v>
      </c>
      <c r="T278" s="472" t="s">
        <v>66</v>
      </c>
      <c r="U278" s="472"/>
      <c r="V278" s="473" t="s">
        <v>3853</v>
      </c>
      <c r="W278" s="473" t="s">
        <v>879</v>
      </c>
      <c r="X278" s="473">
        <v>0.87</v>
      </c>
      <c r="Y278" s="480">
        <f t="shared" si="69"/>
        <v>104.4</v>
      </c>
      <c r="Z278" s="509" t="s">
        <v>880</v>
      </c>
      <c r="AA278" s="458" t="s">
        <v>3143</v>
      </c>
      <c r="AB278" s="458" t="s">
        <v>76</v>
      </c>
      <c r="AC278" s="458"/>
      <c r="AD278" s="458" t="s">
        <v>69</v>
      </c>
      <c r="AE278" s="458"/>
      <c r="AF278" s="458">
        <v>120</v>
      </c>
      <c r="AG278" s="458">
        <f t="shared" si="70"/>
        <v>0</v>
      </c>
      <c r="AH278" s="489"/>
      <c r="AI278" s="458"/>
      <c r="AJ278" s="458"/>
      <c r="AK278" s="458"/>
      <c r="AL278" s="426">
        <f t="shared" si="73"/>
        <v>120</v>
      </c>
      <c r="AO278" s="495"/>
      <c r="AQ278" s="425">
        <f t="shared" si="74"/>
        <v>120</v>
      </c>
      <c r="AS278" s="425">
        <f>I278</f>
        <v>120</v>
      </c>
      <c r="AT278" s="495"/>
      <c r="AY278" s="498">
        <f>I278/24</f>
        <v>5</v>
      </c>
      <c r="BT278" s="495"/>
      <c r="BV278" s="495"/>
      <c r="CK278" s="425">
        <f t="shared" si="66"/>
        <v>0</v>
      </c>
      <c r="CL278" s="425">
        <f t="shared" si="67"/>
        <v>0</v>
      </c>
      <c r="CM278" s="425">
        <f t="shared" si="68"/>
        <v>0</v>
      </c>
      <c r="CN278" s="495"/>
      <c r="CO278" s="495"/>
      <c r="CP278" s="495"/>
      <c r="CT278" s="495"/>
      <c r="CU278" s="495"/>
      <c r="CV278" s="495"/>
      <c r="CW278" s="495"/>
      <c r="CX278" s="495"/>
    </row>
    <row r="279" s="425" customFormat="1" ht="31" customHeight="1" spans="1:102">
      <c r="A279" s="455">
        <v>45807</v>
      </c>
      <c r="B279" s="456" t="s">
        <v>893</v>
      </c>
      <c r="C279" s="457" t="s">
        <v>356</v>
      </c>
      <c r="D279" s="425">
        <v>4500168656</v>
      </c>
      <c r="E279" s="457"/>
      <c r="F279" s="425" t="s">
        <v>3854</v>
      </c>
      <c r="G279" s="458" t="s">
        <v>3328</v>
      </c>
      <c r="H279" s="458" t="s">
        <v>3194</v>
      </c>
      <c r="I279" s="458">
        <v>300</v>
      </c>
      <c r="J279" s="458">
        <v>0</v>
      </c>
      <c r="K279" s="458">
        <v>30</v>
      </c>
      <c r="L279" s="462">
        <f t="shared" si="55"/>
        <v>10</v>
      </c>
      <c r="M279" s="463">
        <v>45842</v>
      </c>
      <c r="N279" s="463">
        <f t="shared" si="72"/>
        <v>45838</v>
      </c>
      <c r="O279" s="464"/>
      <c r="P279" s="464" t="s">
        <v>103</v>
      </c>
      <c r="Q279" s="458"/>
      <c r="R279" s="472">
        <v>45813</v>
      </c>
      <c r="S279" s="472" t="s">
        <v>66</v>
      </c>
      <c r="T279" s="472">
        <v>45819</v>
      </c>
      <c r="U279" s="472"/>
      <c r="V279" s="473" t="s">
        <v>3855</v>
      </c>
      <c r="W279" s="473" t="s">
        <v>359</v>
      </c>
      <c r="X279" s="473">
        <v>42.7605</v>
      </c>
      <c r="Y279" s="480">
        <f>X279*L279</f>
        <v>427.605</v>
      </c>
      <c r="Z279" s="458" t="s">
        <v>897</v>
      </c>
      <c r="AA279" s="458" t="s">
        <v>3328</v>
      </c>
      <c r="AB279" s="458" t="s">
        <v>76</v>
      </c>
      <c r="AC279" s="458"/>
      <c r="AD279" s="458" t="s">
        <v>69</v>
      </c>
      <c r="AE279" s="458"/>
      <c r="AF279" s="458">
        <v>300</v>
      </c>
      <c r="AG279" s="458">
        <f t="shared" si="70"/>
        <v>0</v>
      </c>
      <c r="AH279" s="489"/>
      <c r="AI279" s="458"/>
      <c r="AJ279" s="458"/>
      <c r="AK279" s="458"/>
      <c r="AL279" s="426">
        <f t="shared" si="73"/>
        <v>300</v>
      </c>
      <c r="AO279" s="495"/>
      <c r="AQ279" s="425">
        <f t="shared" si="74"/>
        <v>300</v>
      </c>
      <c r="AS279" s="425">
        <f>I279</f>
        <v>300</v>
      </c>
      <c r="AT279" s="495"/>
      <c r="AY279" s="498">
        <f>I279/24</f>
        <v>12.5</v>
      </c>
      <c r="BT279" s="495"/>
      <c r="BV279" s="495"/>
      <c r="CF279" s="425">
        <f>I279/30</f>
        <v>10</v>
      </c>
      <c r="CK279" s="425">
        <f t="shared" si="66"/>
        <v>0</v>
      </c>
      <c r="CL279" s="425">
        <f t="shared" si="67"/>
        <v>10</v>
      </c>
      <c r="CM279" s="425">
        <f t="shared" si="68"/>
        <v>0</v>
      </c>
      <c r="CN279" s="495"/>
      <c r="CO279" s="495"/>
      <c r="CP279" s="495"/>
      <c r="CT279" s="495"/>
      <c r="CU279" s="495"/>
      <c r="CV279" s="495"/>
      <c r="CW279" s="495"/>
      <c r="CX279" s="495"/>
    </row>
    <row r="280" s="425" customFormat="1" ht="31" customHeight="1" spans="1:102">
      <c r="A280" s="455">
        <v>45749</v>
      </c>
      <c r="B280" s="456" t="s">
        <v>445</v>
      </c>
      <c r="C280" s="457" t="s">
        <v>446</v>
      </c>
      <c r="D280" s="425">
        <v>4500162474</v>
      </c>
      <c r="E280" s="457" t="s">
        <v>447</v>
      </c>
      <c r="F280" s="425" t="s">
        <v>3856</v>
      </c>
      <c r="G280" s="458" t="s">
        <v>3857</v>
      </c>
      <c r="H280" s="458" t="s">
        <v>3542</v>
      </c>
      <c r="I280" s="458">
        <v>1450</v>
      </c>
      <c r="J280" s="458">
        <v>0</v>
      </c>
      <c r="K280" s="458">
        <v>50</v>
      </c>
      <c r="L280" s="462">
        <f t="shared" si="55"/>
        <v>29</v>
      </c>
      <c r="M280" s="463">
        <v>45842</v>
      </c>
      <c r="N280" s="463">
        <f t="shared" si="72"/>
        <v>45838</v>
      </c>
      <c r="O280" s="464"/>
      <c r="P280" s="464" t="s">
        <v>103</v>
      </c>
      <c r="Q280" s="458"/>
      <c r="R280" s="472">
        <v>45796</v>
      </c>
      <c r="S280" s="472" t="s">
        <v>66</v>
      </c>
      <c r="T280" s="472" t="s">
        <v>3814</v>
      </c>
      <c r="U280" s="472"/>
      <c r="V280" s="473" t="s">
        <v>3858</v>
      </c>
      <c r="W280" s="473" t="s">
        <v>3816</v>
      </c>
      <c r="X280" s="473">
        <v>0.95</v>
      </c>
      <c r="Y280" s="480">
        <f>X280*I280</f>
        <v>1377.5</v>
      </c>
      <c r="Z280" s="517" t="s">
        <v>452</v>
      </c>
      <c r="AA280" s="458" t="s">
        <v>3541</v>
      </c>
      <c r="AB280" s="458" t="s">
        <v>76</v>
      </c>
      <c r="AC280" s="458"/>
      <c r="AD280" s="458" t="s">
        <v>69</v>
      </c>
      <c r="AE280" s="458"/>
      <c r="AF280" s="458">
        <v>1450</v>
      </c>
      <c r="AG280" s="458">
        <f t="shared" si="70"/>
        <v>0</v>
      </c>
      <c r="AH280" s="489"/>
      <c r="AI280" s="458"/>
      <c r="AJ280" s="458"/>
      <c r="AK280" s="458"/>
      <c r="AL280" s="425">
        <f t="shared" si="73"/>
        <v>1450</v>
      </c>
      <c r="AO280" s="495"/>
      <c r="AQ280" s="425">
        <f t="shared" si="74"/>
        <v>1450</v>
      </c>
      <c r="AT280" s="495"/>
      <c r="AW280" s="425">
        <f>I280</f>
        <v>1450</v>
      </c>
      <c r="AY280" s="498">
        <f>I280/24*2</f>
        <v>120.833333333333</v>
      </c>
      <c r="BS280" s="425">
        <f>I280/25</f>
        <v>58</v>
      </c>
      <c r="BT280" s="495"/>
      <c r="BV280" s="495"/>
      <c r="CK280" s="425">
        <f t="shared" si="66"/>
        <v>58</v>
      </c>
      <c r="CL280" s="425">
        <f t="shared" si="67"/>
        <v>0</v>
      </c>
      <c r="CM280" s="425">
        <f t="shared" si="68"/>
        <v>0</v>
      </c>
      <c r="CN280" s="495"/>
      <c r="CO280" s="495"/>
      <c r="CP280" s="495"/>
      <c r="CT280" s="495"/>
      <c r="CU280" s="495"/>
      <c r="CV280" s="495"/>
      <c r="CW280" s="495"/>
      <c r="CX280" s="495"/>
    </row>
    <row r="281" s="425" customFormat="1" ht="31" customHeight="1" spans="1:102">
      <c r="A281" s="455">
        <v>45776</v>
      </c>
      <c r="B281" s="456" t="s">
        <v>445</v>
      </c>
      <c r="C281" s="457" t="s">
        <v>446</v>
      </c>
      <c r="D281" s="425">
        <v>4500162474</v>
      </c>
      <c r="E281" s="457" t="s">
        <v>447</v>
      </c>
      <c r="F281" s="425" t="s">
        <v>3859</v>
      </c>
      <c r="G281" s="458" t="s">
        <v>3860</v>
      </c>
      <c r="H281" s="458" t="s">
        <v>3821</v>
      </c>
      <c r="I281" s="458">
        <v>1050</v>
      </c>
      <c r="J281" s="458">
        <v>0</v>
      </c>
      <c r="K281" s="458">
        <v>30</v>
      </c>
      <c r="L281" s="462">
        <f t="shared" si="55"/>
        <v>35</v>
      </c>
      <c r="M281" s="463">
        <v>45842</v>
      </c>
      <c r="N281" s="463">
        <f t="shared" si="72"/>
        <v>45838</v>
      </c>
      <c r="O281" s="464"/>
      <c r="P281" s="464" t="s">
        <v>103</v>
      </c>
      <c r="Q281" s="458"/>
      <c r="R281" s="472">
        <v>45796</v>
      </c>
      <c r="S281" s="472" t="s">
        <v>66</v>
      </c>
      <c r="T281" s="472" t="s">
        <v>3814</v>
      </c>
      <c r="U281" s="472"/>
      <c r="V281" s="473" t="s">
        <v>3858</v>
      </c>
      <c r="W281" s="473" t="s">
        <v>3816</v>
      </c>
      <c r="X281" s="473">
        <v>44.6</v>
      </c>
      <c r="Y281" s="480">
        <f>X281*L281</f>
        <v>1561</v>
      </c>
      <c r="Z281" s="517" t="s">
        <v>452</v>
      </c>
      <c r="AA281" s="458" t="s">
        <v>3820</v>
      </c>
      <c r="AB281" s="458" t="s">
        <v>76</v>
      </c>
      <c r="AC281" s="458"/>
      <c r="AD281" s="458" t="s">
        <v>69</v>
      </c>
      <c r="AE281" s="458"/>
      <c r="AF281" s="458">
        <v>1050</v>
      </c>
      <c r="AG281" s="458">
        <f t="shared" si="70"/>
        <v>0</v>
      </c>
      <c r="AH281" s="489"/>
      <c r="AI281" s="458"/>
      <c r="AJ281" s="458"/>
      <c r="AK281" s="458"/>
      <c r="AL281" s="425">
        <f t="shared" si="73"/>
        <v>1050</v>
      </c>
      <c r="AO281" s="495"/>
      <c r="AQ281" s="425">
        <f t="shared" si="74"/>
        <v>1050</v>
      </c>
      <c r="AT281" s="495"/>
      <c r="AW281" s="425">
        <f>I281</f>
        <v>1050</v>
      </c>
      <c r="AY281" s="498">
        <f>I281/24*2</f>
        <v>87.5</v>
      </c>
      <c r="BT281" s="495"/>
      <c r="BV281" s="495"/>
      <c r="CG281" s="425">
        <f>I281/30</f>
        <v>35</v>
      </c>
      <c r="CK281" s="425">
        <f t="shared" si="66"/>
        <v>0</v>
      </c>
      <c r="CL281" s="425">
        <f t="shared" si="67"/>
        <v>35</v>
      </c>
      <c r="CM281" s="425">
        <f t="shared" si="68"/>
        <v>0</v>
      </c>
      <c r="CN281" s="495"/>
      <c r="CO281" s="495"/>
      <c r="CP281" s="495"/>
      <c r="CT281" s="495"/>
      <c r="CU281" s="495"/>
      <c r="CV281" s="495"/>
      <c r="CW281" s="495"/>
      <c r="CX281" s="495"/>
    </row>
    <row r="282" s="425" customFormat="1" ht="31" customHeight="1" spans="1:102">
      <c r="A282" s="455">
        <v>45770</v>
      </c>
      <c r="B282" s="456" t="s">
        <v>3861</v>
      </c>
      <c r="C282" s="457" t="s">
        <v>1725</v>
      </c>
      <c r="D282" s="425">
        <v>4500163833</v>
      </c>
      <c r="E282" s="457" t="s">
        <v>3862</v>
      </c>
      <c r="F282" s="425" t="s">
        <v>3863</v>
      </c>
      <c r="G282" s="458" t="s">
        <v>3161</v>
      </c>
      <c r="H282" s="458" t="s">
        <v>3221</v>
      </c>
      <c r="I282" s="458">
        <v>1000</v>
      </c>
      <c r="J282" s="458">
        <v>0</v>
      </c>
      <c r="K282" s="458">
        <v>50</v>
      </c>
      <c r="L282" s="462">
        <f t="shared" si="55"/>
        <v>20</v>
      </c>
      <c r="M282" s="463">
        <v>45838</v>
      </c>
      <c r="N282" s="463">
        <v>45839</v>
      </c>
      <c r="O282" s="464"/>
      <c r="P282" s="464" t="s">
        <v>103</v>
      </c>
      <c r="Q282" s="458"/>
      <c r="R282" s="472">
        <v>45812</v>
      </c>
      <c r="S282" s="472" t="s">
        <v>66</v>
      </c>
      <c r="T282" s="472">
        <v>45825</v>
      </c>
      <c r="U282" s="472"/>
      <c r="V282" s="473" t="s">
        <v>3864</v>
      </c>
      <c r="W282" s="473" t="s">
        <v>473</v>
      </c>
      <c r="X282" s="473">
        <v>0.95</v>
      </c>
      <c r="Y282" s="480">
        <f>X282*I282</f>
        <v>950</v>
      </c>
      <c r="Z282" s="458" t="s">
        <v>3865</v>
      </c>
      <c r="AA282" s="458" t="s">
        <v>3161</v>
      </c>
      <c r="AB282" s="458" t="s">
        <v>76</v>
      </c>
      <c r="AC282" s="458"/>
      <c r="AD282" s="458" t="s">
        <v>69</v>
      </c>
      <c r="AE282" s="458"/>
      <c r="AF282" s="458">
        <v>1000</v>
      </c>
      <c r="AG282" s="458">
        <f t="shared" si="70"/>
        <v>0</v>
      </c>
      <c r="AH282" s="489"/>
      <c r="AI282" s="458"/>
      <c r="AJ282" s="458"/>
      <c r="AK282" s="458"/>
      <c r="AL282" s="426">
        <f t="shared" si="73"/>
        <v>1000</v>
      </c>
      <c r="AO282" s="495"/>
      <c r="AQ282" s="425">
        <f t="shared" si="74"/>
        <v>1000</v>
      </c>
      <c r="AS282" s="425">
        <f>I282</f>
        <v>1000</v>
      </c>
      <c r="AT282" s="495"/>
      <c r="AY282" s="498">
        <f>I282/24</f>
        <v>41.6666666666667</v>
      </c>
      <c r="BL282" s="425">
        <f>I282/25</f>
        <v>40</v>
      </c>
      <c r="BT282" s="495"/>
      <c r="BV282" s="495"/>
      <c r="CK282" s="425">
        <f t="shared" si="66"/>
        <v>40</v>
      </c>
      <c r="CL282" s="425">
        <f t="shared" si="67"/>
        <v>0</v>
      </c>
      <c r="CM282" s="425">
        <f t="shared" si="68"/>
        <v>0</v>
      </c>
      <c r="CN282" s="495"/>
      <c r="CO282" s="495"/>
      <c r="CP282" s="495"/>
      <c r="CT282" s="495"/>
      <c r="CU282" s="495"/>
      <c r="CV282" s="495"/>
      <c r="CW282" s="495"/>
      <c r="CX282" s="495"/>
    </row>
    <row r="283" s="425" customFormat="1" ht="31" customHeight="1" spans="1:102">
      <c r="A283" s="455">
        <v>45807</v>
      </c>
      <c r="B283" s="456" t="s">
        <v>3866</v>
      </c>
      <c r="C283" s="457" t="s">
        <v>356</v>
      </c>
      <c r="D283" s="425">
        <v>4500170289</v>
      </c>
      <c r="E283" s="457">
        <v>5200007051</v>
      </c>
      <c r="F283" s="425" t="s">
        <v>3867</v>
      </c>
      <c r="G283" s="458" t="s">
        <v>3560</v>
      </c>
      <c r="H283" s="458" t="s">
        <v>3194</v>
      </c>
      <c r="I283" s="458">
        <v>2400</v>
      </c>
      <c r="J283" s="458">
        <v>0</v>
      </c>
      <c r="K283" s="458">
        <v>30</v>
      </c>
      <c r="L283" s="462">
        <f t="shared" si="55"/>
        <v>80</v>
      </c>
      <c r="M283" s="463">
        <v>45844</v>
      </c>
      <c r="N283" s="463">
        <v>45840</v>
      </c>
      <c r="O283" s="464"/>
      <c r="P283" s="464" t="s">
        <v>103</v>
      </c>
      <c r="Q283" s="458"/>
      <c r="R283" s="472">
        <v>45813</v>
      </c>
      <c r="S283" s="472" t="s">
        <v>66</v>
      </c>
      <c r="T283" s="472" t="s">
        <v>3868</v>
      </c>
      <c r="U283" s="472"/>
      <c r="V283" s="473" t="s">
        <v>3869</v>
      </c>
      <c r="W283" s="473" t="s">
        <v>391</v>
      </c>
      <c r="X283" s="473">
        <v>42.7605</v>
      </c>
      <c r="Y283" s="480">
        <f>X283*L283</f>
        <v>3420.84</v>
      </c>
      <c r="Z283" s="458" t="s">
        <v>3870</v>
      </c>
      <c r="AA283" s="458" t="s">
        <v>3328</v>
      </c>
      <c r="AB283" s="458" t="s">
        <v>76</v>
      </c>
      <c r="AC283" s="458"/>
      <c r="AD283" s="458" t="s">
        <v>69</v>
      </c>
      <c r="AE283" s="458"/>
      <c r="AF283" s="458">
        <v>2400</v>
      </c>
      <c r="AG283" s="458">
        <f t="shared" si="70"/>
        <v>0</v>
      </c>
      <c r="AH283" s="489"/>
      <c r="AI283" s="458"/>
      <c r="AJ283" s="458"/>
      <c r="AK283" s="458"/>
      <c r="AL283" s="426">
        <f t="shared" si="73"/>
        <v>2400</v>
      </c>
      <c r="AO283" s="495"/>
      <c r="AQ283" s="425">
        <f t="shared" si="74"/>
        <v>2400</v>
      </c>
      <c r="AS283" s="425">
        <f>I283</f>
        <v>2400</v>
      </c>
      <c r="AT283" s="495"/>
      <c r="AY283" s="498">
        <f>I283/24</f>
        <v>100</v>
      </c>
      <c r="BT283" s="495"/>
      <c r="BV283" s="495"/>
      <c r="CF283" s="425">
        <f>I283/30</f>
        <v>80</v>
      </c>
      <c r="CK283" s="425">
        <f t="shared" si="66"/>
        <v>0</v>
      </c>
      <c r="CL283" s="425">
        <f t="shared" si="67"/>
        <v>80</v>
      </c>
      <c r="CM283" s="425">
        <f t="shared" si="68"/>
        <v>0</v>
      </c>
      <c r="CN283" s="495"/>
      <c r="CO283" s="495"/>
      <c r="CP283" s="495"/>
      <c r="CT283" s="495"/>
      <c r="CU283" s="495"/>
      <c r="CV283" s="495"/>
      <c r="CW283" s="495"/>
      <c r="CX283" s="495"/>
    </row>
    <row r="284" s="425" customFormat="1" ht="31" customHeight="1" spans="1:102">
      <c r="A284" s="455">
        <v>45806</v>
      </c>
      <c r="B284" s="456" t="s">
        <v>128</v>
      </c>
      <c r="C284" s="457" t="s">
        <v>90</v>
      </c>
      <c r="D284" s="425">
        <v>4500168367</v>
      </c>
      <c r="E284" s="457">
        <v>907594844</v>
      </c>
      <c r="F284" s="425" t="s">
        <v>3871</v>
      </c>
      <c r="G284" s="458" t="s">
        <v>3180</v>
      </c>
      <c r="H284" s="458" t="s">
        <v>3181</v>
      </c>
      <c r="I284" s="458">
        <v>6128</v>
      </c>
      <c r="J284" s="458">
        <v>0</v>
      </c>
      <c r="K284" s="458">
        <v>16</v>
      </c>
      <c r="L284" s="462">
        <f t="shared" ref="L284:L323" si="75">I284/K284</f>
        <v>383</v>
      </c>
      <c r="M284" s="463">
        <v>45840</v>
      </c>
      <c r="N284" s="463">
        <v>45842</v>
      </c>
      <c r="O284" s="464" t="s">
        <v>3872</v>
      </c>
      <c r="P284" s="464" t="s">
        <v>103</v>
      </c>
      <c r="Q284" s="458"/>
      <c r="R284" s="472" t="s">
        <v>3873</v>
      </c>
      <c r="S284" s="472" t="s">
        <v>66</v>
      </c>
      <c r="T284" s="472" t="s">
        <v>133</v>
      </c>
      <c r="U284" s="472"/>
      <c r="V284" s="473" t="s">
        <v>3751</v>
      </c>
      <c r="W284" s="473" t="s">
        <v>98</v>
      </c>
      <c r="X284" s="473">
        <v>0.5936</v>
      </c>
      <c r="Y284" s="480">
        <f t="shared" ref="Y284:Y302" si="76">X284*I284</f>
        <v>3637.5808</v>
      </c>
      <c r="Z284" s="458" t="s">
        <v>3874</v>
      </c>
      <c r="AA284" s="458" t="s">
        <v>3180</v>
      </c>
      <c r="AB284" s="458" t="s">
        <v>76</v>
      </c>
      <c r="AC284" s="458"/>
      <c r="AD284" s="458" t="s">
        <v>69</v>
      </c>
      <c r="AE284" s="458"/>
      <c r="AF284" s="458">
        <v>6128</v>
      </c>
      <c r="AG284" s="458">
        <f t="shared" si="70"/>
        <v>0</v>
      </c>
      <c r="AH284" s="489"/>
      <c r="AI284" s="458"/>
      <c r="AJ284" s="458"/>
      <c r="AK284" s="458">
        <f t="shared" ref="AK284:AK291" si="77">I284</f>
        <v>6128</v>
      </c>
      <c r="AM284" s="425">
        <f t="shared" ref="AM284:AM291" si="78">I284</f>
        <v>6128</v>
      </c>
      <c r="AO284" s="495"/>
      <c r="AR284" s="425">
        <f t="shared" ref="AR284:AR291" si="79">I284</f>
        <v>6128</v>
      </c>
      <c r="AT284" s="495"/>
      <c r="AY284" s="498">
        <f t="shared" ref="AY284:AY291" si="80">I284/48</f>
        <v>127.666666666667</v>
      </c>
      <c r="BM284" s="425">
        <f>I284/16</f>
        <v>383</v>
      </c>
      <c r="BT284" s="495"/>
      <c r="BV284" s="495"/>
      <c r="CK284" s="425">
        <f t="shared" si="66"/>
        <v>383</v>
      </c>
      <c r="CL284" s="425">
        <f t="shared" si="67"/>
        <v>0</v>
      </c>
      <c r="CM284" s="425">
        <f t="shared" si="68"/>
        <v>0</v>
      </c>
      <c r="CN284" s="495"/>
      <c r="CO284" s="495"/>
      <c r="CP284" s="495"/>
      <c r="CT284" s="495"/>
      <c r="CU284" s="495"/>
      <c r="CV284" s="495"/>
      <c r="CW284" s="495"/>
      <c r="CX284" s="495"/>
    </row>
    <row r="285" s="425" customFormat="1" ht="31" customHeight="1" spans="1:102">
      <c r="A285" s="455">
        <v>45806</v>
      </c>
      <c r="B285" s="456" t="s">
        <v>128</v>
      </c>
      <c r="C285" s="457" t="s">
        <v>90</v>
      </c>
      <c r="D285" s="425">
        <v>4500168367</v>
      </c>
      <c r="E285" s="895" t="s">
        <v>3875</v>
      </c>
      <c r="F285" s="425" t="s">
        <v>3876</v>
      </c>
      <c r="G285" s="458" t="s">
        <v>3180</v>
      </c>
      <c r="H285" s="458" t="s">
        <v>3181</v>
      </c>
      <c r="I285" s="458">
        <v>8576</v>
      </c>
      <c r="J285" s="458">
        <v>0</v>
      </c>
      <c r="K285" s="458">
        <v>16</v>
      </c>
      <c r="L285" s="462">
        <f t="shared" si="75"/>
        <v>536</v>
      </c>
      <c r="M285" s="463">
        <v>45840</v>
      </c>
      <c r="N285" s="463">
        <v>45842</v>
      </c>
      <c r="O285" s="464" t="s">
        <v>3872</v>
      </c>
      <c r="P285" s="464" t="s">
        <v>103</v>
      </c>
      <c r="Q285" s="458"/>
      <c r="R285" s="472" t="s">
        <v>3873</v>
      </c>
      <c r="S285" s="472" t="s">
        <v>66</v>
      </c>
      <c r="T285" s="472" t="s">
        <v>133</v>
      </c>
      <c r="U285" s="472"/>
      <c r="V285" s="473" t="s">
        <v>3751</v>
      </c>
      <c r="W285" s="473" t="s">
        <v>98</v>
      </c>
      <c r="X285" s="473">
        <v>0.5936</v>
      </c>
      <c r="Y285" s="480">
        <f t="shared" si="76"/>
        <v>5090.7136</v>
      </c>
      <c r="Z285" s="458" t="s">
        <v>3877</v>
      </c>
      <c r="AA285" s="458" t="s">
        <v>3180</v>
      </c>
      <c r="AB285" s="458" t="s">
        <v>76</v>
      </c>
      <c r="AC285" s="458"/>
      <c r="AD285" s="458" t="s">
        <v>69</v>
      </c>
      <c r="AE285" s="458"/>
      <c r="AF285" s="458">
        <v>8576</v>
      </c>
      <c r="AG285" s="458">
        <f t="shared" si="70"/>
        <v>0</v>
      </c>
      <c r="AH285" s="489"/>
      <c r="AI285" s="458"/>
      <c r="AJ285" s="458"/>
      <c r="AK285" s="458">
        <f t="shared" si="77"/>
        <v>8576</v>
      </c>
      <c r="AM285" s="425">
        <f t="shared" si="78"/>
        <v>8576</v>
      </c>
      <c r="AO285" s="495"/>
      <c r="AR285" s="425">
        <f t="shared" si="79"/>
        <v>8576</v>
      </c>
      <c r="AT285" s="495"/>
      <c r="AY285" s="498">
        <f t="shared" si="80"/>
        <v>178.666666666667</v>
      </c>
      <c r="BM285" s="425">
        <f>I285/16</f>
        <v>536</v>
      </c>
      <c r="BT285" s="495"/>
      <c r="BV285" s="495"/>
      <c r="CK285" s="425">
        <f t="shared" si="66"/>
        <v>536</v>
      </c>
      <c r="CL285" s="425">
        <f t="shared" si="67"/>
        <v>0</v>
      </c>
      <c r="CM285" s="425">
        <f t="shared" si="68"/>
        <v>0</v>
      </c>
      <c r="CN285" s="495"/>
      <c r="CO285" s="495"/>
      <c r="CP285" s="495"/>
      <c r="CT285" s="495"/>
      <c r="CU285" s="495"/>
      <c r="CV285" s="495"/>
      <c r="CW285" s="495"/>
      <c r="CX285" s="495"/>
    </row>
    <row r="286" s="425" customFormat="1" ht="31" customHeight="1" spans="1:102">
      <c r="A286" s="455">
        <v>45806</v>
      </c>
      <c r="B286" s="456" t="s">
        <v>128</v>
      </c>
      <c r="C286" s="457" t="s">
        <v>90</v>
      </c>
      <c r="D286" s="425">
        <v>4500168367</v>
      </c>
      <c r="E286" s="457">
        <v>907594933</v>
      </c>
      <c r="F286" s="425" t="s">
        <v>3878</v>
      </c>
      <c r="G286" s="458" t="s">
        <v>3180</v>
      </c>
      <c r="H286" s="458" t="s">
        <v>3181</v>
      </c>
      <c r="I286" s="458">
        <v>6464</v>
      </c>
      <c r="J286" s="458">
        <v>0</v>
      </c>
      <c r="K286" s="458">
        <v>16</v>
      </c>
      <c r="L286" s="462">
        <f t="shared" si="75"/>
        <v>404</v>
      </c>
      <c r="M286" s="463">
        <v>45840</v>
      </c>
      <c r="N286" s="463">
        <v>45842</v>
      </c>
      <c r="O286" s="464" t="s">
        <v>3872</v>
      </c>
      <c r="P286" s="464" t="s">
        <v>103</v>
      </c>
      <c r="Q286" s="458"/>
      <c r="R286" s="472" t="s">
        <v>3873</v>
      </c>
      <c r="S286" s="472" t="s">
        <v>66</v>
      </c>
      <c r="T286" s="472" t="s">
        <v>133</v>
      </c>
      <c r="U286" s="472"/>
      <c r="V286" s="473" t="s">
        <v>3751</v>
      </c>
      <c r="W286" s="473" t="s">
        <v>98</v>
      </c>
      <c r="X286" s="473">
        <v>0.5936</v>
      </c>
      <c r="Y286" s="480">
        <f t="shared" si="76"/>
        <v>3837.0304</v>
      </c>
      <c r="Z286" s="458" t="s">
        <v>3879</v>
      </c>
      <c r="AA286" s="458" t="s">
        <v>3180</v>
      </c>
      <c r="AB286" s="458" t="s">
        <v>76</v>
      </c>
      <c r="AC286" s="458"/>
      <c r="AD286" s="458" t="s">
        <v>69</v>
      </c>
      <c r="AE286" s="458"/>
      <c r="AF286" s="458">
        <v>6464</v>
      </c>
      <c r="AG286" s="458">
        <f t="shared" si="70"/>
        <v>0</v>
      </c>
      <c r="AH286" s="489"/>
      <c r="AI286" s="458"/>
      <c r="AJ286" s="458"/>
      <c r="AK286" s="458">
        <f t="shared" si="77"/>
        <v>6464</v>
      </c>
      <c r="AM286" s="425">
        <f t="shared" si="78"/>
        <v>6464</v>
      </c>
      <c r="AO286" s="495"/>
      <c r="AR286" s="425">
        <f t="shared" si="79"/>
        <v>6464</v>
      </c>
      <c r="AT286" s="495"/>
      <c r="AY286" s="498">
        <f t="shared" si="80"/>
        <v>134.666666666667</v>
      </c>
      <c r="BM286" s="425">
        <f>I286/16</f>
        <v>404</v>
      </c>
      <c r="BT286" s="495"/>
      <c r="BV286" s="495"/>
      <c r="CK286" s="425">
        <f t="shared" si="66"/>
        <v>404</v>
      </c>
      <c r="CL286" s="425">
        <f t="shared" si="67"/>
        <v>0</v>
      </c>
      <c r="CM286" s="425">
        <f t="shared" si="68"/>
        <v>0</v>
      </c>
      <c r="CN286" s="495"/>
      <c r="CO286" s="495"/>
      <c r="CP286" s="495"/>
      <c r="CT286" s="495"/>
      <c r="CU286" s="495"/>
      <c r="CV286" s="495"/>
      <c r="CW286" s="495"/>
      <c r="CX286" s="495"/>
    </row>
    <row r="287" s="425" customFormat="1" ht="31" customHeight="1" spans="1:102">
      <c r="A287" s="455">
        <v>45806</v>
      </c>
      <c r="B287" s="456" t="s">
        <v>128</v>
      </c>
      <c r="C287" s="457" t="s">
        <v>90</v>
      </c>
      <c r="D287" s="425">
        <v>4500168367</v>
      </c>
      <c r="E287" s="895" t="s">
        <v>3880</v>
      </c>
      <c r="F287" s="425" t="s">
        <v>3881</v>
      </c>
      <c r="G287" s="458" t="s">
        <v>3180</v>
      </c>
      <c r="H287" s="458" t="s">
        <v>3181</v>
      </c>
      <c r="I287" s="458">
        <v>5888</v>
      </c>
      <c r="J287" s="458">
        <v>0</v>
      </c>
      <c r="K287" s="458">
        <v>16</v>
      </c>
      <c r="L287" s="462">
        <f t="shared" si="75"/>
        <v>368</v>
      </c>
      <c r="M287" s="463">
        <v>45840</v>
      </c>
      <c r="N287" s="463">
        <v>45842</v>
      </c>
      <c r="O287" s="464" t="s">
        <v>3872</v>
      </c>
      <c r="P287" s="464" t="s">
        <v>103</v>
      </c>
      <c r="Q287" s="458"/>
      <c r="R287" s="472" t="s">
        <v>3873</v>
      </c>
      <c r="S287" s="472" t="s">
        <v>66</v>
      </c>
      <c r="T287" s="472" t="s">
        <v>133</v>
      </c>
      <c r="U287" s="472"/>
      <c r="V287" s="473" t="s">
        <v>3751</v>
      </c>
      <c r="W287" s="473" t="s">
        <v>98</v>
      </c>
      <c r="X287" s="473">
        <v>0.5936</v>
      </c>
      <c r="Y287" s="480">
        <f t="shared" si="76"/>
        <v>3495.1168</v>
      </c>
      <c r="Z287" s="458" t="s">
        <v>3882</v>
      </c>
      <c r="AA287" s="458" t="s">
        <v>3180</v>
      </c>
      <c r="AB287" s="458" t="s">
        <v>76</v>
      </c>
      <c r="AC287" s="458"/>
      <c r="AD287" s="458" t="s">
        <v>69</v>
      </c>
      <c r="AE287" s="458"/>
      <c r="AF287" s="458">
        <v>5888</v>
      </c>
      <c r="AG287" s="458">
        <f t="shared" si="70"/>
        <v>0</v>
      </c>
      <c r="AH287" s="489"/>
      <c r="AI287" s="458"/>
      <c r="AJ287" s="458"/>
      <c r="AK287" s="458">
        <f t="shared" si="77"/>
        <v>5888</v>
      </c>
      <c r="AM287" s="425">
        <f t="shared" si="78"/>
        <v>5888</v>
      </c>
      <c r="AO287" s="495"/>
      <c r="AR287" s="425">
        <f t="shared" si="79"/>
        <v>5888</v>
      </c>
      <c r="AT287" s="495"/>
      <c r="AY287" s="498">
        <f t="shared" si="80"/>
        <v>122.666666666667</v>
      </c>
      <c r="BM287" s="425">
        <f>I287/16</f>
        <v>368</v>
      </c>
      <c r="BT287" s="495"/>
      <c r="BV287" s="495"/>
      <c r="CK287" s="425">
        <f t="shared" si="66"/>
        <v>368</v>
      </c>
      <c r="CL287" s="425">
        <f t="shared" si="67"/>
        <v>0</v>
      </c>
      <c r="CM287" s="425">
        <f t="shared" si="68"/>
        <v>0</v>
      </c>
      <c r="CN287" s="495"/>
      <c r="CO287" s="495"/>
      <c r="CP287" s="495"/>
      <c r="CT287" s="495"/>
      <c r="CU287" s="495"/>
      <c r="CV287" s="495"/>
      <c r="CW287" s="495"/>
      <c r="CX287" s="495"/>
    </row>
    <row r="288" s="425" customFormat="1" ht="31" customHeight="1" spans="1:102">
      <c r="A288" s="455">
        <v>45812</v>
      </c>
      <c r="B288" s="456" t="s">
        <v>128</v>
      </c>
      <c r="C288" s="457" t="s">
        <v>90</v>
      </c>
      <c r="D288" s="425">
        <v>4500168957</v>
      </c>
      <c r="E288" s="895" t="s">
        <v>959</v>
      </c>
      <c r="F288" s="425" t="s">
        <v>3883</v>
      </c>
      <c r="G288" s="458" t="s">
        <v>3884</v>
      </c>
      <c r="H288" s="458" t="s">
        <v>3151</v>
      </c>
      <c r="I288" s="458">
        <v>1264</v>
      </c>
      <c r="J288" s="458">
        <v>0</v>
      </c>
      <c r="K288" s="458">
        <v>16</v>
      </c>
      <c r="L288" s="462">
        <f t="shared" si="75"/>
        <v>79</v>
      </c>
      <c r="M288" s="463">
        <v>45847</v>
      </c>
      <c r="N288" s="463">
        <v>45843</v>
      </c>
      <c r="O288" s="464" t="s">
        <v>961</v>
      </c>
      <c r="P288" s="464" t="s">
        <v>103</v>
      </c>
      <c r="Q288" s="458"/>
      <c r="R288" s="472" t="s">
        <v>3885</v>
      </c>
      <c r="S288" s="472" t="s">
        <v>66</v>
      </c>
      <c r="T288" s="472" t="s">
        <v>133</v>
      </c>
      <c r="U288" s="472"/>
      <c r="V288" s="473" t="s">
        <v>3886</v>
      </c>
      <c r="W288" s="473" t="s">
        <v>98</v>
      </c>
      <c r="X288" s="473">
        <v>0.5252</v>
      </c>
      <c r="Y288" s="480">
        <f t="shared" si="76"/>
        <v>663.8528</v>
      </c>
      <c r="Z288" s="458" t="s">
        <v>3887</v>
      </c>
      <c r="AA288" s="458" t="s">
        <v>3884</v>
      </c>
      <c r="AB288" s="458" t="s">
        <v>76</v>
      </c>
      <c r="AC288" s="458"/>
      <c r="AD288" s="458" t="s">
        <v>69</v>
      </c>
      <c r="AE288" s="458"/>
      <c r="AF288" s="458">
        <v>1264</v>
      </c>
      <c r="AG288" s="458">
        <f t="shared" si="70"/>
        <v>0</v>
      </c>
      <c r="AH288" s="489"/>
      <c r="AI288" s="458"/>
      <c r="AJ288" s="458"/>
      <c r="AK288" s="458">
        <f t="shared" si="77"/>
        <v>1264</v>
      </c>
      <c r="AM288" s="425">
        <f t="shared" si="78"/>
        <v>1264</v>
      </c>
      <c r="AO288" s="495"/>
      <c r="AR288" s="425">
        <f t="shared" si="79"/>
        <v>1264</v>
      </c>
      <c r="AT288" s="495"/>
      <c r="AY288" s="498">
        <f t="shared" si="80"/>
        <v>26.3333333333333</v>
      </c>
      <c r="BT288" s="495"/>
      <c r="BV288" s="495"/>
      <c r="CK288" s="425">
        <f t="shared" si="66"/>
        <v>0</v>
      </c>
      <c r="CL288" s="425">
        <f t="shared" si="67"/>
        <v>0</v>
      </c>
      <c r="CM288" s="425">
        <f t="shared" si="68"/>
        <v>0</v>
      </c>
      <c r="CN288" s="495"/>
      <c r="CO288" s="495"/>
      <c r="CP288" s="495"/>
      <c r="CT288" s="495"/>
      <c r="CU288" s="495"/>
      <c r="CV288" s="495"/>
      <c r="CW288" s="495"/>
      <c r="CX288" s="495"/>
    </row>
    <row r="289" s="425" customFormat="1" ht="31" customHeight="1" spans="1:102">
      <c r="A289" s="455">
        <v>45812</v>
      </c>
      <c r="B289" s="456" t="s">
        <v>128</v>
      </c>
      <c r="C289" s="457" t="s">
        <v>90</v>
      </c>
      <c r="D289" s="425">
        <v>4500168957</v>
      </c>
      <c r="E289" s="895" t="s">
        <v>1026</v>
      </c>
      <c r="F289" s="425" t="s">
        <v>3888</v>
      </c>
      <c r="G289" s="458" t="s">
        <v>3884</v>
      </c>
      <c r="H289" s="458" t="s">
        <v>3151</v>
      </c>
      <c r="I289" s="458">
        <v>1792</v>
      </c>
      <c r="J289" s="458">
        <v>0</v>
      </c>
      <c r="K289" s="458">
        <v>16</v>
      </c>
      <c r="L289" s="462">
        <f t="shared" si="75"/>
        <v>112</v>
      </c>
      <c r="M289" s="463">
        <v>45847</v>
      </c>
      <c r="N289" s="463">
        <v>45843</v>
      </c>
      <c r="O289" s="464" t="s">
        <v>949</v>
      </c>
      <c r="P289" s="464" t="s">
        <v>103</v>
      </c>
      <c r="Q289" s="458"/>
      <c r="R289" s="472" t="s">
        <v>3885</v>
      </c>
      <c r="S289" s="472" t="s">
        <v>66</v>
      </c>
      <c r="T289" s="472" t="s">
        <v>133</v>
      </c>
      <c r="U289" s="472"/>
      <c r="V289" s="473" t="s">
        <v>3886</v>
      </c>
      <c r="W289" s="473" t="s">
        <v>98</v>
      </c>
      <c r="X289" s="473">
        <v>0.5252</v>
      </c>
      <c r="Y289" s="480">
        <f t="shared" si="76"/>
        <v>941.1584</v>
      </c>
      <c r="Z289" s="458" t="s">
        <v>3889</v>
      </c>
      <c r="AA289" s="458" t="s">
        <v>3884</v>
      </c>
      <c r="AB289" s="458" t="s">
        <v>76</v>
      </c>
      <c r="AC289" s="458"/>
      <c r="AD289" s="458" t="s">
        <v>69</v>
      </c>
      <c r="AE289" s="458"/>
      <c r="AF289" s="458">
        <v>1792</v>
      </c>
      <c r="AG289" s="458">
        <f t="shared" si="70"/>
        <v>0</v>
      </c>
      <c r="AH289" s="489"/>
      <c r="AI289" s="458"/>
      <c r="AJ289" s="458"/>
      <c r="AK289" s="458">
        <f t="shared" si="77"/>
        <v>1792</v>
      </c>
      <c r="AM289" s="425">
        <f t="shared" si="78"/>
        <v>1792</v>
      </c>
      <c r="AO289" s="495"/>
      <c r="AR289" s="425">
        <f t="shared" si="79"/>
        <v>1792</v>
      </c>
      <c r="AT289" s="495"/>
      <c r="AY289" s="498">
        <f t="shared" si="80"/>
        <v>37.3333333333333</v>
      </c>
      <c r="BT289" s="495"/>
      <c r="BV289" s="495"/>
      <c r="CK289" s="425">
        <f t="shared" si="66"/>
        <v>0</v>
      </c>
      <c r="CL289" s="425">
        <f t="shared" si="67"/>
        <v>0</v>
      </c>
      <c r="CM289" s="425">
        <f t="shared" si="68"/>
        <v>0</v>
      </c>
      <c r="CN289" s="495"/>
      <c r="CO289" s="495"/>
      <c r="CP289" s="495"/>
      <c r="CT289" s="495"/>
      <c r="CU289" s="495"/>
      <c r="CV289" s="495"/>
      <c r="CW289" s="495"/>
      <c r="CX289" s="495"/>
    </row>
    <row r="290" s="425" customFormat="1" ht="31" customHeight="1" spans="1:102">
      <c r="A290" s="455">
        <v>45812</v>
      </c>
      <c r="B290" s="456" t="s">
        <v>128</v>
      </c>
      <c r="C290" s="457" t="s">
        <v>90</v>
      </c>
      <c r="D290" s="425">
        <v>4500168957</v>
      </c>
      <c r="E290" s="895" t="s">
        <v>1031</v>
      </c>
      <c r="F290" s="425" t="s">
        <v>3890</v>
      </c>
      <c r="G290" s="458" t="s">
        <v>3884</v>
      </c>
      <c r="H290" s="458" t="s">
        <v>3151</v>
      </c>
      <c r="I290" s="458">
        <v>608</v>
      </c>
      <c r="J290" s="458">
        <v>0</v>
      </c>
      <c r="K290" s="458">
        <v>16</v>
      </c>
      <c r="L290" s="462">
        <f t="shared" si="75"/>
        <v>38</v>
      </c>
      <c r="M290" s="463">
        <v>45847</v>
      </c>
      <c r="N290" s="463">
        <v>45843</v>
      </c>
      <c r="O290" s="464" t="s">
        <v>949</v>
      </c>
      <c r="P290" s="464" t="s">
        <v>103</v>
      </c>
      <c r="Q290" s="458"/>
      <c r="R290" s="472" t="s">
        <v>3885</v>
      </c>
      <c r="S290" s="472" t="s">
        <v>66</v>
      </c>
      <c r="T290" s="472" t="s">
        <v>133</v>
      </c>
      <c r="U290" s="472"/>
      <c r="V290" s="473" t="s">
        <v>3886</v>
      </c>
      <c r="W290" s="473" t="s">
        <v>98</v>
      </c>
      <c r="X290" s="473">
        <v>0.5282</v>
      </c>
      <c r="Y290" s="480">
        <f t="shared" si="76"/>
        <v>321.1456</v>
      </c>
      <c r="Z290" s="458" t="s">
        <v>3891</v>
      </c>
      <c r="AA290" s="458" t="s">
        <v>3884</v>
      </c>
      <c r="AB290" s="458" t="s">
        <v>76</v>
      </c>
      <c r="AC290" s="458"/>
      <c r="AD290" s="458" t="s">
        <v>69</v>
      </c>
      <c r="AE290" s="458"/>
      <c r="AF290" s="458">
        <v>608</v>
      </c>
      <c r="AG290" s="458">
        <f t="shared" si="70"/>
        <v>0</v>
      </c>
      <c r="AH290" s="489"/>
      <c r="AI290" s="458"/>
      <c r="AJ290" s="458"/>
      <c r="AK290" s="458">
        <f t="shared" si="77"/>
        <v>608</v>
      </c>
      <c r="AM290" s="425">
        <f t="shared" si="78"/>
        <v>608</v>
      </c>
      <c r="AO290" s="495"/>
      <c r="AR290" s="425">
        <f t="shared" si="79"/>
        <v>608</v>
      </c>
      <c r="AT290" s="495"/>
      <c r="AY290" s="498">
        <f t="shared" si="80"/>
        <v>12.6666666666667</v>
      </c>
      <c r="BT290" s="495"/>
      <c r="BV290" s="495"/>
      <c r="CK290" s="425">
        <f t="shared" si="66"/>
        <v>0</v>
      </c>
      <c r="CL290" s="425">
        <f t="shared" si="67"/>
        <v>0</v>
      </c>
      <c r="CM290" s="425">
        <f t="shared" si="68"/>
        <v>0</v>
      </c>
      <c r="CN290" s="495"/>
      <c r="CO290" s="495"/>
      <c r="CP290" s="495"/>
      <c r="CT290" s="495"/>
      <c r="CU290" s="495"/>
      <c r="CV290" s="495"/>
      <c r="CW290" s="495"/>
      <c r="CX290" s="495"/>
    </row>
    <row r="291" s="425" customFormat="1" ht="31" customHeight="1" spans="1:102">
      <c r="A291" s="455">
        <v>45812</v>
      </c>
      <c r="B291" s="456" t="s">
        <v>128</v>
      </c>
      <c r="C291" s="457" t="s">
        <v>90</v>
      </c>
      <c r="D291" s="425">
        <v>4500168957</v>
      </c>
      <c r="E291" s="895" t="s">
        <v>1034</v>
      </c>
      <c r="F291" s="425" t="s">
        <v>3892</v>
      </c>
      <c r="G291" s="458" t="s">
        <v>3884</v>
      </c>
      <c r="H291" s="458" t="s">
        <v>3151</v>
      </c>
      <c r="I291" s="458">
        <v>512</v>
      </c>
      <c r="J291" s="458">
        <v>0</v>
      </c>
      <c r="K291" s="458">
        <v>16</v>
      </c>
      <c r="L291" s="462">
        <f t="shared" si="75"/>
        <v>32</v>
      </c>
      <c r="M291" s="463">
        <v>45847</v>
      </c>
      <c r="N291" s="463">
        <v>45843</v>
      </c>
      <c r="O291" s="464" t="s">
        <v>949</v>
      </c>
      <c r="P291" s="464" t="s">
        <v>103</v>
      </c>
      <c r="Q291" s="458"/>
      <c r="R291" s="472" t="s">
        <v>3885</v>
      </c>
      <c r="S291" s="472" t="s">
        <v>66</v>
      </c>
      <c r="T291" s="472" t="s">
        <v>133</v>
      </c>
      <c r="U291" s="472"/>
      <c r="V291" s="473" t="s">
        <v>3886</v>
      </c>
      <c r="W291" s="473" t="s">
        <v>98</v>
      </c>
      <c r="X291" s="473">
        <v>0.5282</v>
      </c>
      <c r="Y291" s="480">
        <f t="shared" si="76"/>
        <v>270.4384</v>
      </c>
      <c r="Z291" s="458" t="s">
        <v>3893</v>
      </c>
      <c r="AA291" s="458" t="s">
        <v>3884</v>
      </c>
      <c r="AB291" s="458" t="s">
        <v>76</v>
      </c>
      <c r="AC291" s="458"/>
      <c r="AD291" s="458" t="s">
        <v>69</v>
      </c>
      <c r="AE291" s="458"/>
      <c r="AF291" s="458">
        <v>512</v>
      </c>
      <c r="AG291" s="458">
        <f t="shared" si="70"/>
        <v>0</v>
      </c>
      <c r="AH291" s="489"/>
      <c r="AI291" s="458"/>
      <c r="AJ291" s="458"/>
      <c r="AK291" s="458">
        <f t="shared" si="77"/>
        <v>512</v>
      </c>
      <c r="AM291" s="425">
        <f t="shared" si="78"/>
        <v>512</v>
      </c>
      <c r="AO291" s="495"/>
      <c r="AR291" s="425">
        <f t="shared" si="79"/>
        <v>512</v>
      </c>
      <c r="AT291" s="495"/>
      <c r="AY291" s="498">
        <f t="shared" si="80"/>
        <v>10.6666666666667</v>
      </c>
      <c r="BT291" s="495"/>
      <c r="BV291" s="495"/>
      <c r="CK291" s="425">
        <f t="shared" si="66"/>
        <v>0</v>
      </c>
      <c r="CL291" s="425">
        <f t="shared" si="67"/>
        <v>0</v>
      </c>
      <c r="CM291" s="425">
        <f t="shared" si="68"/>
        <v>0</v>
      </c>
      <c r="CN291" s="495"/>
      <c r="CO291" s="495"/>
      <c r="CP291" s="495"/>
      <c r="CT291" s="495"/>
      <c r="CU291" s="495"/>
      <c r="CV291" s="495"/>
      <c r="CW291" s="495"/>
      <c r="CX291" s="495"/>
    </row>
    <row r="292" s="425" customFormat="1" ht="31" customHeight="1" spans="1:102">
      <c r="A292" s="455">
        <v>45804</v>
      </c>
      <c r="B292" s="456" t="s">
        <v>440</v>
      </c>
      <c r="C292" s="457" t="s">
        <v>249</v>
      </c>
      <c r="D292" s="425">
        <v>4500167998</v>
      </c>
      <c r="E292" s="457" t="s">
        <v>954</v>
      </c>
      <c r="F292" s="425" t="s">
        <v>3894</v>
      </c>
      <c r="G292" s="458" t="s">
        <v>3419</v>
      </c>
      <c r="H292" s="458" t="s">
        <v>3221</v>
      </c>
      <c r="I292" s="458">
        <v>750</v>
      </c>
      <c r="J292" s="458">
        <v>25</v>
      </c>
      <c r="K292" s="458">
        <v>50</v>
      </c>
      <c r="L292" s="462">
        <f t="shared" si="75"/>
        <v>15</v>
      </c>
      <c r="M292" s="463">
        <v>45847</v>
      </c>
      <c r="N292" s="463">
        <f>M292-4</f>
        <v>45843</v>
      </c>
      <c r="O292" s="464"/>
      <c r="P292" s="464" t="s">
        <v>103</v>
      </c>
      <c r="Q292" s="458"/>
      <c r="R292" s="472">
        <v>45814</v>
      </c>
      <c r="S292" s="472" t="s">
        <v>66</v>
      </c>
      <c r="T292" s="472" t="s">
        <v>3657</v>
      </c>
      <c r="U292" s="472"/>
      <c r="V292" s="473" t="s">
        <v>3895</v>
      </c>
      <c r="W292" s="473" t="s">
        <v>254</v>
      </c>
      <c r="X292" s="473">
        <v>0.95</v>
      </c>
      <c r="Y292" s="480">
        <f t="shared" si="76"/>
        <v>712.5</v>
      </c>
      <c r="Z292" s="458" t="s">
        <v>958</v>
      </c>
      <c r="AA292" s="458" t="s">
        <v>3419</v>
      </c>
      <c r="AB292" s="458" t="s">
        <v>76</v>
      </c>
      <c r="AC292" s="458"/>
      <c r="AD292" s="458" t="s">
        <v>69</v>
      </c>
      <c r="AE292" s="458"/>
      <c r="AF292" s="458">
        <v>750</v>
      </c>
      <c r="AG292" s="458">
        <f t="shared" si="70"/>
        <v>0</v>
      </c>
      <c r="AH292" s="489"/>
      <c r="AI292" s="458"/>
      <c r="AJ292" s="458"/>
      <c r="AK292" s="458"/>
      <c r="AL292" s="426">
        <f>I292</f>
        <v>750</v>
      </c>
      <c r="AO292" s="495"/>
      <c r="AQ292" s="425">
        <f>I292</f>
        <v>750</v>
      </c>
      <c r="AS292" s="425">
        <f>I292</f>
        <v>750</v>
      </c>
      <c r="AT292" s="495"/>
      <c r="AY292" s="498">
        <f>I292/24</f>
        <v>31.25</v>
      </c>
      <c r="BL292" s="425">
        <f>I292/25</f>
        <v>30</v>
      </c>
      <c r="BT292" s="495"/>
      <c r="BV292" s="495"/>
      <c r="CK292" s="425">
        <f t="shared" si="66"/>
        <v>30</v>
      </c>
      <c r="CL292" s="425">
        <f t="shared" si="67"/>
        <v>0</v>
      </c>
      <c r="CM292" s="425">
        <f t="shared" si="68"/>
        <v>0</v>
      </c>
      <c r="CN292" s="495"/>
      <c r="CO292" s="495"/>
      <c r="CP292" s="495"/>
      <c r="CT292" s="495"/>
      <c r="CU292" s="495"/>
      <c r="CV292" s="495"/>
      <c r="CW292" s="495"/>
      <c r="CX292" s="495"/>
    </row>
    <row r="293" s="425" customFormat="1" ht="31" customHeight="1" spans="1:102">
      <c r="A293" s="455">
        <v>45800</v>
      </c>
      <c r="B293" s="456" t="s">
        <v>280</v>
      </c>
      <c r="C293" s="457" t="s">
        <v>249</v>
      </c>
      <c r="D293" s="425">
        <v>4500167693</v>
      </c>
      <c r="E293" s="457" t="s">
        <v>999</v>
      </c>
      <c r="F293" s="425" t="s">
        <v>3896</v>
      </c>
      <c r="G293" s="458" t="s">
        <v>3158</v>
      </c>
      <c r="H293" s="458" t="s">
        <v>3159</v>
      </c>
      <c r="I293" s="458">
        <v>4680</v>
      </c>
      <c r="J293" s="458">
        <v>0</v>
      </c>
      <c r="K293" s="458">
        <v>52</v>
      </c>
      <c r="L293" s="462">
        <f t="shared" si="75"/>
        <v>90</v>
      </c>
      <c r="M293" s="463">
        <v>45849</v>
      </c>
      <c r="N293" s="463">
        <v>45845</v>
      </c>
      <c r="O293" s="464"/>
      <c r="P293" s="464" t="s">
        <v>103</v>
      </c>
      <c r="Q293" s="458"/>
      <c r="R293" s="472">
        <v>45800</v>
      </c>
      <c r="S293" s="472" t="s">
        <v>66</v>
      </c>
      <c r="T293" s="472" t="s">
        <v>3770</v>
      </c>
      <c r="U293" s="472"/>
      <c r="V293" s="473" t="s">
        <v>3897</v>
      </c>
      <c r="W293" s="473" t="s">
        <v>285</v>
      </c>
      <c r="X293" s="473">
        <v>0.9129</v>
      </c>
      <c r="Y293" s="480">
        <f t="shared" si="76"/>
        <v>4272.372</v>
      </c>
      <c r="Z293" s="458" t="s">
        <v>1003</v>
      </c>
      <c r="AA293" s="458" t="s">
        <v>3357</v>
      </c>
      <c r="AB293" s="458" t="s">
        <v>76</v>
      </c>
      <c r="AC293" s="458"/>
      <c r="AD293" s="458" t="s">
        <v>69</v>
      </c>
      <c r="AE293" s="458"/>
      <c r="AF293" s="458">
        <v>4680</v>
      </c>
      <c r="AG293" s="458">
        <f t="shared" si="70"/>
        <v>0</v>
      </c>
      <c r="AH293" s="489"/>
      <c r="AI293" s="458"/>
      <c r="AJ293" s="458"/>
      <c r="AK293" s="458"/>
      <c r="AL293" s="426">
        <f>I293</f>
        <v>4680</v>
      </c>
      <c r="AM293" s="425">
        <f>I293</f>
        <v>4680</v>
      </c>
      <c r="AO293" s="495"/>
      <c r="AS293" s="425">
        <f>I293</f>
        <v>4680</v>
      </c>
      <c r="AT293" s="495"/>
      <c r="AY293" s="498">
        <f>I293/24*2</f>
        <v>390</v>
      </c>
      <c r="BI293" s="425">
        <f>I293/13</f>
        <v>360</v>
      </c>
      <c r="BT293" s="495"/>
      <c r="BV293" s="495"/>
      <c r="CK293" s="425">
        <f t="shared" si="66"/>
        <v>0</v>
      </c>
      <c r="CL293" s="425">
        <f t="shared" si="67"/>
        <v>0</v>
      </c>
      <c r="CM293" s="425">
        <f t="shared" si="68"/>
        <v>0</v>
      </c>
      <c r="CN293" s="495"/>
      <c r="CO293" s="495"/>
      <c r="CP293" s="495"/>
      <c r="CT293" s="495"/>
      <c r="CU293" s="495"/>
      <c r="CV293" s="495"/>
      <c r="CW293" s="495"/>
      <c r="CX293" s="495"/>
    </row>
    <row r="294" s="425" customFormat="1" ht="31" customHeight="1" spans="1:102">
      <c r="A294" s="455">
        <v>45824</v>
      </c>
      <c r="B294" s="456" t="s">
        <v>1383</v>
      </c>
      <c r="C294" s="457" t="s">
        <v>90</v>
      </c>
      <c r="D294" s="425">
        <v>4500169534</v>
      </c>
      <c r="E294" s="457" t="s">
        <v>3898</v>
      </c>
      <c r="F294" s="425" t="s">
        <v>3899</v>
      </c>
      <c r="G294" s="458" t="s">
        <v>3900</v>
      </c>
      <c r="H294" s="458" t="s">
        <v>3237</v>
      </c>
      <c r="I294" s="458">
        <v>3864</v>
      </c>
      <c r="J294" s="458">
        <v>0</v>
      </c>
      <c r="K294" s="458">
        <v>12</v>
      </c>
      <c r="L294" s="462">
        <f t="shared" si="75"/>
        <v>322</v>
      </c>
      <c r="M294" s="463">
        <v>45849</v>
      </c>
      <c r="N294" s="463">
        <v>45845</v>
      </c>
      <c r="O294" s="464"/>
      <c r="P294" s="464" t="s">
        <v>103</v>
      </c>
      <c r="Q294" s="458"/>
      <c r="R294" s="472" t="s">
        <v>3901</v>
      </c>
      <c r="S294" s="472" t="s">
        <v>96</v>
      </c>
      <c r="T294" s="472" t="s">
        <v>3902</v>
      </c>
      <c r="U294" s="472"/>
      <c r="V294" s="473" t="s">
        <v>3903</v>
      </c>
      <c r="W294" s="473" t="s">
        <v>1387</v>
      </c>
      <c r="X294" s="473">
        <v>1.3031</v>
      </c>
      <c r="Y294" s="480">
        <f t="shared" si="76"/>
        <v>5035.1784</v>
      </c>
      <c r="Z294" s="458" t="s">
        <v>3904</v>
      </c>
      <c r="AA294" s="458" t="s">
        <v>3236</v>
      </c>
      <c r="AB294" s="458" t="s">
        <v>76</v>
      </c>
      <c r="AC294" s="458"/>
      <c r="AD294" s="458" t="s">
        <v>69</v>
      </c>
      <c r="AE294" s="458"/>
      <c r="AF294" s="458">
        <v>3864</v>
      </c>
      <c r="AG294" s="458">
        <f t="shared" si="70"/>
        <v>0</v>
      </c>
      <c r="AH294" s="489"/>
      <c r="AI294" s="458"/>
      <c r="AJ294" s="458"/>
      <c r="AK294" s="458">
        <f>I294*2</f>
        <v>7728</v>
      </c>
      <c r="AN294" s="425">
        <f>I294*2</f>
        <v>7728</v>
      </c>
      <c r="AO294" s="495"/>
      <c r="AR294" s="425">
        <f>I294*2</f>
        <v>7728</v>
      </c>
      <c r="AT294" s="495"/>
      <c r="AY294" s="498">
        <f>I294/24*2</f>
        <v>322</v>
      </c>
      <c r="BT294" s="495"/>
      <c r="BV294" s="495"/>
      <c r="CH294" s="425">
        <f>I294</f>
        <v>3864</v>
      </c>
      <c r="CI294" s="425">
        <f>I294</f>
        <v>3864</v>
      </c>
      <c r="CJ294" s="425">
        <f>I294</f>
        <v>3864</v>
      </c>
      <c r="CK294" s="425">
        <f t="shared" si="66"/>
        <v>0</v>
      </c>
      <c r="CL294" s="425">
        <f t="shared" si="67"/>
        <v>0</v>
      </c>
      <c r="CM294" s="425">
        <f t="shared" si="68"/>
        <v>0</v>
      </c>
      <c r="CN294" s="495"/>
      <c r="CO294" s="495"/>
      <c r="CP294" s="495"/>
      <c r="CT294" s="495"/>
      <c r="CU294" s="495"/>
      <c r="CV294" s="495"/>
      <c r="CW294" s="495"/>
      <c r="CX294" s="495"/>
    </row>
    <row r="295" s="425" customFormat="1" ht="31" customHeight="1" spans="1:102">
      <c r="A295" s="455">
        <v>45824</v>
      </c>
      <c r="B295" s="456" t="s">
        <v>1383</v>
      </c>
      <c r="C295" s="457" t="s">
        <v>90</v>
      </c>
      <c r="D295" s="425">
        <v>4500169546</v>
      </c>
      <c r="E295" s="457" t="s">
        <v>3905</v>
      </c>
      <c r="F295" s="425" t="s">
        <v>3906</v>
      </c>
      <c r="G295" s="458" t="s">
        <v>3900</v>
      </c>
      <c r="H295" s="458" t="s">
        <v>3237</v>
      </c>
      <c r="I295" s="458">
        <v>4332</v>
      </c>
      <c r="J295" s="458">
        <v>0</v>
      </c>
      <c r="K295" s="458">
        <v>12</v>
      </c>
      <c r="L295" s="462">
        <f t="shared" si="75"/>
        <v>361</v>
      </c>
      <c r="M295" s="463">
        <v>45849</v>
      </c>
      <c r="N295" s="463">
        <v>45845</v>
      </c>
      <c r="O295" s="464"/>
      <c r="P295" s="464" t="s">
        <v>103</v>
      </c>
      <c r="Q295" s="458"/>
      <c r="R295" s="472" t="s">
        <v>3901</v>
      </c>
      <c r="S295" s="472" t="s">
        <v>96</v>
      </c>
      <c r="T295" s="472" t="s">
        <v>3902</v>
      </c>
      <c r="U295" s="472"/>
      <c r="V295" s="473" t="s">
        <v>3907</v>
      </c>
      <c r="W295" s="473" t="s">
        <v>1387</v>
      </c>
      <c r="X295" s="473">
        <v>1.3031</v>
      </c>
      <c r="Y295" s="480">
        <f t="shared" si="76"/>
        <v>5645.0292</v>
      </c>
      <c r="Z295" s="458" t="s">
        <v>3908</v>
      </c>
      <c r="AA295" s="458" t="s">
        <v>3236</v>
      </c>
      <c r="AB295" s="458" t="s">
        <v>76</v>
      </c>
      <c r="AC295" s="458"/>
      <c r="AD295" s="458" t="s">
        <v>69</v>
      </c>
      <c r="AE295" s="458"/>
      <c r="AF295" s="458">
        <v>4332</v>
      </c>
      <c r="AG295" s="458">
        <f t="shared" si="70"/>
        <v>0</v>
      </c>
      <c r="AH295" s="489"/>
      <c r="AI295" s="458"/>
      <c r="AJ295" s="458"/>
      <c r="AK295" s="458">
        <f>I295*2</f>
        <v>8664</v>
      </c>
      <c r="AN295" s="425">
        <f>I295*2</f>
        <v>8664</v>
      </c>
      <c r="AO295" s="495"/>
      <c r="AR295" s="425">
        <f>I295*2</f>
        <v>8664</v>
      </c>
      <c r="AT295" s="495"/>
      <c r="AY295" s="498">
        <f>I295/24*2</f>
        <v>361</v>
      </c>
      <c r="BT295" s="495"/>
      <c r="BV295" s="495"/>
      <c r="CH295" s="425">
        <f>I295</f>
        <v>4332</v>
      </c>
      <c r="CI295" s="425">
        <f>I295</f>
        <v>4332</v>
      </c>
      <c r="CJ295" s="425">
        <f>I295</f>
        <v>4332</v>
      </c>
      <c r="CK295" s="425">
        <f t="shared" si="66"/>
        <v>0</v>
      </c>
      <c r="CL295" s="425">
        <f t="shared" si="67"/>
        <v>0</v>
      </c>
      <c r="CM295" s="425">
        <f t="shared" si="68"/>
        <v>0</v>
      </c>
      <c r="CN295" s="495"/>
      <c r="CO295" s="495"/>
      <c r="CP295" s="495"/>
      <c r="CT295" s="495"/>
      <c r="CU295" s="495"/>
      <c r="CV295" s="495"/>
      <c r="CW295" s="495"/>
      <c r="CX295" s="495"/>
    </row>
    <row r="296" s="425" customFormat="1" ht="31" customHeight="1" spans="1:102">
      <c r="A296" s="455">
        <v>45806</v>
      </c>
      <c r="B296" s="456" t="s">
        <v>128</v>
      </c>
      <c r="C296" s="457" t="s">
        <v>90</v>
      </c>
      <c r="D296" s="425">
        <v>4500168369</v>
      </c>
      <c r="E296" s="895" t="s">
        <v>3909</v>
      </c>
      <c r="F296" s="425" t="s">
        <v>3910</v>
      </c>
      <c r="G296" s="458" t="s">
        <v>3180</v>
      </c>
      <c r="H296" s="458" t="s">
        <v>3181</v>
      </c>
      <c r="I296" s="458">
        <v>11312</v>
      </c>
      <c r="J296" s="458">
        <v>0</v>
      </c>
      <c r="K296" s="458">
        <v>16</v>
      </c>
      <c r="L296" s="462">
        <f t="shared" si="75"/>
        <v>707</v>
      </c>
      <c r="M296" s="463">
        <v>45842</v>
      </c>
      <c r="N296" s="463">
        <v>45847</v>
      </c>
      <c r="O296" s="464" t="s">
        <v>905</v>
      </c>
      <c r="P296" s="464" t="s">
        <v>103</v>
      </c>
      <c r="Q296" s="458"/>
      <c r="R296" s="472" t="s">
        <v>3873</v>
      </c>
      <c r="S296" s="472" t="s">
        <v>66</v>
      </c>
      <c r="T296" s="472" t="s">
        <v>133</v>
      </c>
      <c r="U296" s="472"/>
      <c r="V296" s="473" t="s">
        <v>3751</v>
      </c>
      <c r="W296" s="473" t="s">
        <v>98</v>
      </c>
      <c r="X296" s="473">
        <v>0.5905</v>
      </c>
      <c r="Y296" s="480">
        <f t="shared" si="76"/>
        <v>6679.736</v>
      </c>
      <c r="Z296" s="458" t="s">
        <v>3911</v>
      </c>
      <c r="AA296" s="458" t="s">
        <v>3180</v>
      </c>
      <c r="AB296" s="458" t="s">
        <v>76</v>
      </c>
      <c r="AC296" s="458"/>
      <c r="AD296" s="458" t="s">
        <v>69</v>
      </c>
      <c r="AE296" s="458"/>
      <c r="AF296" s="458">
        <v>11312</v>
      </c>
      <c r="AG296" s="458">
        <f t="shared" si="70"/>
        <v>0</v>
      </c>
      <c r="AH296" s="489"/>
      <c r="AI296" s="458"/>
      <c r="AJ296" s="458"/>
      <c r="AK296" s="458">
        <f>I296</f>
        <v>11312</v>
      </c>
      <c r="AM296" s="425">
        <f>I296</f>
        <v>11312</v>
      </c>
      <c r="AO296" s="495"/>
      <c r="AR296" s="425">
        <f>I296</f>
        <v>11312</v>
      </c>
      <c r="AT296" s="495"/>
      <c r="AY296" s="498">
        <f>I296/48</f>
        <v>235.666666666667</v>
      </c>
      <c r="BM296" s="425">
        <f>I296/16</f>
        <v>707</v>
      </c>
      <c r="BT296" s="495"/>
      <c r="BV296" s="495"/>
      <c r="CK296" s="425">
        <f t="shared" si="66"/>
        <v>707</v>
      </c>
      <c r="CL296" s="425">
        <f t="shared" si="67"/>
        <v>0</v>
      </c>
      <c r="CM296" s="425">
        <f t="shared" si="68"/>
        <v>0</v>
      </c>
      <c r="CN296" s="495"/>
      <c r="CO296" s="495"/>
      <c r="CP296" s="495"/>
      <c r="CT296" s="495"/>
      <c r="CU296" s="495"/>
      <c r="CV296" s="495"/>
      <c r="CW296" s="495"/>
      <c r="CX296" s="495"/>
    </row>
    <row r="297" s="425" customFormat="1" ht="31" customHeight="1" spans="1:102">
      <c r="A297" s="455">
        <v>45806</v>
      </c>
      <c r="B297" s="456" t="s">
        <v>128</v>
      </c>
      <c r="C297" s="457" t="s">
        <v>90</v>
      </c>
      <c r="D297" s="425">
        <v>4500168369</v>
      </c>
      <c r="E297" s="895" t="s">
        <v>3912</v>
      </c>
      <c r="F297" s="425" t="s">
        <v>3913</v>
      </c>
      <c r="G297" s="458" t="s">
        <v>3180</v>
      </c>
      <c r="H297" s="458" t="s">
        <v>3181</v>
      </c>
      <c r="I297" s="458">
        <v>9776</v>
      </c>
      <c r="J297" s="458">
        <v>0</v>
      </c>
      <c r="K297" s="458">
        <v>16</v>
      </c>
      <c r="L297" s="462">
        <f t="shared" si="75"/>
        <v>611</v>
      </c>
      <c r="M297" s="463">
        <v>45842</v>
      </c>
      <c r="N297" s="463">
        <v>45847</v>
      </c>
      <c r="O297" s="464" t="s">
        <v>905</v>
      </c>
      <c r="P297" s="464" t="s">
        <v>103</v>
      </c>
      <c r="Q297" s="458"/>
      <c r="R297" s="472" t="s">
        <v>3873</v>
      </c>
      <c r="S297" s="472" t="s">
        <v>66</v>
      </c>
      <c r="T297" s="472" t="s">
        <v>133</v>
      </c>
      <c r="U297" s="472"/>
      <c r="V297" s="473" t="s">
        <v>3751</v>
      </c>
      <c r="W297" s="473" t="s">
        <v>98</v>
      </c>
      <c r="X297" s="473">
        <v>0.5936</v>
      </c>
      <c r="Y297" s="480">
        <f t="shared" si="76"/>
        <v>5803.0336</v>
      </c>
      <c r="Z297" s="458" t="s">
        <v>3914</v>
      </c>
      <c r="AA297" s="458" t="s">
        <v>3180</v>
      </c>
      <c r="AB297" s="458" t="s">
        <v>76</v>
      </c>
      <c r="AC297" s="458"/>
      <c r="AD297" s="458" t="s">
        <v>69</v>
      </c>
      <c r="AE297" s="458"/>
      <c r="AF297" s="458">
        <v>9776</v>
      </c>
      <c r="AG297" s="458">
        <f t="shared" si="70"/>
        <v>0</v>
      </c>
      <c r="AH297" s="489"/>
      <c r="AI297" s="458"/>
      <c r="AJ297" s="458"/>
      <c r="AK297" s="458">
        <f>I297</f>
        <v>9776</v>
      </c>
      <c r="AM297" s="425">
        <f>I297</f>
        <v>9776</v>
      </c>
      <c r="AO297" s="495"/>
      <c r="AR297" s="425">
        <f>I297</f>
        <v>9776</v>
      </c>
      <c r="AT297" s="495"/>
      <c r="AY297" s="498">
        <f>I297/48</f>
        <v>203.666666666667</v>
      </c>
      <c r="BM297" s="425">
        <f>I297/16</f>
        <v>611</v>
      </c>
      <c r="BT297" s="495"/>
      <c r="BV297" s="495"/>
      <c r="CK297" s="425">
        <f t="shared" si="66"/>
        <v>611</v>
      </c>
      <c r="CL297" s="425">
        <f t="shared" si="67"/>
        <v>0</v>
      </c>
      <c r="CM297" s="425">
        <f t="shared" si="68"/>
        <v>0</v>
      </c>
      <c r="CN297" s="495"/>
      <c r="CO297" s="495"/>
      <c r="CP297" s="495"/>
      <c r="CT297" s="495"/>
      <c r="CU297" s="495"/>
      <c r="CV297" s="495"/>
      <c r="CW297" s="495"/>
      <c r="CX297" s="495"/>
    </row>
    <row r="298" s="425" customFormat="1" ht="31" customHeight="1" spans="1:102">
      <c r="A298" s="455">
        <v>45806</v>
      </c>
      <c r="B298" s="456" t="s">
        <v>128</v>
      </c>
      <c r="C298" s="457" t="s">
        <v>90</v>
      </c>
      <c r="D298" s="425">
        <v>4500168376</v>
      </c>
      <c r="E298" s="895" t="s">
        <v>3915</v>
      </c>
      <c r="F298" s="425" t="s">
        <v>3916</v>
      </c>
      <c r="G298" s="458" t="s">
        <v>3180</v>
      </c>
      <c r="H298" s="458" t="s">
        <v>3181</v>
      </c>
      <c r="I298" s="458">
        <v>9888</v>
      </c>
      <c r="J298" s="458">
        <v>0</v>
      </c>
      <c r="K298" s="458">
        <v>16</v>
      </c>
      <c r="L298" s="462">
        <f t="shared" si="75"/>
        <v>618</v>
      </c>
      <c r="M298" s="463">
        <v>45847</v>
      </c>
      <c r="N298" s="463">
        <v>45847</v>
      </c>
      <c r="O298" s="464" t="s">
        <v>905</v>
      </c>
      <c r="P298" s="464" t="s">
        <v>103</v>
      </c>
      <c r="Q298" s="458"/>
      <c r="R298" s="472" t="s">
        <v>3873</v>
      </c>
      <c r="S298" s="472" t="s">
        <v>66</v>
      </c>
      <c r="T298" s="472" t="s">
        <v>133</v>
      </c>
      <c r="U298" s="472"/>
      <c r="V298" s="473" t="s">
        <v>3751</v>
      </c>
      <c r="W298" s="473" t="s">
        <v>98</v>
      </c>
      <c r="X298" s="473">
        <v>0.5936</v>
      </c>
      <c r="Y298" s="480">
        <f t="shared" si="76"/>
        <v>5869.5168</v>
      </c>
      <c r="Z298" s="458" t="s">
        <v>3917</v>
      </c>
      <c r="AA298" s="458" t="s">
        <v>3180</v>
      </c>
      <c r="AB298" s="458" t="s">
        <v>76</v>
      </c>
      <c r="AC298" s="458"/>
      <c r="AD298" s="458" t="s">
        <v>69</v>
      </c>
      <c r="AE298" s="458"/>
      <c r="AF298" s="458">
        <v>9888</v>
      </c>
      <c r="AG298" s="458">
        <f t="shared" si="70"/>
        <v>0</v>
      </c>
      <c r="AH298" s="489"/>
      <c r="AI298" s="458"/>
      <c r="AJ298" s="458"/>
      <c r="AK298" s="458">
        <f>I298</f>
        <v>9888</v>
      </c>
      <c r="AM298" s="425">
        <f>I298</f>
        <v>9888</v>
      </c>
      <c r="AO298" s="495"/>
      <c r="AR298" s="425">
        <f>I298</f>
        <v>9888</v>
      </c>
      <c r="AT298" s="495"/>
      <c r="AY298" s="498">
        <f>I298/48</f>
        <v>206</v>
      </c>
      <c r="BM298" s="425">
        <f>I298/16</f>
        <v>618</v>
      </c>
      <c r="BT298" s="495"/>
      <c r="BV298" s="495"/>
      <c r="CK298" s="425">
        <f t="shared" si="66"/>
        <v>618</v>
      </c>
      <c r="CL298" s="425">
        <f t="shared" si="67"/>
        <v>0</v>
      </c>
      <c r="CM298" s="425">
        <f t="shared" si="68"/>
        <v>0</v>
      </c>
      <c r="CN298" s="495"/>
      <c r="CO298" s="495"/>
      <c r="CP298" s="495"/>
      <c r="CT298" s="495"/>
      <c r="CU298" s="495"/>
      <c r="CV298" s="495"/>
      <c r="CW298" s="495"/>
      <c r="CX298" s="495"/>
    </row>
    <row r="299" s="425" customFormat="1" ht="31" customHeight="1" spans="1:102">
      <c r="A299" s="455">
        <v>45806</v>
      </c>
      <c r="B299" s="456" t="s">
        <v>128</v>
      </c>
      <c r="C299" s="457" t="s">
        <v>90</v>
      </c>
      <c r="D299" s="425">
        <v>4500168376</v>
      </c>
      <c r="E299" s="895" t="s">
        <v>3918</v>
      </c>
      <c r="F299" s="425" t="s">
        <v>3919</v>
      </c>
      <c r="G299" s="458" t="s">
        <v>3180</v>
      </c>
      <c r="H299" s="458" t="s">
        <v>3181</v>
      </c>
      <c r="I299" s="458">
        <v>11488</v>
      </c>
      <c r="J299" s="458">
        <v>0</v>
      </c>
      <c r="K299" s="458">
        <v>16</v>
      </c>
      <c r="L299" s="462">
        <f t="shared" si="75"/>
        <v>718</v>
      </c>
      <c r="M299" s="463">
        <v>45847</v>
      </c>
      <c r="N299" s="463">
        <v>45849</v>
      </c>
      <c r="O299" s="464" t="s">
        <v>961</v>
      </c>
      <c r="P299" s="464" t="s">
        <v>103</v>
      </c>
      <c r="Q299" s="458"/>
      <c r="R299" s="472" t="s">
        <v>3873</v>
      </c>
      <c r="S299" s="472" t="s">
        <v>66</v>
      </c>
      <c r="T299" s="472" t="s">
        <v>133</v>
      </c>
      <c r="U299" s="472"/>
      <c r="V299" s="473" t="s">
        <v>3751</v>
      </c>
      <c r="W299" s="473" t="s">
        <v>98</v>
      </c>
      <c r="X299" s="473">
        <v>0.5905</v>
      </c>
      <c r="Y299" s="480">
        <f t="shared" si="76"/>
        <v>6783.664</v>
      </c>
      <c r="Z299" s="458" t="s">
        <v>3920</v>
      </c>
      <c r="AA299" s="458" t="s">
        <v>3180</v>
      </c>
      <c r="AB299" s="458" t="s">
        <v>76</v>
      </c>
      <c r="AC299" s="458"/>
      <c r="AD299" s="458" t="s">
        <v>69</v>
      </c>
      <c r="AE299" s="458"/>
      <c r="AF299" s="458">
        <v>11488</v>
      </c>
      <c r="AG299" s="458">
        <f t="shared" si="70"/>
        <v>0</v>
      </c>
      <c r="AH299" s="489"/>
      <c r="AI299" s="458"/>
      <c r="AJ299" s="458"/>
      <c r="AK299" s="458">
        <f>I299</f>
        <v>11488</v>
      </c>
      <c r="AM299" s="425">
        <f>I299</f>
        <v>11488</v>
      </c>
      <c r="AO299" s="495"/>
      <c r="AR299" s="425">
        <f>I299</f>
        <v>11488</v>
      </c>
      <c r="AT299" s="495"/>
      <c r="AY299" s="498">
        <f>I299/48</f>
        <v>239.333333333333</v>
      </c>
      <c r="BM299" s="425">
        <f>I299/16</f>
        <v>718</v>
      </c>
      <c r="BT299" s="495"/>
      <c r="BV299" s="495"/>
      <c r="CK299" s="425">
        <f t="shared" si="66"/>
        <v>718</v>
      </c>
      <c r="CL299" s="425">
        <f t="shared" si="67"/>
        <v>0</v>
      </c>
      <c r="CM299" s="425">
        <f t="shared" si="68"/>
        <v>0</v>
      </c>
      <c r="CN299" s="495"/>
      <c r="CO299" s="495"/>
      <c r="CP299" s="495"/>
      <c r="CT299" s="495"/>
      <c r="CU299" s="495"/>
      <c r="CV299" s="495"/>
      <c r="CW299" s="495"/>
      <c r="CX299" s="495"/>
    </row>
    <row r="300" s="425" customFormat="1" ht="31" customHeight="1" spans="1:102">
      <c r="A300" s="455">
        <v>45804</v>
      </c>
      <c r="B300" s="456" t="s">
        <v>220</v>
      </c>
      <c r="C300" s="457" t="s">
        <v>90</v>
      </c>
      <c r="D300" s="425">
        <v>4500168048</v>
      </c>
      <c r="E300" s="457" t="s">
        <v>3921</v>
      </c>
      <c r="F300" s="425" t="s">
        <v>3922</v>
      </c>
      <c r="G300" s="458" t="s">
        <v>3198</v>
      </c>
      <c r="H300" s="458" t="s">
        <v>3303</v>
      </c>
      <c r="I300" s="458">
        <v>20300</v>
      </c>
      <c r="J300" s="458">
        <v>0</v>
      </c>
      <c r="K300" s="458">
        <v>25</v>
      </c>
      <c r="L300" s="462">
        <f t="shared" si="75"/>
        <v>812</v>
      </c>
      <c r="M300" s="463">
        <v>45848</v>
      </c>
      <c r="N300" s="463">
        <v>45849</v>
      </c>
      <c r="O300" s="464"/>
      <c r="P300" s="464" t="s">
        <v>103</v>
      </c>
      <c r="Q300" s="458"/>
      <c r="R300" s="472">
        <v>45813</v>
      </c>
      <c r="S300" s="472" t="s">
        <v>96</v>
      </c>
      <c r="T300" s="472" t="s">
        <v>3923</v>
      </c>
      <c r="U300" s="472"/>
      <c r="V300" s="473" t="s">
        <v>3924</v>
      </c>
      <c r="W300" s="473" t="s">
        <v>226</v>
      </c>
      <c r="X300" s="473">
        <v>0.5488</v>
      </c>
      <c r="Y300" s="480">
        <f t="shared" si="76"/>
        <v>11140.64</v>
      </c>
      <c r="Z300" s="458" t="s">
        <v>3925</v>
      </c>
      <c r="AA300" s="458" t="s">
        <v>3198</v>
      </c>
      <c r="AB300" s="458" t="s">
        <v>76</v>
      </c>
      <c r="AC300" s="458"/>
      <c r="AD300" s="458" t="s">
        <v>69</v>
      </c>
      <c r="AE300" s="458"/>
      <c r="AF300" s="458">
        <f>6750+2625+10925</f>
        <v>20300</v>
      </c>
      <c r="AG300" s="458">
        <f t="shared" si="70"/>
        <v>0</v>
      </c>
      <c r="AH300" s="489"/>
      <c r="AI300" s="458"/>
      <c r="AJ300" s="458"/>
      <c r="AK300" s="458">
        <f>I300</f>
        <v>20300</v>
      </c>
      <c r="AM300" s="425">
        <f>I300</f>
        <v>20300</v>
      </c>
      <c r="AO300" s="495"/>
      <c r="AR300" s="425">
        <f>I300</f>
        <v>20300</v>
      </c>
      <c r="AT300" s="495"/>
      <c r="AY300" s="498">
        <f>I300/48</f>
        <v>422.916666666667</v>
      </c>
      <c r="BJ300" s="425">
        <f>I300/25</f>
        <v>812</v>
      </c>
      <c r="BT300" s="495"/>
      <c r="BV300" s="495"/>
      <c r="CK300" s="425">
        <f t="shared" si="66"/>
        <v>812</v>
      </c>
      <c r="CL300" s="425">
        <f t="shared" si="67"/>
        <v>0</v>
      </c>
      <c r="CM300" s="425">
        <f t="shared" si="68"/>
        <v>0</v>
      </c>
      <c r="CN300" s="495"/>
      <c r="CO300" s="495"/>
      <c r="CP300" s="495"/>
      <c r="CT300" s="495"/>
      <c r="CU300" s="495"/>
      <c r="CV300" s="495"/>
      <c r="CW300" s="495"/>
      <c r="CX300" s="495"/>
    </row>
    <row r="301" s="425" customFormat="1" ht="31" customHeight="1" spans="1:102">
      <c r="A301" s="455">
        <v>45813</v>
      </c>
      <c r="B301" s="456" t="s">
        <v>125</v>
      </c>
      <c r="C301" s="457" t="s">
        <v>71</v>
      </c>
      <c r="D301" s="425">
        <v>4500169043</v>
      </c>
      <c r="E301" s="457">
        <v>20882956</v>
      </c>
      <c r="F301" s="425" t="s">
        <v>3926</v>
      </c>
      <c r="G301" s="458" t="s">
        <v>3206</v>
      </c>
      <c r="H301" s="458" t="s">
        <v>3207</v>
      </c>
      <c r="I301" s="458">
        <v>299</v>
      </c>
      <c r="J301" s="458">
        <v>0</v>
      </c>
      <c r="K301" s="458">
        <v>13</v>
      </c>
      <c r="L301" s="462">
        <f t="shared" si="75"/>
        <v>23</v>
      </c>
      <c r="M301" s="463">
        <v>45852</v>
      </c>
      <c r="N301" s="463">
        <v>45848</v>
      </c>
      <c r="O301" s="464"/>
      <c r="P301" s="464" t="s">
        <v>103</v>
      </c>
      <c r="Q301" s="458"/>
      <c r="R301" s="472">
        <v>45820</v>
      </c>
      <c r="S301" s="472" t="s">
        <v>96</v>
      </c>
      <c r="T301" s="472">
        <v>45831</v>
      </c>
      <c r="U301" s="472"/>
      <c r="V301" s="473" t="s">
        <v>3927</v>
      </c>
      <c r="W301" s="473" t="s">
        <v>121</v>
      </c>
      <c r="X301" s="473">
        <v>0.9526</v>
      </c>
      <c r="Y301" s="480">
        <f t="shared" si="76"/>
        <v>284.8274</v>
      </c>
      <c r="Z301" s="458" t="s">
        <v>3928</v>
      </c>
      <c r="AA301" s="458" t="s">
        <v>3206</v>
      </c>
      <c r="AB301" s="458" t="s">
        <v>76</v>
      </c>
      <c r="AC301" s="458"/>
      <c r="AD301" s="458" t="s">
        <v>69</v>
      </c>
      <c r="AE301" s="458"/>
      <c r="AF301" s="458">
        <v>299</v>
      </c>
      <c r="AG301" s="458">
        <f t="shared" si="70"/>
        <v>0</v>
      </c>
      <c r="AH301" s="489"/>
      <c r="AI301" s="458"/>
      <c r="AJ301" s="458"/>
      <c r="AK301" s="458"/>
      <c r="AL301" s="426">
        <f>I301</f>
        <v>299</v>
      </c>
      <c r="AO301" s="495"/>
      <c r="AQ301" s="425">
        <f>I301</f>
        <v>299</v>
      </c>
      <c r="AS301" s="425">
        <f>I301</f>
        <v>299</v>
      </c>
      <c r="AT301" s="495"/>
      <c r="AY301" s="498">
        <f>I301/24</f>
        <v>12.4583333333333</v>
      </c>
      <c r="BI301" s="425">
        <f>I301/13</f>
        <v>23</v>
      </c>
      <c r="BT301" s="495"/>
      <c r="BV301" s="495"/>
      <c r="CK301" s="425">
        <f t="shared" si="66"/>
        <v>0</v>
      </c>
      <c r="CL301" s="425">
        <f t="shared" si="67"/>
        <v>0</v>
      </c>
      <c r="CM301" s="425">
        <f t="shared" si="68"/>
        <v>0</v>
      </c>
      <c r="CN301" s="495"/>
      <c r="CO301" s="495"/>
      <c r="CP301" s="495"/>
      <c r="CT301" s="495"/>
      <c r="CU301" s="495"/>
      <c r="CV301" s="495"/>
      <c r="CW301" s="495"/>
      <c r="CX301" s="495"/>
    </row>
    <row r="302" s="425" customFormat="1" ht="31" customHeight="1" spans="1:102">
      <c r="A302" s="455">
        <v>45813</v>
      </c>
      <c r="B302" s="456" t="s">
        <v>122</v>
      </c>
      <c r="C302" s="457" t="s">
        <v>116</v>
      </c>
      <c r="D302" s="425">
        <v>4500169040</v>
      </c>
      <c r="E302" s="457">
        <v>20882955</v>
      </c>
      <c r="F302" s="425" t="s">
        <v>3929</v>
      </c>
      <c r="G302" s="458" t="s">
        <v>3206</v>
      </c>
      <c r="H302" s="458" t="s">
        <v>3207</v>
      </c>
      <c r="I302" s="458">
        <v>2899</v>
      </c>
      <c r="J302" s="458">
        <v>0</v>
      </c>
      <c r="K302" s="458">
        <v>13</v>
      </c>
      <c r="L302" s="462">
        <f t="shared" si="75"/>
        <v>223</v>
      </c>
      <c r="M302" s="463">
        <v>45852</v>
      </c>
      <c r="N302" s="463">
        <v>45848</v>
      </c>
      <c r="O302" s="464"/>
      <c r="P302" s="464" t="s">
        <v>103</v>
      </c>
      <c r="Q302" s="458"/>
      <c r="R302" s="472">
        <v>45820</v>
      </c>
      <c r="S302" s="472" t="s">
        <v>96</v>
      </c>
      <c r="T302" s="472">
        <v>45831</v>
      </c>
      <c r="U302" s="472"/>
      <c r="V302" s="473" t="s">
        <v>3930</v>
      </c>
      <c r="W302" s="473" t="s">
        <v>121</v>
      </c>
      <c r="X302" s="473">
        <v>0.9475</v>
      </c>
      <c r="Y302" s="480">
        <f t="shared" si="76"/>
        <v>2746.8025</v>
      </c>
      <c r="Z302" s="458" t="s">
        <v>3931</v>
      </c>
      <c r="AA302" s="458" t="s">
        <v>3206</v>
      </c>
      <c r="AB302" s="458" t="s">
        <v>76</v>
      </c>
      <c r="AC302" s="458"/>
      <c r="AD302" s="458" t="s">
        <v>69</v>
      </c>
      <c r="AE302" s="458"/>
      <c r="AF302" s="458">
        <v>2899</v>
      </c>
      <c r="AG302" s="458">
        <f t="shared" si="70"/>
        <v>0</v>
      </c>
      <c r="AH302" s="489"/>
      <c r="AI302" s="458"/>
      <c r="AJ302" s="458"/>
      <c r="AK302" s="458"/>
      <c r="AL302" s="426">
        <f>I302</f>
        <v>2899</v>
      </c>
      <c r="AO302" s="495"/>
      <c r="AQ302" s="425">
        <f>I302</f>
        <v>2899</v>
      </c>
      <c r="AS302" s="425">
        <f>I302</f>
        <v>2899</v>
      </c>
      <c r="AT302" s="495"/>
      <c r="AY302" s="498">
        <f>I302/24</f>
        <v>120.791666666667</v>
      </c>
      <c r="BI302" s="425">
        <f>I302/13</f>
        <v>223</v>
      </c>
      <c r="BT302" s="495"/>
      <c r="BV302" s="495"/>
      <c r="CK302" s="425">
        <f t="shared" si="66"/>
        <v>0</v>
      </c>
      <c r="CL302" s="425">
        <f t="shared" si="67"/>
        <v>0</v>
      </c>
      <c r="CM302" s="425">
        <f t="shared" si="68"/>
        <v>0</v>
      </c>
      <c r="CN302" s="495"/>
      <c r="CO302" s="495"/>
      <c r="CP302" s="495"/>
      <c r="CT302" s="495"/>
      <c r="CU302" s="495"/>
      <c r="CV302" s="495"/>
      <c r="CW302" s="495"/>
      <c r="CX302" s="495"/>
    </row>
    <row r="303" s="425" customFormat="1" ht="31" customHeight="1" spans="1:102">
      <c r="A303" s="455">
        <v>45741</v>
      </c>
      <c r="B303" s="456" t="s">
        <v>817</v>
      </c>
      <c r="C303" s="457" t="s">
        <v>153</v>
      </c>
      <c r="D303" s="425">
        <v>4500161371</v>
      </c>
      <c r="E303" s="457"/>
      <c r="F303" s="425" t="s">
        <v>921</v>
      </c>
      <c r="G303" s="458" t="s">
        <v>819</v>
      </c>
      <c r="H303" s="458" t="s">
        <v>744</v>
      </c>
      <c r="I303" s="458">
        <v>72</v>
      </c>
      <c r="J303" s="458">
        <v>0</v>
      </c>
      <c r="K303" s="458">
        <v>1</v>
      </c>
      <c r="L303" s="462">
        <f t="shared" si="75"/>
        <v>72</v>
      </c>
      <c r="M303" s="463">
        <v>45827</v>
      </c>
      <c r="N303" s="463">
        <v>45824</v>
      </c>
      <c r="O303" s="464" t="s">
        <v>3932</v>
      </c>
      <c r="P303" s="464" t="s">
        <v>103</v>
      </c>
      <c r="Q303" s="458" t="s">
        <v>3730</v>
      </c>
      <c r="R303" s="472">
        <v>45790</v>
      </c>
      <c r="S303" s="472" t="s">
        <v>66</v>
      </c>
      <c r="T303" s="472" t="s">
        <v>66</v>
      </c>
      <c r="U303" s="472"/>
      <c r="V303" s="473" t="s">
        <v>3933</v>
      </c>
      <c r="W303" s="473" t="s">
        <v>821</v>
      </c>
      <c r="X303" s="473">
        <v>0</v>
      </c>
      <c r="Y303" s="480">
        <f>X303*L303</f>
        <v>0</v>
      </c>
      <c r="Z303" s="458"/>
      <c r="AA303" s="458" t="s">
        <v>819</v>
      </c>
      <c r="AB303" s="458" t="s">
        <v>76</v>
      </c>
      <c r="AC303" s="458"/>
      <c r="AD303" s="458" t="s">
        <v>69</v>
      </c>
      <c r="AE303" s="458"/>
      <c r="AF303" s="458">
        <f>600+1250+3550</f>
        <v>5400</v>
      </c>
      <c r="AG303" s="458">
        <f>AF303-I304</f>
        <v>0</v>
      </c>
      <c r="AH303" s="489"/>
      <c r="AI303" s="458"/>
      <c r="AJ303" s="458"/>
      <c r="AK303" s="458"/>
      <c r="AO303" s="495"/>
      <c r="AT303" s="495"/>
      <c r="AY303" s="498"/>
      <c r="BT303" s="495"/>
      <c r="BV303" s="495"/>
      <c r="CK303" s="425">
        <f t="shared" si="66"/>
        <v>0</v>
      </c>
      <c r="CL303" s="425">
        <f t="shared" si="67"/>
        <v>0</v>
      </c>
      <c r="CM303" s="425">
        <f t="shared" si="68"/>
        <v>0</v>
      </c>
      <c r="CN303" s="495"/>
      <c r="CO303" s="495"/>
      <c r="CP303" s="495"/>
      <c r="CT303" s="495"/>
      <c r="CU303" s="495"/>
      <c r="CV303" s="495"/>
      <c r="CW303" s="495"/>
      <c r="CX303" s="495"/>
    </row>
    <row r="304" s="425" customFormat="1" ht="31" customHeight="1" spans="1:102">
      <c r="A304" s="455">
        <v>45741</v>
      </c>
      <c r="B304" s="456" t="s">
        <v>817</v>
      </c>
      <c r="C304" s="457" t="s">
        <v>153</v>
      </c>
      <c r="D304" s="425">
        <v>4500161371</v>
      </c>
      <c r="E304" s="457"/>
      <c r="F304" s="425" t="s">
        <v>921</v>
      </c>
      <c r="G304" s="458">
        <v>77711</v>
      </c>
      <c r="H304" s="458" t="s">
        <v>3151</v>
      </c>
      <c r="I304" s="458">
        <v>5400</v>
      </c>
      <c r="J304" s="458">
        <v>0</v>
      </c>
      <c r="K304" s="458">
        <v>75</v>
      </c>
      <c r="L304" s="462">
        <f t="shared" si="75"/>
        <v>72</v>
      </c>
      <c r="M304" s="463">
        <v>45827</v>
      </c>
      <c r="N304" s="463">
        <v>45824</v>
      </c>
      <c r="O304" s="464" t="s">
        <v>3932</v>
      </c>
      <c r="P304" s="464" t="s">
        <v>103</v>
      </c>
      <c r="Q304" s="458" t="s">
        <v>3730</v>
      </c>
      <c r="R304" s="472">
        <v>45790</v>
      </c>
      <c r="S304" s="472" t="s">
        <v>66</v>
      </c>
      <c r="T304" s="472" t="s">
        <v>66</v>
      </c>
      <c r="U304" s="472"/>
      <c r="V304" s="473"/>
      <c r="W304" s="473" t="s">
        <v>821</v>
      </c>
      <c r="X304" s="473">
        <v>762.5</v>
      </c>
      <c r="Y304" s="480">
        <f>X304*L304</f>
        <v>54900</v>
      </c>
      <c r="Z304" s="458"/>
      <c r="AA304" s="458" t="s">
        <v>819</v>
      </c>
      <c r="AB304" s="458" t="s">
        <v>76</v>
      </c>
      <c r="AC304" s="458"/>
      <c r="AD304" s="458" t="s">
        <v>69</v>
      </c>
      <c r="AE304" s="458"/>
      <c r="AF304" s="458">
        <v>0</v>
      </c>
      <c r="AG304" s="458">
        <v>0</v>
      </c>
      <c r="AH304" s="489"/>
      <c r="AI304" s="458"/>
      <c r="AJ304" s="458"/>
      <c r="AK304" s="458">
        <f>I304*3</f>
        <v>16200</v>
      </c>
      <c r="AO304" s="495"/>
      <c r="AT304" s="495"/>
      <c r="AY304" s="498">
        <f>I304/24*3</f>
        <v>675</v>
      </c>
      <c r="BC304" s="425">
        <f>I304*3</f>
        <v>16200</v>
      </c>
      <c r="BD304" s="425">
        <f>I304*3</f>
        <v>16200</v>
      </c>
      <c r="BE304" s="425">
        <f>I304</f>
        <v>5400</v>
      </c>
      <c r="BF304" s="425">
        <f>I304/5</f>
        <v>1080</v>
      </c>
      <c r="BT304" s="495"/>
      <c r="BV304" s="495"/>
      <c r="CK304" s="425">
        <f t="shared" si="66"/>
        <v>0</v>
      </c>
      <c r="CL304" s="425">
        <f t="shared" si="67"/>
        <v>0</v>
      </c>
      <c r="CM304" s="425">
        <f t="shared" si="68"/>
        <v>0</v>
      </c>
      <c r="CN304" s="495"/>
      <c r="CO304" s="495"/>
      <c r="CP304" s="495"/>
      <c r="CT304" s="495"/>
      <c r="CU304" s="495"/>
      <c r="CV304" s="495"/>
      <c r="CW304" s="495"/>
      <c r="CX304" s="495"/>
    </row>
    <row r="305" s="425" customFormat="1" ht="31" customHeight="1" spans="1:102">
      <c r="A305" s="455">
        <v>45800</v>
      </c>
      <c r="B305" s="456" t="s">
        <v>927</v>
      </c>
      <c r="C305" s="457" t="s">
        <v>356</v>
      </c>
      <c r="D305" s="425">
        <v>4500167713</v>
      </c>
      <c r="E305" s="457"/>
      <c r="F305" s="425" t="s">
        <v>928</v>
      </c>
      <c r="G305" s="458" t="s">
        <v>3436</v>
      </c>
      <c r="H305" s="458" t="s">
        <v>424</v>
      </c>
      <c r="I305" s="458">
        <v>360</v>
      </c>
      <c r="J305" s="458">
        <v>0</v>
      </c>
      <c r="K305" s="458">
        <v>6</v>
      </c>
      <c r="L305" s="462">
        <f t="shared" si="75"/>
        <v>60</v>
      </c>
      <c r="M305" s="463">
        <v>45838</v>
      </c>
      <c r="N305" s="463">
        <v>45834</v>
      </c>
      <c r="O305" s="464"/>
      <c r="P305" s="464" t="s">
        <v>103</v>
      </c>
      <c r="Q305" s="458"/>
      <c r="R305" s="472">
        <v>45800</v>
      </c>
      <c r="S305" s="472" t="s">
        <v>66</v>
      </c>
      <c r="T305" s="472">
        <v>45813</v>
      </c>
      <c r="U305" s="472" t="s">
        <v>3934</v>
      </c>
      <c r="V305" s="473" t="s">
        <v>3935</v>
      </c>
      <c r="W305" s="473" t="s">
        <v>395</v>
      </c>
      <c r="X305" s="473">
        <v>8.1</v>
      </c>
      <c r="Y305" s="480">
        <f>X305*I305</f>
        <v>2916</v>
      </c>
      <c r="Z305" s="509" t="s">
        <v>931</v>
      </c>
      <c r="AA305" s="458" t="s">
        <v>427</v>
      </c>
      <c r="AB305" s="458" t="s">
        <v>76</v>
      </c>
      <c r="AC305" s="458"/>
      <c r="AD305" s="458" t="s">
        <v>69</v>
      </c>
      <c r="AE305" s="458"/>
      <c r="AF305" s="458">
        <v>360</v>
      </c>
      <c r="AG305" s="458">
        <f>AF305-I305</f>
        <v>0</v>
      </c>
      <c r="AH305" s="489"/>
      <c r="AI305" s="458"/>
      <c r="AJ305" s="458"/>
      <c r="AK305" s="458"/>
      <c r="AL305" s="425">
        <f>I305*2</f>
        <v>720</v>
      </c>
      <c r="AO305" s="495"/>
      <c r="AQ305" s="425">
        <f>I305*2</f>
        <v>720</v>
      </c>
      <c r="AS305" s="425">
        <f>I305*2</f>
        <v>720</v>
      </c>
      <c r="AT305" s="495"/>
      <c r="AY305" s="498">
        <f>I305/24*2</f>
        <v>30</v>
      </c>
      <c r="BT305" s="495"/>
      <c r="BU305" s="425">
        <f>I305</f>
        <v>360</v>
      </c>
      <c r="BV305" s="495"/>
      <c r="CK305" s="425">
        <f t="shared" si="66"/>
        <v>0</v>
      </c>
      <c r="CL305" s="425">
        <f t="shared" si="67"/>
        <v>0</v>
      </c>
      <c r="CM305" s="425">
        <f t="shared" si="68"/>
        <v>0</v>
      </c>
      <c r="CN305" s="495"/>
      <c r="CO305" s="495"/>
      <c r="CP305" s="495"/>
      <c r="CT305" s="495"/>
      <c r="CU305" s="495"/>
      <c r="CV305" s="495"/>
      <c r="CW305" s="495"/>
      <c r="CX305" s="495"/>
    </row>
    <row r="306" s="425" customFormat="1" ht="31" customHeight="1" spans="1:102">
      <c r="A306" s="455">
        <v>45805</v>
      </c>
      <c r="B306" s="456"/>
      <c r="C306" s="457"/>
      <c r="D306" s="425" t="s">
        <v>717</v>
      </c>
      <c r="E306" s="457"/>
      <c r="G306" s="458" t="s">
        <v>3138</v>
      </c>
      <c r="H306" s="458" t="s">
        <v>3139</v>
      </c>
      <c r="I306" s="458">
        <v>1008</v>
      </c>
      <c r="J306" s="458">
        <v>0</v>
      </c>
      <c r="K306" s="458">
        <v>24</v>
      </c>
      <c r="L306" s="462">
        <f t="shared" si="75"/>
        <v>42</v>
      </c>
      <c r="M306" s="463">
        <v>45838</v>
      </c>
      <c r="N306" s="463">
        <v>45834</v>
      </c>
      <c r="O306" s="464"/>
      <c r="P306" s="464" t="s">
        <v>103</v>
      </c>
      <c r="Q306" s="458"/>
      <c r="R306" s="472">
        <v>45805</v>
      </c>
      <c r="S306" s="472" t="s">
        <v>66</v>
      </c>
      <c r="T306" s="472" t="s">
        <v>66</v>
      </c>
      <c r="U306" s="472"/>
      <c r="V306" s="473" t="s">
        <v>3499</v>
      </c>
      <c r="W306" s="473" t="s">
        <v>79</v>
      </c>
      <c r="X306" s="473"/>
      <c r="Y306" s="480"/>
      <c r="Z306" s="509" t="s">
        <v>718</v>
      </c>
      <c r="AA306" s="458" t="s">
        <v>3138</v>
      </c>
      <c r="AB306" s="458" t="s">
        <v>76</v>
      </c>
      <c r="AC306" s="458"/>
      <c r="AD306" s="458" t="s">
        <v>69</v>
      </c>
      <c r="AE306" s="458"/>
      <c r="AF306" s="458">
        <v>1008</v>
      </c>
      <c r="AG306" s="458">
        <f>AF306-I306</f>
        <v>0</v>
      </c>
      <c r="AH306" s="489"/>
      <c r="AI306" s="458"/>
      <c r="AJ306" s="458"/>
      <c r="AK306" s="458">
        <f>I306</f>
        <v>1008</v>
      </c>
      <c r="AM306" s="425">
        <f>I306</f>
        <v>1008</v>
      </c>
      <c r="AO306" s="495"/>
      <c r="AR306" s="425">
        <f>I306</f>
        <v>1008</v>
      </c>
      <c r="AT306" s="495"/>
      <c r="AY306" s="498">
        <f>I306/48</f>
        <v>21</v>
      </c>
      <c r="BT306" s="495"/>
      <c r="BV306" s="495"/>
      <c r="CK306" s="425">
        <f t="shared" si="66"/>
        <v>0</v>
      </c>
      <c r="CL306" s="425">
        <f t="shared" si="67"/>
        <v>0</v>
      </c>
      <c r="CM306" s="425">
        <f t="shared" si="68"/>
        <v>0</v>
      </c>
      <c r="CN306" s="495"/>
      <c r="CO306" s="495"/>
      <c r="CP306" s="495"/>
      <c r="CT306" s="495"/>
      <c r="CU306" s="495"/>
      <c r="CV306" s="495"/>
      <c r="CW306" s="495"/>
      <c r="CX306" s="495"/>
    </row>
    <row r="307" s="425" customFormat="1" ht="31" customHeight="1" spans="1:102">
      <c r="A307" s="455">
        <v>45805</v>
      </c>
      <c r="B307" s="456" t="s">
        <v>840</v>
      </c>
      <c r="C307" s="457" t="s">
        <v>841</v>
      </c>
      <c r="D307" s="425">
        <v>4500168238</v>
      </c>
      <c r="E307" s="457"/>
      <c r="F307" s="425" t="s">
        <v>3936</v>
      </c>
      <c r="G307" s="458" t="s">
        <v>3378</v>
      </c>
      <c r="H307" s="458" t="s">
        <v>3379</v>
      </c>
      <c r="I307" s="458">
        <v>150</v>
      </c>
      <c r="J307" s="458">
        <v>0</v>
      </c>
      <c r="K307" s="458">
        <v>50</v>
      </c>
      <c r="L307" s="462">
        <f t="shared" si="75"/>
        <v>3</v>
      </c>
      <c r="M307" s="463">
        <v>45838</v>
      </c>
      <c r="N307" s="463">
        <v>45834</v>
      </c>
      <c r="O307" s="464"/>
      <c r="P307" s="464" t="s">
        <v>103</v>
      </c>
      <c r="Q307" s="458"/>
      <c r="R307" s="472">
        <v>45814</v>
      </c>
      <c r="S307" s="472" t="s">
        <v>66</v>
      </c>
      <c r="T307" s="472" t="s">
        <v>66</v>
      </c>
      <c r="U307" s="472"/>
      <c r="V307" s="473" t="s">
        <v>3937</v>
      </c>
      <c r="W307" s="473" t="s">
        <v>853</v>
      </c>
      <c r="X307" s="473">
        <v>1.32</v>
      </c>
      <c r="Y307" s="480">
        <f>X307*I307</f>
        <v>198</v>
      </c>
      <c r="Z307" s="458" t="s">
        <v>3938</v>
      </c>
      <c r="AA307" s="458" t="s">
        <v>3378</v>
      </c>
      <c r="AB307" s="458" t="s">
        <v>76</v>
      </c>
      <c r="AC307" s="458"/>
      <c r="AD307" s="458" t="s">
        <v>69</v>
      </c>
      <c r="AE307" s="458"/>
      <c r="AF307" s="458">
        <v>150</v>
      </c>
      <c r="AG307" s="458">
        <f>AF307-I307</f>
        <v>0</v>
      </c>
      <c r="AH307" s="489"/>
      <c r="AI307" s="458"/>
      <c r="AJ307" s="458"/>
      <c r="AK307" s="458"/>
      <c r="AL307" s="425">
        <f>I307</f>
        <v>150</v>
      </c>
      <c r="AO307" s="495"/>
      <c r="AT307" s="495"/>
      <c r="AY307" s="498">
        <f>I307/24*2</f>
        <v>12.5</v>
      </c>
      <c r="BQ307" s="425">
        <f>I307</f>
        <v>150</v>
      </c>
      <c r="BR307" s="425">
        <f>I307</f>
        <v>150</v>
      </c>
      <c r="BS307" s="425">
        <f>I307/25</f>
        <v>6</v>
      </c>
      <c r="BT307" s="495"/>
      <c r="BV307" s="495"/>
      <c r="CK307" s="425">
        <f t="shared" si="66"/>
        <v>6</v>
      </c>
      <c r="CL307" s="425">
        <f t="shared" si="67"/>
        <v>0</v>
      </c>
      <c r="CM307" s="425">
        <f t="shared" si="68"/>
        <v>0</v>
      </c>
      <c r="CN307" s="495"/>
      <c r="CO307" s="495"/>
      <c r="CP307" s="495"/>
      <c r="CT307" s="495"/>
      <c r="CU307" s="495"/>
      <c r="CV307" s="495"/>
      <c r="CW307" s="495"/>
      <c r="CX307" s="495"/>
    </row>
    <row r="308" s="425" customFormat="1" ht="31" customHeight="1" spans="1:102">
      <c r="A308" s="455">
        <v>45769</v>
      </c>
      <c r="B308" s="456" t="s">
        <v>857</v>
      </c>
      <c r="C308" s="457" t="s">
        <v>249</v>
      </c>
      <c r="D308" s="425">
        <v>4500164547</v>
      </c>
      <c r="E308" s="457" t="s">
        <v>858</v>
      </c>
      <c r="F308" s="425" t="s">
        <v>859</v>
      </c>
      <c r="G308" s="458" t="s">
        <v>743</v>
      </c>
      <c r="H308" s="458" t="s">
        <v>744</v>
      </c>
      <c r="I308" s="458">
        <v>72</v>
      </c>
      <c r="J308" s="458">
        <v>0</v>
      </c>
      <c r="K308" s="458">
        <v>1</v>
      </c>
      <c r="L308" s="462">
        <f t="shared" si="75"/>
        <v>72</v>
      </c>
      <c r="M308" s="463">
        <v>45840</v>
      </c>
      <c r="N308" s="463">
        <f t="shared" ref="N308:N315" si="81">M308-4</f>
        <v>45836</v>
      </c>
      <c r="O308" s="464" t="s">
        <v>3939</v>
      </c>
      <c r="P308" s="464" t="s">
        <v>103</v>
      </c>
      <c r="Q308" s="458"/>
      <c r="R308" s="472">
        <v>45785</v>
      </c>
      <c r="S308" s="472" t="s">
        <v>66</v>
      </c>
      <c r="T308" s="472" t="s">
        <v>66</v>
      </c>
      <c r="U308" s="472"/>
      <c r="V308" s="473" t="s">
        <v>861</v>
      </c>
      <c r="W308" s="473" t="s">
        <v>219</v>
      </c>
      <c r="X308" s="473">
        <v>0</v>
      </c>
      <c r="Y308" s="480">
        <v>0</v>
      </c>
      <c r="Z308" s="458" t="s">
        <v>862</v>
      </c>
      <c r="AA308" s="458" t="s">
        <v>743</v>
      </c>
      <c r="AB308" s="458" t="s">
        <v>76</v>
      </c>
      <c r="AC308" s="458"/>
      <c r="AD308" s="458" t="s">
        <v>69</v>
      </c>
      <c r="AE308" s="458"/>
      <c r="AF308" s="458">
        <f>800+4005+595</f>
        <v>5400</v>
      </c>
      <c r="AG308" s="458">
        <f>AF308-I309</f>
        <v>0</v>
      </c>
      <c r="AH308" s="489"/>
      <c r="AI308" s="458"/>
      <c r="AJ308" s="458"/>
      <c r="AK308" s="458"/>
      <c r="AO308" s="495"/>
      <c r="AT308" s="495"/>
      <c r="AY308" s="498"/>
      <c r="BT308" s="495"/>
      <c r="BV308" s="495"/>
      <c r="CK308" s="425">
        <f t="shared" si="66"/>
        <v>0</v>
      </c>
      <c r="CL308" s="425">
        <f t="shared" si="67"/>
        <v>0</v>
      </c>
      <c r="CM308" s="425">
        <f t="shared" si="68"/>
        <v>0</v>
      </c>
      <c r="CN308" s="495"/>
      <c r="CO308" s="495"/>
      <c r="CP308" s="495"/>
      <c r="CT308" s="495"/>
      <c r="CU308" s="495"/>
      <c r="CV308" s="495"/>
      <c r="CW308" s="495"/>
      <c r="CX308" s="495"/>
    </row>
    <row r="309" s="425" customFormat="1" ht="31" customHeight="1" spans="1:102">
      <c r="A309" s="455">
        <v>45769</v>
      </c>
      <c r="B309" s="456" t="s">
        <v>857</v>
      </c>
      <c r="C309" s="457" t="s">
        <v>249</v>
      </c>
      <c r="D309" s="425">
        <v>4500164547</v>
      </c>
      <c r="E309" s="457" t="s">
        <v>858</v>
      </c>
      <c r="F309" s="425" t="s">
        <v>859</v>
      </c>
      <c r="G309" s="458" t="s">
        <v>3671</v>
      </c>
      <c r="H309" s="458" t="s">
        <v>3940</v>
      </c>
      <c r="I309" s="458">
        <v>5400</v>
      </c>
      <c r="J309" s="458">
        <v>0</v>
      </c>
      <c r="K309" s="458">
        <v>225</v>
      </c>
      <c r="L309" s="462">
        <f t="shared" si="75"/>
        <v>24</v>
      </c>
      <c r="M309" s="463">
        <v>45840</v>
      </c>
      <c r="N309" s="463">
        <f t="shared" si="81"/>
        <v>45836</v>
      </c>
      <c r="O309" s="464" t="s">
        <v>3939</v>
      </c>
      <c r="P309" s="464" t="s">
        <v>103</v>
      </c>
      <c r="Q309" s="458"/>
      <c r="R309" s="472">
        <v>45785</v>
      </c>
      <c r="S309" s="472" t="s">
        <v>66</v>
      </c>
      <c r="T309" s="472" t="s">
        <v>66</v>
      </c>
      <c r="U309" s="472"/>
      <c r="V309" s="473" t="s">
        <v>861</v>
      </c>
      <c r="W309" s="473" t="s">
        <v>219</v>
      </c>
      <c r="X309" s="473">
        <v>755</v>
      </c>
      <c r="Y309" s="480">
        <f>X309*L309</f>
        <v>18120</v>
      </c>
      <c r="AA309" s="458" t="s">
        <v>743</v>
      </c>
      <c r="AB309" s="458" t="s">
        <v>76</v>
      </c>
      <c r="AC309" s="458"/>
      <c r="AD309" s="458" t="s">
        <v>69</v>
      </c>
      <c r="AE309" s="458"/>
      <c r="AF309" s="458">
        <v>0</v>
      </c>
      <c r="AG309" s="458">
        <v>0</v>
      </c>
      <c r="AH309" s="489"/>
      <c r="AI309" s="458"/>
      <c r="AJ309" s="458"/>
      <c r="AK309" s="458"/>
      <c r="AL309" s="425">
        <f>I309*3</f>
        <v>16200</v>
      </c>
      <c r="AO309" s="495"/>
      <c r="AT309" s="495"/>
      <c r="AY309" s="498">
        <f>I309/24*3</f>
        <v>675</v>
      </c>
      <c r="BC309" s="425">
        <f>I309*3</f>
        <v>16200</v>
      </c>
      <c r="BD309" s="425">
        <f>I309*3</f>
        <v>16200</v>
      </c>
      <c r="BE309" s="425">
        <f>I309/3</f>
        <v>1800</v>
      </c>
      <c r="BF309" s="425">
        <f>I309/5</f>
        <v>1080</v>
      </c>
      <c r="BT309" s="495"/>
      <c r="BV309" s="495"/>
      <c r="CK309" s="425">
        <f t="shared" si="66"/>
        <v>0</v>
      </c>
      <c r="CL309" s="425">
        <f t="shared" si="67"/>
        <v>0</v>
      </c>
      <c r="CM309" s="425">
        <f t="shared" si="68"/>
        <v>0</v>
      </c>
      <c r="CN309" s="495"/>
      <c r="CO309" s="495"/>
      <c r="CP309" s="495"/>
      <c r="CT309" s="495"/>
      <c r="CU309" s="495"/>
      <c r="CV309" s="495"/>
      <c r="CW309" s="495"/>
      <c r="CX309" s="495"/>
    </row>
    <row r="310" s="425" customFormat="1" ht="31" customHeight="1" spans="1:102">
      <c r="A310" s="455">
        <v>45807</v>
      </c>
      <c r="B310" s="456" t="s">
        <v>840</v>
      </c>
      <c r="C310" s="457" t="s">
        <v>841</v>
      </c>
      <c r="D310" s="425">
        <v>4500168505</v>
      </c>
      <c r="E310" s="457"/>
      <c r="F310" s="425" t="s">
        <v>3941</v>
      </c>
      <c r="G310" s="458" t="s">
        <v>3378</v>
      </c>
      <c r="H310" s="458" t="s">
        <v>3379</v>
      </c>
      <c r="I310" s="458">
        <v>500</v>
      </c>
      <c r="J310" s="458">
        <v>0</v>
      </c>
      <c r="K310" s="458">
        <v>50</v>
      </c>
      <c r="L310" s="462">
        <f t="shared" si="75"/>
        <v>10</v>
      </c>
      <c r="M310" s="515">
        <v>45840</v>
      </c>
      <c r="N310" s="463">
        <f t="shared" si="81"/>
        <v>45836</v>
      </c>
      <c r="O310" s="464"/>
      <c r="P310" s="464" t="s">
        <v>103</v>
      </c>
      <c r="Q310" s="458"/>
      <c r="R310" s="472">
        <v>45814</v>
      </c>
      <c r="S310" s="472" t="s">
        <v>66</v>
      </c>
      <c r="T310" s="472" t="s">
        <v>66</v>
      </c>
      <c r="U310" s="472"/>
      <c r="V310" s="473" t="s">
        <v>3844</v>
      </c>
      <c r="W310" s="473" t="s">
        <v>853</v>
      </c>
      <c r="X310" s="473">
        <v>1.32</v>
      </c>
      <c r="Y310" s="480">
        <f t="shared" ref="Y310:Y323" si="82">X310*I310</f>
        <v>660</v>
      </c>
      <c r="Z310" s="458"/>
      <c r="AA310" s="458" t="s">
        <v>3378</v>
      </c>
      <c r="AB310" s="458" t="s">
        <v>76</v>
      </c>
      <c r="AC310" s="458"/>
      <c r="AD310" s="458" t="s">
        <v>69</v>
      </c>
      <c r="AE310" s="458"/>
      <c r="AF310" s="458">
        <v>500</v>
      </c>
      <c r="AG310" s="458">
        <f t="shared" ref="AG310:AG323" si="83">AF310-I310</f>
        <v>0</v>
      </c>
      <c r="AH310" s="489"/>
      <c r="AI310" s="458"/>
      <c r="AJ310" s="458"/>
      <c r="AK310" s="458"/>
      <c r="AL310" s="425">
        <f>I310</f>
        <v>500</v>
      </c>
      <c r="AO310" s="495"/>
      <c r="AT310" s="495"/>
      <c r="AY310" s="498">
        <f>I310/24*2</f>
        <v>41.6666666666667</v>
      </c>
      <c r="BQ310" s="425">
        <f>I310</f>
        <v>500</v>
      </c>
      <c r="BR310" s="425">
        <f>I310</f>
        <v>500</v>
      </c>
      <c r="BS310" s="425">
        <f>I310/25</f>
        <v>20</v>
      </c>
      <c r="BT310" s="495"/>
      <c r="BV310" s="495"/>
      <c r="CK310" s="425">
        <f t="shared" si="66"/>
        <v>20</v>
      </c>
      <c r="CL310" s="425">
        <f t="shared" si="67"/>
        <v>0</v>
      </c>
      <c r="CM310" s="425">
        <f t="shared" si="68"/>
        <v>0</v>
      </c>
      <c r="CN310" s="495"/>
      <c r="CO310" s="495"/>
      <c r="CP310" s="495"/>
      <c r="CT310" s="495"/>
      <c r="CU310" s="495"/>
      <c r="CV310" s="495"/>
      <c r="CW310" s="495"/>
      <c r="CX310" s="495"/>
    </row>
    <row r="311" s="425" customFormat="1" ht="31" customHeight="1" spans="1:102">
      <c r="A311" s="455">
        <v>45811</v>
      </c>
      <c r="B311" s="456" t="s">
        <v>840</v>
      </c>
      <c r="C311" s="457" t="s">
        <v>841</v>
      </c>
      <c r="D311" s="425">
        <v>4500168705</v>
      </c>
      <c r="E311" s="457"/>
      <c r="F311" s="425" t="s">
        <v>3942</v>
      </c>
      <c r="G311" s="458" t="s">
        <v>3378</v>
      </c>
      <c r="H311" s="458" t="s">
        <v>3379</v>
      </c>
      <c r="I311" s="458">
        <v>350</v>
      </c>
      <c r="J311" s="458">
        <v>0</v>
      </c>
      <c r="K311" s="458">
        <v>50</v>
      </c>
      <c r="L311" s="462">
        <f t="shared" si="75"/>
        <v>7</v>
      </c>
      <c r="M311" s="463">
        <v>45840</v>
      </c>
      <c r="N311" s="463">
        <f t="shared" si="81"/>
        <v>45836</v>
      </c>
      <c r="O311" s="464"/>
      <c r="P311" s="464" t="s">
        <v>103</v>
      </c>
      <c r="Q311" s="458"/>
      <c r="R311" s="472">
        <v>45814</v>
      </c>
      <c r="S311" s="472" t="s">
        <v>66</v>
      </c>
      <c r="T311" s="472" t="s">
        <v>66</v>
      </c>
      <c r="U311" s="472"/>
      <c r="V311" s="473" t="s">
        <v>3943</v>
      </c>
      <c r="W311" s="473" t="s">
        <v>853</v>
      </c>
      <c r="X311" s="473">
        <v>1.32</v>
      </c>
      <c r="Y311" s="480">
        <f t="shared" si="82"/>
        <v>462</v>
      </c>
      <c r="Z311" s="458" t="s">
        <v>3944</v>
      </c>
      <c r="AA311" s="458" t="s">
        <v>3378</v>
      </c>
      <c r="AB311" s="458" t="s">
        <v>76</v>
      </c>
      <c r="AC311" s="458"/>
      <c r="AD311" s="458" t="s">
        <v>69</v>
      </c>
      <c r="AE311" s="458"/>
      <c r="AF311" s="458">
        <v>350</v>
      </c>
      <c r="AG311" s="458">
        <f t="shared" si="83"/>
        <v>0</v>
      </c>
      <c r="AH311" s="489"/>
      <c r="AI311" s="458"/>
      <c r="AJ311" s="458"/>
      <c r="AK311" s="458"/>
      <c r="AL311" s="425">
        <f>I311</f>
        <v>350</v>
      </c>
      <c r="AO311" s="495"/>
      <c r="AT311" s="495"/>
      <c r="AY311" s="498">
        <f>I311/24*2</f>
        <v>29.1666666666667</v>
      </c>
      <c r="BQ311" s="425">
        <f>I311</f>
        <v>350</v>
      </c>
      <c r="BR311" s="425">
        <f>I311</f>
        <v>350</v>
      </c>
      <c r="BS311" s="425">
        <f>I311/25</f>
        <v>14</v>
      </c>
      <c r="BT311" s="495"/>
      <c r="BV311" s="495"/>
      <c r="CK311" s="425">
        <f t="shared" si="66"/>
        <v>14</v>
      </c>
      <c r="CL311" s="425">
        <f t="shared" si="67"/>
        <v>0</v>
      </c>
      <c r="CM311" s="425">
        <f t="shared" si="68"/>
        <v>0</v>
      </c>
      <c r="CN311" s="495"/>
      <c r="CO311" s="495"/>
      <c r="CP311" s="495"/>
      <c r="CT311" s="495"/>
      <c r="CU311" s="495"/>
      <c r="CV311" s="495"/>
      <c r="CW311" s="495"/>
      <c r="CX311" s="495"/>
    </row>
    <row r="312" s="425" customFormat="1" ht="31" customHeight="1" spans="1:102">
      <c r="A312" s="455">
        <v>45806</v>
      </c>
      <c r="B312" s="456" t="s">
        <v>932</v>
      </c>
      <c r="C312" s="457" t="s">
        <v>356</v>
      </c>
      <c r="D312" s="425">
        <v>4500168264</v>
      </c>
      <c r="E312" s="457"/>
      <c r="F312" s="425" t="s">
        <v>3945</v>
      </c>
      <c r="G312" s="458" t="s">
        <v>3161</v>
      </c>
      <c r="H312" s="458" t="s">
        <v>3221</v>
      </c>
      <c r="I312" s="458">
        <v>500</v>
      </c>
      <c r="J312" s="458">
        <v>0</v>
      </c>
      <c r="K312" s="458">
        <v>50</v>
      </c>
      <c r="L312" s="462">
        <f t="shared" si="75"/>
        <v>10</v>
      </c>
      <c r="M312" s="463">
        <v>45842</v>
      </c>
      <c r="N312" s="463">
        <f t="shared" si="81"/>
        <v>45838</v>
      </c>
      <c r="O312" s="464"/>
      <c r="P312" s="464" t="s">
        <v>103</v>
      </c>
      <c r="Q312" s="458"/>
      <c r="R312" s="472">
        <v>45812</v>
      </c>
      <c r="S312" s="472" t="s">
        <v>66</v>
      </c>
      <c r="T312" s="472" t="s">
        <v>3946</v>
      </c>
      <c r="U312" s="472"/>
      <c r="V312" s="473" t="s">
        <v>3947</v>
      </c>
      <c r="W312" s="473" t="s">
        <v>395</v>
      </c>
      <c r="X312" s="473">
        <v>0.9462</v>
      </c>
      <c r="Y312" s="480">
        <f t="shared" si="82"/>
        <v>473.1</v>
      </c>
      <c r="Z312" s="458" t="s">
        <v>936</v>
      </c>
      <c r="AA312" s="458" t="s">
        <v>3161</v>
      </c>
      <c r="AB312" s="458" t="s">
        <v>76</v>
      </c>
      <c r="AC312" s="458"/>
      <c r="AD312" s="458" t="s">
        <v>69</v>
      </c>
      <c r="AE312" s="458"/>
      <c r="AF312" s="458">
        <v>500</v>
      </c>
      <c r="AG312" s="458">
        <f t="shared" si="83"/>
        <v>0</v>
      </c>
      <c r="AH312" s="489"/>
      <c r="AI312" s="458"/>
      <c r="AJ312" s="458"/>
      <c r="AK312" s="458"/>
      <c r="AL312" s="426">
        <f>I312</f>
        <v>500</v>
      </c>
      <c r="AO312" s="495"/>
      <c r="AQ312" s="425">
        <f>I312</f>
        <v>500</v>
      </c>
      <c r="AS312" s="425">
        <f>I312</f>
        <v>500</v>
      </c>
      <c r="AT312" s="495"/>
      <c r="AY312" s="498">
        <f>I312/24</f>
        <v>20.8333333333333</v>
      </c>
      <c r="BL312" s="425">
        <f>I312/25</f>
        <v>20</v>
      </c>
      <c r="BT312" s="495"/>
      <c r="BV312" s="495"/>
      <c r="CK312" s="425">
        <f t="shared" si="66"/>
        <v>20</v>
      </c>
      <c r="CL312" s="425">
        <f t="shared" si="67"/>
        <v>0</v>
      </c>
      <c r="CM312" s="425">
        <f t="shared" si="68"/>
        <v>0</v>
      </c>
      <c r="CN312" s="495"/>
      <c r="CO312" s="495"/>
      <c r="CP312" s="495"/>
      <c r="CT312" s="495"/>
      <c r="CU312" s="495"/>
      <c r="CV312" s="495"/>
      <c r="CW312" s="495"/>
      <c r="CX312" s="495"/>
    </row>
    <row r="313" s="425" customFormat="1" ht="31" customHeight="1" spans="1:102">
      <c r="A313" s="455">
        <v>45806</v>
      </c>
      <c r="B313" s="456" t="s">
        <v>932</v>
      </c>
      <c r="C313" s="457" t="s">
        <v>356</v>
      </c>
      <c r="D313" s="425">
        <v>4500168264</v>
      </c>
      <c r="E313" s="457"/>
      <c r="F313" s="425" t="s">
        <v>937</v>
      </c>
      <c r="G313" s="458" t="s">
        <v>3436</v>
      </c>
      <c r="H313" s="458" t="s">
        <v>424</v>
      </c>
      <c r="I313" s="458">
        <v>300</v>
      </c>
      <c r="J313" s="458">
        <v>0</v>
      </c>
      <c r="K313" s="458">
        <v>6</v>
      </c>
      <c r="L313" s="462">
        <f t="shared" si="75"/>
        <v>50</v>
      </c>
      <c r="M313" s="463">
        <v>45842</v>
      </c>
      <c r="N313" s="463">
        <f t="shared" si="81"/>
        <v>45838</v>
      </c>
      <c r="O313" s="464"/>
      <c r="P313" s="464" t="s">
        <v>103</v>
      </c>
      <c r="Q313" s="458"/>
      <c r="R313" s="472">
        <v>45812</v>
      </c>
      <c r="S313" s="472" t="s">
        <v>66</v>
      </c>
      <c r="T313" s="472" t="s">
        <v>3946</v>
      </c>
      <c r="U313" s="472"/>
      <c r="V313" s="473" t="s">
        <v>3948</v>
      </c>
      <c r="W313" s="473" t="s">
        <v>395</v>
      </c>
      <c r="X313" s="473">
        <v>8.1</v>
      </c>
      <c r="Y313" s="480">
        <f t="shared" si="82"/>
        <v>2430</v>
      </c>
      <c r="Z313" s="509" t="s">
        <v>936</v>
      </c>
      <c r="AA313" s="458" t="s">
        <v>427</v>
      </c>
      <c r="AB313" s="458" t="s">
        <v>76</v>
      </c>
      <c r="AC313" s="458"/>
      <c r="AD313" s="458" t="s">
        <v>69</v>
      </c>
      <c r="AE313" s="458"/>
      <c r="AF313" s="458">
        <v>300</v>
      </c>
      <c r="AG313" s="458">
        <f t="shared" si="83"/>
        <v>0</v>
      </c>
      <c r="AH313" s="489"/>
      <c r="AI313" s="458"/>
      <c r="AJ313" s="458"/>
      <c r="AK313" s="458"/>
      <c r="AL313" s="425">
        <f>I313*2</f>
        <v>600</v>
      </c>
      <c r="AO313" s="495"/>
      <c r="AQ313" s="425">
        <f>I313*2</f>
        <v>600</v>
      </c>
      <c r="AS313" s="425">
        <f>I313*2</f>
        <v>600</v>
      </c>
      <c r="AT313" s="495"/>
      <c r="AY313" s="498">
        <f>I313/24*2</f>
        <v>25</v>
      </c>
      <c r="BT313" s="495"/>
      <c r="BU313" s="425">
        <f>I313</f>
        <v>300</v>
      </c>
      <c r="BV313" s="495"/>
      <c r="CK313" s="425">
        <f t="shared" si="66"/>
        <v>0</v>
      </c>
      <c r="CL313" s="425">
        <f t="shared" si="67"/>
        <v>0</v>
      </c>
      <c r="CM313" s="425">
        <f t="shared" si="68"/>
        <v>0</v>
      </c>
      <c r="CN313" s="495"/>
      <c r="CO313" s="495"/>
      <c r="CP313" s="495"/>
      <c r="CT313" s="495"/>
      <c r="CU313" s="495"/>
      <c r="CV313" s="495"/>
      <c r="CW313" s="495"/>
      <c r="CX313" s="495"/>
    </row>
    <row r="314" s="425" customFormat="1" ht="31" customHeight="1" spans="1:102">
      <c r="A314" s="455">
        <v>45806</v>
      </c>
      <c r="B314" s="456" t="s">
        <v>939</v>
      </c>
      <c r="C314" s="457" t="s">
        <v>356</v>
      </c>
      <c r="D314" s="425">
        <v>4500168249</v>
      </c>
      <c r="E314" s="457"/>
      <c r="F314" s="425" t="s">
        <v>940</v>
      </c>
      <c r="G314" s="458" t="s">
        <v>3436</v>
      </c>
      <c r="H314" s="458" t="s">
        <v>424</v>
      </c>
      <c r="I314" s="458">
        <v>120</v>
      </c>
      <c r="J314" s="458">
        <v>0</v>
      </c>
      <c r="K314" s="458">
        <v>6</v>
      </c>
      <c r="L314" s="462">
        <f t="shared" si="75"/>
        <v>20</v>
      </c>
      <c r="M314" s="463">
        <v>45842</v>
      </c>
      <c r="N314" s="463">
        <f t="shared" si="81"/>
        <v>45838</v>
      </c>
      <c r="O314" s="464"/>
      <c r="P314" s="464" t="s">
        <v>103</v>
      </c>
      <c r="Q314" s="458"/>
      <c r="R314" s="472">
        <v>45812</v>
      </c>
      <c r="S314" s="472" t="s">
        <v>66</v>
      </c>
      <c r="T314" s="472">
        <v>45818</v>
      </c>
      <c r="U314" s="472"/>
      <c r="V314" s="473" t="s">
        <v>3949</v>
      </c>
      <c r="W314" s="473" t="s">
        <v>359</v>
      </c>
      <c r="X314" s="473">
        <v>8.1</v>
      </c>
      <c r="Y314" s="480">
        <f t="shared" si="82"/>
        <v>972</v>
      </c>
      <c r="Z314" s="458" t="s">
        <v>942</v>
      </c>
      <c r="AA314" s="458" t="s">
        <v>427</v>
      </c>
      <c r="AB314" s="458" t="s">
        <v>76</v>
      </c>
      <c r="AC314" s="458"/>
      <c r="AD314" s="458" t="s">
        <v>69</v>
      </c>
      <c r="AE314" s="458"/>
      <c r="AF314" s="458">
        <v>120</v>
      </c>
      <c r="AG314" s="458">
        <f t="shared" si="83"/>
        <v>0</v>
      </c>
      <c r="AH314" s="489"/>
      <c r="AI314" s="458"/>
      <c r="AJ314" s="458"/>
      <c r="AK314" s="458"/>
      <c r="AL314" s="425">
        <f>I314*2</f>
        <v>240</v>
      </c>
      <c r="AO314" s="495"/>
      <c r="AQ314" s="425">
        <f>I314*2</f>
        <v>240</v>
      </c>
      <c r="AS314" s="425">
        <f>I314*2</f>
        <v>240</v>
      </c>
      <c r="AT314" s="495"/>
      <c r="AY314" s="498">
        <f>I314/24*2</f>
        <v>10</v>
      </c>
      <c r="BT314" s="495"/>
      <c r="BU314" s="425">
        <f>I314</f>
        <v>120</v>
      </c>
      <c r="BV314" s="495"/>
      <c r="CK314" s="425">
        <f t="shared" si="66"/>
        <v>0</v>
      </c>
      <c r="CL314" s="425">
        <f t="shared" si="67"/>
        <v>0</v>
      </c>
      <c r="CM314" s="425">
        <f t="shared" si="68"/>
        <v>0</v>
      </c>
      <c r="CN314" s="495"/>
      <c r="CO314" s="495"/>
      <c r="CP314" s="495"/>
      <c r="CT314" s="495"/>
      <c r="CU314" s="495"/>
      <c r="CV314" s="495"/>
      <c r="CW314" s="495"/>
      <c r="CX314" s="495"/>
    </row>
    <row r="315" s="425" customFormat="1" ht="31" customHeight="1" spans="1:102">
      <c r="A315" s="455">
        <v>45806</v>
      </c>
      <c r="B315" s="456" t="s">
        <v>943</v>
      </c>
      <c r="C315" s="457" t="s">
        <v>356</v>
      </c>
      <c r="D315" s="425">
        <v>4500168288</v>
      </c>
      <c r="E315" s="457"/>
      <c r="F315" s="425" t="s">
        <v>944</v>
      </c>
      <c r="G315" s="458" t="s">
        <v>3436</v>
      </c>
      <c r="H315" s="458" t="s">
        <v>424</v>
      </c>
      <c r="I315" s="458">
        <v>42</v>
      </c>
      <c r="J315" s="458">
        <v>0</v>
      </c>
      <c r="K315" s="458">
        <v>6</v>
      </c>
      <c r="L315" s="462">
        <f t="shared" si="75"/>
        <v>7</v>
      </c>
      <c r="M315" s="463">
        <v>45842</v>
      </c>
      <c r="N315" s="463">
        <f t="shared" si="81"/>
        <v>45838</v>
      </c>
      <c r="O315" s="464"/>
      <c r="P315" s="464" t="s">
        <v>103</v>
      </c>
      <c r="Q315" s="458"/>
      <c r="R315" s="472">
        <v>45813</v>
      </c>
      <c r="S315" s="472" t="s">
        <v>66</v>
      </c>
      <c r="T315" s="472" t="s">
        <v>3950</v>
      </c>
      <c r="U315" s="472"/>
      <c r="V315" s="473" t="s">
        <v>3951</v>
      </c>
      <c r="W315" s="473" t="s">
        <v>395</v>
      </c>
      <c r="X315" s="473">
        <v>8.1</v>
      </c>
      <c r="Y315" s="480">
        <f t="shared" si="82"/>
        <v>340.2</v>
      </c>
      <c r="Z315" s="509" t="s">
        <v>3952</v>
      </c>
      <c r="AA315" s="458" t="s">
        <v>427</v>
      </c>
      <c r="AB315" s="458" t="s">
        <v>76</v>
      </c>
      <c r="AC315" s="458"/>
      <c r="AD315" s="458" t="s">
        <v>69</v>
      </c>
      <c r="AE315" s="458"/>
      <c r="AF315" s="458">
        <v>42</v>
      </c>
      <c r="AG315" s="458">
        <f t="shared" si="83"/>
        <v>0</v>
      </c>
      <c r="AH315" s="489"/>
      <c r="AI315" s="458"/>
      <c r="AJ315" s="458"/>
      <c r="AK315" s="458"/>
      <c r="AL315" s="425">
        <f>I315*2</f>
        <v>84</v>
      </c>
      <c r="AO315" s="495"/>
      <c r="AQ315" s="425">
        <f>I315*2</f>
        <v>84</v>
      </c>
      <c r="AS315" s="425">
        <f>I315*2</f>
        <v>84</v>
      </c>
      <c r="AT315" s="495"/>
      <c r="AY315" s="498">
        <f>I315/24*2</f>
        <v>3.5</v>
      </c>
      <c r="BT315" s="495"/>
      <c r="BU315" s="425">
        <f>I315</f>
        <v>42</v>
      </c>
      <c r="BV315" s="495"/>
      <c r="CK315" s="425">
        <f t="shared" si="66"/>
        <v>0</v>
      </c>
      <c r="CL315" s="425">
        <f t="shared" si="67"/>
        <v>0</v>
      </c>
      <c r="CM315" s="425">
        <f t="shared" si="68"/>
        <v>0</v>
      </c>
      <c r="CN315" s="495"/>
      <c r="CO315" s="495"/>
      <c r="CP315" s="495"/>
      <c r="CT315" s="495"/>
      <c r="CU315" s="495"/>
      <c r="CV315" s="495"/>
      <c r="CW315" s="495"/>
      <c r="CX315" s="495"/>
    </row>
    <row r="316" s="425" customFormat="1" ht="31" customHeight="1" spans="1:102">
      <c r="A316" s="455">
        <v>45796</v>
      </c>
      <c r="B316" s="456" t="s">
        <v>758</v>
      </c>
      <c r="C316" s="457" t="s">
        <v>759</v>
      </c>
      <c r="D316" s="425">
        <v>4500166548</v>
      </c>
      <c r="E316" s="457" t="s">
        <v>760</v>
      </c>
      <c r="F316" s="425" t="s">
        <v>3953</v>
      </c>
      <c r="G316" s="458" t="s">
        <v>3206</v>
      </c>
      <c r="H316" s="458" t="s">
        <v>3207</v>
      </c>
      <c r="I316" s="458">
        <v>1300</v>
      </c>
      <c r="J316" s="458">
        <v>0</v>
      </c>
      <c r="K316" s="458">
        <v>13</v>
      </c>
      <c r="L316" s="462">
        <f t="shared" si="75"/>
        <v>100</v>
      </c>
      <c r="M316" s="463">
        <v>45833</v>
      </c>
      <c r="N316" s="463">
        <v>45845</v>
      </c>
      <c r="O316" s="464"/>
      <c r="P316" s="464" t="s">
        <v>103</v>
      </c>
      <c r="Q316" s="458"/>
      <c r="R316" s="472">
        <v>45806</v>
      </c>
      <c r="S316" s="472" t="s">
        <v>66</v>
      </c>
      <c r="T316" s="472">
        <v>45824</v>
      </c>
      <c r="U316" s="472"/>
      <c r="V316" s="473" t="s">
        <v>3954</v>
      </c>
      <c r="W316" s="473" t="s">
        <v>763</v>
      </c>
      <c r="X316" s="473">
        <v>0.9116</v>
      </c>
      <c r="Y316" s="480">
        <f t="shared" si="82"/>
        <v>1185.08</v>
      </c>
      <c r="Z316" s="458" t="s">
        <v>764</v>
      </c>
      <c r="AA316" s="458" t="s">
        <v>3206</v>
      </c>
      <c r="AB316" s="458" t="s">
        <v>76</v>
      </c>
      <c r="AC316" s="458"/>
      <c r="AD316" s="458" t="s">
        <v>69</v>
      </c>
      <c r="AE316" s="458"/>
      <c r="AF316" s="458">
        <v>1300</v>
      </c>
      <c r="AG316" s="458">
        <f t="shared" si="83"/>
        <v>0</v>
      </c>
      <c r="AH316" s="489"/>
      <c r="AI316" s="458"/>
      <c r="AJ316" s="458"/>
      <c r="AK316" s="458"/>
      <c r="AL316" s="426">
        <f>I316</f>
        <v>1300</v>
      </c>
      <c r="AO316" s="495"/>
      <c r="AQ316" s="425">
        <f>I316</f>
        <v>1300</v>
      </c>
      <c r="AS316" s="425">
        <f>I316</f>
        <v>1300</v>
      </c>
      <c r="AT316" s="495"/>
      <c r="AY316" s="498">
        <f>I316/24</f>
        <v>54.1666666666667</v>
      </c>
      <c r="BI316" s="425">
        <f>I316/13</f>
        <v>100</v>
      </c>
      <c r="BT316" s="495"/>
      <c r="BV316" s="495"/>
      <c r="CK316" s="425">
        <f t="shared" si="66"/>
        <v>0</v>
      </c>
      <c r="CL316" s="425">
        <f t="shared" si="67"/>
        <v>0</v>
      </c>
      <c r="CM316" s="425">
        <f t="shared" si="68"/>
        <v>0</v>
      </c>
      <c r="CN316" s="495"/>
      <c r="CO316" s="495"/>
      <c r="CP316" s="495"/>
      <c r="CT316" s="495"/>
      <c r="CU316" s="495"/>
      <c r="CV316" s="495"/>
      <c r="CW316" s="495"/>
      <c r="CX316" s="495"/>
    </row>
    <row r="317" s="425" customFormat="1" ht="31" customHeight="1" spans="1:102">
      <c r="A317" s="455">
        <v>45814</v>
      </c>
      <c r="B317" s="456" t="s">
        <v>965</v>
      </c>
      <c r="C317" s="457" t="s">
        <v>882</v>
      </c>
      <c r="D317" s="425">
        <v>4500169123</v>
      </c>
      <c r="E317" s="457">
        <v>4500061201</v>
      </c>
      <c r="F317" s="425" t="s">
        <v>3955</v>
      </c>
      <c r="G317" s="458" t="s">
        <v>3161</v>
      </c>
      <c r="H317" s="458" t="s">
        <v>3221</v>
      </c>
      <c r="I317" s="458">
        <v>1800</v>
      </c>
      <c r="J317" s="458">
        <v>0</v>
      </c>
      <c r="K317" s="458">
        <v>50</v>
      </c>
      <c r="L317" s="462">
        <f t="shared" si="75"/>
        <v>36</v>
      </c>
      <c r="M317" s="463">
        <v>45849</v>
      </c>
      <c r="N317" s="463">
        <v>45845</v>
      </c>
      <c r="O317" s="464"/>
      <c r="P317" s="464" t="s">
        <v>103</v>
      </c>
      <c r="Q317" s="458"/>
      <c r="R317" s="472">
        <v>45814</v>
      </c>
      <c r="S317" s="472" t="s">
        <v>66</v>
      </c>
      <c r="T317" s="472" t="s">
        <v>3956</v>
      </c>
      <c r="U317" s="472"/>
      <c r="V317" s="473" t="s">
        <v>3957</v>
      </c>
      <c r="W317" s="473" t="s">
        <v>886</v>
      </c>
      <c r="X317" s="473">
        <v>0.924</v>
      </c>
      <c r="Y317" s="480">
        <f t="shared" si="82"/>
        <v>1663.2</v>
      </c>
      <c r="Z317" s="458"/>
      <c r="AA317" s="458" t="s">
        <v>3161</v>
      </c>
      <c r="AB317" s="458" t="s">
        <v>76</v>
      </c>
      <c r="AC317" s="458"/>
      <c r="AD317" s="458" t="s">
        <v>69</v>
      </c>
      <c r="AE317" s="458"/>
      <c r="AF317" s="458">
        <v>1800</v>
      </c>
      <c r="AG317" s="458">
        <f t="shared" si="83"/>
        <v>0</v>
      </c>
      <c r="AH317" s="489"/>
      <c r="AI317" s="458"/>
      <c r="AJ317" s="458"/>
      <c r="AK317" s="458"/>
      <c r="AL317" s="426">
        <f>I317</f>
        <v>1800</v>
      </c>
      <c r="AO317" s="495"/>
      <c r="AQ317" s="425">
        <f>I317</f>
        <v>1800</v>
      </c>
      <c r="AS317" s="425">
        <f>I317</f>
        <v>1800</v>
      </c>
      <c r="AT317" s="495"/>
      <c r="AY317" s="498">
        <f>I317/24</f>
        <v>75</v>
      </c>
      <c r="BL317" s="425">
        <f>I317/25</f>
        <v>72</v>
      </c>
      <c r="BT317" s="495"/>
      <c r="BV317" s="495"/>
      <c r="CK317" s="425">
        <f t="shared" si="66"/>
        <v>72</v>
      </c>
      <c r="CL317" s="425">
        <f t="shared" si="67"/>
        <v>0</v>
      </c>
      <c r="CM317" s="425">
        <f t="shared" si="68"/>
        <v>0</v>
      </c>
      <c r="CN317" s="495"/>
      <c r="CO317" s="495"/>
      <c r="CP317" s="495"/>
      <c r="CT317" s="495"/>
      <c r="CU317" s="495"/>
      <c r="CV317" s="495"/>
      <c r="CW317" s="495"/>
      <c r="CX317" s="495"/>
    </row>
    <row r="318" s="425" customFormat="1" ht="31" customHeight="1" spans="1:102">
      <c r="A318" s="455">
        <v>45804</v>
      </c>
      <c r="B318" s="456" t="s">
        <v>220</v>
      </c>
      <c r="C318" s="457" t="s">
        <v>90</v>
      </c>
      <c r="D318" s="425">
        <v>4500168042</v>
      </c>
      <c r="E318" s="457" t="s">
        <v>3958</v>
      </c>
      <c r="F318" s="425" t="s">
        <v>3959</v>
      </c>
      <c r="G318" s="458" t="s">
        <v>3198</v>
      </c>
      <c r="H318" s="458" t="s">
        <v>3303</v>
      </c>
      <c r="I318" s="458">
        <v>14725</v>
      </c>
      <c r="J318" s="458">
        <v>0</v>
      </c>
      <c r="K318" s="458">
        <v>25</v>
      </c>
      <c r="L318" s="462">
        <f t="shared" si="75"/>
        <v>589</v>
      </c>
      <c r="M318" s="463">
        <v>45845</v>
      </c>
      <c r="N318" s="463">
        <v>45847</v>
      </c>
      <c r="O318" s="464"/>
      <c r="P318" s="464" t="s">
        <v>103</v>
      </c>
      <c r="Q318" s="458"/>
      <c r="R318" s="472">
        <v>45813</v>
      </c>
      <c r="S318" s="472" t="s">
        <v>96</v>
      </c>
      <c r="T318" s="472" t="s">
        <v>3923</v>
      </c>
      <c r="U318" s="472"/>
      <c r="V318" s="473" t="s">
        <v>3960</v>
      </c>
      <c r="W318" s="473" t="s">
        <v>226</v>
      </c>
      <c r="X318" s="473">
        <v>0.5443</v>
      </c>
      <c r="Y318" s="480">
        <f t="shared" si="82"/>
        <v>8014.8175</v>
      </c>
      <c r="Z318" s="458" t="s">
        <v>3961</v>
      </c>
      <c r="AA318" s="458" t="s">
        <v>3198</v>
      </c>
      <c r="AB318" s="458" t="s">
        <v>76</v>
      </c>
      <c r="AC318" s="458"/>
      <c r="AD318" s="458" t="s">
        <v>69</v>
      </c>
      <c r="AE318" s="458"/>
      <c r="AF318" s="458">
        <v>14725</v>
      </c>
      <c r="AG318" s="458">
        <f t="shared" si="83"/>
        <v>0</v>
      </c>
      <c r="AH318" s="489"/>
      <c r="AI318" s="458"/>
      <c r="AJ318" s="458"/>
      <c r="AK318" s="458">
        <f t="shared" ref="AK318:AK323" si="84">I318</f>
        <v>14725</v>
      </c>
      <c r="AM318" s="425">
        <f>I318</f>
        <v>14725</v>
      </c>
      <c r="AO318" s="495"/>
      <c r="AR318" s="425">
        <f t="shared" ref="AR318:AR323" si="85">I318</f>
        <v>14725</v>
      </c>
      <c r="AT318" s="495"/>
      <c r="AY318" s="498">
        <f>I318/48</f>
        <v>306.770833333333</v>
      </c>
      <c r="BJ318" s="425">
        <f>I318/25</f>
        <v>589</v>
      </c>
      <c r="BT318" s="495"/>
      <c r="BV318" s="495"/>
      <c r="CK318" s="425">
        <f t="shared" si="66"/>
        <v>589</v>
      </c>
      <c r="CL318" s="425">
        <f t="shared" si="67"/>
        <v>0</v>
      </c>
      <c r="CM318" s="425">
        <f t="shared" si="68"/>
        <v>0</v>
      </c>
      <c r="CN318" s="495"/>
      <c r="CO318" s="495"/>
      <c r="CP318" s="495"/>
      <c r="CT318" s="495"/>
      <c r="CU318" s="495"/>
      <c r="CV318" s="495"/>
      <c r="CW318" s="495"/>
      <c r="CX318" s="495"/>
    </row>
    <row r="319" s="425" customFormat="1" ht="31" customHeight="1" spans="1:102">
      <c r="A319" s="455">
        <v>45799</v>
      </c>
      <c r="B319" s="456" t="s">
        <v>3962</v>
      </c>
      <c r="C319" s="457" t="s">
        <v>90</v>
      </c>
      <c r="D319" s="425">
        <v>4500167544</v>
      </c>
      <c r="E319" s="457">
        <v>4648</v>
      </c>
      <c r="F319" s="425" t="s">
        <v>3963</v>
      </c>
      <c r="G319" s="458" t="s">
        <v>3154</v>
      </c>
      <c r="H319" s="458" t="s">
        <v>3151</v>
      </c>
      <c r="I319" s="458">
        <v>600</v>
      </c>
      <c r="J319" s="458">
        <v>0</v>
      </c>
      <c r="K319" s="458">
        <v>50</v>
      </c>
      <c r="L319" s="462">
        <f t="shared" si="75"/>
        <v>12</v>
      </c>
      <c r="M319" s="463">
        <v>45846</v>
      </c>
      <c r="N319" s="463">
        <v>45849</v>
      </c>
      <c r="O319" s="464"/>
      <c r="P319" s="464" t="s">
        <v>103</v>
      </c>
      <c r="Q319" s="458"/>
      <c r="R319" s="472">
        <v>45805</v>
      </c>
      <c r="S319" s="472" t="s">
        <v>66</v>
      </c>
      <c r="T319" s="472" t="s">
        <v>66</v>
      </c>
      <c r="U319" s="472"/>
      <c r="V319" s="473" t="s">
        <v>3964</v>
      </c>
      <c r="W319" s="473" t="s">
        <v>242</v>
      </c>
      <c r="X319" s="473">
        <v>0.5735</v>
      </c>
      <c r="Y319" s="480">
        <f t="shared" si="82"/>
        <v>344.1</v>
      </c>
      <c r="Z319" s="458" t="s">
        <v>3965</v>
      </c>
      <c r="AA319" s="458" t="s">
        <v>3154</v>
      </c>
      <c r="AB319" s="458" t="s">
        <v>76</v>
      </c>
      <c r="AC319" s="458"/>
      <c r="AD319" s="458" t="s">
        <v>69</v>
      </c>
      <c r="AE319" s="458"/>
      <c r="AF319" s="458">
        <v>600</v>
      </c>
      <c r="AG319" s="458">
        <f t="shared" si="83"/>
        <v>0</v>
      </c>
      <c r="AH319" s="489"/>
      <c r="AI319" s="458"/>
      <c r="AJ319" s="458"/>
      <c r="AK319" s="458">
        <f t="shared" si="84"/>
        <v>600</v>
      </c>
      <c r="AM319" s="425">
        <f>I319</f>
        <v>600</v>
      </c>
      <c r="AO319" s="495"/>
      <c r="AR319" s="425">
        <f t="shared" si="85"/>
        <v>600</v>
      </c>
      <c r="AT319" s="495"/>
      <c r="AY319" s="498">
        <f>I319/48</f>
        <v>12.5</v>
      </c>
      <c r="BJ319" s="425">
        <f>I319/25</f>
        <v>24</v>
      </c>
      <c r="BT319" s="495"/>
      <c r="BV319" s="495"/>
      <c r="CK319" s="425">
        <f t="shared" si="66"/>
        <v>24</v>
      </c>
      <c r="CL319" s="425">
        <f t="shared" si="67"/>
        <v>0</v>
      </c>
      <c r="CM319" s="425">
        <f t="shared" si="68"/>
        <v>0</v>
      </c>
      <c r="CN319" s="495"/>
      <c r="CO319" s="495"/>
      <c r="CP319" s="495"/>
      <c r="CT319" s="495"/>
      <c r="CU319" s="495"/>
      <c r="CV319" s="495"/>
      <c r="CW319" s="495"/>
      <c r="CX319" s="495"/>
    </row>
    <row r="320" s="425" customFormat="1" ht="31" customHeight="1" spans="1:102">
      <c r="A320" s="455">
        <v>45740</v>
      </c>
      <c r="B320" s="456" t="s">
        <v>152</v>
      </c>
      <c r="C320" s="457" t="s">
        <v>153</v>
      </c>
      <c r="D320" s="425">
        <v>4500160886</v>
      </c>
      <c r="E320" s="457">
        <v>9900924256</v>
      </c>
      <c r="F320" s="425" t="s">
        <v>3966</v>
      </c>
      <c r="G320" s="458" t="s">
        <v>3198</v>
      </c>
      <c r="H320" s="458" t="s">
        <v>3303</v>
      </c>
      <c r="I320" s="458">
        <v>6775</v>
      </c>
      <c r="J320" s="458">
        <v>0</v>
      </c>
      <c r="K320" s="458">
        <v>25</v>
      </c>
      <c r="L320" s="462">
        <f t="shared" si="75"/>
        <v>271</v>
      </c>
      <c r="M320" s="463">
        <v>45849</v>
      </c>
      <c r="N320" s="463">
        <v>45849</v>
      </c>
      <c r="O320" s="464" t="s">
        <v>1023</v>
      </c>
      <c r="P320" s="464" t="s">
        <v>103</v>
      </c>
      <c r="Q320" s="458"/>
      <c r="R320" s="472">
        <v>45784</v>
      </c>
      <c r="S320" s="472" t="s">
        <v>66</v>
      </c>
      <c r="T320" s="472" t="s">
        <v>66</v>
      </c>
      <c r="U320" s="472"/>
      <c r="V320" s="473" t="s">
        <v>3967</v>
      </c>
      <c r="W320" s="473" t="s">
        <v>158</v>
      </c>
      <c r="X320" s="473">
        <v>0.95</v>
      </c>
      <c r="Y320" s="480">
        <f t="shared" si="82"/>
        <v>6436.25</v>
      </c>
      <c r="Z320" s="509" t="s">
        <v>1025</v>
      </c>
      <c r="AA320" s="458" t="s">
        <v>3202</v>
      </c>
      <c r="AB320" s="458" t="s">
        <v>76</v>
      </c>
      <c r="AC320" s="458"/>
      <c r="AD320" s="458" t="s">
        <v>69</v>
      </c>
      <c r="AE320" s="458"/>
      <c r="AF320" s="458">
        <v>6775</v>
      </c>
      <c r="AG320" s="458">
        <f t="shared" si="83"/>
        <v>0</v>
      </c>
      <c r="AH320" s="489"/>
      <c r="AI320" s="458"/>
      <c r="AJ320" s="458"/>
      <c r="AK320" s="458">
        <f t="shared" si="84"/>
        <v>6775</v>
      </c>
      <c r="AO320" s="495"/>
      <c r="AP320" s="425">
        <f>I320</f>
        <v>6775</v>
      </c>
      <c r="AR320" s="425">
        <f t="shared" si="85"/>
        <v>6775</v>
      </c>
      <c r="AT320" s="495"/>
      <c r="AY320" s="498">
        <f>I320/24</f>
        <v>282.291666666667</v>
      </c>
      <c r="BK320" s="425">
        <f>I320/25</f>
        <v>271</v>
      </c>
      <c r="BT320" s="495"/>
      <c r="BV320" s="495"/>
      <c r="CK320" s="425">
        <f t="shared" si="66"/>
        <v>271</v>
      </c>
      <c r="CL320" s="425">
        <f t="shared" si="67"/>
        <v>0</v>
      </c>
      <c r="CM320" s="425">
        <f t="shared" si="68"/>
        <v>0</v>
      </c>
      <c r="CN320" s="495"/>
      <c r="CO320" s="495"/>
      <c r="CP320" s="495"/>
      <c r="CT320" s="495"/>
      <c r="CU320" s="495"/>
      <c r="CV320" s="495"/>
      <c r="CW320" s="495"/>
      <c r="CX320" s="495"/>
    </row>
    <row r="321" s="425" customFormat="1" ht="31" customHeight="1" spans="1:102">
      <c r="A321" s="455">
        <v>45806</v>
      </c>
      <c r="B321" s="456" t="s">
        <v>128</v>
      </c>
      <c r="C321" s="457" t="s">
        <v>90</v>
      </c>
      <c r="D321" s="425">
        <v>4500168379</v>
      </c>
      <c r="E321" s="895" t="s">
        <v>3968</v>
      </c>
      <c r="F321" s="425" t="s">
        <v>3969</v>
      </c>
      <c r="G321" s="458" t="s">
        <v>3180</v>
      </c>
      <c r="H321" s="458" t="s">
        <v>3181</v>
      </c>
      <c r="I321" s="458">
        <v>7936</v>
      </c>
      <c r="J321" s="458">
        <v>0</v>
      </c>
      <c r="K321" s="458">
        <v>16</v>
      </c>
      <c r="L321" s="462">
        <f t="shared" si="75"/>
        <v>496</v>
      </c>
      <c r="M321" s="463">
        <v>45849</v>
      </c>
      <c r="N321" s="463">
        <v>45849</v>
      </c>
      <c r="O321" s="464" t="s">
        <v>949</v>
      </c>
      <c r="P321" s="464" t="s">
        <v>103</v>
      </c>
      <c r="Q321" s="458"/>
      <c r="R321" s="472" t="s">
        <v>3873</v>
      </c>
      <c r="S321" s="472" t="s">
        <v>66</v>
      </c>
      <c r="T321" s="472" t="s">
        <v>133</v>
      </c>
      <c r="U321" s="472"/>
      <c r="V321" s="473" t="s">
        <v>3751</v>
      </c>
      <c r="W321" s="473" t="s">
        <v>98</v>
      </c>
      <c r="X321" s="473">
        <v>0.5936</v>
      </c>
      <c r="Y321" s="480">
        <f t="shared" si="82"/>
        <v>4710.8096</v>
      </c>
      <c r="Z321" s="458" t="s">
        <v>3970</v>
      </c>
      <c r="AA321" s="458" t="s">
        <v>3180</v>
      </c>
      <c r="AB321" s="458" t="s">
        <v>76</v>
      </c>
      <c r="AC321" s="458"/>
      <c r="AD321" s="458" t="s">
        <v>69</v>
      </c>
      <c r="AE321" s="458"/>
      <c r="AF321" s="458">
        <f>7888+48</f>
        <v>7936</v>
      </c>
      <c r="AG321" s="458">
        <f t="shared" si="83"/>
        <v>0</v>
      </c>
      <c r="AH321" s="489"/>
      <c r="AI321" s="458"/>
      <c r="AJ321" s="458"/>
      <c r="AK321" s="458">
        <f t="shared" si="84"/>
        <v>7936</v>
      </c>
      <c r="AM321" s="425">
        <f>I321</f>
        <v>7936</v>
      </c>
      <c r="AO321" s="495"/>
      <c r="AR321" s="425">
        <f t="shared" si="85"/>
        <v>7936</v>
      </c>
      <c r="AT321" s="495"/>
      <c r="AY321" s="498">
        <f>I321/48</f>
        <v>165.333333333333</v>
      </c>
      <c r="BM321" s="425">
        <f>I321/16</f>
        <v>496</v>
      </c>
      <c r="BT321" s="495"/>
      <c r="BV321" s="495"/>
      <c r="CK321" s="425">
        <f t="shared" si="66"/>
        <v>496</v>
      </c>
      <c r="CL321" s="425">
        <f t="shared" si="67"/>
        <v>0</v>
      </c>
      <c r="CM321" s="425">
        <f t="shared" si="68"/>
        <v>0</v>
      </c>
      <c r="CN321" s="495"/>
      <c r="CO321" s="495"/>
      <c r="CP321" s="495"/>
      <c r="CT321" s="495"/>
      <c r="CU321" s="495"/>
      <c r="CV321" s="495"/>
      <c r="CW321" s="495"/>
      <c r="CX321" s="495"/>
    </row>
    <row r="322" s="425" customFormat="1" ht="31" customHeight="1" spans="1:102">
      <c r="A322" s="455">
        <v>45806</v>
      </c>
      <c r="B322" s="456" t="s">
        <v>128</v>
      </c>
      <c r="C322" s="457" t="s">
        <v>90</v>
      </c>
      <c r="D322" s="425">
        <v>4500168379</v>
      </c>
      <c r="E322" s="895" t="s">
        <v>3971</v>
      </c>
      <c r="F322" s="425" t="s">
        <v>3972</v>
      </c>
      <c r="G322" s="458" t="s">
        <v>3180</v>
      </c>
      <c r="H322" s="458" t="s">
        <v>3181</v>
      </c>
      <c r="I322" s="458">
        <v>7632</v>
      </c>
      <c r="J322" s="458">
        <v>0</v>
      </c>
      <c r="K322" s="458">
        <v>16</v>
      </c>
      <c r="L322" s="462">
        <f t="shared" si="75"/>
        <v>477</v>
      </c>
      <c r="M322" s="463">
        <v>45849</v>
      </c>
      <c r="N322" s="463">
        <v>45849</v>
      </c>
      <c r="O322" s="464" t="s">
        <v>949</v>
      </c>
      <c r="P322" s="464" t="s">
        <v>103</v>
      </c>
      <c r="Q322" s="458"/>
      <c r="R322" s="472" t="s">
        <v>3873</v>
      </c>
      <c r="S322" s="472" t="s">
        <v>66</v>
      </c>
      <c r="T322" s="472" t="s">
        <v>133</v>
      </c>
      <c r="U322" s="472"/>
      <c r="V322" s="473" t="s">
        <v>3751</v>
      </c>
      <c r="W322" s="473" t="s">
        <v>98</v>
      </c>
      <c r="X322" s="473">
        <v>0.5936</v>
      </c>
      <c r="Y322" s="480">
        <f t="shared" si="82"/>
        <v>4530.3552</v>
      </c>
      <c r="Z322" s="458" t="s">
        <v>3973</v>
      </c>
      <c r="AA322" s="458" t="s">
        <v>3180</v>
      </c>
      <c r="AB322" s="458" t="s">
        <v>76</v>
      </c>
      <c r="AC322" s="458"/>
      <c r="AD322" s="458" t="s">
        <v>69</v>
      </c>
      <c r="AE322" s="458"/>
      <c r="AF322" s="458">
        <v>7632</v>
      </c>
      <c r="AG322" s="458">
        <f t="shared" si="83"/>
        <v>0</v>
      </c>
      <c r="AH322" s="489"/>
      <c r="AI322" s="458"/>
      <c r="AJ322" s="458"/>
      <c r="AK322" s="458">
        <f t="shared" si="84"/>
        <v>7632</v>
      </c>
      <c r="AM322" s="425">
        <f>I322</f>
        <v>7632</v>
      </c>
      <c r="AO322" s="495"/>
      <c r="AR322" s="425">
        <f t="shared" si="85"/>
        <v>7632</v>
      </c>
      <c r="AT322" s="495"/>
      <c r="AY322" s="498">
        <f>I322/48</f>
        <v>159</v>
      </c>
      <c r="BM322" s="425">
        <f>I322/16</f>
        <v>477</v>
      </c>
      <c r="BT322" s="495"/>
      <c r="BV322" s="495"/>
      <c r="CK322" s="425">
        <f t="shared" si="66"/>
        <v>477</v>
      </c>
      <c r="CL322" s="425">
        <f t="shared" si="67"/>
        <v>0</v>
      </c>
      <c r="CM322" s="425">
        <f t="shared" si="68"/>
        <v>0</v>
      </c>
      <c r="CN322" s="495"/>
      <c r="CO322" s="495"/>
      <c r="CP322" s="495"/>
      <c r="CT322" s="495"/>
      <c r="CU322" s="495"/>
      <c r="CV322" s="495"/>
      <c r="CW322" s="495"/>
      <c r="CX322" s="495"/>
    </row>
    <row r="323" s="425" customFormat="1" ht="31" customHeight="1" spans="1:102">
      <c r="A323" s="455">
        <v>45806</v>
      </c>
      <c r="B323" s="456" t="s">
        <v>128</v>
      </c>
      <c r="C323" s="457" t="s">
        <v>90</v>
      </c>
      <c r="D323" s="425">
        <v>4500168379</v>
      </c>
      <c r="E323" s="895" t="s">
        <v>3974</v>
      </c>
      <c r="F323" s="425" t="s">
        <v>3975</v>
      </c>
      <c r="G323" s="458" t="s">
        <v>3180</v>
      </c>
      <c r="H323" s="458" t="s">
        <v>3181</v>
      </c>
      <c r="I323" s="458">
        <v>5120</v>
      </c>
      <c r="J323" s="458">
        <v>0</v>
      </c>
      <c r="K323" s="458">
        <v>16</v>
      </c>
      <c r="L323" s="462">
        <f t="shared" si="75"/>
        <v>320</v>
      </c>
      <c r="M323" s="463">
        <v>45849</v>
      </c>
      <c r="N323" s="463">
        <v>45849</v>
      </c>
      <c r="O323" s="464" t="s">
        <v>949</v>
      </c>
      <c r="P323" s="464" t="s">
        <v>103</v>
      </c>
      <c r="Q323" s="458"/>
      <c r="R323" s="472" t="s">
        <v>3873</v>
      </c>
      <c r="S323" s="472" t="s">
        <v>66</v>
      </c>
      <c r="T323" s="472" t="s">
        <v>133</v>
      </c>
      <c r="U323" s="472"/>
      <c r="V323" s="473" t="s">
        <v>3751</v>
      </c>
      <c r="W323" s="473" t="s">
        <v>98</v>
      </c>
      <c r="X323" s="473">
        <v>0.5936</v>
      </c>
      <c r="Y323" s="480">
        <f t="shared" si="82"/>
        <v>3039.232</v>
      </c>
      <c r="Z323" s="458" t="s">
        <v>3976</v>
      </c>
      <c r="AA323" s="458" t="s">
        <v>3180</v>
      </c>
      <c r="AB323" s="458" t="s">
        <v>76</v>
      </c>
      <c r="AC323" s="458"/>
      <c r="AD323" s="458" t="s">
        <v>69</v>
      </c>
      <c r="AE323" s="458"/>
      <c r="AF323" s="458">
        <v>5120</v>
      </c>
      <c r="AG323" s="458">
        <f t="shared" si="83"/>
        <v>0</v>
      </c>
      <c r="AH323" s="489"/>
      <c r="AI323" s="458"/>
      <c r="AJ323" s="458"/>
      <c r="AK323" s="458">
        <f t="shared" si="84"/>
        <v>5120</v>
      </c>
      <c r="AM323" s="425">
        <f>I323</f>
        <v>5120</v>
      </c>
      <c r="AO323" s="495"/>
      <c r="AR323" s="425">
        <f t="shared" si="85"/>
        <v>5120</v>
      </c>
      <c r="AT323" s="495"/>
      <c r="AY323" s="498">
        <f>I323/48</f>
        <v>106.666666666667</v>
      </c>
      <c r="BM323" s="425">
        <f>I323/16</f>
        <v>320</v>
      </c>
      <c r="BT323" s="495"/>
      <c r="BV323" s="495"/>
      <c r="CK323" s="425">
        <f t="shared" ref="CK323:CK386" si="86">BM323+BL323+BK323+BJ323+BS323</f>
        <v>320</v>
      </c>
      <c r="CL323" s="425">
        <f t="shared" ref="CL323:CL386" si="87">CA323+CB323+CC323+CD323+CE323+CG323+CF323</f>
        <v>0</v>
      </c>
      <c r="CM323" s="425">
        <f t="shared" ref="CM323:CM386" si="88">BY323+BZ323</f>
        <v>0</v>
      </c>
      <c r="CN323" s="495"/>
      <c r="CO323" s="495"/>
      <c r="CP323" s="495"/>
      <c r="CT323" s="495"/>
      <c r="CU323" s="495"/>
      <c r="CV323" s="495"/>
      <c r="CW323" s="495"/>
      <c r="CX323" s="495"/>
    </row>
    <row r="324" s="425" customFormat="1" ht="31" customHeight="1" spans="1:102">
      <c r="A324" s="455">
        <v>45741</v>
      </c>
      <c r="B324" s="456" t="s">
        <v>817</v>
      </c>
      <c r="C324" s="457" t="s">
        <v>153</v>
      </c>
      <c r="D324" s="425">
        <v>4500161406</v>
      </c>
      <c r="E324" s="895" t="s">
        <v>969</v>
      </c>
      <c r="F324" s="425" t="s">
        <v>970</v>
      </c>
      <c r="G324" s="458" t="s">
        <v>971</v>
      </c>
      <c r="H324" s="458" t="s">
        <v>744</v>
      </c>
      <c r="I324" s="458">
        <v>24</v>
      </c>
      <c r="J324" s="458">
        <v>0</v>
      </c>
      <c r="K324" s="458">
        <v>1</v>
      </c>
      <c r="L324" s="462">
        <v>24</v>
      </c>
      <c r="M324" s="463">
        <v>45850</v>
      </c>
      <c r="N324" s="463">
        <f>M324-4</f>
        <v>45846</v>
      </c>
      <c r="O324" s="464"/>
      <c r="P324" s="464" t="s">
        <v>103</v>
      </c>
      <c r="Q324" s="458"/>
      <c r="R324" s="472">
        <v>45790</v>
      </c>
      <c r="S324" s="472" t="s">
        <v>66</v>
      </c>
      <c r="T324" s="472" t="s">
        <v>66</v>
      </c>
      <c r="U324" s="472"/>
      <c r="V324" s="473" t="s">
        <v>972</v>
      </c>
      <c r="W324" s="473" t="s">
        <v>821</v>
      </c>
      <c r="X324" s="473">
        <v>0</v>
      </c>
      <c r="Y324" s="480">
        <v>0</v>
      </c>
      <c r="Z324" s="458"/>
      <c r="AA324" s="458" t="s">
        <v>974</v>
      </c>
      <c r="AB324" s="458" t="s">
        <v>76</v>
      </c>
      <c r="AC324" s="458"/>
      <c r="AD324" s="458" t="s">
        <v>69</v>
      </c>
      <c r="AE324" s="458"/>
      <c r="AF324" s="458">
        <v>2400</v>
      </c>
      <c r="AG324" s="458">
        <v>0</v>
      </c>
      <c r="AH324" s="489"/>
      <c r="AI324" s="458"/>
      <c r="AJ324" s="458"/>
      <c r="AK324" s="458"/>
      <c r="AO324" s="495"/>
      <c r="AT324" s="495"/>
      <c r="AY324" s="498"/>
      <c r="BT324" s="495"/>
      <c r="BV324" s="495"/>
      <c r="CK324" s="425">
        <f t="shared" si="86"/>
        <v>0</v>
      </c>
      <c r="CL324" s="425">
        <f t="shared" si="87"/>
        <v>0</v>
      </c>
      <c r="CM324" s="425">
        <f t="shared" si="88"/>
        <v>0</v>
      </c>
      <c r="CN324" s="495"/>
      <c r="CO324" s="495"/>
      <c r="CP324" s="495"/>
      <c r="CT324" s="495"/>
      <c r="CU324" s="495"/>
      <c r="CV324" s="495"/>
      <c r="CW324" s="495"/>
      <c r="CX324" s="495"/>
    </row>
    <row r="325" s="425" customFormat="1" ht="31" customHeight="1" spans="1:102">
      <c r="A325" s="455">
        <v>45741</v>
      </c>
      <c r="B325" s="456" t="s">
        <v>817</v>
      </c>
      <c r="C325" s="457" t="s">
        <v>153</v>
      </c>
      <c r="D325" s="425">
        <v>4500161406</v>
      </c>
      <c r="E325" s="895" t="s">
        <v>969</v>
      </c>
      <c r="F325" s="425" t="s">
        <v>970</v>
      </c>
      <c r="G325" s="458">
        <v>77711</v>
      </c>
      <c r="H325" s="458" t="s">
        <v>3151</v>
      </c>
      <c r="I325" s="458">
        <v>2400</v>
      </c>
      <c r="J325" s="458">
        <v>0</v>
      </c>
      <c r="K325" s="458">
        <v>100</v>
      </c>
      <c r="L325" s="462">
        <v>24</v>
      </c>
      <c r="M325" s="463">
        <v>45850</v>
      </c>
      <c r="N325" s="463">
        <f>M325-4</f>
        <v>45846</v>
      </c>
      <c r="O325" s="464"/>
      <c r="P325" s="464" t="s">
        <v>103</v>
      </c>
      <c r="Q325" s="458"/>
      <c r="R325" s="472">
        <v>45790</v>
      </c>
      <c r="S325" s="472" t="s">
        <v>66</v>
      </c>
      <c r="T325" s="472" t="s">
        <v>66</v>
      </c>
      <c r="U325" s="472"/>
      <c r="V325" s="473" t="s">
        <v>972</v>
      </c>
      <c r="W325" s="473" t="s">
        <v>821</v>
      </c>
      <c r="X325" s="473">
        <v>1000</v>
      </c>
      <c r="Y325" s="480">
        <f>X325*L325</f>
        <v>24000</v>
      </c>
      <c r="Z325" s="458"/>
      <c r="AA325" s="458" t="s">
        <v>974</v>
      </c>
      <c r="AB325" s="458" t="s">
        <v>76</v>
      </c>
      <c r="AC325" s="458"/>
      <c r="AD325" s="458" t="s">
        <v>69</v>
      </c>
      <c r="AE325" s="458"/>
      <c r="AF325" s="458">
        <v>0</v>
      </c>
      <c r="AG325" s="458">
        <v>0</v>
      </c>
      <c r="AH325" s="489"/>
      <c r="AI325" s="458"/>
      <c r="AJ325" s="458"/>
      <c r="AK325" s="458">
        <f>I325*3</f>
        <v>7200</v>
      </c>
      <c r="AO325" s="495"/>
      <c r="AT325" s="495"/>
      <c r="AY325" s="498">
        <f>I325/24*3</f>
        <v>300</v>
      </c>
      <c r="BC325" s="425">
        <f>I325*3</f>
        <v>7200</v>
      </c>
      <c r="BD325" s="425">
        <f>I325*3</f>
        <v>7200</v>
      </c>
      <c r="BE325" s="425">
        <f>I325</f>
        <v>2400</v>
      </c>
      <c r="BF325" s="425">
        <f>I325</f>
        <v>2400</v>
      </c>
      <c r="BT325" s="495"/>
      <c r="BV325" s="495"/>
      <c r="CK325" s="425">
        <f t="shared" si="86"/>
        <v>0</v>
      </c>
      <c r="CL325" s="425">
        <f t="shared" si="87"/>
        <v>0</v>
      </c>
      <c r="CM325" s="425">
        <f t="shared" si="88"/>
        <v>0</v>
      </c>
      <c r="CN325" s="495"/>
      <c r="CO325" s="495"/>
      <c r="CP325" s="495"/>
      <c r="CT325" s="495"/>
      <c r="CU325" s="495"/>
      <c r="CV325" s="495"/>
      <c r="CW325" s="495"/>
      <c r="CX325" s="495"/>
    </row>
    <row r="326" s="425" customFormat="1" ht="31" customHeight="1" spans="1:102">
      <c r="A326" s="455">
        <v>45789</v>
      </c>
      <c r="B326" s="456" t="s">
        <v>3526</v>
      </c>
      <c r="C326" s="457" t="s">
        <v>90</v>
      </c>
      <c r="D326" s="425">
        <v>4500163953</v>
      </c>
      <c r="E326" s="457" t="s">
        <v>3977</v>
      </c>
      <c r="F326" s="425" t="s">
        <v>3978</v>
      </c>
      <c r="G326" s="458" t="s">
        <v>3518</v>
      </c>
      <c r="H326" s="458" t="s">
        <v>3519</v>
      </c>
      <c r="I326" s="458">
        <v>39984</v>
      </c>
      <c r="J326" s="458">
        <v>0</v>
      </c>
      <c r="K326" s="458">
        <v>48</v>
      </c>
      <c r="L326" s="462">
        <f t="shared" ref="L326:L345" si="89">I326/K326</f>
        <v>833</v>
      </c>
      <c r="M326" s="463">
        <v>45852</v>
      </c>
      <c r="N326" s="463">
        <v>45848</v>
      </c>
      <c r="O326" s="464" t="s">
        <v>3979</v>
      </c>
      <c r="P326" s="464" t="s">
        <v>103</v>
      </c>
      <c r="Q326" s="458"/>
      <c r="R326" s="472" t="s">
        <v>3980</v>
      </c>
      <c r="S326" s="472" t="s">
        <v>66</v>
      </c>
      <c r="T326" s="472" t="s">
        <v>66</v>
      </c>
      <c r="U326" s="472" t="s">
        <v>3981</v>
      </c>
      <c r="V326" s="473" t="s">
        <v>3982</v>
      </c>
      <c r="W326" s="473" t="s">
        <v>3983</v>
      </c>
      <c r="X326" s="473">
        <v>0.582</v>
      </c>
      <c r="Y326" s="480">
        <f>I326*X326</f>
        <v>23270.688</v>
      </c>
      <c r="Z326" s="458" t="s">
        <v>3984</v>
      </c>
      <c r="AA326" s="458" t="s">
        <v>3518</v>
      </c>
      <c r="AB326" s="458" t="s">
        <v>76</v>
      </c>
      <c r="AC326" s="458"/>
      <c r="AD326" s="458" t="s">
        <v>69</v>
      </c>
      <c r="AE326" s="458"/>
      <c r="AF326" s="458">
        <f>39888+96</f>
        <v>39984</v>
      </c>
      <c r="AG326" s="458">
        <f>AF326-I326</f>
        <v>0</v>
      </c>
      <c r="AH326" s="489"/>
      <c r="AI326" s="458"/>
      <c r="AJ326" s="458"/>
      <c r="AK326" s="458">
        <f>I326</f>
        <v>39984</v>
      </c>
      <c r="AO326" s="495"/>
      <c r="AR326" s="425">
        <f>I326</f>
        <v>39984</v>
      </c>
      <c r="AT326" s="495"/>
      <c r="AY326" s="498">
        <f>I326/24*2</f>
        <v>3332</v>
      </c>
      <c r="AZ326" s="425">
        <f>I326</f>
        <v>39984</v>
      </c>
      <c r="BO326" s="425">
        <f>I326/8</f>
        <v>4998</v>
      </c>
      <c r="BT326" s="495"/>
      <c r="BV326" s="495"/>
      <c r="CK326" s="425">
        <f t="shared" si="86"/>
        <v>0</v>
      </c>
      <c r="CL326" s="425">
        <f t="shared" si="87"/>
        <v>0</v>
      </c>
      <c r="CM326" s="425">
        <f t="shared" si="88"/>
        <v>0</v>
      </c>
      <c r="CN326" s="495"/>
      <c r="CO326" s="495"/>
      <c r="CP326" s="495"/>
      <c r="CT326" s="495"/>
      <c r="CU326" s="495"/>
      <c r="CV326" s="495"/>
      <c r="CW326" s="495"/>
      <c r="CX326" s="495"/>
    </row>
    <row r="327" s="425" customFormat="1" ht="31" customHeight="1" spans="1:102">
      <c r="A327" s="455">
        <v>45768</v>
      </c>
      <c r="B327" s="456" t="s">
        <v>741</v>
      </c>
      <c r="C327" s="457" t="s">
        <v>468</v>
      </c>
      <c r="D327" s="425">
        <v>4500164465</v>
      </c>
      <c r="E327" s="457">
        <v>7950403010</v>
      </c>
      <c r="F327" s="425" t="s">
        <v>996</v>
      </c>
      <c r="G327" s="458" t="s">
        <v>743</v>
      </c>
      <c r="H327" s="458" t="s">
        <v>744</v>
      </c>
      <c r="I327" s="458">
        <v>64</v>
      </c>
      <c r="J327" s="458">
        <v>0</v>
      </c>
      <c r="K327" s="458">
        <v>1</v>
      </c>
      <c r="L327" s="462">
        <f t="shared" si="89"/>
        <v>64</v>
      </c>
      <c r="M327" s="463">
        <v>45835</v>
      </c>
      <c r="N327" s="463">
        <v>45831</v>
      </c>
      <c r="O327" s="464" t="s">
        <v>3985</v>
      </c>
      <c r="P327" s="464" t="s">
        <v>103</v>
      </c>
      <c r="Q327" s="458"/>
      <c r="R327" s="472">
        <v>45792</v>
      </c>
      <c r="S327" s="472" t="s">
        <v>66</v>
      </c>
      <c r="T327" s="472" t="s">
        <v>3986</v>
      </c>
      <c r="U327" s="472"/>
      <c r="V327" s="473" t="s">
        <v>3987</v>
      </c>
      <c r="W327" s="473" t="s">
        <v>473</v>
      </c>
      <c r="X327" s="473">
        <v>0</v>
      </c>
      <c r="Y327" s="480">
        <v>0</v>
      </c>
      <c r="Z327" s="509" t="s">
        <v>998</v>
      </c>
      <c r="AA327" s="458" t="s">
        <v>743</v>
      </c>
      <c r="AB327" s="458" t="s">
        <v>76</v>
      </c>
      <c r="AC327" s="458"/>
      <c r="AD327" s="458" t="s">
        <v>69</v>
      </c>
      <c r="AE327" s="458"/>
      <c r="AF327" s="458">
        <v>4800</v>
      </c>
      <c r="AG327" s="458">
        <v>0</v>
      </c>
      <c r="AH327" s="489"/>
      <c r="AI327" s="458"/>
      <c r="AJ327" s="458"/>
      <c r="AK327" s="458"/>
      <c r="AO327" s="495"/>
      <c r="AT327" s="495"/>
      <c r="AY327" s="498"/>
      <c r="BT327" s="495"/>
      <c r="BV327" s="495"/>
      <c r="CK327" s="425">
        <f t="shared" si="86"/>
        <v>0</v>
      </c>
      <c r="CL327" s="425">
        <f t="shared" si="87"/>
        <v>0</v>
      </c>
      <c r="CM327" s="425">
        <f t="shared" si="88"/>
        <v>0</v>
      </c>
      <c r="CN327" s="495"/>
      <c r="CO327" s="495"/>
      <c r="CP327" s="495"/>
      <c r="CT327" s="495"/>
      <c r="CU327" s="495"/>
      <c r="CV327" s="495"/>
      <c r="CW327" s="495"/>
      <c r="CX327" s="495"/>
    </row>
    <row r="328" s="425" customFormat="1" ht="31" customHeight="1" spans="1:102">
      <c r="A328" s="455">
        <v>45768</v>
      </c>
      <c r="B328" s="456" t="s">
        <v>741</v>
      </c>
      <c r="C328" s="457" t="s">
        <v>468</v>
      </c>
      <c r="D328" s="425">
        <v>4500164465</v>
      </c>
      <c r="E328" s="457">
        <v>7950403010</v>
      </c>
      <c r="F328" s="425" t="s">
        <v>996</v>
      </c>
      <c r="G328" s="458" t="s">
        <v>3671</v>
      </c>
      <c r="H328" s="458" t="s">
        <v>3940</v>
      </c>
      <c r="I328" s="458">
        <v>4800</v>
      </c>
      <c r="J328" s="458">
        <v>0</v>
      </c>
      <c r="K328" s="458">
        <v>75</v>
      </c>
      <c r="L328" s="462">
        <f t="shared" si="89"/>
        <v>64</v>
      </c>
      <c r="M328" s="463">
        <v>45835</v>
      </c>
      <c r="N328" s="463">
        <v>45831</v>
      </c>
      <c r="O328" s="464" t="s">
        <v>3985</v>
      </c>
      <c r="P328" s="464" t="s">
        <v>103</v>
      </c>
      <c r="Q328" s="458"/>
      <c r="R328" s="472">
        <v>45792</v>
      </c>
      <c r="S328" s="472" t="s">
        <v>66</v>
      </c>
      <c r="T328" s="472" t="s">
        <v>3986</v>
      </c>
      <c r="U328" s="472"/>
      <c r="V328" s="473"/>
      <c r="W328" s="473" t="s">
        <v>473</v>
      </c>
      <c r="X328" s="473">
        <v>755</v>
      </c>
      <c r="Y328" s="480">
        <f>X328*L328</f>
        <v>48320</v>
      </c>
      <c r="Z328" s="509" t="s">
        <v>998</v>
      </c>
      <c r="AA328" s="458" t="s">
        <v>743</v>
      </c>
      <c r="AB328" s="458" t="s">
        <v>76</v>
      </c>
      <c r="AC328" s="458"/>
      <c r="AD328" s="458" t="s">
        <v>69</v>
      </c>
      <c r="AE328" s="458"/>
      <c r="AF328" s="458">
        <v>0</v>
      </c>
      <c r="AG328" s="458">
        <v>0</v>
      </c>
      <c r="AH328" s="489"/>
      <c r="AI328" s="458"/>
      <c r="AJ328" s="458"/>
      <c r="AK328" s="458"/>
      <c r="AL328" s="425">
        <f>I328*3</f>
        <v>14400</v>
      </c>
      <c r="AO328" s="495"/>
      <c r="AT328" s="495"/>
      <c r="AY328" s="498">
        <f>I328/24*3</f>
        <v>600</v>
      </c>
      <c r="BC328" s="425">
        <f>I328*3</f>
        <v>14400</v>
      </c>
      <c r="BD328" s="425">
        <f>I328*3</f>
        <v>14400</v>
      </c>
      <c r="BE328" s="425">
        <f>I328/3</f>
        <v>1600</v>
      </c>
      <c r="BF328" s="425">
        <f>I328/5</f>
        <v>960</v>
      </c>
      <c r="BT328" s="495"/>
      <c r="BV328" s="495"/>
      <c r="CK328" s="425">
        <f t="shared" si="86"/>
        <v>0</v>
      </c>
      <c r="CL328" s="425">
        <f t="shared" si="87"/>
        <v>0</v>
      </c>
      <c r="CM328" s="425">
        <f t="shared" si="88"/>
        <v>0</v>
      </c>
      <c r="CN328" s="495"/>
      <c r="CO328" s="495"/>
      <c r="CP328" s="495"/>
      <c r="CT328" s="495"/>
      <c r="CU328" s="495"/>
      <c r="CV328" s="495"/>
      <c r="CW328" s="495"/>
      <c r="CX328" s="495"/>
    </row>
    <row r="329" s="425" customFormat="1" ht="31" customHeight="1" spans="1:102">
      <c r="A329" s="455">
        <v>45817</v>
      </c>
      <c r="B329" s="456" t="s">
        <v>128</v>
      </c>
      <c r="C329" s="457" t="s">
        <v>90</v>
      </c>
      <c r="D329" s="425">
        <v>4500169408</v>
      </c>
      <c r="E329" s="895" t="s">
        <v>3988</v>
      </c>
      <c r="F329" s="425" t="s">
        <v>3989</v>
      </c>
      <c r="G329" s="458" t="s">
        <v>3180</v>
      </c>
      <c r="H329" s="458" t="s">
        <v>3181</v>
      </c>
      <c r="I329" s="458">
        <v>8608</v>
      </c>
      <c r="J329" s="458">
        <v>0</v>
      </c>
      <c r="K329" s="458">
        <v>16</v>
      </c>
      <c r="L329" s="462">
        <f t="shared" si="89"/>
        <v>538</v>
      </c>
      <c r="M329" s="463">
        <v>45853</v>
      </c>
      <c r="N329" s="463">
        <v>45849</v>
      </c>
      <c r="O329" s="464" t="s">
        <v>949</v>
      </c>
      <c r="P329" s="464" t="s">
        <v>103</v>
      </c>
      <c r="Q329" s="458"/>
      <c r="R329" s="472" t="s">
        <v>132</v>
      </c>
      <c r="S329" s="472" t="s">
        <v>66</v>
      </c>
      <c r="T329" s="472" t="s">
        <v>133</v>
      </c>
      <c r="U329" s="472"/>
      <c r="V329" s="473" t="s">
        <v>3751</v>
      </c>
      <c r="W329" s="473" t="s">
        <v>98</v>
      </c>
      <c r="X329" s="473">
        <v>0.5936</v>
      </c>
      <c r="Y329" s="480">
        <f>X329*I329</f>
        <v>5109.7088</v>
      </c>
      <c r="Z329" s="458" t="s">
        <v>3990</v>
      </c>
      <c r="AA329" s="458" t="s">
        <v>3180</v>
      </c>
      <c r="AB329" s="458" t="s">
        <v>76</v>
      </c>
      <c r="AC329" s="458"/>
      <c r="AD329" s="458"/>
      <c r="AE329" s="458"/>
      <c r="AF329" s="458">
        <f>4384+4224</f>
        <v>8608</v>
      </c>
      <c r="AG329" s="458">
        <f t="shared" ref="AG329:AG343" si="90">AF329-I329</f>
        <v>0</v>
      </c>
      <c r="AH329" s="489"/>
      <c r="AI329" s="458"/>
      <c r="AJ329" s="458"/>
      <c r="AK329" s="458">
        <f>I329</f>
        <v>8608</v>
      </c>
      <c r="AM329" s="425">
        <f>I329</f>
        <v>8608</v>
      </c>
      <c r="AO329" s="495"/>
      <c r="AR329" s="425">
        <f>I329</f>
        <v>8608</v>
      </c>
      <c r="AT329" s="495"/>
      <c r="AY329" s="498">
        <f>I329/48</f>
        <v>179.333333333333</v>
      </c>
      <c r="BM329" s="425">
        <f>I329/16</f>
        <v>538</v>
      </c>
      <c r="BT329" s="495"/>
      <c r="BV329" s="495"/>
      <c r="CK329" s="425">
        <f t="shared" si="86"/>
        <v>538</v>
      </c>
      <c r="CL329" s="425">
        <f t="shared" si="87"/>
        <v>0</v>
      </c>
      <c r="CM329" s="425">
        <f t="shared" si="88"/>
        <v>0</v>
      </c>
      <c r="CN329" s="495"/>
      <c r="CO329" s="495"/>
      <c r="CP329" s="495"/>
      <c r="CT329" s="495"/>
      <c r="CU329" s="495"/>
      <c r="CV329" s="495"/>
      <c r="CW329" s="495"/>
      <c r="CX329" s="495"/>
    </row>
    <row r="330" s="425" customFormat="1" ht="31" customHeight="1" spans="1:102">
      <c r="A330" s="455">
        <v>45817</v>
      </c>
      <c r="B330" s="456" t="s">
        <v>128</v>
      </c>
      <c r="C330" s="457" t="s">
        <v>90</v>
      </c>
      <c r="D330" s="425">
        <v>4500169408</v>
      </c>
      <c r="E330" s="895" t="s">
        <v>3991</v>
      </c>
      <c r="F330" s="425" t="s">
        <v>3992</v>
      </c>
      <c r="G330" s="458" t="s">
        <v>3180</v>
      </c>
      <c r="H330" s="458" t="s">
        <v>3181</v>
      </c>
      <c r="I330" s="458">
        <v>9664</v>
      </c>
      <c r="J330" s="458">
        <v>0</v>
      </c>
      <c r="K330" s="458">
        <v>16</v>
      </c>
      <c r="L330" s="462">
        <f t="shared" si="89"/>
        <v>604</v>
      </c>
      <c r="M330" s="463">
        <v>45853</v>
      </c>
      <c r="N330" s="463">
        <v>45849</v>
      </c>
      <c r="O330" s="464" t="s">
        <v>3993</v>
      </c>
      <c r="P330" s="464" t="s">
        <v>103</v>
      </c>
      <c r="Q330" s="458"/>
      <c r="R330" s="472" t="s">
        <v>132</v>
      </c>
      <c r="S330" s="472" t="s">
        <v>66</v>
      </c>
      <c r="T330" s="472" t="s">
        <v>133</v>
      </c>
      <c r="U330" s="472"/>
      <c r="V330" s="473" t="s">
        <v>3751</v>
      </c>
      <c r="W330" s="473" t="s">
        <v>98</v>
      </c>
      <c r="X330" s="473">
        <v>0.5936</v>
      </c>
      <c r="Y330" s="480">
        <f>X330*I330</f>
        <v>5736.5504</v>
      </c>
      <c r="Z330" s="458" t="s">
        <v>3994</v>
      </c>
      <c r="AA330" s="458" t="s">
        <v>3180</v>
      </c>
      <c r="AB330" s="458" t="s">
        <v>76</v>
      </c>
      <c r="AC330" s="458"/>
      <c r="AD330" s="458"/>
      <c r="AE330" s="458"/>
      <c r="AF330" s="458">
        <v>9664</v>
      </c>
      <c r="AG330" s="458">
        <f t="shared" si="90"/>
        <v>0</v>
      </c>
      <c r="AH330" s="489"/>
      <c r="AI330" s="458"/>
      <c r="AJ330" s="458"/>
      <c r="AK330" s="458">
        <f>I330</f>
        <v>9664</v>
      </c>
      <c r="AM330" s="425">
        <f>I330</f>
        <v>9664</v>
      </c>
      <c r="AO330" s="495"/>
      <c r="AR330" s="425">
        <f>I330</f>
        <v>9664</v>
      </c>
      <c r="AT330" s="495"/>
      <c r="AY330" s="498">
        <f>I330/48</f>
        <v>201.333333333333</v>
      </c>
      <c r="BM330" s="425">
        <f>I330/16</f>
        <v>604</v>
      </c>
      <c r="BT330" s="495"/>
      <c r="BV330" s="495"/>
      <c r="CK330" s="425">
        <f t="shared" si="86"/>
        <v>604</v>
      </c>
      <c r="CL330" s="425">
        <f t="shared" si="87"/>
        <v>0</v>
      </c>
      <c r="CM330" s="425">
        <f t="shared" si="88"/>
        <v>0</v>
      </c>
      <c r="CN330" s="495"/>
      <c r="CO330" s="495"/>
      <c r="CP330" s="495"/>
      <c r="CT330" s="495"/>
      <c r="CU330" s="495"/>
      <c r="CV330" s="495"/>
      <c r="CW330" s="495"/>
      <c r="CX330" s="495"/>
    </row>
    <row r="331" s="425" customFormat="1" ht="31" customHeight="1" spans="1:102">
      <c r="A331" s="455">
        <v>45817</v>
      </c>
      <c r="B331" s="456" t="s">
        <v>128</v>
      </c>
      <c r="C331" s="457" t="s">
        <v>90</v>
      </c>
      <c r="D331" s="425">
        <v>4500169408</v>
      </c>
      <c r="E331" s="895" t="s">
        <v>3995</v>
      </c>
      <c r="F331" s="425" t="s">
        <v>3996</v>
      </c>
      <c r="G331" s="458" t="s">
        <v>3180</v>
      </c>
      <c r="H331" s="458" t="s">
        <v>3181</v>
      </c>
      <c r="I331" s="458">
        <v>8064</v>
      </c>
      <c r="J331" s="458">
        <v>0</v>
      </c>
      <c r="K331" s="458">
        <v>16</v>
      </c>
      <c r="L331" s="462">
        <f t="shared" si="89"/>
        <v>504</v>
      </c>
      <c r="M331" s="463">
        <v>45853</v>
      </c>
      <c r="N331" s="463">
        <v>45849</v>
      </c>
      <c r="O331" s="464" t="s">
        <v>3993</v>
      </c>
      <c r="P331" s="464" t="s">
        <v>103</v>
      </c>
      <c r="Q331" s="458"/>
      <c r="R331" s="472" t="s">
        <v>132</v>
      </c>
      <c r="S331" s="472" t="s">
        <v>66</v>
      </c>
      <c r="T331" s="472" t="s">
        <v>133</v>
      </c>
      <c r="U331" s="472"/>
      <c r="V331" s="473" t="s">
        <v>3751</v>
      </c>
      <c r="W331" s="473" t="s">
        <v>98</v>
      </c>
      <c r="X331" s="473">
        <v>0.5936</v>
      </c>
      <c r="Y331" s="480">
        <f>X331*I331</f>
        <v>4786.7904</v>
      </c>
      <c r="Z331" s="458" t="s">
        <v>3997</v>
      </c>
      <c r="AA331" s="458" t="s">
        <v>3180</v>
      </c>
      <c r="AB331" s="458" t="s">
        <v>76</v>
      </c>
      <c r="AC331" s="458"/>
      <c r="AD331" s="458"/>
      <c r="AE331" s="458"/>
      <c r="AF331" s="458">
        <v>8064</v>
      </c>
      <c r="AG331" s="458">
        <f t="shared" si="90"/>
        <v>0</v>
      </c>
      <c r="AH331" s="489"/>
      <c r="AI331" s="458"/>
      <c r="AJ331" s="458"/>
      <c r="AK331" s="458">
        <f>I331</f>
        <v>8064</v>
      </c>
      <c r="AM331" s="425">
        <f>I331</f>
        <v>8064</v>
      </c>
      <c r="AO331" s="495"/>
      <c r="AR331" s="425">
        <f>I331</f>
        <v>8064</v>
      </c>
      <c r="AT331" s="495"/>
      <c r="AY331" s="498">
        <f>I331/48</f>
        <v>168</v>
      </c>
      <c r="BM331" s="425">
        <f>I331/16</f>
        <v>504</v>
      </c>
      <c r="BT331" s="495"/>
      <c r="BV331" s="495"/>
      <c r="CK331" s="425">
        <f t="shared" si="86"/>
        <v>504</v>
      </c>
      <c r="CL331" s="425">
        <f t="shared" si="87"/>
        <v>0</v>
      </c>
      <c r="CM331" s="425">
        <f t="shared" si="88"/>
        <v>0</v>
      </c>
      <c r="CN331" s="495"/>
      <c r="CO331" s="495"/>
      <c r="CP331" s="495"/>
      <c r="CT331" s="495"/>
      <c r="CU331" s="495"/>
      <c r="CV331" s="495"/>
      <c r="CW331" s="495"/>
      <c r="CX331" s="495"/>
    </row>
    <row r="332" s="425" customFormat="1" ht="31" customHeight="1" spans="1:102">
      <c r="A332" s="455">
        <v>45817</v>
      </c>
      <c r="B332" s="456" t="s">
        <v>128</v>
      </c>
      <c r="C332" s="457" t="s">
        <v>90</v>
      </c>
      <c r="D332" s="425">
        <v>4500169408</v>
      </c>
      <c r="E332" s="895" t="s">
        <v>3998</v>
      </c>
      <c r="F332" s="425" t="s">
        <v>3999</v>
      </c>
      <c r="G332" s="458" t="s">
        <v>3180</v>
      </c>
      <c r="H332" s="458" t="s">
        <v>3181</v>
      </c>
      <c r="I332" s="458">
        <v>7264</v>
      </c>
      <c r="J332" s="458">
        <v>0</v>
      </c>
      <c r="K332" s="458">
        <v>16</v>
      </c>
      <c r="L332" s="462">
        <f t="shared" si="89"/>
        <v>454</v>
      </c>
      <c r="M332" s="463">
        <v>45853</v>
      </c>
      <c r="N332" s="463">
        <v>45849</v>
      </c>
      <c r="O332" s="464" t="s">
        <v>3993</v>
      </c>
      <c r="P332" s="464" t="s">
        <v>103</v>
      </c>
      <c r="Q332" s="458"/>
      <c r="R332" s="472" t="s">
        <v>132</v>
      </c>
      <c r="S332" s="472" t="s">
        <v>66</v>
      </c>
      <c r="T332" s="472" t="s">
        <v>133</v>
      </c>
      <c r="U332" s="472"/>
      <c r="V332" s="473" t="s">
        <v>3751</v>
      </c>
      <c r="W332" s="473" t="s">
        <v>98</v>
      </c>
      <c r="X332" s="473">
        <v>0.5936</v>
      </c>
      <c r="Y332" s="480">
        <f>X332*I332</f>
        <v>4311.9104</v>
      </c>
      <c r="Z332" s="458" t="s">
        <v>4000</v>
      </c>
      <c r="AA332" s="458" t="s">
        <v>3180</v>
      </c>
      <c r="AB332" s="458" t="s">
        <v>76</v>
      </c>
      <c r="AC332" s="458"/>
      <c r="AD332" s="458"/>
      <c r="AE332" s="458"/>
      <c r="AF332" s="458">
        <v>7264</v>
      </c>
      <c r="AG332" s="458">
        <f t="shared" si="90"/>
        <v>0</v>
      </c>
      <c r="AH332" s="489"/>
      <c r="AI332" s="458"/>
      <c r="AJ332" s="458"/>
      <c r="AK332" s="458">
        <f>I332</f>
        <v>7264</v>
      </c>
      <c r="AM332" s="425">
        <f>I332</f>
        <v>7264</v>
      </c>
      <c r="AO332" s="495"/>
      <c r="AR332" s="425">
        <f>I332</f>
        <v>7264</v>
      </c>
      <c r="AT332" s="495"/>
      <c r="AY332" s="498">
        <f>I332/48</f>
        <v>151.333333333333</v>
      </c>
      <c r="BM332" s="425">
        <f>I332/16</f>
        <v>454</v>
      </c>
      <c r="BT332" s="495"/>
      <c r="BV332" s="495"/>
      <c r="CK332" s="425">
        <f t="shared" si="86"/>
        <v>454</v>
      </c>
      <c r="CL332" s="425">
        <f t="shared" si="87"/>
        <v>0</v>
      </c>
      <c r="CM332" s="425">
        <f t="shared" si="88"/>
        <v>0</v>
      </c>
      <c r="CN332" s="495"/>
      <c r="CO332" s="495"/>
      <c r="CP332" s="495"/>
      <c r="CT332" s="495"/>
      <c r="CU332" s="495"/>
      <c r="CV332" s="495"/>
      <c r="CW332" s="495"/>
      <c r="CX332" s="495"/>
    </row>
    <row r="333" s="425" customFormat="1" ht="31" customHeight="1" spans="1:102">
      <c r="A333" s="455">
        <v>45817</v>
      </c>
      <c r="B333" s="456" t="s">
        <v>128</v>
      </c>
      <c r="C333" s="457" t="s">
        <v>90</v>
      </c>
      <c r="D333" s="425">
        <v>4500169408</v>
      </c>
      <c r="E333" s="895" t="s">
        <v>4001</v>
      </c>
      <c r="F333" s="425" t="s">
        <v>4002</v>
      </c>
      <c r="G333" s="458" t="s">
        <v>3180</v>
      </c>
      <c r="H333" s="458" t="s">
        <v>3181</v>
      </c>
      <c r="I333" s="458">
        <v>7744</v>
      </c>
      <c r="J333" s="458">
        <v>0</v>
      </c>
      <c r="K333" s="458">
        <v>16</v>
      </c>
      <c r="L333" s="462">
        <f t="shared" si="89"/>
        <v>484</v>
      </c>
      <c r="M333" s="463">
        <v>45853</v>
      </c>
      <c r="N333" s="463">
        <v>45849</v>
      </c>
      <c r="O333" s="464" t="s">
        <v>3993</v>
      </c>
      <c r="P333" s="464" t="s">
        <v>103</v>
      </c>
      <c r="Q333" s="458"/>
      <c r="R333" s="472" t="s">
        <v>132</v>
      </c>
      <c r="S333" s="472" t="s">
        <v>66</v>
      </c>
      <c r="T333" s="472" t="s">
        <v>133</v>
      </c>
      <c r="U333" s="472"/>
      <c r="V333" s="473" t="s">
        <v>3751</v>
      </c>
      <c r="W333" s="473" t="s">
        <v>98</v>
      </c>
      <c r="X333" s="473">
        <v>0.5936</v>
      </c>
      <c r="Y333" s="480">
        <f>X333*I333</f>
        <v>4596.8384</v>
      </c>
      <c r="Z333" s="458" t="s">
        <v>4003</v>
      </c>
      <c r="AA333" s="458" t="s">
        <v>3180</v>
      </c>
      <c r="AB333" s="458" t="s">
        <v>76</v>
      </c>
      <c r="AC333" s="458"/>
      <c r="AD333" s="458"/>
      <c r="AE333" s="458"/>
      <c r="AF333" s="458">
        <v>7744</v>
      </c>
      <c r="AG333" s="458">
        <f t="shared" si="90"/>
        <v>0</v>
      </c>
      <c r="AH333" s="489"/>
      <c r="AI333" s="458"/>
      <c r="AJ333" s="458"/>
      <c r="AK333" s="458">
        <f>I333</f>
        <v>7744</v>
      </c>
      <c r="AM333" s="425">
        <f>I333</f>
        <v>7744</v>
      </c>
      <c r="AO333" s="495"/>
      <c r="AR333" s="425">
        <f>I333</f>
        <v>7744</v>
      </c>
      <c r="AT333" s="495"/>
      <c r="AY333" s="498">
        <f>I333/48</f>
        <v>161.333333333333</v>
      </c>
      <c r="BM333" s="425">
        <f>I333/16</f>
        <v>484</v>
      </c>
      <c r="BT333" s="495"/>
      <c r="BV333" s="495"/>
      <c r="CK333" s="425">
        <f t="shared" si="86"/>
        <v>484</v>
      </c>
      <c r="CL333" s="425">
        <f t="shared" si="87"/>
        <v>0</v>
      </c>
      <c r="CM333" s="425">
        <f t="shared" si="88"/>
        <v>0</v>
      </c>
      <c r="CN333" s="495"/>
      <c r="CO333" s="495"/>
      <c r="CP333" s="495"/>
      <c r="CT333" s="495"/>
      <c r="CU333" s="495"/>
      <c r="CV333" s="495"/>
      <c r="CW333" s="495"/>
      <c r="CX333" s="495"/>
    </row>
    <row r="334" s="425" customFormat="1" ht="31" customHeight="1" spans="1:102">
      <c r="A334" s="455">
        <v>45741</v>
      </c>
      <c r="B334" s="456" t="s">
        <v>817</v>
      </c>
      <c r="C334" s="457" t="s">
        <v>153</v>
      </c>
      <c r="D334" s="425">
        <v>4500161402</v>
      </c>
      <c r="E334" s="895" t="s">
        <v>1004</v>
      </c>
      <c r="F334" s="425" t="s">
        <v>1005</v>
      </c>
      <c r="G334" s="458" t="s">
        <v>819</v>
      </c>
      <c r="H334" s="458" t="s">
        <v>744</v>
      </c>
      <c r="I334" s="458">
        <v>72</v>
      </c>
      <c r="J334" s="458">
        <v>0</v>
      </c>
      <c r="K334" s="458">
        <v>1</v>
      </c>
      <c r="L334" s="462">
        <f t="shared" si="89"/>
        <v>72</v>
      </c>
      <c r="M334" s="463">
        <v>45853</v>
      </c>
      <c r="N334" s="463">
        <f>M334-4</f>
        <v>45849</v>
      </c>
      <c r="O334" s="464"/>
      <c r="P334" s="464" t="s">
        <v>103</v>
      </c>
      <c r="Q334" s="458"/>
      <c r="R334" s="472">
        <v>45790</v>
      </c>
      <c r="S334" s="472" t="s">
        <v>66</v>
      </c>
      <c r="T334" s="472" t="s">
        <v>66</v>
      </c>
      <c r="U334" s="472"/>
      <c r="V334" s="473" t="s">
        <v>820</v>
      </c>
      <c r="W334" s="473" t="s">
        <v>821</v>
      </c>
      <c r="X334" s="473">
        <v>0</v>
      </c>
      <c r="Y334" s="480">
        <f>X334*L334</f>
        <v>0</v>
      </c>
      <c r="Z334" s="509" t="s">
        <v>1006</v>
      </c>
      <c r="AA334" s="458" t="s">
        <v>819</v>
      </c>
      <c r="AB334" s="458" t="s">
        <v>76</v>
      </c>
      <c r="AC334" s="458"/>
      <c r="AD334" s="458"/>
      <c r="AE334" s="458"/>
      <c r="AF334" s="458">
        <v>0</v>
      </c>
      <c r="AG334" s="458"/>
      <c r="AH334" s="489"/>
      <c r="AI334" s="458"/>
      <c r="AJ334" s="458"/>
      <c r="AK334" s="458"/>
      <c r="AO334" s="495"/>
      <c r="AT334" s="495"/>
      <c r="AY334" s="498"/>
      <c r="BT334" s="495"/>
      <c r="BV334" s="495"/>
      <c r="CK334" s="425">
        <f t="shared" si="86"/>
        <v>0</v>
      </c>
      <c r="CL334" s="425">
        <f t="shared" si="87"/>
        <v>0</v>
      </c>
      <c r="CM334" s="425">
        <f t="shared" si="88"/>
        <v>0</v>
      </c>
      <c r="CN334" s="495"/>
      <c r="CO334" s="495"/>
      <c r="CP334" s="495"/>
      <c r="CT334" s="495"/>
      <c r="CU334" s="495"/>
      <c r="CV334" s="495"/>
      <c r="CW334" s="495"/>
      <c r="CX334" s="495"/>
    </row>
    <row r="335" s="425" customFormat="1" ht="31" customHeight="1" spans="1:102">
      <c r="A335" s="455">
        <v>45741</v>
      </c>
      <c r="B335" s="456" t="s">
        <v>817</v>
      </c>
      <c r="C335" s="457" t="s">
        <v>153</v>
      </c>
      <c r="D335" s="425">
        <v>4500161402</v>
      </c>
      <c r="E335" s="895" t="s">
        <v>1004</v>
      </c>
      <c r="F335" s="425" t="s">
        <v>1005</v>
      </c>
      <c r="G335" s="458">
        <v>77711</v>
      </c>
      <c r="H335" s="458" t="s">
        <v>3151</v>
      </c>
      <c r="I335" s="458">
        <v>5400</v>
      </c>
      <c r="J335" s="458">
        <v>0</v>
      </c>
      <c r="K335" s="458">
        <v>75</v>
      </c>
      <c r="L335" s="462">
        <f t="shared" si="89"/>
        <v>72</v>
      </c>
      <c r="M335" s="463">
        <v>45853</v>
      </c>
      <c r="N335" s="463">
        <f>M335-4</f>
        <v>45849</v>
      </c>
      <c r="O335" s="464"/>
      <c r="P335" s="464" t="s">
        <v>103</v>
      </c>
      <c r="Q335" s="458"/>
      <c r="R335" s="472">
        <v>45790</v>
      </c>
      <c r="S335" s="472" t="s">
        <v>66</v>
      </c>
      <c r="T335" s="472" t="s">
        <v>66</v>
      </c>
      <c r="U335" s="472"/>
      <c r="V335" s="473" t="s">
        <v>820</v>
      </c>
      <c r="W335" s="473" t="s">
        <v>821</v>
      </c>
      <c r="X335" s="473">
        <v>762.5</v>
      </c>
      <c r="Y335" s="480">
        <f>X335*L335</f>
        <v>54900</v>
      </c>
      <c r="Z335" s="509" t="s">
        <v>1006</v>
      </c>
      <c r="AA335" s="458" t="s">
        <v>819</v>
      </c>
      <c r="AB335" s="458" t="s">
        <v>76</v>
      </c>
      <c r="AC335" s="458"/>
      <c r="AD335" s="458"/>
      <c r="AE335" s="458"/>
      <c r="AF335" s="458">
        <v>0</v>
      </c>
      <c r="AG335" s="458"/>
      <c r="AH335" s="489"/>
      <c r="AI335" s="458"/>
      <c r="AJ335" s="458"/>
      <c r="AK335" s="458">
        <f>I335*3</f>
        <v>16200</v>
      </c>
      <c r="AO335" s="495"/>
      <c r="AT335" s="495"/>
      <c r="AY335" s="498">
        <f>I335/24*3</f>
        <v>675</v>
      </c>
      <c r="BC335" s="425">
        <f>I335*3</f>
        <v>16200</v>
      </c>
      <c r="BD335" s="425">
        <f>I335*3</f>
        <v>16200</v>
      </c>
      <c r="BE335" s="425">
        <f>I335</f>
        <v>5400</v>
      </c>
      <c r="BF335" s="425">
        <f>I335/5</f>
        <v>1080</v>
      </c>
      <c r="BT335" s="495"/>
      <c r="BV335" s="495"/>
      <c r="CK335" s="425">
        <f t="shared" si="86"/>
        <v>0</v>
      </c>
      <c r="CL335" s="425">
        <f t="shared" si="87"/>
        <v>0</v>
      </c>
      <c r="CM335" s="425">
        <f t="shared" si="88"/>
        <v>0</v>
      </c>
      <c r="CN335" s="495"/>
      <c r="CO335" s="495"/>
      <c r="CP335" s="495"/>
      <c r="CT335" s="495"/>
      <c r="CU335" s="495"/>
      <c r="CV335" s="495"/>
      <c r="CW335" s="495"/>
      <c r="CX335" s="495"/>
    </row>
    <row r="336" s="425" customFormat="1" ht="31" customHeight="1" spans="1:102">
      <c r="A336" s="455">
        <v>45797</v>
      </c>
      <c r="B336" s="456" t="s">
        <v>2238</v>
      </c>
      <c r="C336" s="457" t="s">
        <v>4004</v>
      </c>
      <c r="D336" s="425">
        <v>4500167181</v>
      </c>
      <c r="E336" s="457" t="s">
        <v>4005</v>
      </c>
      <c r="F336" s="425" t="s">
        <v>4006</v>
      </c>
      <c r="G336" s="458" t="s">
        <v>3272</v>
      </c>
      <c r="H336" s="458" t="s">
        <v>3207</v>
      </c>
      <c r="I336" s="458">
        <v>1950</v>
      </c>
      <c r="J336" s="458">
        <v>0</v>
      </c>
      <c r="K336" s="458">
        <v>13</v>
      </c>
      <c r="L336" s="462">
        <f t="shared" si="89"/>
        <v>150</v>
      </c>
      <c r="M336" s="463">
        <v>45854</v>
      </c>
      <c r="N336" s="463">
        <v>45850</v>
      </c>
      <c r="O336" s="464"/>
      <c r="P336" s="464" t="s">
        <v>103</v>
      </c>
      <c r="Q336" s="458"/>
      <c r="R336" s="472">
        <v>45797</v>
      </c>
      <c r="S336" s="472" t="s">
        <v>66</v>
      </c>
      <c r="T336" s="472" t="s">
        <v>66</v>
      </c>
      <c r="U336" s="472"/>
      <c r="V336" s="473" t="s">
        <v>4007</v>
      </c>
      <c r="W336" s="473" t="s">
        <v>1213</v>
      </c>
      <c r="X336" s="473">
        <v>0.9213</v>
      </c>
      <c r="Y336" s="480">
        <f>X336*I336</f>
        <v>1796.535</v>
      </c>
      <c r="Z336" s="458" t="s">
        <v>4008</v>
      </c>
      <c r="AA336" s="458" t="s">
        <v>3272</v>
      </c>
      <c r="AB336" s="458" t="s">
        <v>76</v>
      </c>
      <c r="AC336" s="458"/>
      <c r="AD336" s="458"/>
      <c r="AE336" s="458"/>
      <c r="AF336" s="458">
        <v>1950</v>
      </c>
      <c r="AG336" s="458">
        <f t="shared" si="90"/>
        <v>0</v>
      </c>
      <c r="AH336" s="489"/>
      <c r="AI336" s="458"/>
      <c r="AJ336" s="458"/>
      <c r="AK336" s="458">
        <f>I336</f>
        <v>1950</v>
      </c>
      <c r="AO336" s="495"/>
      <c r="AP336" s="425">
        <f>I336</f>
        <v>1950</v>
      </c>
      <c r="AR336" s="425">
        <f>I336</f>
        <v>1950</v>
      </c>
      <c r="AT336" s="495"/>
      <c r="AY336" s="498">
        <f>I336/24</f>
        <v>81.25</v>
      </c>
      <c r="BH336" s="425">
        <f>I336/13</f>
        <v>150</v>
      </c>
      <c r="BT336" s="495"/>
      <c r="BV336" s="495"/>
      <c r="CK336" s="425">
        <f t="shared" si="86"/>
        <v>0</v>
      </c>
      <c r="CL336" s="425">
        <f t="shared" si="87"/>
        <v>0</v>
      </c>
      <c r="CM336" s="425">
        <f t="shared" si="88"/>
        <v>0</v>
      </c>
      <c r="CN336" s="495"/>
      <c r="CO336" s="495"/>
      <c r="CP336" s="495"/>
      <c r="CT336" s="495"/>
      <c r="CU336" s="495"/>
      <c r="CV336" s="495"/>
      <c r="CW336" s="495"/>
      <c r="CX336" s="495"/>
    </row>
    <row r="337" s="425" customFormat="1" ht="31" customHeight="1" spans="1:102">
      <c r="A337" s="455">
        <v>45818</v>
      </c>
      <c r="B337" s="456" t="s">
        <v>1121</v>
      </c>
      <c r="C337" s="457" t="s">
        <v>356</v>
      </c>
      <c r="D337" s="425">
        <v>4500169530</v>
      </c>
      <c r="E337" s="457"/>
      <c r="F337" s="425" t="s">
        <v>4009</v>
      </c>
      <c r="G337" s="458" t="s">
        <v>3161</v>
      </c>
      <c r="H337" s="458" t="s">
        <v>3221</v>
      </c>
      <c r="I337" s="458">
        <v>800</v>
      </c>
      <c r="J337" s="458">
        <v>0</v>
      </c>
      <c r="K337" s="458">
        <v>50</v>
      </c>
      <c r="L337" s="462">
        <f t="shared" si="89"/>
        <v>16</v>
      </c>
      <c r="M337" s="463">
        <v>45854</v>
      </c>
      <c r="N337" s="463">
        <v>45850</v>
      </c>
      <c r="O337" s="464"/>
      <c r="P337" s="464" t="s">
        <v>103</v>
      </c>
      <c r="Q337" s="458"/>
      <c r="R337" s="472">
        <v>45818</v>
      </c>
      <c r="S337" s="472" t="s">
        <v>66</v>
      </c>
      <c r="T337" s="472">
        <v>45824</v>
      </c>
      <c r="U337" s="472"/>
      <c r="V337" s="473" t="s">
        <v>4010</v>
      </c>
      <c r="W337" s="473" t="s">
        <v>359</v>
      </c>
      <c r="X337" s="473">
        <v>0.9462</v>
      </c>
      <c r="Y337" s="480">
        <f>X337*I337</f>
        <v>756.96</v>
      </c>
      <c r="Z337" s="458" t="s">
        <v>1125</v>
      </c>
      <c r="AA337" s="458" t="s">
        <v>3161</v>
      </c>
      <c r="AB337" s="458" t="s">
        <v>76</v>
      </c>
      <c r="AC337" s="458"/>
      <c r="AD337" s="458"/>
      <c r="AE337" s="458"/>
      <c r="AF337" s="458">
        <v>800</v>
      </c>
      <c r="AG337" s="458">
        <f t="shared" si="90"/>
        <v>0</v>
      </c>
      <c r="AH337" s="489"/>
      <c r="AI337" s="458"/>
      <c r="AJ337" s="458"/>
      <c r="AK337" s="458"/>
      <c r="AL337" s="426">
        <f>I337</f>
        <v>800</v>
      </c>
      <c r="AO337" s="495"/>
      <c r="AQ337" s="425">
        <f>I337</f>
        <v>800</v>
      </c>
      <c r="AS337" s="425">
        <f>I337</f>
        <v>800</v>
      </c>
      <c r="AT337" s="495"/>
      <c r="AY337" s="498">
        <f>I337/24</f>
        <v>33.3333333333333</v>
      </c>
      <c r="BL337" s="425">
        <f>I337/25</f>
        <v>32</v>
      </c>
      <c r="BT337" s="495"/>
      <c r="BV337" s="495"/>
      <c r="CK337" s="425">
        <f t="shared" si="86"/>
        <v>32</v>
      </c>
      <c r="CL337" s="425">
        <f t="shared" si="87"/>
        <v>0</v>
      </c>
      <c r="CM337" s="425">
        <f t="shared" si="88"/>
        <v>0</v>
      </c>
      <c r="CN337" s="495"/>
      <c r="CO337" s="495"/>
      <c r="CP337" s="495"/>
      <c r="CT337" s="495"/>
      <c r="CU337" s="495"/>
      <c r="CV337" s="495"/>
      <c r="CW337" s="495"/>
      <c r="CX337" s="495"/>
    </row>
    <row r="338" s="425" customFormat="1" ht="31" customHeight="1" spans="1:102">
      <c r="A338" s="455">
        <v>45783</v>
      </c>
      <c r="B338" s="456" t="s">
        <v>1007</v>
      </c>
      <c r="C338" s="457" t="s">
        <v>1008</v>
      </c>
      <c r="D338" s="425">
        <v>4500165563</v>
      </c>
      <c r="E338" s="895" t="s">
        <v>1009</v>
      </c>
      <c r="F338" s="425" t="s">
        <v>4011</v>
      </c>
      <c r="G338" s="458" t="s">
        <v>3161</v>
      </c>
      <c r="H338" s="458" t="s">
        <v>3221</v>
      </c>
      <c r="I338" s="458">
        <v>11000</v>
      </c>
      <c r="J338" s="458">
        <v>0</v>
      </c>
      <c r="K338" s="458">
        <v>50</v>
      </c>
      <c r="L338" s="462">
        <f t="shared" si="89"/>
        <v>220</v>
      </c>
      <c r="M338" s="463">
        <v>45874</v>
      </c>
      <c r="N338" s="463">
        <v>45870</v>
      </c>
      <c r="O338" s="464" t="s">
        <v>4012</v>
      </c>
      <c r="P338" s="464" t="s">
        <v>103</v>
      </c>
      <c r="Q338" s="458"/>
      <c r="R338" s="472">
        <v>45806</v>
      </c>
      <c r="S338" s="472" t="s">
        <v>66</v>
      </c>
      <c r="T338" s="472">
        <v>45806</v>
      </c>
      <c r="U338" s="472" t="s">
        <v>4013</v>
      </c>
      <c r="V338" s="473" t="s">
        <v>4014</v>
      </c>
      <c r="W338" s="473" t="s">
        <v>1013</v>
      </c>
      <c r="X338" s="473">
        <v>0.9306</v>
      </c>
      <c r="Y338" s="480">
        <f>X338*I338</f>
        <v>10236.6</v>
      </c>
      <c r="Z338" s="458"/>
      <c r="AA338" s="458" t="s">
        <v>3161</v>
      </c>
      <c r="AB338" s="458" t="s">
        <v>76</v>
      </c>
      <c r="AC338" s="458"/>
      <c r="AD338" s="458" t="s">
        <v>69</v>
      </c>
      <c r="AE338" s="458"/>
      <c r="AF338" s="458">
        <f>50+10950</f>
        <v>11000</v>
      </c>
      <c r="AG338" s="458">
        <f t="shared" si="90"/>
        <v>0</v>
      </c>
      <c r="AH338" s="489"/>
      <c r="AI338" s="458"/>
      <c r="AJ338" s="458"/>
      <c r="AK338" s="458"/>
      <c r="AL338" s="426">
        <f>I338</f>
        <v>11000</v>
      </c>
      <c r="AO338" s="495"/>
      <c r="AQ338" s="425">
        <f>I338</f>
        <v>11000</v>
      </c>
      <c r="AS338" s="425">
        <f>I338</f>
        <v>11000</v>
      </c>
      <c r="AT338" s="495"/>
      <c r="AY338" s="498">
        <f>I338/24</f>
        <v>458.333333333333</v>
      </c>
      <c r="BL338" s="425">
        <f>I338/25</f>
        <v>440</v>
      </c>
      <c r="BT338" s="495"/>
      <c r="BV338" s="495"/>
      <c r="CK338" s="425">
        <f t="shared" si="86"/>
        <v>440</v>
      </c>
      <c r="CL338" s="425">
        <f t="shared" si="87"/>
        <v>0</v>
      </c>
      <c r="CM338" s="425">
        <f t="shared" si="88"/>
        <v>0</v>
      </c>
      <c r="CN338" s="495"/>
      <c r="CO338" s="495"/>
      <c r="CP338" s="495"/>
      <c r="CT338" s="495"/>
      <c r="CU338" s="495"/>
      <c r="CV338" s="495"/>
      <c r="CW338" s="495"/>
      <c r="CX338" s="495"/>
    </row>
    <row r="339" s="425" customFormat="1" ht="31" customHeight="1" spans="1:102">
      <c r="A339" s="455">
        <v>45814</v>
      </c>
      <c r="B339" s="456" t="s">
        <v>248</v>
      </c>
      <c r="C339" s="457" t="s">
        <v>249</v>
      </c>
      <c r="D339" s="425">
        <v>4500159839</v>
      </c>
      <c r="E339" s="457">
        <v>14552407</v>
      </c>
      <c r="F339" s="425" t="s">
        <v>4015</v>
      </c>
      <c r="G339" s="458" t="s">
        <v>3245</v>
      </c>
      <c r="H339" s="458" t="s">
        <v>3246</v>
      </c>
      <c r="I339" s="458">
        <v>2808</v>
      </c>
      <c r="J339" s="458">
        <v>13</v>
      </c>
      <c r="K339" s="458">
        <f>J339*8</f>
        <v>104</v>
      </c>
      <c r="L339" s="462">
        <f t="shared" si="89"/>
        <v>27</v>
      </c>
      <c r="M339" s="463">
        <v>45854</v>
      </c>
      <c r="N339" s="463">
        <v>45850</v>
      </c>
      <c r="O339" s="464"/>
      <c r="P339" s="464" t="s">
        <v>103</v>
      </c>
      <c r="Q339" s="458"/>
      <c r="R339" s="472">
        <v>45827</v>
      </c>
      <c r="S339" s="472" t="s">
        <v>66</v>
      </c>
      <c r="T339" s="472">
        <v>45827</v>
      </c>
      <c r="U339" s="472"/>
      <c r="V339" s="473" t="s">
        <v>4016</v>
      </c>
      <c r="W339" s="473" t="s">
        <v>254</v>
      </c>
      <c r="X339" s="473">
        <v>1.16</v>
      </c>
      <c r="Y339" s="480">
        <f>X339*I339</f>
        <v>3257.28</v>
      </c>
      <c r="Z339" s="458" t="s">
        <v>995</v>
      </c>
      <c r="AA339" s="458" t="s">
        <v>3245</v>
      </c>
      <c r="AB339" s="458" t="s">
        <v>76</v>
      </c>
      <c r="AC339" s="458"/>
      <c r="AD339" s="458"/>
      <c r="AE339" s="458"/>
      <c r="AF339" s="458">
        <v>2808</v>
      </c>
      <c r="AG339" s="458">
        <f t="shared" si="90"/>
        <v>0</v>
      </c>
      <c r="AH339" s="489"/>
      <c r="AI339" s="458"/>
      <c r="AJ339" s="458"/>
      <c r="AK339" s="458"/>
      <c r="AL339" s="426">
        <f>I339</f>
        <v>2808</v>
      </c>
      <c r="AO339" s="495"/>
      <c r="AQ339" s="425">
        <f>I339</f>
        <v>2808</v>
      </c>
      <c r="AS339" s="425">
        <f>I339</f>
        <v>2808</v>
      </c>
      <c r="AT339" s="495"/>
      <c r="AY339" s="498">
        <f>I339/24</f>
        <v>117</v>
      </c>
      <c r="BI339" s="425">
        <f>I339/13</f>
        <v>216</v>
      </c>
      <c r="BT339" s="495"/>
      <c r="BV339" s="495"/>
      <c r="CK339" s="425">
        <f t="shared" si="86"/>
        <v>0</v>
      </c>
      <c r="CL339" s="425">
        <f t="shared" si="87"/>
        <v>0</v>
      </c>
      <c r="CM339" s="425">
        <f t="shared" si="88"/>
        <v>0</v>
      </c>
      <c r="CN339" s="495"/>
      <c r="CO339" s="495"/>
      <c r="CP339" s="495"/>
      <c r="CT339" s="495"/>
      <c r="CU339" s="495"/>
      <c r="CV339" s="495"/>
      <c r="CW339" s="495"/>
      <c r="CX339" s="495"/>
    </row>
    <row r="340" s="425" customFormat="1" ht="31" customHeight="1" spans="1:102">
      <c r="A340" s="455">
        <v>45798</v>
      </c>
      <c r="B340" s="456" t="s">
        <v>280</v>
      </c>
      <c r="C340" s="457" t="s">
        <v>249</v>
      </c>
      <c r="D340" s="425">
        <v>4500167191</v>
      </c>
      <c r="E340" s="457" t="s">
        <v>1056</v>
      </c>
      <c r="F340" s="425" t="s">
        <v>1057</v>
      </c>
      <c r="G340" s="458" t="s">
        <v>3436</v>
      </c>
      <c r="H340" s="458" t="s">
        <v>424</v>
      </c>
      <c r="I340" s="458">
        <v>8700</v>
      </c>
      <c r="J340" s="458">
        <v>0</v>
      </c>
      <c r="K340" s="458">
        <v>6</v>
      </c>
      <c r="L340" s="462">
        <f t="shared" ref="L339:L347" si="91">I340/K340</f>
        <v>1450</v>
      </c>
      <c r="M340" s="463">
        <v>45856</v>
      </c>
      <c r="N340" s="463">
        <f>M340-4</f>
        <v>45852</v>
      </c>
      <c r="O340" s="464"/>
      <c r="P340" s="464" t="s">
        <v>103</v>
      </c>
      <c r="Q340" s="458"/>
      <c r="R340" s="472">
        <v>45798</v>
      </c>
      <c r="S340" s="472" t="s">
        <v>66</v>
      </c>
      <c r="T340" s="472">
        <v>45800</v>
      </c>
      <c r="U340" s="472"/>
      <c r="V340" s="473" t="s">
        <v>3842</v>
      </c>
      <c r="W340" s="473" t="s">
        <v>285</v>
      </c>
      <c r="X340" s="473">
        <v>8.1</v>
      </c>
      <c r="Y340" s="480">
        <f t="shared" ref="Y340:Y350" si="92">X340*I340</f>
        <v>70470</v>
      </c>
      <c r="Z340" s="458" t="s">
        <v>1058</v>
      </c>
      <c r="AA340" s="458" t="s">
        <v>427</v>
      </c>
      <c r="AB340" s="458" t="s">
        <v>76</v>
      </c>
      <c r="AC340" s="458"/>
      <c r="AD340" s="458" t="s">
        <v>69</v>
      </c>
      <c r="AE340" s="458"/>
      <c r="AF340" s="458">
        <f>1512+7188</f>
        <v>8700</v>
      </c>
      <c r="AG340" s="458">
        <f t="shared" ref="AG339:AG347" si="93">AF340-I340</f>
        <v>0</v>
      </c>
      <c r="AH340" s="489"/>
      <c r="AI340" s="458"/>
      <c r="AJ340" s="458"/>
      <c r="AK340" s="458"/>
      <c r="AL340" s="425">
        <f>I340*2</f>
        <v>17400</v>
      </c>
      <c r="AO340" s="495"/>
      <c r="AQ340" s="425">
        <f>I340*2</f>
        <v>17400</v>
      </c>
      <c r="AS340" s="425">
        <f>I340*2</f>
        <v>17400</v>
      </c>
      <c r="AT340" s="495"/>
      <c r="AY340" s="498">
        <f>I340/24*2</f>
        <v>725</v>
      </c>
      <c r="BT340" s="495"/>
      <c r="BU340" s="425">
        <f>I340</f>
        <v>8700</v>
      </c>
      <c r="BV340" s="495"/>
      <c r="CK340" s="425">
        <f t="shared" si="86"/>
        <v>0</v>
      </c>
      <c r="CL340" s="425">
        <f t="shared" si="87"/>
        <v>0</v>
      </c>
      <c r="CM340" s="425">
        <f t="shared" si="88"/>
        <v>0</v>
      </c>
      <c r="CN340" s="495"/>
      <c r="CO340" s="495"/>
      <c r="CP340" s="495"/>
      <c r="CT340" s="495"/>
      <c r="CU340" s="495"/>
      <c r="CV340" s="495"/>
      <c r="CW340" s="495"/>
      <c r="CX340" s="495"/>
    </row>
    <row r="341" s="425" customFormat="1" ht="31" customHeight="1" spans="1:102">
      <c r="A341" s="455">
        <v>45803</v>
      </c>
      <c r="B341" s="456" t="s">
        <v>1105</v>
      </c>
      <c r="C341" s="457" t="s">
        <v>468</v>
      </c>
      <c r="D341" s="425">
        <v>4500167907</v>
      </c>
      <c r="E341" s="457">
        <v>129631875</v>
      </c>
      <c r="F341" s="425" t="s">
        <v>4017</v>
      </c>
      <c r="G341" s="458" t="s">
        <v>3161</v>
      </c>
      <c r="H341" s="458" t="s">
        <v>3221</v>
      </c>
      <c r="I341" s="458">
        <v>3550</v>
      </c>
      <c r="J341" s="458">
        <v>0</v>
      </c>
      <c r="K341" s="458">
        <v>50</v>
      </c>
      <c r="L341" s="462">
        <f t="shared" si="91"/>
        <v>71</v>
      </c>
      <c r="M341" s="463">
        <v>45856</v>
      </c>
      <c r="N341" s="463">
        <v>45852</v>
      </c>
      <c r="O341" s="464"/>
      <c r="P341" s="464" t="s">
        <v>103</v>
      </c>
      <c r="Q341" s="458"/>
      <c r="R341" s="472">
        <v>45827</v>
      </c>
      <c r="S341" s="472" t="s">
        <v>66</v>
      </c>
      <c r="T341" s="472">
        <v>45833</v>
      </c>
      <c r="U341" s="472"/>
      <c r="V341" s="473" t="s">
        <v>4018</v>
      </c>
      <c r="W341" s="473" t="s">
        <v>304</v>
      </c>
      <c r="X341" s="473">
        <v>0.941</v>
      </c>
      <c r="Y341" s="480">
        <f t="shared" si="92"/>
        <v>3340.55</v>
      </c>
      <c r="Z341" s="458" t="s">
        <v>1108</v>
      </c>
      <c r="AA341" s="458" t="s">
        <v>3161</v>
      </c>
      <c r="AB341" s="458" t="s">
        <v>76</v>
      </c>
      <c r="AC341" s="458"/>
      <c r="AD341" s="458"/>
      <c r="AE341" s="458"/>
      <c r="AF341" s="458">
        <v>3550</v>
      </c>
      <c r="AG341" s="458">
        <f t="shared" si="93"/>
        <v>0</v>
      </c>
      <c r="AH341" s="489"/>
      <c r="AI341" s="458"/>
      <c r="AJ341" s="458"/>
      <c r="AK341" s="458"/>
      <c r="AL341" s="426">
        <f>I341</f>
        <v>3550</v>
      </c>
      <c r="AO341" s="495"/>
      <c r="AQ341" s="425">
        <f>I341</f>
        <v>3550</v>
      </c>
      <c r="AS341" s="425">
        <f>I341</f>
        <v>3550</v>
      </c>
      <c r="AT341" s="495"/>
      <c r="AY341" s="498">
        <f>I341/24</f>
        <v>147.916666666667</v>
      </c>
      <c r="BL341" s="425">
        <f>I341/25</f>
        <v>142</v>
      </c>
      <c r="BT341" s="495"/>
      <c r="BV341" s="495"/>
      <c r="CK341" s="425">
        <f t="shared" si="86"/>
        <v>142</v>
      </c>
      <c r="CL341" s="425">
        <f t="shared" si="87"/>
        <v>0</v>
      </c>
      <c r="CM341" s="425">
        <f t="shared" si="88"/>
        <v>0</v>
      </c>
      <c r="CN341" s="495"/>
      <c r="CO341" s="495"/>
      <c r="CP341" s="495"/>
      <c r="CT341" s="495"/>
      <c r="CU341" s="495"/>
      <c r="CV341" s="495"/>
      <c r="CW341" s="495"/>
      <c r="CX341" s="495"/>
    </row>
    <row r="342" s="425" customFormat="1" ht="31" customHeight="1" spans="1:102">
      <c r="A342" s="455">
        <v>45798</v>
      </c>
      <c r="B342" s="456" t="s">
        <v>658</v>
      </c>
      <c r="C342" s="457" t="s">
        <v>310</v>
      </c>
      <c r="D342" s="425">
        <v>4500167463</v>
      </c>
      <c r="E342" s="457" t="s">
        <v>4019</v>
      </c>
      <c r="F342" s="425" t="s">
        <v>4020</v>
      </c>
      <c r="G342" s="458" t="s">
        <v>3378</v>
      </c>
      <c r="H342" s="458" t="s">
        <v>3379</v>
      </c>
      <c r="I342" s="458">
        <v>1200</v>
      </c>
      <c r="J342" s="458">
        <v>0</v>
      </c>
      <c r="K342" s="458">
        <v>50</v>
      </c>
      <c r="L342" s="462">
        <f t="shared" si="91"/>
        <v>24</v>
      </c>
      <c r="M342" s="463">
        <v>45856</v>
      </c>
      <c r="N342" s="463">
        <v>45852</v>
      </c>
      <c r="O342" s="464"/>
      <c r="P342" s="464" t="s">
        <v>103</v>
      </c>
      <c r="Q342" s="458"/>
      <c r="R342" s="472">
        <v>45813</v>
      </c>
      <c r="S342" s="472" t="s">
        <v>66</v>
      </c>
      <c r="T342" s="472" t="s">
        <v>4021</v>
      </c>
      <c r="U342" s="472"/>
      <c r="V342" s="473" t="s">
        <v>4022</v>
      </c>
      <c r="W342" s="473" t="s">
        <v>473</v>
      </c>
      <c r="X342" s="473">
        <v>1.32</v>
      </c>
      <c r="Y342" s="480">
        <f t="shared" si="92"/>
        <v>1584</v>
      </c>
      <c r="Z342" s="458"/>
      <c r="AA342" s="458" t="s">
        <v>3378</v>
      </c>
      <c r="AB342" s="458" t="s">
        <v>76</v>
      </c>
      <c r="AC342" s="458"/>
      <c r="AD342" s="458"/>
      <c r="AE342" s="458"/>
      <c r="AF342" s="458">
        <v>1200</v>
      </c>
      <c r="AG342" s="458">
        <f t="shared" si="93"/>
        <v>0</v>
      </c>
      <c r="AH342" s="489"/>
      <c r="AI342" s="458"/>
      <c r="AJ342" s="458"/>
      <c r="AK342" s="458"/>
      <c r="AL342" s="425">
        <f>I342</f>
        <v>1200</v>
      </c>
      <c r="AO342" s="495"/>
      <c r="AT342" s="495"/>
      <c r="AY342" s="498">
        <f>I342/24*2</f>
        <v>100</v>
      </c>
      <c r="BQ342" s="425">
        <f>I342</f>
        <v>1200</v>
      </c>
      <c r="BR342" s="425">
        <f>I342</f>
        <v>1200</v>
      </c>
      <c r="BS342" s="425">
        <f>I342/25</f>
        <v>48</v>
      </c>
      <c r="BT342" s="495"/>
      <c r="BV342" s="495"/>
      <c r="CK342" s="425">
        <f t="shared" si="86"/>
        <v>48</v>
      </c>
      <c r="CL342" s="425">
        <f t="shared" si="87"/>
        <v>0</v>
      </c>
      <c r="CM342" s="425">
        <f t="shared" si="88"/>
        <v>0</v>
      </c>
      <c r="CN342" s="495"/>
      <c r="CO342" s="495"/>
      <c r="CP342" s="495"/>
      <c r="CT342" s="495"/>
      <c r="CU342" s="495"/>
      <c r="CV342" s="495"/>
      <c r="CW342" s="495"/>
      <c r="CX342" s="495"/>
    </row>
    <row r="343" s="425" customFormat="1" ht="31" customHeight="1" spans="1:102">
      <c r="A343" s="455">
        <v>45817</v>
      </c>
      <c r="B343" s="456" t="s">
        <v>128</v>
      </c>
      <c r="C343" s="457" t="s">
        <v>90</v>
      </c>
      <c r="D343" s="425">
        <v>4500169409</v>
      </c>
      <c r="E343" s="895" t="s">
        <v>4023</v>
      </c>
      <c r="F343" s="425" t="s">
        <v>4024</v>
      </c>
      <c r="G343" s="458" t="s">
        <v>3180</v>
      </c>
      <c r="H343" s="458" t="s">
        <v>3181</v>
      </c>
      <c r="I343" s="458">
        <v>6848</v>
      </c>
      <c r="J343" s="458">
        <v>0</v>
      </c>
      <c r="K343" s="458">
        <v>16</v>
      </c>
      <c r="L343" s="462">
        <f t="shared" si="91"/>
        <v>428</v>
      </c>
      <c r="M343" s="463">
        <v>45856</v>
      </c>
      <c r="N343" s="463">
        <v>45852</v>
      </c>
      <c r="O343" s="464" t="s">
        <v>3993</v>
      </c>
      <c r="P343" s="464" t="s">
        <v>103</v>
      </c>
      <c r="Q343" s="458"/>
      <c r="R343" s="472" t="s">
        <v>132</v>
      </c>
      <c r="S343" s="472" t="s">
        <v>66</v>
      </c>
      <c r="T343" s="472" t="s">
        <v>133</v>
      </c>
      <c r="U343" s="472"/>
      <c r="V343" s="473" t="s">
        <v>3751</v>
      </c>
      <c r="W343" s="473" t="s">
        <v>98</v>
      </c>
      <c r="X343" s="473">
        <v>0.5936</v>
      </c>
      <c r="Y343" s="480">
        <f t="shared" si="92"/>
        <v>4064.9728</v>
      </c>
      <c r="Z343" s="458" t="s">
        <v>4025</v>
      </c>
      <c r="AA343" s="458" t="s">
        <v>3180</v>
      </c>
      <c r="AB343" s="458" t="s">
        <v>76</v>
      </c>
      <c r="AC343" s="458"/>
      <c r="AD343" s="458"/>
      <c r="AE343" s="458"/>
      <c r="AF343" s="458">
        <v>6848</v>
      </c>
      <c r="AG343" s="458">
        <f t="shared" si="93"/>
        <v>0</v>
      </c>
      <c r="AH343" s="489"/>
      <c r="AI343" s="458"/>
      <c r="AJ343" s="458"/>
      <c r="AK343" s="458">
        <f>I343</f>
        <v>6848</v>
      </c>
      <c r="AM343" s="425">
        <f>I343</f>
        <v>6848</v>
      </c>
      <c r="AO343" s="495"/>
      <c r="AR343" s="425">
        <f>I343</f>
        <v>6848</v>
      </c>
      <c r="AT343" s="495"/>
      <c r="AY343" s="498">
        <f>I343/48</f>
        <v>142.666666666667</v>
      </c>
      <c r="BM343" s="425">
        <f>I343/16</f>
        <v>428</v>
      </c>
      <c r="BT343" s="495"/>
      <c r="BV343" s="495"/>
      <c r="CK343" s="425">
        <f t="shared" si="86"/>
        <v>428</v>
      </c>
      <c r="CL343" s="425">
        <f t="shared" si="87"/>
        <v>0</v>
      </c>
      <c r="CM343" s="425">
        <f t="shared" si="88"/>
        <v>0</v>
      </c>
      <c r="CN343" s="495"/>
      <c r="CO343" s="495"/>
      <c r="CP343" s="495"/>
      <c r="CT343" s="495"/>
      <c r="CU343" s="495"/>
      <c r="CV343" s="495"/>
      <c r="CW343" s="495"/>
      <c r="CX343" s="495"/>
    </row>
    <row r="344" s="425" customFormat="1" ht="31" customHeight="1" spans="1:102">
      <c r="A344" s="455">
        <v>45817</v>
      </c>
      <c r="B344" s="456" t="s">
        <v>128</v>
      </c>
      <c r="C344" s="457" t="s">
        <v>90</v>
      </c>
      <c r="D344" s="425">
        <v>4500169409</v>
      </c>
      <c r="E344" s="895" t="s">
        <v>4026</v>
      </c>
      <c r="F344" s="425" t="s">
        <v>4027</v>
      </c>
      <c r="G344" s="458" t="s">
        <v>3180</v>
      </c>
      <c r="H344" s="458" t="s">
        <v>3181</v>
      </c>
      <c r="I344" s="458">
        <v>6080</v>
      </c>
      <c r="J344" s="458">
        <v>0</v>
      </c>
      <c r="K344" s="458">
        <v>16</v>
      </c>
      <c r="L344" s="462">
        <f t="shared" si="91"/>
        <v>380</v>
      </c>
      <c r="M344" s="463">
        <v>45856</v>
      </c>
      <c r="N344" s="463">
        <v>45852</v>
      </c>
      <c r="O344" s="464" t="s">
        <v>3993</v>
      </c>
      <c r="P344" s="464" t="s">
        <v>103</v>
      </c>
      <c r="Q344" s="458"/>
      <c r="R344" s="472" t="s">
        <v>132</v>
      </c>
      <c r="S344" s="472" t="s">
        <v>66</v>
      </c>
      <c r="T344" s="472" t="s">
        <v>133</v>
      </c>
      <c r="U344" s="472"/>
      <c r="V344" s="473" t="s">
        <v>3751</v>
      </c>
      <c r="W344" s="473" t="s">
        <v>98</v>
      </c>
      <c r="X344" s="473">
        <v>0.5936</v>
      </c>
      <c r="Y344" s="480">
        <f t="shared" si="92"/>
        <v>3609.088</v>
      </c>
      <c r="Z344" s="458" t="s">
        <v>4028</v>
      </c>
      <c r="AA344" s="458" t="s">
        <v>3180</v>
      </c>
      <c r="AB344" s="458" t="s">
        <v>76</v>
      </c>
      <c r="AC344" s="458"/>
      <c r="AD344" s="458"/>
      <c r="AE344" s="458"/>
      <c r="AF344" s="458">
        <v>6080</v>
      </c>
      <c r="AG344" s="458">
        <f t="shared" si="93"/>
        <v>0</v>
      </c>
      <c r="AH344" s="489"/>
      <c r="AI344" s="458"/>
      <c r="AJ344" s="458"/>
      <c r="AK344" s="458">
        <f>I344</f>
        <v>6080</v>
      </c>
      <c r="AM344" s="425">
        <f>I344</f>
        <v>6080</v>
      </c>
      <c r="AO344" s="495"/>
      <c r="AR344" s="425">
        <f>I344</f>
        <v>6080</v>
      </c>
      <c r="AT344" s="495"/>
      <c r="AY344" s="498">
        <f>I344/48</f>
        <v>126.666666666667</v>
      </c>
      <c r="BM344" s="425">
        <f>I344/16</f>
        <v>380</v>
      </c>
      <c r="BT344" s="495"/>
      <c r="BV344" s="495"/>
      <c r="CK344" s="425">
        <f t="shared" si="86"/>
        <v>380</v>
      </c>
      <c r="CL344" s="425">
        <f t="shared" si="87"/>
        <v>0</v>
      </c>
      <c r="CM344" s="425">
        <f t="shared" si="88"/>
        <v>0</v>
      </c>
      <c r="CN344" s="495"/>
      <c r="CO344" s="495"/>
      <c r="CP344" s="495"/>
      <c r="CT344" s="495"/>
      <c r="CU344" s="495"/>
      <c r="CV344" s="495"/>
      <c r="CW344" s="495"/>
      <c r="CX344" s="495"/>
    </row>
    <row r="345" s="425" customFormat="1" ht="31" customHeight="1" spans="1:102">
      <c r="A345" s="455">
        <v>45820</v>
      </c>
      <c r="B345" s="456" t="s">
        <v>4029</v>
      </c>
      <c r="C345" s="457" t="s">
        <v>468</v>
      </c>
      <c r="D345" s="425">
        <v>4500169872</v>
      </c>
      <c r="E345" s="457" t="s">
        <v>4030</v>
      </c>
      <c r="F345" s="425" t="s">
        <v>4031</v>
      </c>
      <c r="G345" s="458" t="s">
        <v>3464</v>
      </c>
      <c r="H345" s="458" t="s">
        <v>3237</v>
      </c>
      <c r="I345" s="458">
        <v>648</v>
      </c>
      <c r="J345" s="458">
        <v>0</v>
      </c>
      <c r="K345" s="458">
        <v>12</v>
      </c>
      <c r="L345" s="462">
        <f t="shared" si="91"/>
        <v>54</v>
      </c>
      <c r="M345" s="463">
        <v>45856</v>
      </c>
      <c r="N345" s="463">
        <v>45852</v>
      </c>
      <c r="O345" s="464"/>
      <c r="P345" s="464" t="s">
        <v>103</v>
      </c>
      <c r="Q345" s="458"/>
      <c r="R345" s="472" t="s">
        <v>4032</v>
      </c>
      <c r="S345" s="472" t="s">
        <v>96</v>
      </c>
      <c r="T345" s="472">
        <v>45842</v>
      </c>
      <c r="U345" s="472"/>
      <c r="V345" s="473" t="s">
        <v>4033</v>
      </c>
      <c r="W345" s="473" t="s">
        <v>304</v>
      </c>
      <c r="X345" s="473">
        <v>2.2418</v>
      </c>
      <c r="Y345" s="480">
        <f t="shared" si="92"/>
        <v>1452.6864</v>
      </c>
      <c r="Z345" s="458" t="s">
        <v>4034</v>
      </c>
      <c r="AA345" s="458" t="s">
        <v>3464</v>
      </c>
      <c r="AB345" s="458" t="s">
        <v>76</v>
      </c>
      <c r="AC345" s="458"/>
      <c r="AD345" s="458"/>
      <c r="AE345" s="458"/>
      <c r="AF345" s="458">
        <v>648</v>
      </c>
      <c r="AG345" s="458">
        <f t="shared" si="93"/>
        <v>0</v>
      </c>
      <c r="AH345" s="489"/>
      <c r="AI345" s="458"/>
      <c r="AJ345" s="458"/>
      <c r="AK345" s="458"/>
      <c r="AL345" s="425">
        <f>I345*2</f>
        <v>1296</v>
      </c>
      <c r="AO345" s="495"/>
      <c r="AQ345" s="425">
        <f>I345*2</f>
        <v>1296</v>
      </c>
      <c r="AS345" s="425">
        <f>I345*2</f>
        <v>1296</v>
      </c>
      <c r="AT345" s="495"/>
      <c r="AY345" s="498">
        <f>I345/24*2</f>
        <v>54</v>
      </c>
      <c r="BT345" s="495"/>
      <c r="BV345" s="495"/>
      <c r="CH345" s="425">
        <f>I345</f>
        <v>648</v>
      </c>
      <c r="CI345" s="425">
        <f>I345</f>
        <v>648</v>
      </c>
      <c r="CJ345" s="425">
        <f>I345</f>
        <v>648</v>
      </c>
      <c r="CK345" s="425">
        <f t="shared" si="86"/>
        <v>0</v>
      </c>
      <c r="CL345" s="425">
        <f t="shared" si="87"/>
        <v>0</v>
      </c>
      <c r="CM345" s="425">
        <f t="shared" si="88"/>
        <v>0</v>
      </c>
      <c r="CN345" s="495"/>
      <c r="CO345" s="495"/>
      <c r="CP345" s="495"/>
      <c r="CT345" s="495"/>
      <c r="CU345" s="495"/>
      <c r="CV345" s="495"/>
      <c r="CW345" s="495"/>
      <c r="CX345" s="495"/>
    </row>
    <row r="346" s="425" customFormat="1" ht="31" customHeight="1" spans="1:102">
      <c r="A346" s="455">
        <v>45820</v>
      </c>
      <c r="B346" s="456" t="s">
        <v>4029</v>
      </c>
      <c r="C346" s="457" t="s">
        <v>468</v>
      </c>
      <c r="D346" s="425">
        <v>4500169872</v>
      </c>
      <c r="E346" s="457" t="s">
        <v>4035</v>
      </c>
      <c r="F346" s="425" t="s">
        <v>4036</v>
      </c>
      <c r="G346" s="458" t="s">
        <v>3464</v>
      </c>
      <c r="H346" s="458" t="s">
        <v>3237</v>
      </c>
      <c r="I346" s="458">
        <v>48</v>
      </c>
      <c r="J346" s="458">
        <v>0</v>
      </c>
      <c r="K346" s="458">
        <v>12</v>
      </c>
      <c r="L346" s="462">
        <f t="shared" si="91"/>
        <v>4</v>
      </c>
      <c r="M346" s="463">
        <v>45856</v>
      </c>
      <c r="N346" s="463">
        <v>45852</v>
      </c>
      <c r="O346" s="464"/>
      <c r="P346" s="464" t="s">
        <v>103</v>
      </c>
      <c r="Q346" s="458"/>
      <c r="R346" s="472" t="s">
        <v>4032</v>
      </c>
      <c r="S346" s="472" t="s">
        <v>96</v>
      </c>
      <c r="T346" s="472">
        <v>45842</v>
      </c>
      <c r="U346" s="472"/>
      <c r="V346" s="473" t="s">
        <v>4033</v>
      </c>
      <c r="W346" s="473" t="s">
        <v>304</v>
      </c>
      <c r="X346" s="473">
        <v>2.2418</v>
      </c>
      <c r="Y346" s="480">
        <f t="shared" si="92"/>
        <v>107.6064</v>
      </c>
      <c r="Z346" s="458" t="s">
        <v>4034</v>
      </c>
      <c r="AA346" s="458" t="s">
        <v>3464</v>
      </c>
      <c r="AB346" s="458" t="s">
        <v>76</v>
      </c>
      <c r="AC346" s="458"/>
      <c r="AD346" s="458"/>
      <c r="AE346" s="458"/>
      <c r="AF346" s="458">
        <v>48</v>
      </c>
      <c r="AG346" s="458">
        <f t="shared" si="93"/>
        <v>0</v>
      </c>
      <c r="AH346" s="489"/>
      <c r="AI346" s="458"/>
      <c r="AJ346" s="458"/>
      <c r="AK346" s="458"/>
      <c r="AL346" s="425">
        <f>I346*2</f>
        <v>96</v>
      </c>
      <c r="AO346" s="495"/>
      <c r="AQ346" s="425">
        <f>I346*2</f>
        <v>96</v>
      </c>
      <c r="AS346" s="425">
        <f>I346*2</f>
        <v>96</v>
      </c>
      <c r="AT346" s="495"/>
      <c r="AY346" s="498">
        <f>I346/24*2</f>
        <v>4</v>
      </c>
      <c r="BT346" s="495"/>
      <c r="BV346" s="495"/>
      <c r="CH346" s="425">
        <f>I346</f>
        <v>48</v>
      </c>
      <c r="CI346" s="425">
        <f>I346</f>
        <v>48</v>
      </c>
      <c r="CJ346" s="425">
        <f>I346</f>
        <v>48</v>
      </c>
      <c r="CK346" s="425">
        <f t="shared" si="86"/>
        <v>0</v>
      </c>
      <c r="CL346" s="425">
        <f t="shared" si="87"/>
        <v>0</v>
      </c>
      <c r="CM346" s="425">
        <f t="shared" si="88"/>
        <v>0</v>
      </c>
      <c r="CN346" s="495"/>
      <c r="CO346" s="495"/>
      <c r="CP346" s="495"/>
      <c r="CT346" s="495"/>
      <c r="CU346" s="495"/>
      <c r="CV346" s="495"/>
      <c r="CW346" s="495"/>
      <c r="CX346" s="495"/>
    </row>
    <row r="347" s="425" customFormat="1" ht="31" customHeight="1" spans="1:102">
      <c r="A347" s="455">
        <v>45824</v>
      </c>
      <c r="B347" s="456" t="s">
        <v>1257</v>
      </c>
      <c r="C347" s="457" t="s">
        <v>90</v>
      </c>
      <c r="D347" s="425">
        <v>4500170074</v>
      </c>
      <c r="E347" s="457" t="s">
        <v>4037</v>
      </c>
      <c r="F347" s="425" t="s">
        <v>4038</v>
      </c>
      <c r="G347" s="458" t="s">
        <v>3272</v>
      </c>
      <c r="H347" s="458" t="s">
        <v>3207</v>
      </c>
      <c r="I347" s="458">
        <v>806</v>
      </c>
      <c r="J347" s="458">
        <v>0</v>
      </c>
      <c r="K347" s="458">
        <v>13</v>
      </c>
      <c r="L347" s="462">
        <f t="shared" si="91"/>
        <v>62</v>
      </c>
      <c r="M347" s="463">
        <v>45856</v>
      </c>
      <c r="N347" s="463">
        <v>45852</v>
      </c>
      <c r="O347" s="464"/>
      <c r="P347" s="464" t="s">
        <v>103</v>
      </c>
      <c r="Q347" s="458"/>
      <c r="R347" s="472">
        <v>45825</v>
      </c>
      <c r="S347" s="472" t="s">
        <v>66</v>
      </c>
      <c r="T347" s="472" t="s">
        <v>66</v>
      </c>
      <c r="U347" s="472"/>
      <c r="V347" s="473" t="s">
        <v>4039</v>
      </c>
      <c r="W347" s="473" t="s">
        <v>1261</v>
      </c>
      <c r="X347" s="473">
        <v>0.5574</v>
      </c>
      <c r="Y347" s="480">
        <f t="shared" si="92"/>
        <v>449.2644</v>
      </c>
      <c r="Z347" s="517" t="s">
        <v>4040</v>
      </c>
      <c r="AA347" s="458" t="s">
        <v>3359</v>
      </c>
      <c r="AB347" s="458" t="s">
        <v>76</v>
      </c>
      <c r="AC347" s="458"/>
      <c r="AD347" s="458"/>
      <c r="AE347" s="458"/>
      <c r="AF347" s="458">
        <v>806</v>
      </c>
      <c r="AG347" s="458">
        <f t="shared" si="93"/>
        <v>0</v>
      </c>
      <c r="AH347" s="489"/>
      <c r="AI347" s="458"/>
      <c r="AJ347" s="458"/>
      <c r="AK347" s="458">
        <f>I347</f>
        <v>806</v>
      </c>
      <c r="AM347" s="425">
        <f>I347</f>
        <v>806</v>
      </c>
      <c r="AO347" s="495"/>
      <c r="AR347" s="425">
        <f>I347</f>
        <v>806</v>
      </c>
      <c r="AT347" s="495"/>
      <c r="AY347" s="498">
        <f>I347/48</f>
        <v>16.7916666666667</v>
      </c>
      <c r="BG347" s="425">
        <f>I347/13</f>
        <v>62</v>
      </c>
      <c r="BT347" s="495"/>
      <c r="BV347" s="495"/>
      <c r="CK347" s="425">
        <f t="shared" si="86"/>
        <v>0</v>
      </c>
      <c r="CL347" s="425">
        <f t="shared" si="87"/>
        <v>0</v>
      </c>
      <c r="CM347" s="425">
        <f t="shared" si="88"/>
        <v>0</v>
      </c>
      <c r="CN347" s="495"/>
      <c r="CO347" s="495"/>
      <c r="CP347" s="495"/>
      <c r="CT347" s="495"/>
      <c r="CU347" s="495"/>
      <c r="CV347" s="495"/>
      <c r="CW347" s="495"/>
      <c r="CX347" s="495"/>
    </row>
    <row r="348" s="425" customFormat="1" ht="31" customHeight="1" spans="1:102">
      <c r="A348" s="455">
        <v>45771</v>
      </c>
      <c r="B348" s="456" t="s">
        <v>2332</v>
      </c>
      <c r="C348" s="457" t="s">
        <v>2118</v>
      </c>
      <c r="D348" s="425">
        <v>4500159761</v>
      </c>
      <c r="E348" s="457" t="s">
        <v>4041</v>
      </c>
      <c r="F348" s="425" t="s">
        <v>4042</v>
      </c>
      <c r="G348" s="458" t="s">
        <v>3161</v>
      </c>
      <c r="H348" s="458" t="s">
        <v>3221</v>
      </c>
      <c r="I348" s="458">
        <v>2500</v>
      </c>
      <c r="J348" s="458">
        <v>0</v>
      </c>
      <c r="K348" s="458">
        <v>50</v>
      </c>
      <c r="L348" s="462">
        <f t="shared" ref="L339:L388" si="94">I348/K348</f>
        <v>50</v>
      </c>
      <c r="M348" s="463">
        <v>45859</v>
      </c>
      <c r="N348" s="463">
        <f t="shared" ref="N348:N355" si="95">M348-4</f>
        <v>45855</v>
      </c>
      <c r="O348" s="464"/>
      <c r="P348" s="464" t="s">
        <v>103</v>
      </c>
      <c r="Q348" s="458"/>
      <c r="R348" s="472">
        <v>45821</v>
      </c>
      <c r="S348" s="472" t="s">
        <v>66</v>
      </c>
      <c r="T348" s="472">
        <v>45840</v>
      </c>
      <c r="U348" s="472" t="s">
        <v>4043</v>
      </c>
      <c r="V348" s="473" t="s">
        <v>4044</v>
      </c>
      <c r="W348" s="473" t="s">
        <v>473</v>
      </c>
      <c r="X348" s="473">
        <v>0.95</v>
      </c>
      <c r="Y348" s="480">
        <f t="shared" si="92"/>
        <v>2375</v>
      </c>
      <c r="Z348" s="458"/>
      <c r="AA348" s="458" t="s">
        <v>3161</v>
      </c>
      <c r="AB348" s="458" t="s">
        <v>76</v>
      </c>
      <c r="AC348" s="458"/>
      <c r="AD348" s="458"/>
      <c r="AE348" s="458"/>
      <c r="AF348" s="458">
        <f>2450+50</f>
        <v>2500</v>
      </c>
      <c r="AG348" s="458">
        <f t="shared" ref="AG339:AG388" si="96">AF348-I348</f>
        <v>0</v>
      </c>
      <c r="AH348" s="489"/>
      <c r="AI348" s="458"/>
      <c r="AJ348" s="458"/>
      <c r="AK348" s="458"/>
      <c r="AL348" s="426">
        <f>I348</f>
        <v>2500</v>
      </c>
      <c r="AO348" s="495"/>
      <c r="AQ348" s="425">
        <f>I348</f>
        <v>2500</v>
      </c>
      <c r="AS348" s="425">
        <f>I348</f>
        <v>2500</v>
      </c>
      <c r="AT348" s="495"/>
      <c r="AY348" s="498">
        <f>I348/24</f>
        <v>104.166666666667</v>
      </c>
      <c r="BL348" s="425">
        <f>I348/25</f>
        <v>100</v>
      </c>
      <c r="BT348" s="495"/>
      <c r="BV348" s="495"/>
      <c r="CK348" s="425">
        <f t="shared" si="86"/>
        <v>100</v>
      </c>
      <c r="CL348" s="425">
        <f t="shared" si="87"/>
        <v>0</v>
      </c>
      <c r="CM348" s="425">
        <f t="shared" si="88"/>
        <v>0</v>
      </c>
      <c r="CN348" s="495"/>
      <c r="CO348" s="495"/>
      <c r="CP348" s="495"/>
      <c r="CT348" s="495"/>
      <c r="CU348" s="495"/>
      <c r="CV348" s="495"/>
      <c r="CW348" s="495"/>
      <c r="CX348" s="495"/>
    </row>
    <row r="349" s="425" customFormat="1" ht="31" customHeight="1" spans="1:102">
      <c r="A349" s="455">
        <v>45771</v>
      </c>
      <c r="B349" s="456" t="s">
        <v>2117</v>
      </c>
      <c r="C349" s="457" t="s">
        <v>2118</v>
      </c>
      <c r="D349" s="425">
        <v>4500159848</v>
      </c>
      <c r="E349" s="457" t="s">
        <v>4045</v>
      </c>
      <c r="F349" s="425" t="s">
        <v>4046</v>
      </c>
      <c r="G349" s="458" t="s">
        <v>3378</v>
      </c>
      <c r="H349" s="458" t="s">
        <v>3379</v>
      </c>
      <c r="I349" s="458">
        <v>250</v>
      </c>
      <c r="J349" s="458">
        <v>0</v>
      </c>
      <c r="K349" s="458">
        <v>50</v>
      </c>
      <c r="L349" s="462">
        <f t="shared" si="94"/>
        <v>5</v>
      </c>
      <c r="M349" s="463">
        <v>45859</v>
      </c>
      <c r="N349" s="463">
        <f t="shared" si="95"/>
        <v>45855</v>
      </c>
      <c r="O349" s="464"/>
      <c r="P349" s="464" t="s">
        <v>103</v>
      </c>
      <c r="Q349" s="458"/>
      <c r="R349" s="472">
        <v>45821</v>
      </c>
      <c r="S349" s="472" t="s">
        <v>66</v>
      </c>
      <c r="T349" s="472">
        <v>45840</v>
      </c>
      <c r="U349" s="472" t="s">
        <v>4043</v>
      </c>
      <c r="V349" s="473" t="s">
        <v>4047</v>
      </c>
      <c r="W349" s="473" t="s">
        <v>473</v>
      </c>
      <c r="X349" s="473">
        <v>1.32</v>
      </c>
      <c r="Y349" s="480">
        <f t="shared" si="92"/>
        <v>330</v>
      </c>
      <c r="Z349" s="458" t="s">
        <v>4048</v>
      </c>
      <c r="AA349" s="458" t="s">
        <v>3378</v>
      </c>
      <c r="AB349" s="458" t="s">
        <v>76</v>
      </c>
      <c r="AC349" s="458"/>
      <c r="AD349" s="458"/>
      <c r="AE349" s="458"/>
      <c r="AF349" s="458">
        <v>250</v>
      </c>
      <c r="AG349" s="458">
        <f t="shared" si="96"/>
        <v>0</v>
      </c>
      <c r="AH349" s="489"/>
      <c r="AI349" s="458"/>
      <c r="AJ349" s="458"/>
      <c r="AK349" s="458"/>
      <c r="AL349" s="425">
        <f>I349</f>
        <v>250</v>
      </c>
      <c r="AO349" s="495"/>
      <c r="AT349" s="495"/>
      <c r="AY349" s="498">
        <f>I349/24*2</f>
        <v>20.8333333333333</v>
      </c>
      <c r="BQ349" s="425">
        <f>I349</f>
        <v>250</v>
      </c>
      <c r="BR349" s="425">
        <f>I349</f>
        <v>250</v>
      </c>
      <c r="BS349" s="425">
        <f>I349/25</f>
        <v>10</v>
      </c>
      <c r="BT349" s="495"/>
      <c r="BV349" s="495"/>
      <c r="CK349" s="425">
        <f t="shared" si="86"/>
        <v>10</v>
      </c>
      <c r="CL349" s="425">
        <f t="shared" si="87"/>
        <v>0</v>
      </c>
      <c r="CM349" s="425">
        <f t="shared" si="88"/>
        <v>0</v>
      </c>
      <c r="CN349" s="495"/>
      <c r="CO349" s="495"/>
      <c r="CP349" s="495"/>
      <c r="CT349" s="495"/>
      <c r="CU349" s="495"/>
      <c r="CV349" s="495"/>
      <c r="CW349" s="495"/>
      <c r="CX349" s="495"/>
    </row>
    <row r="350" s="425" customFormat="1" ht="31" customHeight="1" spans="1:102">
      <c r="A350" s="455">
        <v>45771</v>
      </c>
      <c r="B350" s="456" t="s">
        <v>1151</v>
      </c>
      <c r="C350" s="457" t="s">
        <v>1152</v>
      </c>
      <c r="D350" s="425">
        <v>4500164774</v>
      </c>
      <c r="E350" s="457" t="s">
        <v>1153</v>
      </c>
      <c r="F350" s="425" t="s">
        <v>4049</v>
      </c>
      <c r="G350" s="458" t="s">
        <v>3378</v>
      </c>
      <c r="H350" s="458" t="s">
        <v>3379</v>
      </c>
      <c r="I350" s="458">
        <v>750</v>
      </c>
      <c r="J350" s="458">
        <v>0</v>
      </c>
      <c r="K350" s="458">
        <v>50</v>
      </c>
      <c r="L350" s="462">
        <f t="shared" si="94"/>
        <v>15</v>
      </c>
      <c r="M350" s="463">
        <v>45859</v>
      </c>
      <c r="N350" s="463">
        <f t="shared" si="95"/>
        <v>45855</v>
      </c>
      <c r="O350" s="464"/>
      <c r="P350" s="464" t="s">
        <v>103</v>
      </c>
      <c r="Q350" s="458"/>
      <c r="R350" s="472">
        <v>45821</v>
      </c>
      <c r="S350" s="472" t="s">
        <v>66</v>
      </c>
      <c r="T350" s="472">
        <v>45840</v>
      </c>
      <c r="U350" s="472" t="s">
        <v>4043</v>
      </c>
      <c r="V350" s="473" t="s">
        <v>4047</v>
      </c>
      <c r="W350" s="473" t="s">
        <v>473</v>
      </c>
      <c r="X350" s="473">
        <v>1.32</v>
      </c>
      <c r="Y350" s="480">
        <f t="shared" si="92"/>
        <v>990</v>
      </c>
      <c r="Z350" s="458" t="s">
        <v>1157</v>
      </c>
      <c r="AA350" s="458" t="s">
        <v>3378</v>
      </c>
      <c r="AB350" s="458" t="s">
        <v>76</v>
      </c>
      <c r="AC350" s="458"/>
      <c r="AD350" s="458"/>
      <c r="AE350" s="458"/>
      <c r="AF350" s="458">
        <v>750</v>
      </c>
      <c r="AG350" s="458">
        <f t="shared" si="96"/>
        <v>0</v>
      </c>
      <c r="AH350" s="489"/>
      <c r="AI350" s="458"/>
      <c r="AJ350" s="458"/>
      <c r="AK350" s="458"/>
      <c r="AL350" s="425">
        <f>I350</f>
        <v>750</v>
      </c>
      <c r="AO350" s="495"/>
      <c r="AT350" s="495"/>
      <c r="AY350" s="498">
        <f>I350/24*2</f>
        <v>62.5</v>
      </c>
      <c r="BQ350" s="425">
        <f>I350</f>
        <v>750</v>
      </c>
      <c r="BR350" s="425">
        <f>I350</f>
        <v>750</v>
      </c>
      <c r="BS350" s="425">
        <f>I350/25</f>
        <v>30</v>
      </c>
      <c r="BT350" s="495"/>
      <c r="BV350" s="495"/>
      <c r="CK350" s="425">
        <f t="shared" si="86"/>
        <v>30</v>
      </c>
      <c r="CL350" s="425">
        <f t="shared" si="87"/>
        <v>0</v>
      </c>
      <c r="CM350" s="425">
        <f t="shared" si="88"/>
        <v>0</v>
      </c>
      <c r="CN350" s="495"/>
      <c r="CO350" s="495"/>
      <c r="CP350" s="495"/>
      <c r="CT350" s="495"/>
      <c r="CU350" s="495"/>
      <c r="CV350" s="495"/>
      <c r="CW350" s="495"/>
      <c r="CX350" s="495"/>
    </row>
    <row r="351" s="425" customFormat="1" ht="31" customHeight="1" spans="1:102">
      <c r="A351" s="455">
        <v>45799</v>
      </c>
      <c r="B351" s="456" t="s">
        <v>1117</v>
      </c>
      <c r="C351" s="457" t="s">
        <v>468</v>
      </c>
      <c r="D351" s="425">
        <v>4500167249</v>
      </c>
      <c r="E351" s="457">
        <v>5040017</v>
      </c>
      <c r="F351" s="425" t="s">
        <v>4050</v>
      </c>
      <c r="G351" s="458" t="s">
        <v>3328</v>
      </c>
      <c r="H351" s="458" t="s">
        <v>3194</v>
      </c>
      <c r="I351" s="458">
        <v>2400</v>
      </c>
      <c r="J351" s="458">
        <v>0</v>
      </c>
      <c r="K351" s="458">
        <v>30</v>
      </c>
      <c r="L351" s="462">
        <f t="shared" si="94"/>
        <v>80</v>
      </c>
      <c r="M351" s="463">
        <v>45859</v>
      </c>
      <c r="N351" s="463">
        <f t="shared" si="95"/>
        <v>45855</v>
      </c>
      <c r="O351" s="464"/>
      <c r="P351" s="464" t="s">
        <v>103</v>
      </c>
      <c r="Q351" s="458"/>
      <c r="R351" s="472">
        <v>45831</v>
      </c>
      <c r="S351" s="472" t="s">
        <v>66</v>
      </c>
      <c r="T351" s="472">
        <v>45835</v>
      </c>
      <c r="U351" s="472"/>
      <c r="V351" s="473" t="s">
        <v>4051</v>
      </c>
      <c r="W351" s="473" t="s">
        <v>304</v>
      </c>
      <c r="X351" s="473">
        <v>42.7605</v>
      </c>
      <c r="Y351" s="480">
        <f>X351*L351</f>
        <v>3420.84</v>
      </c>
      <c r="Z351" s="458" t="s">
        <v>1120</v>
      </c>
      <c r="AA351" s="458" t="s">
        <v>3328</v>
      </c>
      <c r="AB351" s="458" t="s">
        <v>76</v>
      </c>
      <c r="AC351" s="458"/>
      <c r="AD351" s="458"/>
      <c r="AE351" s="458"/>
      <c r="AF351" s="458">
        <v>2400</v>
      </c>
      <c r="AG351" s="458">
        <f t="shared" si="96"/>
        <v>0</v>
      </c>
      <c r="AH351" s="489"/>
      <c r="AI351" s="458"/>
      <c r="AJ351" s="458"/>
      <c r="AK351" s="458"/>
      <c r="AL351" s="426">
        <f>I351</f>
        <v>2400</v>
      </c>
      <c r="AO351" s="495"/>
      <c r="AQ351" s="425">
        <f>I351</f>
        <v>2400</v>
      </c>
      <c r="AS351" s="425">
        <f>I351</f>
        <v>2400</v>
      </c>
      <c r="AT351" s="495"/>
      <c r="AY351" s="498">
        <f>I351/24</f>
        <v>100</v>
      </c>
      <c r="BT351" s="495"/>
      <c r="BV351" s="495"/>
      <c r="CF351" s="425">
        <f>I351/30</f>
        <v>80</v>
      </c>
      <c r="CK351" s="425">
        <f t="shared" si="86"/>
        <v>0</v>
      </c>
      <c r="CL351" s="425">
        <f t="shared" si="87"/>
        <v>80</v>
      </c>
      <c r="CM351" s="425">
        <f t="shared" si="88"/>
        <v>0</v>
      </c>
      <c r="CN351" s="495"/>
      <c r="CO351" s="495"/>
      <c r="CP351" s="495"/>
      <c r="CT351" s="495"/>
      <c r="CU351" s="495"/>
      <c r="CV351" s="495"/>
      <c r="CW351" s="495"/>
      <c r="CX351" s="495"/>
    </row>
    <row r="352" s="425" customFormat="1" ht="31" customHeight="1" spans="1:102">
      <c r="A352" s="455">
        <v>45820</v>
      </c>
      <c r="B352" s="456" t="s">
        <v>128</v>
      </c>
      <c r="C352" s="457" t="s">
        <v>90</v>
      </c>
      <c r="D352" s="425">
        <v>4500169831</v>
      </c>
      <c r="E352" s="895" t="s">
        <v>4052</v>
      </c>
      <c r="F352" s="425" t="s">
        <v>4053</v>
      </c>
      <c r="G352" s="458" t="s">
        <v>3180</v>
      </c>
      <c r="H352" s="458" t="s">
        <v>3181</v>
      </c>
      <c r="I352" s="458">
        <v>11168</v>
      </c>
      <c r="J352" s="458">
        <v>0</v>
      </c>
      <c r="K352" s="458">
        <v>16</v>
      </c>
      <c r="L352" s="462">
        <f t="shared" si="94"/>
        <v>698</v>
      </c>
      <c r="M352" s="463">
        <v>45859</v>
      </c>
      <c r="N352" s="463">
        <f t="shared" si="95"/>
        <v>45855</v>
      </c>
      <c r="O352" s="464" t="s">
        <v>1069</v>
      </c>
      <c r="P352" s="464" t="s">
        <v>103</v>
      </c>
      <c r="Q352" s="458"/>
      <c r="R352" s="472" t="s">
        <v>132</v>
      </c>
      <c r="S352" s="472" t="s">
        <v>66</v>
      </c>
      <c r="T352" s="472" t="s">
        <v>133</v>
      </c>
      <c r="U352" s="472"/>
      <c r="V352" s="473" t="s">
        <v>4054</v>
      </c>
      <c r="W352" s="473" t="s">
        <v>98</v>
      </c>
      <c r="X352" s="473">
        <v>0.5905</v>
      </c>
      <c r="Y352" s="480">
        <f t="shared" ref="Y352:Y366" si="97">X352*I352</f>
        <v>6594.704</v>
      </c>
      <c r="Z352" s="458" t="s">
        <v>4055</v>
      </c>
      <c r="AA352" s="458" t="s">
        <v>3180</v>
      </c>
      <c r="AB352" s="458" t="s">
        <v>76</v>
      </c>
      <c r="AC352" s="458"/>
      <c r="AD352" s="458"/>
      <c r="AE352" s="458"/>
      <c r="AF352" s="458">
        <v>11168</v>
      </c>
      <c r="AG352" s="458">
        <f t="shared" si="96"/>
        <v>0</v>
      </c>
      <c r="AH352" s="489"/>
      <c r="AI352" s="458"/>
      <c r="AJ352" s="458"/>
      <c r="AK352" s="458">
        <f>I352</f>
        <v>11168</v>
      </c>
      <c r="AM352" s="425">
        <f>I352</f>
        <v>11168</v>
      </c>
      <c r="AO352" s="495"/>
      <c r="AR352" s="425">
        <f>I352</f>
        <v>11168</v>
      </c>
      <c r="AT352" s="495"/>
      <c r="AY352" s="498">
        <f>I352/48</f>
        <v>232.666666666667</v>
      </c>
      <c r="BM352" s="425">
        <f>I352/16</f>
        <v>698</v>
      </c>
      <c r="BT352" s="495"/>
      <c r="BV352" s="495"/>
      <c r="CK352" s="425">
        <f t="shared" si="86"/>
        <v>698</v>
      </c>
      <c r="CL352" s="425">
        <f t="shared" si="87"/>
        <v>0</v>
      </c>
      <c r="CM352" s="425">
        <f t="shared" si="88"/>
        <v>0</v>
      </c>
      <c r="CN352" s="495"/>
      <c r="CO352" s="495"/>
      <c r="CP352" s="495"/>
      <c r="CT352" s="495"/>
      <c r="CU352" s="495"/>
      <c r="CV352" s="495"/>
      <c r="CW352" s="495"/>
      <c r="CX352" s="495"/>
    </row>
    <row r="353" s="425" customFormat="1" ht="31" customHeight="1" spans="1:102">
      <c r="A353" s="455">
        <v>45820</v>
      </c>
      <c r="B353" s="456" t="s">
        <v>128</v>
      </c>
      <c r="C353" s="457" t="s">
        <v>90</v>
      </c>
      <c r="D353" s="425">
        <v>4500169831</v>
      </c>
      <c r="E353" s="895" t="s">
        <v>4056</v>
      </c>
      <c r="F353" s="425" t="s">
        <v>4057</v>
      </c>
      <c r="G353" s="458" t="s">
        <v>3180</v>
      </c>
      <c r="H353" s="458" t="s">
        <v>3181</v>
      </c>
      <c r="I353" s="458">
        <v>12928</v>
      </c>
      <c r="J353" s="458">
        <v>0</v>
      </c>
      <c r="K353" s="458">
        <v>16</v>
      </c>
      <c r="L353" s="462">
        <f t="shared" si="94"/>
        <v>808</v>
      </c>
      <c r="M353" s="463">
        <v>45859</v>
      </c>
      <c r="N353" s="463">
        <f t="shared" si="95"/>
        <v>45855</v>
      </c>
      <c r="O353" s="464" t="s">
        <v>1069</v>
      </c>
      <c r="P353" s="464" t="s">
        <v>103</v>
      </c>
      <c r="Q353" s="458"/>
      <c r="R353" s="472" t="s">
        <v>132</v>
      </c>
      <c r="S353" s="472" t="s">
        <v>66</v>
      </c>
      <c r="T353" s="472" t="s">
        <v>133</v>
      </c>
      <c r="U353" s="472"/>
      <c r="V353" s="473" t="s">
        <v>4054</v>
      </c>
      <c r="W353" s="473" t="s">
        <v>98</v>
      </c>
      <c r="X353" s="473">
        <v>0.5905</v>
      </c>
      <c r="Y353" s="480">
        <f t="shared" si="97"/>
        <v>7633.984</v>
      </c>
      <c r="Z353" s="458" t="s">
        <v>4058</v>
      </c>
      <c r="AA353" s="458" t="s">
        <v>3180</v>
      </c>
      <c r="AB353" s="458" t="s">
        <v>76</v>
      </c>
      <c r="AC353" s="458"/>
      <c r="AD353" s="458"/>
      <c r="AE353" s="458"/>
      <c r="AF353" s="458">
        <v>12928</v>
      </c>
      <c r="AG353" s="458">
        <f t="shared" si="96"/>
        <v>0</v>
      </c>
      <c r="AH353" s="489"/>
      <c r="AI353" s="458"/>
      <c r="AJ353" s="458"/>
      <c r="AK353" s="458">
        <f>I353</f>
        <v>12928</v>
      </c>
      <c r="AM353" s="425">
        <f>I353</f>
        <v>12928</v>
      </c>
      <c r="AO353" s="495"/>
      <c r="AR353" s="425">
        <f>I353</f>
        <v>12928</v>
      </c>
      <c r="AT353" s="495"/>
      <c r="AY353" s="498">
        <f>I353/48</f>
        <v>269.333333333333</v>
      </c>
      <c r="BM353" s="425">
        <f>I353/16</f>
        <v>808</v>
      </c>
      <c r="BT353" s="495"/>
      <c r="BV353" s="495"/>
      <c r="CK353" s="425">
        <f t="shared" si="86"/>
        <v>808</v>
      </c>
      <c r="CL353" s="425">
        <f t="shared" si="87"/>
        <v>0</v>
      </c>
      <c r="CM353" s="425">
        <f t="shared" si="88"/>
        <v>0</v>
      </c>
      <c r="CN353" s="495"/>
      <c r="CO353" s="495"/>
      <c r="CP353" s="495"/>
      <c r="CT353" s="495"/>
      <c r="CU353" s="495"/>
      <c r="CV353" s="495"/>
      <c r="CW353" s="495"/>
      <c r="CX353" s="495"/>
    </row>
    <row r="354" s="425" customFormat="1" ht="31" customHeight="1" spans="1:102">
      <c r="A354" s="455">
        <v>45820</v>
      </c>
      <c r="B354" s="456" t="s">
        <v>70</v>
      </c>
      <c r="C354" s="457" t="s">
        <v>71</v>
      </c>
      <c r="D354" s="425">
        <v>4500169812</v>
      </c>
      <c r="E354" s="457">
        <v>29036568</v>
      </c>
      <c r="F354" s="425" t="s">
        <v>4059</v>
      </c>
      <c r="G354" s="458" t="s">
        <v>3161</v>
      </c>
      <c r="H354" s="458" t="s">
        <v>3221</v>
      </c>
      <c r="I354" s="458">
        <v>1150</v>
      </c>
      <c r="J354" s="458">
        <v>0</v>
      </c>
      <c r="K354" s="458">
        <v>50</v>
      </c>
      <c r="L354" s="462">
        <f t="shared" si="94"/>
        <v>23</v>
      </c>
      <c r="M354" s="463">
        <v>45859</v>
      </c>
      <c r="N354" s="463">
        <f t="shared" si="95"/>
        <v>45855</v>
      </c>
      <c r="O354" s="464"/>
      <c r="P354" s="464" t="s">
        <v>103</v>
      </c>
      <c r="Q354" s="458"/>
      <c r="R354" s="472">
        <v>45820</v>
      </c>
      <c r="S354" s="472" t="s">
        <v>66</v>
      </c>
      <c r="T354" s="472">
        <v>45820</v>
      </c>
      <c r="U354" s="472"/>
      <c r="V354" s="473" t="s">
        <v>4060</v>
      </c>
      <c r="W354" s="473" t="s">
        <v>75</v>
      </c>
      <c r="X354" s="473">
        <v>0.924</v>
      </c>
      <c r="Y354" s="480">
        <f t="shared" si="97"/>
        <v>1062.6</v>
      </c>
      <c r="Z354" s="458"/>
      <c r="AA354" s="458" t="s">
        <v>3161</v>
      </c>
      <c r="AB354" s="458" t="s">
        <v>76</v>
      </c>
      <c r="AC354" s="458"/>
      <c r="AD354" s="458"/>
      <c r="AE354" s="458"/>
      <c r="AF354" s="458">
        <v>1150</v>
      </c>
      <c r="AG354" s="458">
        <f t="shared" si="96"/>
        <v>0</v>
      </c>
      <c r="AH354" s="489"/>
      <c r="AI354" s="458"/>
      <c r="AJ354" s="458"/>
      <c r="AK354" s="458"/>
      <c r="AL354" s="426">
        <f>I354</f>
        <v>1150</v>
      </c>
      <c r="AO354" s="495"/>
      <c r="AQ354" s="425">
        <f>I354</f>
        <v>1150</v>
      </c>
      <c r="AS354" s="425">
        <f>I354</f>
        <v>1150</v>
      </c>
      <c r="AT354" s="495"/>
      <c r="AY354" s="498">
        <f t="shared" ref="AY354:AY359" si="98">I354/24</f>
        <v>47.9166666666667</v>
      </c>
      <c r="BJ354" s="425">
        <f>I354/25</f>
        <v>46</v>
      </c>
      <c r="BT354" s="495"/>
      <c r="BV354" s="495"/>
      <c r="CK354" s="425">
        <f t="shared" si="86"/>
        <v>46</v>
      </c>
      <c r="CL354" s="425">
        <f t="shared" si="87"/>
        <v>0</v>
      </c>
      <c r="CM354" s="425">
        <f t="shared" si="88"/>
        <v>0</v>
      </c>
      <c r="CN354" s="495"/>
      <c r="CO354" s="495"/>
      <c r="CP354" s="495"/>
      <c r="CT354" s="495"/>
      <c r="CU354" s="495"/>
      <c r="CV354" s="495"/>
      <c r="CW354" s="495"/>
      <c r="CX354" s="495"/>
    </row>
    <row r="355" s="425" customFormat="1" ht="31" customHeight="1" spans="1:102">
      <c r="A355" s="455">
        <v>45820</v>
      </c>
      <c r="B355" s="456" t="s">
        <v>70</v>
      </c>
      <c r="C355" s="457" t="s">
        <v>71</v>
      </c>
      <c r="D355" s="425">
        <v>4500169813</v>
      </c>
      <c r="E355" s="457">
        <v>29036569</v>
      </c>
      <c r="F355" s="425" t="s">
        <v>4061</v>
      </c>
      <c r="G355" s="458" t="s">
        <v>3161</v>
      </c>
      <c r="H355" s="458" t="s">
        <v>3221</v>
      </c>
      <c r="I355" s="458">
        <v>400</v>
      </c>
      <c r="J355" s="458">
        <v>0</v>
      </c>
      <c r="K355" s="458">
        <v>50</v>
      </c>
      <c r="L355" s="462">
        <f t="shared" si="94"/>
        <v>8</v>
      </c>
      <c r="M355" s="463">
        <v>45859</v>
      </c>
      <c r="N355" s="463">
        <f t="shared" si="95"/>
        <v>45855</v>
      </c>
      <c r="O355" s="464"/>
      <c r="P355" s="464" t="s">
        <v>103</v>
      </c>
      <c r="Q355" s="458"/>
      <c r="R355" s="472">
        <v>45820</v>
      </c>
      <c r="S355" s="472" t="s">
        <v>66</v>
      </c>
      <c r="T355" s="472">
        <v>45820</v>
      </c>
      <c r="U355" s="472"/>
      <c r="V355" s="473" t="s">
        <v>4062</v>
      </c>
      <c r="W355" s="473" t="s">
        <v>75</v>
      </c>
      <c r="X355" s="473">
        <v>0.9292</v>
      </c>
      <c r="Y355" s="480">
        <f t="shared" si="97"/>
        <v>371.68</v>
      </c>
      <c r="Z355" s="458"/>
      <c r="AA355" s="458" t="s">
        <v>3161</v>
      </c>
      <c r="AB355" s="458" t="s">
        <v>76</v>
      </c>
      <c r="AC355" s="458"/>
      <c r="AD355" s="458"/>
      <c r="AE355" s="458"/>
      <c r="AF355" s="458">
        <v>400</v>
      </c>
      <c r="AG355" s="458">
        <f t="shared" si="96"/>
        <v>0</v>
      </c>
      <c r="AH355" s="489"/>
      <c r="AI355" s="458"/>
      <c r="AJ355" s="458"/>
      <c r="AK355" s="458"/>
      <c r="AL355" s="426">
        <f>I355</f>
        <v>400</v>
      </c>
      <c r="AO355" s="495"/>
      <c r="AQ355" s="425">
        <f>I355</f>
        <v>400</v>
      </c>
      <c r="AS355" s="425">
        <f>I355</f>
        <v>400</v>
      </c>
      <c r="AT355" s="495"/>
      <c r="AY355" s="498">
        <f t="shared" si="98"/>
        <v>16.6666666666667</v>
      </c>
      <c r="BJ355" s="425">
        <f>I355/25</f>
        <v>16</v>
      </c>
      <c r="BT355" s="495"/>
      <c r="BV355" s="495"/>
      <c r="CK355" s="425">
        <f t="shared" si="86"/>
        <v>16</v>
      </c>
      <c r="CL355" s="425">
        <f t="shared" si="87"/>
        <v>0</v>
      </c>
      <c r="CM355" s="425">
        <f t="shared" si="88"/>
        <v>0</v>
      </c>
      <c r="CN355" s="495"/>
      <c r="CO355" s="495"/>
      <c r="CP355" s="495"/>
      <c r="CT355" s="495"/>
      <c r="CU355" s="495"/>
      <c r="CV355" s="495"/>
      <c r="CW355" s="495"/>
      <c r="CX355" s="495"/>
    </row>
    <row r="356" s="425" customFormat="1" ht="31" customHeight="1" spans="1:102">
      <c r="A356" s="455">
        <v>45826</v>
      </c>
      <c r="B356" s="456" t="s">
        <v>238</v>
      </c>
      <c r="C356" s="457" t="s">
        <v>153</v>
      </c>
      <c r="D356" s="425">
        <v>4500168979</v>
      </c>
      <c r="E356" s="457">
        <v>3501527807</v>
      </c>
      <c r="F356" s="425" t="s">
        <v>4063</v>
      </c>
      <c r="G356" s="458" t="s">
        <v>3198</v>
      </c>
      <c r="H356" s="458" t="s">
        <v>3303</v>
      </c>
      <c r="I356" s="458">
        <v>1650</v>
      </c>
      <c r="J356" s="458">
        <v>0</v>
      </c>
      <c r="K356" s="458">
        <v>25</v>
      </c>
      <c r="L356" s="462">
        <f t="shared" si="94"/>
        <v>66</v>
      </c>
      <c r="M356" s="463">
        <v>45860</v>
      </c>
      <c r="N356" s="463">
        <v>45856</v>
      </c>
      <c r="O356" s="464" t="s">
        <v>1170</v>
      </c>
      <c r="P356" s="464" t="s">
        <v>103</v>
      </c>
      <c r="Q356" s="458"/>
      <c r="R356" s="472">
        <v>45826</v>
      </c>
      <c r="S356" s="472" t="s">
        <v>66</v>
      </c>
      <c r="T356" s="472" t="s">
        <v>66</v>
      </c>
      <c r="U356" s="472"/>
      <c r="V356" s="473" t="s">
        <v>4064</v>
      </c>
      <c r="W356" s="473" t="s">
        <v>242</v>
      </c>
      <c r="X356" s="473">
        <v>0.9342</v>
      </c>
      <c r="Y356" s="480">
        <f t="shared" si="97"/>
        <v>1541.43</v>
      </c>
      <c r="Z356" s="458"/>
      <c r="AA356" s="458" t="s">
        <v>3202</v>
      </c>
      <c r="AB356" s="458" t="s">
        <v>76</v>
      </c>
      <c r="AC356" s="458"/>
      <c r="AD356" s="458"/>
      <c r="AE356" s="458"/>
      <c r="AF356" s="458">
        <v>1650</v>
      </c>
      <c r="AG356" s="458">
        <f t="shared" si="96"/>
        <v>0</v>
      </c>
      <c r="AH356" s="489"/>
      <c r="AI356" s="458"/>
      <c r="AJ356" s="458"/>
      <c r="AK356" s="458">
        <f>I356</f>
        <v>1650</v>
      </c>
      <c r="AO356" s="495"/>
      <c r="AP356" s="425">
        <f>I356</f>
        <v>1650</v>
      </c>
      <c r="AR356" s="425">
        <f>I356</f>
        <v>1650</v>
      </c>
      <c r="AT356" s="495"/>
      <c r="AY356" s="498">
        <f t="shared" si="98"/>
        <v>68.75</v>
      </c>
      <c r="BK356" s="425">
        <f>I356/25</f>
        <v>66</v>
      </c>
      <c r="BT356" s="495"/>
      <c r="BV356" s="495"/>
      <c r="CK356" s="425">
        <f t="shared" si="86"/>
        <v>66</v>
      </c>
      <c r="CL356" s="425">
        <f t="shared" si="87"/>
        <v>0</v>
      </c>
      <c r="CM356" s="425">
        <f t="shared" si="88"/>
        <v>0</v>
      </c>
      <c r="CN356" s="495"/>
      <c r="CO356" s="495"/>
      <c r="CP356" s="495"/>
      <c r="CT356" s="495"/>
      <c r="CU356" s="495"/>
      <c r="CV356" s="495"/>
      <c r="CW356" s="495"/>
      <c r="CX356" s="495"/>
    </row>
    <row r="357" s="425" customFormat="1" ht="31" customHeight="1" spans="1:102">
      <c r="A357" s="455">
        <v>45775</v>
      </c>
      <c r="B357" s="456" t="s">
        <v>579</v>
      </c>
      <c r="C357" s="457" t="s">
        <v>377</v>
      </c>
      <c r="D357" s="425">
        <v>4500160470</v>
      </c>
      <c r="E357" s="457">
        <v>300565974</v>
      </c>
      <c r="F357" s="425" t="s">
        <v>4065</v>
      </c>
      <c r="G357" s="458" t="s">
        <v>3165</v>
      </c>
      <c r="H357" s="458" t="s">
        <v>3303</v>
      </c>
      <c r="I357" s="458">
        <v>725</v>
      </c>
      <c r="J357" s="458">
        <v>0</v>
      </c>
      <c r="K357" s="458">
        <v>25</v>
      </c>
      <c r="L357" s="462">
        <f t="shared" si="94"/>
        <v>29</v>
      </c>
      <c r="M357" s="463">
        <v>45861</v>
      </c>
      <c r="N357" s="463">
        <v>45857</v>
      </c>
      <c r="O357" s="464"/>
      <c r="P357" s="464" t="s">
        <v>103</v>
      </c>
      <c r="Q357" s="458"/>
      <c r="R357" s="472">
        <v>45775</v>
      </c>
      <c r="S357" s="472" t="s">
        <v>66</v>
      </c>
      <c r="T357" s="472" t="s">
        <v>4066</v>
      </c>
      <c r="U357" s="472"/>
      <c r="V357" s="473" t="s">
        <v>4067</v>
      </c>
      <c r="W357" s="473" t="s">
        <v>381</v>
      </c>
      <c r="X357" s="473">
        <v>0.95</v>
      </c>
      <c r="Y357" s="480">
        <f t="shared" si="97"/>
        <v>688.75</v>
      </c>
      <c r="Z357" s="509" t="s">
        <v>1128</v>
      </c>
      <c r="AA357" s="458" t="s">
        <v>3165</v>
      </c>
      <c r="AB357" s="458" t="s">
        <v>76</v>
      </c>
      <c r="AC357" s="458"/>
      <c r="AD357" s="458"/>
      <c r="AE357" s="458"/>
      <c r="AF357" s="458">
        <v>725</v>
      </c>
      <c r="AG357" s="458">
        <f t="shared" si="96"/>
        <v>0</v>
      </c>
      <c r="AH357" s="489"/>
      <c r="AI357" s="458"/>
      <c r="AJ357" s="458"/>
      <c r="AK357" s="458"/>
      <c r="AL357" s="426">
        <f>I357</f>
        <v>725</v>
      </c>
      <c r="AO357" s="495"/>
      <c r="AQ357" s="425">
        <f>I357</f>
        <v>725</v>
      </c>
      <c r="AS357" s="425">
        <f>I357</f>
        <v>725</v>
      </c>
      <c r="AT357" s="495"/>
      <c r="AY357" s="498">
        <f t="shared" si="98"/>
        <v>30.2083333333333</v>
      </c>
      <c r="BL357" s="425">
        <f>I357/25</f>
        <v>29</v>
      </c>
      <c r="BT357" s="495"/>
      <c r="BV357" s="495"/>
      <c r="CK357" s="425">
        <f t="shared" si="86"/>
        <v>29</v>
      </c>
      <c r="CL357" s="425">
        <f t="shared" si="87"/>
        <v>0</v>
      </c>
      <c r="CM357" s="425">
        <f t="shared" si="88"/>
        <v>0</v>
      </c>
      <c r="CN357" s="495"/>
      <c r="CO357" s="495"/>
      <c r="CP357" s="495"/>
      <c r="CT357" s="495"/>
      <c r="CU357" s="495"/>
      <c r="CV357" s="495"/>
      <c r="CW357" s="495"/>
      <c r="CX357" s="495"/>
    </row>
    <row r="358" s="425" customFormat="1" ht="31" customHeight="1" spans="1:102">
      <c r="A358" s="455">
        <v>45807</v>
      </c>
      <c r="B358" s="456" t="s">
        <v>1134</v>
      </c>
      <c r="C358" s="457" t="s">
        <v>749</v>
      </c>
      <c r="D358" s="425">
        <v>4500168200</v>
      </c>
      <c r="E358" s="457" t="s">
        <v>1135</v>
      </c>
      <c r="F358" s="425" t="s">
        <v>4068</v>
      </c>
      <c r="G358" s="458" t="s">
        <v>3206</v>
      </c>
      <c r="H358" s="458" t="s">
        <v>3207</v>
      </c>
      <c r="I358" s="458">
        <v>520</v>
      </c>
      <c r="J358" s="458">
        <v>0</v>
      </c>
      <c r="K358" s="458">
        <v>13</v>
      </c>
      <c r="L358" s="462">
        <f t="shared" si="94"/>
        <v>40</v>
      </c>
      <c r="M358" s="463">
        <v>45861</v>
      </c>
      <c r="N358" s="463">
        <f>M358-4</f>
        <v>45857</v>
      </c>
      <c r="O358" s="464"/>
      <c r="P358" s="464" t="s">
        <v>103</v>
      </c>
      <c r="Q358" s="458"/>
      <c r="R358" s="472">
        <v>45807</v>
      </c>
      <c r="S358" s="472" t="s">
        <v>66</v>
      </c>
      <c r="T358" s="472">
        <v>45818</v>
      </c>
      <c r="U358" s="472"/>
      <c r="V358" s="473" t="s">
        <v>4069</v>
      </c>
      <c r="W358" s="473" t="s">
        <v>1140</v>
      </c>
      <c r="X358" s="473">
        <v>0.8999</v>
      </c>
      <c r="Y358" s="480">
        <f t="shared" si="97"/>
        <v>467.948</v>
      </c>
      <c r="Z358" s="458"/>
      <c r="AA358" s="458" t="s">
        <v>3206</v>
      </c>
      <c r="AB358" s="458" t="s">
        <v>76</v>
      </c>
      <c r="AC358" s="458"/>
      <c r="AD358" s="458"/>
      <c r="AE358" s="458"/>
      <c r="AF358" s="458">
        <v>520</v>
      </c>
      <c r="AG358" s="458">
        <f t="shared" si="96"/>
        <v>0</v>
      </c>
      <c r="AH358" s="489"/>
      <c r="AI358" s="458"/>
      <c r="AJ358" s="458"/>
      <c r="AK358" s="458"/>
      <c r="AL358" s="426">
        <f>I358</f>
        <v>520</v>
      </c>
      <c r="AO358" s="495"/>
      <c r="AQ358" s="425">
        <f>I358</f>
        <v>520</v>
      </c>
      <c r="AS358" s="425">
        <f>I358</f>
        <v>520</v>
      </c>
      <c r="AT358" s="495"/>
      <c r="AY358" s="498">
        <f t="shared" si="98"/>
        <v>21.6666666666667</v>
      </c>
      <c r="BI358" s="425">
        <f>I358/13</f>
        <v>40</v>
      </c>
      <c r="BT358" s="495"/>
      <c r="BV358" s="495"/>
      <c r="CK358" s="425">
        <f t="shared" si="86"/>
        <v>0</v>
      </c>
      <c r="CL358" s="425">
        <f t="shared" si="87"/>
        <v>0</v>
      </c>
      <c r="CM358" s="425">
        <f t="shared" si="88"/>
        <v>0</v>
      </c>
      <c r="CN358" s="495"/>
      <c r="CO358" s="495"/>
      <c r="CP358" s="495"/>
      <c r="CT358" s="495"/>
      <c r="CU358" s="495"/>
      <c r="CV358" s="495"/>
      <c r="CW358" s="495"/>
      <c r="CX358" s="495"/>
    </row>
    <row r="359" s="425" customFormat="1" ht="31" customHeight="1" spans="1:102">
      <c r="A359" s="455">
        <v>45821</v>
      </c>
      <c r="B359" s="456" t="s">
        <v>1214</v>
      </c>
      <c r="C359" s="457" t="s">
        <v>366</v>
      </c>
      <c r="D359" s="425">
        <v>4500170062</v>
      </c>
      <c r="E359" s="457">
        <v>2002651048</v>
      </c>
      <c r="F359" s="425" t="s">
        <v>4070</v>
      </c>
      <c r="G359" s="458" t="s">
        <v>3161</v>
      </c>
      <c r="H359" s="458" t="s">
        <v>3221</v>
      </c>
      <c r="I359" s="458">
        <v>4100</v>
      </c>
      <c r="J359" s="458">
        <v>0</v>
      </c>
      <c r="K359" s="458">
        <v>50</v>
      </c>
      <c r="L359" s="462">
        <f t="shared" si="94"/>
        <v>82</v>
      </c>
      <c r="M359" s="463">
        <v>45861</v>
      </c>
      <c r="N359" s="463">
        <f>M359-4</f>
        <v>45857</v>
      </c>
      <c r="O359" s="464"/>
      <c r="P359" s="464" t="s">
        <v>103</v>
      </c>
      <c r="Q359" s="458"/>
      <c r="R359" s="472">
        <v>45828</v>
      </c>
      <c r="S359" s="472" t="s">
        <v>66</v>
      </c>
      <c r="T359" s="472">
        <v>45834</v>
      </c>
      <c r="U359" s="472" t="s">
        <v>4071</v>
      </c>
      <c r="V359" s="473" t="s">
        <v>4072</v>
      </c>
      <c r="W359" s="473" t="s">
        <v>370</v>
      </c>
      <c r="X359" s="473">
        <v>0.941</v>
      </c>
      <c r="Y359" s="480">
        <f t="shared" si="97"/>
        <v>3858.1</v>
      </c>
      <c r="Z359" s="458"/>
      <c r="AA359" s="458" t="s">
        <v>3161</v>
      </c>
      <c r="AB359" s="458" t="s">
        <v>76</v>
      </c>
      <c r="AC359" s="458"/>
      <c r="AD359" s="458"/>
      <c r="AE359" s="458"/>
      <c r="AF359" s="458">
        <v>4100</v>
      </c>
      <c r="AG359" s="458">
        <f t="shared" si="96"/>
        <v>0</v>
      </c>
      <c r="AH359" s="489"/>
      <c r="AI359" s="458"/>
      <c r="AJ359" s="458"/>
      <c r="AK359" s="458"/>
      <c r="AL359" s="426">
        <f>I359</f>
        <v>4100</v>
      </c>
      <c r="AO359" s="495"/>
      <c r="AQ359" s="425">
        <f>I359</f>
        <v>4100</v>
      </c>
      <c r="AS359" s="425">
        <f>I359</f>
        <v>4100</v>
      </c>
      <c r="AT359" s="495"/>
      <c r="AY359" s="498">
        <f t="shared" si="98"/>
        <v>170.833333333333</v>
      </c>
      <c r="BL359" s="425">
        <f>I359/25</f>
        <v>164</v>
      </c>
      <c r="BT359" s="495"/>
      <c r="BV359" s="495"/>
      <c r="CK359" s="425">
        <f t="shared" si="86"/>
        <v>164</v>
      </c>
      <c r="CL359" s="425">
        <f t="shared" si="87"/>
        <v>0</v>
      </c>
      <c r="CM359" s="425">
        <f t="shared" si="88"/>
        <v>0</v>
      </c>
      <c r="CN359" s="495"/>
      <c r="CO359" s="495"/>
      <c r="CP359" s="495"/>
      <c r="CT359" s="495"/>
      <c r="CU359" s="495"/>
      <c r="CV359" s="495"/>
      <c r="CW359" s="495"/>
      <c r="CX359" s="495"/>
    </row>
    <row r="360" s="425" customFormat="1" ht="31" customHeight="1" spans="1:102">
      <c r="A360" s="455">
        <v>45720</v>
      </c>
      <c r="B360" s="456" t="s">
        <v>408</v>
      </c>
      <c r="C360" s="457" t="s">
        <v>249</v>
      </c>
      <c r="D360" s="425">
        <v>4500158588</v>
      </c>
      <c r="E360" s="457" t="s">
        <v>4073</v>
      </c>
      <c r="F360" s="425" t="s">
        <v>4074</v>
      </c>
      <c r="G360" s="458" t="s">
        <v>3464</v>
      </c>
      <c r="H360" s="458" t="s">
        <v>3237</v>
      </c>
      <c r="I360" s="458">
        <v>972</v>
      </c>
      <c r="J360" s="458">
        <v>0</v>
      </c>
      <c r="K360" s="458">
        <v>12</v>
      </c>
      <c r="L360" s="462">
        <f t="shared" si="94"/>
        <v>81</v>
      </c>
      <c r="M360" s="463">
        <v>45862</v>
      </c>
      <c r="N360" s="463">
        <v>45859</v>
      </c>
      <c r="O360" s="464"/>
      <c r="P360" s="464" t="s">
        <v>103</v>
      </c>
      <c r="Q360" s="458" t="s">
        <v>4075</v>
      </c>
      <c r="R360" s="472" t="s">
        <v>411</v>
      </c>
      <c r="S360" s="472" t="s">
        <v>96</v>
      </c>
      <c r="T360" s="472" t="s">
        <v>3465</v>
      </c>
      <c r="U360" s="472"/>
      <c r="V360" s="473" t="s">
        <v>4076</v>
      </c>
      <c r="W360" s="473" t="s">
        <v>414</v>
      </c>
      <c r="X360" s="473">
        <v>2.1629</v>
      </c>
      <c r="Y360" s="480">
        <f t="shared" si="97"/>
        <v>2102.3388</v>
      </c>
      <c r="Z360" s="458"/>
      <c r="AA360" s="458" t="s">
        <v>3464</v>
      </c>
      <c r="AB360" s="458" t="s">
        <v>76</v>
      </c>
      <c r="AC360" s="458"/>
      <c r="AD360" s="458"/>
      <c r="AE360" s="458"/>
      <c r="AF360" s="458">
        <v>972</v>
      </c>
      <c r="AG360" s="458">
        <f t="shared" si="96"/>
        <v>0</v>
      </c>
      <c r="AH360" s="489"/>
      <c r="AI360" s="458"/>
      <c r="AJ360" s="458"/>
      <c r="AK360" s="458"/>
      <c r="AL360" s="425">
        <f>I360*2</f>
        <v>1944</v>
      </c>
      <c r="AM360" s="425">
        <f>I360*2</f>
        <v>1944</v>
      </c>
      <c r="AO360" s="495"/>
      <c r="AS360" s="425">
        <f>I360*2</f>
        <v>1944</v>
      </c>
      <c r="AT360" s="495"/>
      <c r="AY360" s="498">
        <f>I360/24*2</f>
        <v>81</v>
      </c>
      <c r="BT360" s="495"/>
      <c r="BV360" s="495"/>
      <c r="CH360" s="425">
        <f>I360</f>
        <v>972</v>
      </c>
      <c r="CI360" s="425">
        <f>I360</f>
        <v>972</v>
      </c>
      <c r="CJ360" s="425">
        <f>I360</f>
        <v>972</v>
      </c>
      <c r="CK360" s="425">
        <f t="shared" si="86"/>
        <v>0</v>
      </c>
      <c r="CL360" s="425">
        <f t="shared" si="87"/>
        <v>0</v>
      </c>
      <c r="CM360" s="425">
        <f t="shared" si="88"/>
        <v>0</v>
      </c>
      <c r="CN360" s="495"/>
      <c r="CO360" s="495"/>
      <c r="CP360" s="495"/>
      <c r="CT360" s="495"/>
      <c r="CU360" s="495"/>
      <c r="CV360" s="495"/>
      <c r="CW360" s="495"/>
      <c r="CX360" s="495"/>
    </row>
    <row r="361" s="425" customFormat="1" ht="31" customHeight="1" spans="1:102">
      <c r="A361" s="455">
        <v>45720</v>
      </c>
      <c r="B361" s="456" t="s">
        <v>408</v>
      </c>
      <c r="C361" s="457" t="s">
        <v>139</v>
      </c>
      <c r="D361" s="425">
        <v>4500158588</v>
      </c>
      <c r="E361" s="457" t="s">
        <v>4077</v>
      </c>
      <c r="F361" s="425" t="s">
        <v>4078</v>
      </c>
      <c r="G361" s="458" t="s">
        <v>3464</v>
      </c>
      <c r="H361" s="458" t="s">
        <v>3237</v>
      </c>
      <c r="I361" s="458">
        <v>516</v>
      </c>
      <c r="J361" s="458">
        <v>0</v>
      </c>
      <c r="K361" s="458">
        <v>12</v>
      </c>
      <c r="L361" s="462">
        <f t="shared" si="94"/>
        <v>43</v>
      </c>
      <c r="M361" s="463">
        <v>45862</v>
      </c>
      <c r="N361" s="463">
        <v>45859</v>
      </c>
      <c r="O361" s="464"/>
      <c r="P361" s="464" t="s">
        <v>103</v>
      </c>
      <c r="Q361" s="458" t="s">
        <v>4075</v>
      </c>
      <c r="R361" s="472" t="s">
        <v>411</v>
      </c>
      <c r="S361" s="472" t="s">
        <v>96</v>
      </c>
      <c r="T361" s="472" t="s">
        <v>3465</v>
      </c>
      <c r="U361" s="472"/>
      <c r="V361" s="473" t="s">
        <v>4076</v>
      </c>
      <c r="W361" s="473" t="s">
        <v>414</v>
      </c>
      <c r="X361" s="473">
        <v>2.1629</v>
      </c>
      <c r="Y361" s="480">
        <f t="shared" si="97"/>
        <v>1116.0564</v>
      </c>
      <c r="Z361" s="458"/>
      <c r="AA361" s="458" t="s">
        <v>3464</v>
      </c>
      <c r="AB361" s="458" t="s">
        <v>76</v>
      </c>
      <c r="AC361" s="458"/>
      <c r="AD361" s="458"/>
      <c r="AE361" s="458"/>
      <c r="AF361" s="458">
        <v>516</v>
      </c>
      <c r="AG361" s="458">
        <f t="shared" si="96"/>
        <v>0</v>
      </c>
      <c r="AH361" s="489"/>
      <c r="AI361" s="458"/>
      <c r="AJ361" s="458"/>
      <c r="AK361" s="458"/>
      <c r="AL361" s="425">
        <f>I361*2</f>
        <v>1032</v>
      </c>
      <c r="AM361" s="425">
        <f>I361*2</f>
        <v>1032</v>
      </c>
      <c r="AO361" s="495"/>
      <c r="AS361" s="425">
        <f>I361*2</f>
        <v>1032</v>
      </c>
      <c r="AT361" s="495"/>
      <c r="AY361" s="498">
        <f>I361/24*2</f>
        <v>43</v>
      </c>
      <c r="BT361" s="495"/>
      <c r="BV361" s="495"/>
      <c r="CH361" s="425">
        <f>I361</f>
        <v>516</v>
      </c>
      <c r="CI361" s="425">
        <f>I361</f>
        <v>516</v>
      </c>
      <c r="CJ361" s="425">
        <f>I361</f>
        <v>516</v>
      </c>
      <c r="CK361" s="425">
        <f t="shared" si="86"/>
        <v>0</v>
      </c>
      <c r="CL361" s="425">
        <f t="shared" si="87"/>
        <v>0</v>
      </c>
      <c r="CM361" s="425">
        <f t="shared" si="88"/>
        <v>0</v>
      </c>
      <c r="CN361" s="495"/>
      <c r="CO361" s="495"/>
      <c r="CP361" s="495"/>
      <c r="CT361" s="495"/>
      <c r="CU361" s="495"/>
      <c r="CV361" s="495"/>
      <c r="CW361" s="495"/>
      <c r="CX361" s="495"/>
    </row>
    <row r="362" s="425" customFormat="1" ht="31" customHeight="1" spans="1:102">
      <c r="A362" s="455">
        <v>45805</v>
      </c>
      <c r="B362" s="456" t="s">
        <v>4079</v>
      </c>
      <c r="C362" s="457" t="s">
        <v>90</v>
      </c>
      <c r="D362" s="425">
        <v>4500167735</v>
      </c>
      <c r="E362" s="457">
        <v>51062</v>
      </c>
      <c r="F362" s="425" t="s">
        <v>4080</v>
      </c>
      <c r="G362" s="458" t="s">
        <v>3150</v>
      </c>
      <c r="H362" s="458" t="s">
        <v>3151</v>
      </c>
      <c r="I362" s="458">
        <v>520</v>
      </c>
      <c r="J362" s="458">
        <v>0</v>
      </c>
      <c r="K362" s="458">
        <v>52</v>
      </c>
      <c r="L362" s="462">
        <f t="shared" si="94"/>
        <v>10</v>
      </c>
      <c r="M362" s="463">
        <v>45862</v>
      </c>
      <c r="N362" s="463">
        <v>45859</v>
      </c>
      <c r="O362" s="464"/>
      <c r="P362" s="464" t="s">
        <v>103</v>
      </c>
      <c r="Q362" s="458"/>
      <c r="R362" s="472">
        <v>45818</v>
      </c>
      <c r="S362" s="472" t="s">
        <v>66</v>
      </c>
      <c r="T362" s="472">
        <v>45805</v>
      </c>
      <c r="U362" s="472"/>
      <c r="V362" s="473" t="s">
        <v>4081</v>
      </c>
      <c r="W362" s="473" t="s">
        <v>794</v>
      </c>
      <c r="X362" s="473">
        <v>0.9278</v>
      </c>
      <c r="Y362" s="480">
        <f t="shared" si="97"/>
        <v>482.456</v>
      </c>
      <c r="Z362" s="458" t="s">
        <v>4082</v>
      </c>
      <c r="AA362" s="458" t="s">
        <v>3150</v>
      </c>
      <c r="AB362" s="458" t="s">
        <v>76</v>
      </c>
      <c r="AC362" s="458"/>
      <c r="AD362" s="458"/>
      <c r="AE362" s="458"/>
      <c r="AF362" s="458">
        <v>520</v>
      </c>
      <c r="AG362" s="458">
        <f t="shared" si="96"/>
        <v>0</v>
      </c>
      <c r="AH362" s="489"/>
      <c r="AI362" s="458"/>
      <c r="AJ362" s="458"/>
      <c r="AK362" s="458">
        <f>I362</f>
        <v>520</v>
      </c>
      <c r="AM362" s="425">
        <f>I362</f>
        <v>520</v>
      </c>
      <c r="AO362" s="495"/>
      <c r="AR362" s="425">
        <f>I362</f>
        <v>520</v>
      </c>
      <c r="AT362" s="495"/>
      <c r="AY362" s="498">
        <f>I362/48</f>
        <v>10.8333333333333</v>
      </c>
      <c r="BG362" s="425">
        <f>I362/13</f>
        <v>40</v>
      </c>
      <c r="BT362" s="495"/>
      <c r="BV362" s="495"/>
      <c r="CK362" s="425">
        <f t="shared" si="86"/>
        <v>0</v>
      </c>
      <c r="CL362" s="425">
        <f t="shared" si="87"/>
        <v>0</v>
      </c>
      <c r="CM362" s="425">
        <f t="shared" si="88"/>
        <v>0</v>
      </c>
      <c r="CN362" s="495"/>
      <c r="CO362" s="495"/>
      <c r="CP362" s="495"/>
      <c r="CT362" s="495"/>
      <c r="CU362" s="495"/>
      <c r="CV362" s="495"/>
      <c r="CW362" s="495"/>
      <c r="CX362" s="495"/>
    </row>
    <row r="363" s="425" customFormat="1" ht="31" customHeight="1" spans="1:102">
      <c r="A363" s="455">
        <v>45821</v>
      </c>
      <c r="B363" s="456" t="s">
        <v>3210</v>
      </c>
      <c r="C363" s="457" t="s">
        <v>116</v>
      </c>
      <c r="D363" s="425">
        <v>4500169877</v>
      </c>
      <c r="E363" s="457">
        <v>46974163</v>
      </c>
      <c r="F363" s="425" t="s">
        <v>4083</v>
      </c>
      <c r="G363" s="458" t="s">
        <v>3213</v>
      </c>
      <c r="H363" s="458" t="s">
        <v>3214</v>
      </c>
      <c r="I363" s="458">
        <v>756</v>
      </c>
      <c r="J363" s="458">
        <v>0</v>
      </c>
      <c r="K363" s="458">
        <v>6</v>
      </c>
      <c r="L363" s="462">
        <f t="shared" si="94"/>
        <v>126</v>
      </c>
      <c r="M363" s="463">
        <v>45862</v>
      </c>
      <c r="N363" s="463">
        <v>45859</v>
      </c>
      <c r="O363" s="464"/>
      <c r="P363" s="464" t="s">
        <v>103</v>
      </c>
      <c r="Q363" s="458"/>
      <c r="R363" s="472" t="s">
        <v>4084</v>
      </c>
      <c r="S363" s="472" t="s">
        <v>66</v>
      </c>
      <c r="T363" s="472" t="s">
        <v>4085</v>
      </c>
      <c r="U363" s="472"/>
      <c r="V363" s="473" t="s">
        <v>4086</v>
      </c>
      <c r="W363" s="473" t="s">
        <v>1602</v>
      </c>
      <c r="X363" s="473">
        <v>0.9362</v>
      </c>
      <c r="Y363" s="480">
        <f t="shared" si="97"/>
        <v>707.7672</v>
      </c>
      <c r="Z363" s="458" t="s">
        <v>4087</v>
      </c>
      <c r="AA363" s="458" t="s">
        <v>3213</v>
      </c>
      <c r="AB363" s="458" t="s">
        <v>76</v>
      </c>
      <c r="AC363" s="458"/>
      <c r="AD363" s="458"/>
      <c r="AE363" s="458"/>
      <c r="AF363" s="458">
        <v>756</v>
      </c>
      <c r="AG363" s="458">
        <f t="shared" si="96"/>
        <v>0</v>
      </c>
      <c r="AH363" s="489"/>
      <c r="AI363" s="458"/>
      <c r="AJ363" s="458"/>
      <c r="AK363" s="458"/>
      <c r="AL363" s="426">
        <f t="shared" ref="AL363:AL368" si="99">I363</f>
        <v>756</v>
      </c>
      <c r="AO363" s="495"/>
      <c r="AQ363" s="425">
        <f>I363</f>
        <v>756</v>
      </c>
      <c r="AS363" s="425">
        <f>I363</f>
        <v>756</v>
      </c>
      <c r="AT363" s="495"/>
      <c r="AY363" s="498">
        <f>I363/24</f>
        <v>31.5</v>
      </c>
      <c r="BP363" s="425">
        <f>I363/6</f>
        <v>126</v>
      </c>
      <c r="BT363" s="495"/>
      <c r="BV363" s="495"/>
      <c r="CK363" s="425">
        <f t="shared" si="86"/>
        <v>0</v>
      </c>
      <c r="CL363" s="425">
        <f t="shared" si="87"/>
        <v>0</v>
      </c>
      <c r="CM363" s="425">
        <f t="shared" si="88"/>
        <v>0</v>
      </c>
      <c r="CN363" s="495"/>
      <c r="CO363" s="495"/>
      <c r="CP363" s="495"/>
      <c r="CT363" s="495"/>
      <c r="CU363" s="495"/>
      <c r="CV363" s="495"/>
      <c r="CW363" s="495"/>
      <c r="CX363" s="495"/>
    </row>
    <row r="364" s="425" customFormat="1" ht="31" customHeight="1" spans="1:102">
      <c r="A364" s="455">
        <v>45821</v>
      </c>
      <c r="B364" s="456" t="s">
        <v>3210</v>
      </c>
      <c r="C364" s="457" t="s">
        <v>116</v>
      </c>
      <c r="D364" s="425">
        <v>4500169877</v>
      </c>
      <c r="E364" s="457">
        <v>46974162</v>
      </c>
      <c r="F364" s="425" t="s">
        <v>4088</v>
      </c>
      <c r="G364" s="458" t="s">
        <v>3213</v>
      </c>
      <c r="H364" s="458" t="s">
        <v>3214</v>
      </c>
      <c r="I364" s="458">
        <v>1488</v>
      </c>
      <c r="J364" s="458">
        <v>0</v>
      </c>
      <c r="K364" s="458">
        <v>6</v>
      </c>
      <c r="L364" s="462">
        <f t="shared" si="94"/>
        <v>248</v>
      </c>
      <c r="M364" s="463">
        <v>45862</v>
      </c>
      <c r="N364" s="463">
        <v>45859</v>
      </c>
      <c r="O364" s="464"/>
      <c r="P364" s="464" t="s">
        <v>103</v>
      </c>
      <c r="Q364" s="458"/>
      <c r="R364" s="472" t="s">
        <v>4084</v>
      </c>
      <c r="S364" s="472" t="s">
        <v>66</v>
      </c>
      <c r="T364" s="472" t="s">
        <v>4085</v>
      </c>
      <c r="U364" s="472"/>
      <c r="V364" s="473" t="s">
        <v>4086</v>
      </c>
      <c r="W364" s="473" t="s">
        <v>1602</v>
      </c>
      <c r="X364" s="473">
        <v>0.9362</v>
      </c>
      <c r="Y364" s="480">
        <f t="shared" si="97"/>
        <v>1393.0656</v>
      </c>
      <c r="Z364" s="458" t="s">
        <v>4087</v>
      </c>
      <c r="AA364" s="458" t="s">
        <v>3213</v>
      </c>
      <c r="AB364" s="458" t="s">
        <v>76</v>
      </c>
      <c r="AC364" s="458"/>
      <c r="AD364" s="458"/>
      <c r="AE364" s="458"/>
      <c r="AF364" s="458">
        <v>1488</v>
      </c>
      <c r="AG364" s="458">
        <f t="shared" si="96"/>
        <v>0</v>
      </c>
      <c r="AH364" s="489"/>
      <c r="AI364" s="458"/>
      <c r="AJ364" s="458"/>
      <c r="AK364" s="458"/>
      <c r="AL364" s="426">
        <f t="shared" si="99"/>
        <v>1488</v>
      </c>
      <c r="AO364" s="495"/>
      <c r="AQ364" s="425">
        <f>I364</f>
        <v>1488</v>
      </c>
      <c r="AS364" s="425">
        <f>I364</f>
        <v>1488</v>
      </c>
      <c r="AT364" s="495"/>
      <c r="AY364" s="498">
        <f>I364/24</f>
        <v>62</v>
      </c>
      <c r="BP364" s="425">
        <f>I364/6</f>
        <v>248</v>
      </c>
      <c r="BT364" s="495"/>
      <c r="BV364" s="495"/>
      <c r="CK364" s="425">
        <f t="shared" si="86"/>
        <v>0</v>
      </c>
      <c r="CL364" s="425">
        <f t="shared" si="87"/>
        <v>0</v>
      </c>
      <c r="CM364" s="425">
        <f t="shared" si="88"/>
        <v>0</v>
      </c>
      <c r="CN364" s="495"/>
      <c r="CO364" s="495"/>
      <c r="CP364" s="495"/>
      <c r="CT364" s="495"/>
      <c r="CU364" s="495"/>
      <c r="CV364" s="495"/>
      <c r="CW364" s="495"/>
      <c r="CX364" s="495"/>
    </row>
    <row r="365" s="425" customFormat="1" ht="31" customHeight="1" spans="1:102">
      <c r="A365" s="455">
        <v>45821</v>
      </c>
      <c r="B365" s="456" t="s">
        <v>3210</v>
      </c>
      <c r="C365" s="457" t="s">
        <v>116</v>
      </c>
      <c r="D365" s="425">
        <v>4500169877</v>
      </c>
      <c r="E365" s="457">
        <v>46974161</v>
      </c>
      <c r="F365" s="425" t="s">
        <v>4089</v>
      </c>
      <c r="G365" s="458" t="s">
        <v>3213</v>
      </c>
      <c r="H365" s="458" t="s">
        <v>3214</v>
      </c>
      <c r="I365" s="458">
        <v>756</v>
      </c>
      <c r="J365" s="458">
        <v>0</v>
      </c>
      <c r="K365" s="458">
        <v>6</v>
      </c>
      <c r="L365" s="462">
        <f t="shared" si="94"/>
        <v>126</v>
      </c>
      <c r="M365" s="463">
        <v>45862</v>
      </c>
      <c r="N365" s="463">
        <v>45859</v>
      </c>
      <c r="O365" s="464"/>
      <c r="P365" s="464" t="s">
        <v>103</v>
      </c>
      <c r="Q365" s="458"/>
      <c r="R365" s="472" t="s">
        <v>4084</v>
      </c>
      <c r="S365" s="472" t="s">
        <v>66</v>
      </c>
      <c r="T365" s="472" t="s">
        <v>4085</v>
      </c>
      <c r="U365" s="472"/>
      <c r="V365" s="473" t="s">
        <v>4086</v>
      </c>
      <c r="W365" s="473" t="s">
        <v>1602</v>
      </c>
      <c r="X365" s="473">
        <v>0.9362</v>
      </c>
      <c r="Y365" s="480">
        <f t="shared" si="97"/>
        <v>707.7672</v>
      </c>
      <c r="Z365" s="458" t="s">
        <v>4087</v>
      </c>
      <c r="AA365" s="458" t="s">
        <v>3213</v>
      </c>
      <c r="AB365" s="458" t="s">
        <v>76</v>
      </c>
      <c r="AC365" s="458"/>
      <c r="AD365" s="458"/>
      <c r="AE365" s="458"/>
      <c r="AF365" s="458">
        <v>756</v>
      </c>
      <c r="AG365" s="458">
        <f t="shared" si="96"/>
        <v>0</v>
      </c>
      <c r="AH365" s="489"/>
      <c r="AI365" s="458"/>
      <c r="AJ365" s="458"/>
      <c r="AK365" s="458"/>
      <c r="AL365" s="426">
        <f t="shared" si="99"/>
        <v>756</v>
      </c>
      <c r="AO365" s="495"/>
      <c r="AQ365" s="425">
        <f>I365</f>
        <v>756</v>
      </c>
      <c r="AS365" s="425">
        <f>I365</f>
        <v>756</v>
      </c>
      <c r="AT365" s="495"/>
      <c r="AY365" s="498">
        <f>I365/24</f>
        <v>31.5</v>
      </c>
      <c r="BP365" s="425">
        <f>I365/6</f>
        <v>126</v>
      </c>
      <c r="BT365" s="495"/>
      <c r="BV365" s="495"/>
      <c r="CK365" s="425">
        <f t="shared" si="86"/>
        <v>0</v>
      </c>
      <c r="CL365" s="425">
        <f t="shared" si="87"/>
        <v>0</v>
      </c>
      <c r="CM365" s="425">
        <f t="shared" si="88"/>
        <v>0</v>
      </c>
      <c r="CN365" s="495"/>
      <c r="CO365" s="495"/>
      <c r="CP365" s="495"/>
      <c r="CT365" s="495"/>
      <c r="CU365" s="495"/>
      <c r="CV365" s="495"/>
      <c r="CW365" s="495"/>
      <c r="CX365" s="495"/>
    </row>
    <row r="366" s="425" customFormat="1" ht="31" customHeight="1" spans="1:102">
      <c r="A366" s="455">
        <v>45792</v>
      </c>
      <c r="B366" s="456" t="s">
        <v>778</v>
      </c>
      <c r="C366" s="457" t="s">
        <v>139</v>
      </c>
      <c r="D366" s="425">
        <v>4500166481</v>
      </c>
      <c r="E366" s="457">
        <v>4400483989</v>
      </c>
      <c r="F366" s="425" t="s">
        <v>4090</v>
      </c>
      <c r="G366" s="458" t="s">
        <v>3165</v>
      </c>
      <c r="H366" s="458" t="s">
        <v>3303</v>
      </c>
      <c r="I366" s="458">
        <v>5000</v>
      </c>
      <c r="J366" s="458">
        <v>0</v>
      </c>
      <c r="K366" s="458">
        <v>25</v>
      </c>
      <c r="L366" s="462">
        <f t="shared" si="94"/>
        <v>200</v>
      </c>
      <c r="M366" s="463">
        <v>45863</v>
      </c>
      <c r="N366" s="463">
        <v>45859</v>
      </c>
      <c r="O366" s="464"/>
      <c r="P366" s="464" t="s">
        <v>103</v>
      </c>
      <c r="Q366" s="458"/>
      <c r="R366" s="472">
        <v>18749</v>
      </c>
      <c r="S366" s="472" t="s">
        <v>66</v>
      </c>
      <c r="T366" s="472" t="s">
        <v>3846</v>
      </c>
      <c r="U366" s="472"/>
      <c r="V366" s="473" t="s">
        <v>4091</v>
      </c>
      <c r="W366" s="473" t="s">
        <v>781</v>
      </c>
      <c r="X366" s="473">
        <v>0.95</v>
      </c>
      <c r="Y366" s="480">
        <f t="shared" si="97"/>
        <v>4750</v>
      </c>
      <c r="Z366" s="458"/>
      <c r="AA366" s="458" t="s">
        <v>3188</v>
      </c>
      <c r="AB366" s="458" t="s">
        <v>76</v>
      </c>
      <c r="AC366" s="458"/>
      <c r="AD366" s="458"/>
      <c r="AE366" s="458"/>
      <c r="AF366" s="458">
        <f>4950+50</f>
        <v>5000</v>
      </c>
      <c r="AG366" s="458">
        <f t="shared" si="96"/>
        <v>0</v>
      </c>
      <c r="AH366" s="489"/>
      <c r="AI366" s="458"/>
      <c r="AJ366" s="458"/>
      <c r="AK366" s="458"/>
      <c r="AL366" s="426">
        <f t="shared" si="99"/>
        <v>5000</v>
      </c>
      <c r="AO366" s="495"/>
      <c r="AS366" s="425">
        <f>I366</f>
        <v>5000</v>
      </c>
      <c r="AT366" s="495"/>
      <c r="AY366" s="498">
        <f>I366/24*2</f>
        <v>416.666666666667</v>
      </c>
      <c r="BB366" s="425">
        <f>I366</f>
        <v>5000</v>
      </c>
      <c r="BL366" s="425">
        <f>I366/25</f>
        <v>200</v>
      </c>
      <c r="BT366" s="495"/>
      <c r="BV366" s="495"/>
      <c r="CK366" s="425">
        <f t="shared" si="86"/>
        <v>200</v>
      </c>
      <c r="CL366" s="425">
        <f t="shared" si="87"/>
        <v>0</v>
      </c>
      <c r="CM366" s="425">
        <f t="shared" si="88"/>
        <v>0</v>
      </c>
      <c r="CN366" s="495"/>
      <c r="CO366" s="495"/>
      <c r="CP366" s="495"/>
      <c r="CT366" s="495"/>
      <c r="CU366" s="495"/>
      <c r="CV366" s="495"/>
      <c r="CW366" s="495"/>
      <c r="CX366" s="495"/>
    </row>
    <row r="367" s="425" customFormat="1" ht="31" customHeight="1" spans="1:102">
      <c r="A367" s="455">
        <v>45799</v>
      </c>
      <c r="B367" s="456" t="s">
        <v>1147</v>
      </c>
      <c r="C367" s="457" t="s">
        <v>468</v>
      </c>
      <c r="D367" s="425">
        <v>4500167318</v>
      </c>
      <c r="E367" s="457">
        <v>17047861</v>
      </c>
      <c r="F367" s="425" t="s">
        <v>4092</v>
      </c>
      <c r="G367" s="458" t="s">
        <v>3328</v>
      </c>
      <c r="H367" s="458" t="s">
        <v>3194</v>
      </c>
      <c r="I367" s="458">
        <v>1800</v>
      </c>
      <c r="J367" s="458">
        <v>0</v>
      </c>
      <c r="K367" s="458">
        <v>30</v>
      </c>
      <c r="L367" s="462">
        <f t="shared" si="94"/>
        <v>60</v>
      </c>
      <c r="M367" s="463">
        <v>45863</v>
      </c>
      <c r="N367" s="463">
        <v>45859</v>
      </c>
      <c r="O367" s="464"/>
      <c r="P367" s="464" t="s">
        <v>103</v>
      </c>
      <c r="Q367" s="458"/>
      <c r="R367" s="472">
        <v>45827</v>
      </c>
      <c r="S367" s="472" t="s">
        <v>66</v>
      </c>
      <c r="T367" s="472">
        <v>45832</v>
      </c>
      <c r="U367" s="472"/>
      <c r="V367" s="473" t="s">
        <v>4093</v>
      </c>
      <c r="W367" s="473" t="s">
        <v>304</v>
      </c>
      <c r="X367" s="473">
        <v>42.7605</v>
      </c>
      <c r="Y367" s="480">
        <f>X367*L367</f>
        <v>2565.63</v>
      </c>
      <c r="Z367" s="458" t="s">
        <v>1150</v>
      </c>
      <c r="AA367" s="458" t="s">
        <v>3328</v>
      </c>
      <c r="AB367" s="458" t="s">
        <v>76</v>
      </c>
      <c r="AC367" s="458"/>
      <c r="AD367" s="458"/>
      <c r="AE367" s="458"/>
      <c r="AF367" s="458">
        <v>1800</v>
      </c>
      <c r="AG367" s="458">
        <f t="shared" si="96"/>
        <v>0</v>
      </c>
      <c r="AH367" s="489"/>
      <c r="AI367" s="458"/>
      <c r="AJ367" s="458"/>
      <c r="AK367" s="458"/>
      <c r="AL367" s="426">
        <f t="shared" si="99"/>
        <v>1800</v>
      </c>
      <c r="AO367" s="495"/>
      <c r="AQ367" s="425">
        <f>I367</f>
        <v>1800</v>
      </c>
      <c r="AS367" s="425">
        <f>I367</f>
        <v>1800</v>
      </c>
      <c r="AT367" s="495"/>
      <c r="AY367" s="498">
        <f>I367/24</f>
        <v>75</v>
      </c>
      <c r="BT367" s="495"/>
      <c r="BV367" s="495"/>
      <c r="CF367" s="425">
        <f>I367/30</f>
        <v>60</v>
      </c>
      <c r="CK367" s="425">
        <f t="shared" si="86"/>
        <v>0</v>
      </c>
      <c r="CL367" s="425">
        <f t="shared" si="87"/>
        <v>60</v>
      </c>
      <c r="CM367" s="425">
        <f t="shared" si="88"/>
        <v>0</v>
      </c>
      <c r="CN367" s="495"/>
      <c r="CO367" s="495"/>
      <c r="CP367" s="495"/>
      <c r="CT367" s="495"/>
      <c r="CU367" s="495"/>
      <c r="CV367" s="495"/>
      <c r="CW367" s="495"/>
      <c r="CX367" s="495"/>
    </row>
    <row r="368" s="425" customFormat="1" ht="31" customHeight="1" spans="1:102">
      <c r="A368" s="455">
        <v>45818</v>
      </c>
      <c r="B368" s="456" t="s">
        <v>1129</v>
      </c>
      <c r="C368" s="457" t="s">
        <v>1130</v>
      </c>
      <c r="D368" s="425">
        <v>4500169604</v>
      </c>
      <c r="E368" s="457"/>
      <c r="F368" s="425" t="s">
        <v>4094</v>
      </c>
      <c r="G368" s="458" t="s">
        <v>3378</v>
      </c>
      <c r="H368" s="458" t="s">
        <v>3379</v>
      </c>
      <c r="I368" s="458">
        <v>350</v>
      </c>
      <c r="J368" s="458">
        <v>0</v>
      </c>
      <c r="K368" s="458">
        <v>50</v>
      </c>
      <c r="L368" s="462">
        <f t="shared" si="94"/>
        <v>7</v>
      </c>
      <c r="M368" s="463">
        <v>45863</v>
      </c>
      <c r="N368" s="463">
        <v>45859</v>
      </c>
      <c r="O368" s="464"/>
      <c r="P368" s="464" t="s">
        <v>103</v>
      </c>
      <c r="Q368" s="458"/>
      <c r="R368" s="472">
        <v>45832</v>
      </c>
      <c r="S368" s="472" t="s">
        <v>66</v>
      </c>
      <c r="T368" s="472" t="s">
        <v>66</v>
      </c>
      <c r="U368" s="472"/>
      <c r="V368" s="473" t="s">
        <v>4095</v>
      </c>
      <c r="W368" s="473" t="s">
        <v>473</v>
      </c>
      <c r="X368" s="473">
        <v>1.32</v>
      </c>
      <c r="Y368" s="480">
        <f t="shared" ref="Y368:Y388" si="100">X368*I368</f>
        <v>462</v>
      </c>
      <c r="Z368" s="509" t="s">
        <v>1133</v>
      </c>
      <c r="AA368" s="458" t="s">
        <v>3378</v>
      </c>
      <c r="AB368" s="458" t="s">
        <v>76</v>
      </c>
      <c r="AC368" s="458"/>
      <c r="AD368" s="458"/>
      <c r="AE368" s="458"/>
      <c r="AF368" s="458">
        <v>350</v>
      </c>
      <c r="AG368" s="458">
        <f t="shared" si="96"/>
        <v>0</v>
      </c>
      <c r="AH368" s="489"/>
      <c r="AI368" s="458"/>
      <c r="AJ368" s="458"/>
      <c r="AK368" s="458"/>
      <c r="AL368" s="425">
        <f t="shared" si="99"/>
        <v>350</v>
      </c>
      <c r="AO368" s="495"/>
      <c r="AT368" s="495"/>
      <c r="AY368" s="498">
        <f>I368/24*2</f>
        <v>29.1666666666667</v>
      </c>
      <c r="BQ368" s="425">
        <f>I368</f>
        <v>350</v>
      </c>
      <c r="BR368" s="425">
        <f>I368</f>
        <v>350</v>
      </c>
      <c r="BS368" s="425">
        <f>I368/25</f>
        <v>14</v>
      </c>
      <c r="BT368" s="495"/>
      <c r="BV368" s="495"/>
      <c r="CK368" s="425">
        <f t="shared" si="86"/>
        <v>14</v>
      </c>
      <c r="CL368" s="425">
        <f t="shared" si="87"/>
        <v>0</v>
      </c>
      <c r="CM368" s="425">
        <f t="shared" si="88"/>
        <v>0</v>
      </c>
      <c r="CN368" s="495"/>
      <c r="CO368" s="495"/>
      <c r="CP368" s="495"/>
      <c r="CT368" s="495"/>
      <c r="CU368" s="495"/>
      <c r="CV368" s="495"/>
      <c r="CW368" s="495"/>
      <c r="CX368" s="495"/>
    </row>
    <row r="369" s="425" customFormat="1" ht="31" customHeight="1" spans="1:102">
      <c r="A369" s="455">
        <v>45818</v>
      </c>
      <c r="B369" s="456" t="s">
        <v>1121</v>
      </c>
      <c r="C369" s="457" t="s">
        <v>356</v>
      </c>
      <c r="D369" s="425">
        <v>4500169530</v>
      </c>
      <c r="E369" s="457"/>
      <c r="F369" s="425" t="s">
        <v>1122</v>
      </c>
      <c r="G369" s="458" t="s">
        <v>3436</v>
      </c>
      <c r="H369" s="458" t="s">
        <v>424</v>
      </c>
      <c r="I369" s="458">
        <v>240</v>
      </c>
      <c r="J369" s="458">
        <v>0</v>
      </c>
      <c r="K369" s="458">
        <v>6</v>
      </c>
      <c r="L369" s="462">
        <f t="shared" si="94"/>
        <v>40</v>
      </c>
      <c r="M369" s="463">
        <v>45863</v>
      </c>
      <c r="N369" s="463">
        <v>45859</v>
      </c>
      <c r="O369" s="464"/>
      <c r="P369" s="464" t="s">
        <v>103</v>
      </c>
      <c r="Q369" s="458"/>
      <c r="R369" s="472">
        <v>45818</v>
      </c>
      <c r="S369" s="472" t="s">
        <v>66</v>
      </c>
      <c r="T369" s="472" t="s">
        <v>4096</v>
      </c>
      <c r="U369" s="472"/>
      <c r="V369" s="473" t="s">
        <v>4097</v>
      </c>
      <c r="W369" s="473" t="s">
        <v>359</v>
      </c>
      <c r="X369" s="473">
        <v>8.1</v>
      </c>
      <c r="Y369" s="480">
        <f t="shared" si="100"/>
        <v>1944</v>
      </c>
      <c r="Z369" s="458" t="s">
        <v>1125</v>
      </c>
      <c r="AA369" s="458" t="s">
        <v>427</v>
      </c>
      <c r="AB369" s="458" t="s">
        <v>76</v>
      </c>
      <c r="AC369" s="458"/>
      <c r="AD369" s="458"/>
      <c r="AE369" s="458"/>
      <c r="AF369" s="458">
        <v>240</v>
      </c>
      <c r="AG369" s="458">
        <f t="shared" si="96"/>
        <v>0</v>
      </c>
      <c r="AH369" s="489"/>
      <c r="AI369" s="458"/>
      <c r="AJ369" s="458"/>
      <c r="AK369" s="458"/>
      <c r="AL369" s="425">
        <f>I369*2</f>
        <v>480</v>
      </c>
      <c r="AO369" s="495"/>
      <c r="AQ369" s="425">
        <f>I369*2</f>
        <v>480</v>
      </c>
      <c r="AS369" s="425">
        <f>I369*2</f>
        <v>480</v>
      </c>
      <c r="AT369" s="495"/>
      <c r="AY369" s="498">
        <f>I369/24*2</f>
        <v>20</v>
      </c>
      <c r="BT369" s="495"/>
      <c r="BU369" s="425">
        <f>I369</f>
        <v>240</v>
      </c>
      <c r="BV369" s="495"/>
      <c r="CK369" s="425">
        <f t="shared" si="86"/>
        <v>0</v>
      </c>
      <c r="CL369" s="425">
        <f t="shared" si="87"/>
        <v>0</v>
      </c>
      <c r="CM369" s="425">
        <f t="shared" si="88"/>
        <v>0</v>
      </c>
      <c r="CN369" s="495"/>
      <c r="CO369" s="495"/>
      <c r="CP369" s="495"/>
      <c r="CT369" s="495"/>
      <c r="CU369" s="495"/>
      <c r="CV369" s="495"/>
      <c r="CW369" s="495"/>
      <c r="CX369" s="495"/>
    </row>
    <row r="370" s="425" customFormat="1" ht="31" customHeight="1" spans="1:102">
      <c r="A370" s="455">
        <v>45820</v>
      </c>
      <c r="B370" s="456" t="s">
        <v>128</v>
      </c>
      <c r="C370" s="457" t="s">
        <v>90</v>
      </c>
      <c r="D370" s="425">
        <v>4500169833</v>
      </c>
      <c r="E370" s="895" t="s">
        <v>4098</v>
      </c>
      <c r="F370" s="425" t="s">
        <v>4099</v>
      </c>
      <c r="G370" s="458" t="s">
        <v>3180</v>
      </c>
      <c r="H370" s="458" t="s">
        <v>3181</v>
      </c>
      <c r="I370" s="458">
        <v>6416</v>
      </c>
      <c r="J370" s="458">
        <v>0</v>
      </c>
      <c r="K370" s="458">
        <v>16</v>
      </c>
      <c r="L370" s="462">
        <f t="shared" si="94"/>
        <v>401</v>
      </c>
      <c r="M370" s="463">
        <v>45863</v>
      </c>
      <c r="N370" s="463">
        <v>45859</v>
      </c>
      <c r="O370" s="464" t="s">
        <v>1312</v>
      </c>
      <c r="P370" s="464" t="s">
        <v>103</v>
      </c>
      <c r="Q370" s="458"/>
      <c r="R370" s="472" t="s">
        <v>132</v>
      </c>
      <c r="S370" s="472" t="s">
        <v>66</v>
      </c>
      <c r="T370" s="472" t="s">
        <v>133</v>
      </c>
      <c r="U370" s="472"/>
      <c r="V370" s="473" t="s">
        <v>4100</v>
      </c>
      <c r="W370" s="473" t="s">
        <v>98</v>
      </c>
      <c r="X370" s="473">
        <v>0.5936</v>
      </c>
      <c r="Y370" s="480">
        <f t="shared" si="100"/>
        <v>3808.5376</v>
      </c>
      <c r="Z370" s="458" t="s">
        <v>4101</v>
      </c>
      <c r="AA370" s="458" t="s">
        <v>3180</v>
      </c>
      <c r="AB370" s="458" t="s">
        <v>76</v>
      </c>
      <c r="AC370" s="458"/>
      <c r="AD370" s="458"/>
      <c r="AE370" s="458"/>
      <c r="AF370" s="458">
        <v>6416</v>
      </c>
      <c r="AG370" s="458">
        <f t="shared" si="96"/>
        <v>0</v>
      </c>
      <c r="AH370" s="489"/>
      <c r="AI370" s="458"/>
      <c r="AJ370" s="458"/>
      <c r="AK370" s="458">
        <f t="shared" ref="AK370:AK376" si="101">I370</f>
        <v>6416</v>
      </c>
      <c r="AM370" s="425">
        <f t="shared" ref="AM370:AM376" si="102">I370</f>
        <v>6416</v>
      </c>
      <c r="AO370" s="495"/>
      <c r="AR370" s="425">
        <f t="shared" ref="AR370:AR376" si="103">I370</f>
        <v>6416</v>
      </c>
      <c r="AT370" s="495"/>
      <c r="AY370" s="498">
        <f t="shared" ref="AY370:AY376" si="104">I370/48</f>
        <v>133.666666666667</v>
      </c>
      <c r="BM370" s="425">
        <f t="shared" ref="BM370:BM376" si="105">I370/16</f>
        <v>401</v>
      </c>
      <c r="BT370" s="495"/>
      <c r="BV370" s="495"/>
      <c r="CK370" s="425">
        <f t="shared" si="86"/>
        <v>401</v>
      </c>
      <c r="CL370" s="425">
        <f t="shared" si="87"/>
        <v>0</v>
      </c>
      <c r="CM370" s="425">
        <f t="shared" si="88"/>
        <v>0</v>
      </c>
      <c r="CN370" s="495"/>
      <c r="CO370" s="495"/>
      <c r="CP370" s="495"/>
      <c r="CT370" s="495"/>
      <c r="CU370" s="495"/>
      <c r="CV370" s="495"/>
      <c r="CW370" s="495"/>
      <c r="CX370" s="495"/>
    </row>
    <row r="371" s="425" customFormat="1" ht="31" customHeight="1" spans="1:102">
      <c r="A371" s="455">
        <v>45820</v>
      </c>
      <c r="B371" s="456" t="s">
        <v>128</v>
      </c>
      <c r="C371" s="457" t="s">
        <v>90</v>
      </c>
      <c r="D371" s="425">
        <v>4500169833</v>
      </c>
      <c r="E371" s="895" t="s">
        <v>4102</v>
      </c>
      <c r="F371" s="425" t="s">
        <v>4103</v>
      </c>
      <c r="G371" s="458" t="s">
        <v>3180</v>
      </c>
      <c r="H371" s="458" t="s">
        <v>3181</v>
      </c>
      <c r="I371" s="458">
        <v>6160</v>
      </c>
      <c r="J371" s="458">
        <v>0</v>
      </c>
      <c r="K371" s="458">
        <v>16</v>
      </c>
      <c r="L371" s="462">
        <f t="shared" si="94"/>
        <v>385</v>
      </c>
      <c r="M371" s="463">
        <v>45863</v>
      </c>
      <c r="N371" s="463">
        <v>45859</v>
      </c>
      <c r="O371" s="464" t="s">
        <v>1312</v>
      </c>
      <c r="P371" s="464" t="s">
        <v>103</v>
      </c>
      <c r="Q371" s="458"/>
      <c r="R371" s="472" t="s">
        <v>132</v>
      </c>
      <c r="S371" s="472" t="s">
        <v>66</v>
      </c>
      <c r="T371" s="472" t="s">
        <v>133</v>
      </c>
      <c r="U371" s="472"/>
      <c r="V371" s="473" t="s">
        <v>4100</v>
      </c>
      <c r="W371" s="473" t="s">
        <v>98</v>
      </c>
      <c r="X371" s="473">
        <v>0.5936</v>
      </c>
      <c r="Y371" s="480">
        <f t="shared" si="100"/>
        <v>3656.576</v>
      </c>
      <c r="Z371" s="458" t="s">
        <v>4104</v>
      </c>
      <c r="AA371" s="458" t="s">
        <v>3180</v>
      </c>
      <c r="AB371" s="458" t="s">
        <v>76</v>
      </c>
      <c r="AC371" s="458"/>
      <c r="AD371" s="458"/>
      <c r="AE371" s="458"/>
      <c r="AF371" s="458">
        <v>6160</v>
      </c>
      <c r="AG371" s="458">
        <f t="shared" si="96"/>
        <v>0</v>
      </c>
      <c r="AH371" s="489"/>
      <c r="AI371" s="458"/>
      <c r="AJ371" s="458"/>
      <c r="AK371" s="458">
        <f t="shared" si="101"/>
        <v>6160</v>
      </c>
      <c r="AM371" s="425">
        <f t="shared" si="102"/>
        <v>6160</v>
      </c>
      <c r="AO371" s="495"/>
      <c r="AR371" s="425">
        <f t="shared" si="103"/>
        <v>6160</v>
      </c>
      <c r="AT371" s="495"/>
      <c r="AY371" s="498">
        <f t="shared" si="104"/>
        <v>128.333333333333</v>
      </c>
      <c r="BM371" s="425">
        <f t="shared" si="105"/>
        <v>385</v>
      </c>
      <c r="BT371" s="495"/>
      <c r="BV371" s="495"/>
      <c r="CK371" s="425">
        <f t="shared" si="86"/>
        <v>385</v>
      </c>
      <c r="CL371" s="425">
        <f t="shared" si="87"/>
        <v>0</v>
      </c>
      <c r="CM371" s="425">
        <f t="shared" si="88"/>
        <v>0</v>
      </c>
      <c r="CN371" s="495"/>
      <c r="CO371" s="495"/>
      <c r="CP371" s="495"/>
      <c r="CT371" s="495"/>
      <c r="CU371" s="495"/>
      <c r="CV371" s="495"/>
      <c r="CW371" s="495"/>
      <c r="CX371" s="495"/>
    </row>
    <row r="372" s="425" customFormat="1" ht="31" customHeight="1" spans="1:102">
      <c r="A372" s="455">
        <v>45820</v>
      </c>
      <c r="B372" s="456" t="s">
        <v>128</v>
      </c>
      <c r="C372" s="457" t="s">
        <v>90</v>
      </c>
      <c r="D372" s="425">
        <v>4500169833</v>
      </c>
      <c r="E372" s="895" t="s">
        <v>4105</v>
      </c>
      <c r="F372" s="425" t="s">
        <v>4106</v>
      </c>
      <c r="G372" s="458" t="s">
        <v>3180</v>
      </c>
      <c r="H372" s="458" t="s">
        <v>3181</v>
      </c>
      <c r="I372" s="458">
        <v>7888</v>
      </c>
      <c r="J372" s="458">
        <v>0</v>
      </c>
      <c r="K372" s="458">
        <v>16</v>
      </c>
      <c r="L372" s="462">
        <f t="shared" si="94"/>
        <v>493</v>
      </c>
      <c r="M372" s="463">
        <v>45863</v>
      </c>
      <c r="N372" s="463">
        <v>45859</v>
      </c>
      <c r="O372" s="464" t="s">
        <v>1312</v>
      </c>
      <c r="P372" s="464" t="s">
        <v>103</v>
      </c>
      <c r="Q372" s="458"/>
      <c r="R372" s="472" t="s">
        <v>132</v>
      </c>
      <c r="S372" s="472" t="s">
        <v>66</v>
      </c>
      <c r="T372" s="472" t="s">
        <v>133</v>
      </c>
      <c r="U372" s="472"/>
      <c r="V372" s="473" t="s">
        <v>4100</v>
      </c>
      <c r="W372" s="473" t="s">
        <v>98</v>
      </c>
      <c r="X372" s="473">
        <v>0.5936</v>
      </c>
      <c r="Y372" s="480">
        <f t="shared" si="100"/>
        <v>4682.3168</v>
      </c>
      <c r="Z372" s="458" t="s">
        <v>4107</v>
      </c>
      <c r="AA372" s="458" t="s">
        <v>3180</v>
      </c>
      <c r="AB372" s="458" t="s">
        <v>76</v>
      </c>
      <c r="AC372" s="458"/>
      <c r="AD372" s="458"/>
      <c r="AE372" s="458"/>
      <c r="AF372" s="458">
        <v>7888</v>
      </c>
      <c r="AG372" s="458">
        <f t="shared" si="96"/>
        <v>0</v>
      </c>
      <c r="AH372" s="489"/>
      <c r="AI372" s="458"/>
      <c r="AJ372" s="458"/>
      <c r="AK372" s="458">
        <f t="shared" si="101"/>
        <v>7888</v>
      </c>
      <c r="AM372" s="425">
        <f t="shared" si="102"/>
        <v>7888</v>
      </c>
      <c r="AO372" s="495"/>
      <c r="AR372" s="425">
        <f t="shared" si="103"/>
        <v>7888</v>
      </c>
      <c r="AT372" s="495"/>
      <c r="AY372" s="498">
        <f t="shared" si="104"/>
        <v>164.333333333333</v>
      </c>
      <c r="BM372" s="425">
        <f t="shared" si="105"/>
        <v>493</v>
      </c>
      <c r="BT372" s="495"/>
      <c r="BV372" s="495"/>
      <c r="CK372" s="425">
        <f t="shared" si="86"/>
        <v>493</v>
      </c>
      <c r="CL372" s="425">
        <f t="shared" si="87"/>
        <v>0</v>
      </c>
      <c r="CM372" s="425">
        <f t="shared" si="88"/>
        <v>0</v>
      </c>
      <c r="CN372" s="495"/>
      <c r="CO372" s="495"/>
      <c r="CP372" s="495"/>
      <c r="CT372" s="495"/>
      <c r="CU372" s="495"/>
      <c r="CV372" s="495"/>
      <c r="CW372" s="495"/>
      <c r="CX372" s="495"/>
    </row>
    <row r="373" s="425" customFormat="1" ht="31" customHeight="1" spans="1:102">
      <c r="A373" s="455">
        <v>45820</v>
      </c>
      <c r="B373" s="456" t="s">
        <v>128</v>
      </c>
      <c r="C373" s="457" t="s">
        <v>90</v>
      </c>
      <c r="D373" s="425">
        <v>4500169833</v>
      </c>
      <c r="E373" s="895" t="s">
        <v>4108</v>
      </c>
      <c r="F373" s="425" t="s">
        <v>4109</v>
      </c>
      <c r="G373" s="458" t="s">
        <v>3180</v>
      </c>
      <c r="H373" s="458" t="s">
        <v>3181</v>
      </c>
      <c r="I373" s="458">
        <v>9120</v>
      </c>
      <c r="J373" s="458">
        <v>0</v>
      </c>
      <c r="K373" s="458">
        <v>16</v>
      </c>
      <c r="L373" s="462">
        <f t="shared" si="94"/>
        <v>570</v>
      </c>
      <c r="M373" s="463">
        <v>45863</v>
      </c>
      <c r="N373" s="463">
        <v>45859</v>
      </c>
      <c r="O373" s="464" t="s">
        <v>1312</v>
      </c>
      <c r="P373" s="464" t="s">
        <v>103</v>
      </c>
      <c r="Q373" s="458"/>
      <c r="R373" s="472" t="s">
        <v>132</v>
      </c>
      <c r="S373" s="472" t="s">
        <v>66</v>
      </c>
      <c r="T373" s="472" t="s">
        <v>133</v>
      </c>
      <c r="U373" s="472"/>
      <c r="V373" s="473" t="s">
        <v>4100</v>
      </c>
      <c r="W373" s="473" t="s">
        <v>98</v>
      </c>
      <c r="X373" s="473">
        <v>0.5936</v>
      </c>
      <c r="Y373" s="480">
        <f t="shared" si="100"/>
        <v>5413.632</v>
      </c>
      <c r="Z373" s="458" t="s">
        <v>4110</v>
      </c>
      <c r="AA373" s="458" t="s">
        <v>3180</v>
      </c>
      <c r="AB373" s="458" t="s">
        <v>76</v>
      </c>
      <c r="AC373" s="458"/>
      <c r="AD373" s="458"/>
      <c r="AE373" s="458"/>
      <c r="AF373" s="458">
        <v>9120</v>
      </c>
      <c r="AG373" s="458">
        <f t="shared" si="96"/>
        <v>0</v>
      </c>
      <c r="AH373" s="489"/>
      <c r="AI373" s="458"/>
      <c r="AJ373" s="458"/>
      <c r="AK373" s="458">
        <f t="shared" si="101"/>
        <v>9120</v>
      </c>
      <c r="AM373" s="425">
        <f t="shared" si="102"/>
        <v>9120</v>
      </c>
      <c r="AO373" s="495"/>
      <c r="AR373" s="425">
        <f t="shared" si="103"/>
        <v>9120</v>
      </c>
      <c r="AT373" s="495"/>
      <c r="AY373" s="498">
        <f t="shared" si="104"/>
        <v>190</v>
      </c>
      <c r="BM373" s="425">
        <f t="shared" si="105"/>
        <v>570</v>
      </c>
      <c r="BT373" s="495"/>
      <c r="BV373" s="495"/>
      <c r="CK373" s="425">
        <f t="shared" si="86"/>
        <v>570</v>
      </c>
      <c r="CL373" s="425">
        <f t="shared" si="87"/>
        <v>0</v>
      </c>
      <c r="CM373" s="425">
        <f t="shared" si="88"/>
        <v>0</v>
      </c>
      <c r="CN373" s="495"/>
      <c r="CO373" s="495"/>
      <c r="CP373" s="495"/>
      <c r="CT373" s="495"/>
      <c r="CU373" s="495"/>
      <c r="CV373" s="495"/>
      <c r="CW373" s="495"/>
      <c r="CX373" s="495"/>
    </row>
    <row r="374" s="425" customFormat="1" ht="31" customHeight="1" spans="1:102">
      <c r="A374" s="455">
        <v>45820</v>
      </c>
      <c r="B374" s="456" t="s">
        <v>128</v>
      </c>
      <c r="C374" s="457" t="s">
        <v>90</v>
      </c>
      <c r="D374" s="425">
        <v>4500169833</v>
      </c>
      <c r="E374" s="895" t="s">
        <v>4111</v>
      </c>
      <c r="F374" s="425" t="s">
        <v>4112</v>
      </c>
      <c r="G374" s="458" t="s">
        <v>3180</v>
      </c>
      <c r="H374" s="458" t="s">
        <v>3181</v>
      </c>
      <c r="I374" s="458">
        <v>1360</v>
      </c>
      <c r="J374" s="458">
        <v>0</v>
      </c>
      <c r="K374" s="458">
        <v>16</v>
      </c>
      <c r="L374" s="462">
        <f t="shared" si="94"/>
        <v>85</v>
      </c>
      <c r="M374" s="463">
        <v>45863</v>
      </c>
      <c r="N374" s="463">
        <v>45859</v>
      </c>
      <c r="O374" s="464" t="s">
        <v>1312</v>
      </c>
      <c r="P374" s="464" t="s">
        <v>103</v>
      </c>
      <c r="Q374" s="458"/>
      <c r="R374" s="472" t="s">
        <v>132</v>
      </c>
      <c r="S374" s="472" t="s">
        <v>66</v>
      </c>
      <c r="T374" s="472" t="s">
        <v>133</v>
      </c>
      <c r="U374" s="472"/>
      <c r="V374" s="473" t="s">
        <v>4100</v>
      </c>
      <c r="W374" s="473" t="s">
        <v>98</v>
      </c>
      <c r="X374" s="473">
        <v>0.5968</v>
      </c>
      <c r="Y374" s="480">
        <f t="shared" si="100"/>
        <v>811.648</v>
      </c>
      <c r="Z374" s="458" t="s">
        <v>4113</v>
      </c>
      <c r="AA374" s="458" t="s">
        <v>3180</v>
      </c>
      <c r="AB374" s="458" t="s">
        <v>76</v>
      </c>
      <c r="AC374" s="458"/>
      <c r="AD374" s="458"/>
      <c r="AE374" s="458"/>
      <c r="AF374" s="458">
        <v>1360</v>
      </c>
      <c r="AG374" s="458">
        <f t="shared" si="96"/>
        <v>0</v>
      </c>
      <c r="AH374" s="489"/>
      <c r="AI374" s="458"/>
      <c r="AJ374" s="458"/>
      <c r="AK374" s="458">
        <f t="shared" si="101"/>
        <v>1360</v>
      </c>
      <c r="AM374" s="425">
        <f t="shared" si="102"/>
        <v>1360</v>
      </c>
      <c r="AO374" s="495"/>
      <c r="AR374" s="425">
        <f t="shared" si="103"/>
        <v>1360</v>
      </c>
      <c r="AT374" s="495"/>
      <c r="AY374" s="498">
        <f t="shared" si="104"/>
        <v>28.3333333333333</v>
      </c>
      <c r="BM374" s="425">
        <f t="shared" si="105"/>
        <v>85</v>
      </c>
      <c r="BT374" s="495"/>
      <c r="BV374" s="495"/>
      <c r="CK374" s="425">
        <f t="shared" si="86"/>
        <v>85</v>
      </c>
      <c r="CL374" s="425">
        <f t="shared" si="87"/>
        <v>0</v>
      </c>
      <c r="CM374" s="425">
        <f t="shared" si="88"/>
        <v>0</v>
      </c>
      <c r="CN374" s="495"/>
      <c r="CO374" s="495"/>
      <c r="CP374" s="495"/>
      <c r="CT374" s="495"/>
      <c r="CU374" s="495"/>
      <c r="CV374" s="495"/>
      <c r="CW374" s="495"/>
      <c r="CX374" s="495"/>
    </row>
    <row r="375" s="425" customFormat="1" ht="31" customHeight="1" spans="1:102">
      <c r="A375" s="455">
        <v>45820</v>
      </c>
      <c r="B375" s="456" t="s">
        <v>128</v>
      </c>
      <c r="C375" s="457" t="s">
        <v>90</v>
      </c>
      <c r="D375" s="425">
        <v>4500169833</v>
      </c>
      <c r="E375" s="895" t="s">
        <v>4114</v>
      </c>
      <c r="F375" s="425" t="s">
        <v>4115</v>
      </c>
      <c r="G375" s="458" t="s">
        <v>3180</v>
      </c>
      <c r="H375" s="458" t="s">
        <v>3181</v>
      </c>
      <c r="I375" s="458">
        <v>1616</v>
      </c>
      <c r="J375" s="458">
        <v>0</v>
      </c>
      <c r="K375" s="458">
        <v>16</v>
      </c>
      <c r="L375" s="462">
        <f t="shared" si="94"/>
        <v>101</v>
      </c>
      <c r="M375" s="463">
        <v>45863</v>
      </c>
      <c r="N375" s="463">
        <v>45859</v>
      </c>
      <c r="O375" s="464" t="s">
        <v>1312</v>
      </c>
      <c r="P375" s="464" t="s">
        <v>103</v>
      </c>
      <c r="Q375" s="458"/>
      <c r="R375" s="472" t="s">
        <v>132</v>
      </c>
      <c r="S375" s="472" t="s">
        <v>66</v>
      </c>
      <c r="T375" s="472" t="s">
        <v>133</v>
      </c>
      <c r="U375" s="472"/>
      <c r="V375" s="473" t="s">
        <v>4100</v>
      </c>
      <c r="W375" s="473" t="s">
        <v>98</v>
      </c>
      <c r="X375" s="473">
        <v>0.5968</v>
      </c>
      <c r="Y375" s="480">
        <f t="shared" si="100"/>
        <v>964.4288</v>
      </c>
      <c r="Z375" s="458" t="s">
        <v>4116</v>
      </c>
      <c r="AA375" s="458" t="s">
        <v>3180</v>
      </c>
      <c r="AB375" s="458" t="s">
        <v>76</v>
      </c>
      <c r="AC375" s="458"/>
      <c r="AD375" s="458"/>
      <c r="AE375" s="458"/>
      <c r="AF375" s="458">
        <v>1616</v>
      </c>
      <c r="AG375" s="458">
        <f t="shared" si="96"/>
        <v>0</v>
      </c>
      <c r="AH375" s="489"/>
      <c r="AI375" s="458"/>
      <c r="AJ375" s="458"/>
      <c r="AK375" s="458">
        <f t="shared" si="101"/>
        <v>1616</v>
      </c>
      <c r="AM375" s="425">
        <f t="shared" si="102"/>
        <v>1616</v>
      </c>
      <c r="AO375" s="495"/>
      <c r="AR375" s="425">
        <f t="shared" si="103"/>
        <v>1616</v>
      </c>
      <c r="AT375" s="495"/>
      <c r="AY375" s="498">
        <f t="shared" si="104"/>
        <v>33.6666666666667</v>
      </c>
      <c r="BM375" s="425">
        <f t="shared" si="105"/>
        <v>101</v>
      </c>
      <c r="BT375" s="495"/>
      <c r="BV375" s="495"/>
      <c r="CK375" s="425">
        <f t="shared" si="86"/>
        <v>101</v>
      </c>
      <c r="CL375" s="425">
        <f t="shared" si="87"/>
        <v>0</v>
      </c>
      <c r="CM375" s="425">
        <f t="shared" si="88"/>
        <v>0</v>
      </c>
      <c r="CN375" s="495"/>
      <c r="CO375" s="495"/>
      <c r="CP375" s="495"/>
      <c r="CT375" s="495"/>
      <c r="CU375" s="495"/>
      <c r="CV375" s="495"/>
      <c r="CW375" s="495"/>
      <c r="CX375" s="495"/>
    </row>
    <row r="376" s="425" customFormat="1" ht="31" customHeight="1" spans="1:102">
      <c r="A376" s="455">
        <v>45820</v>
      </c>
      <c r="B376" s="456" t="s">
        <v>128</v>
      </c>
      <c r="C376" s="457" t="s">
        <v>90</v>
      </c>
      <c r="D376" s="425">
        <v>4500169833</v>
      </c>
      <c r="E376" s="895" t="s">
        <v>4117</v>
      </c>
      <c r="F376" s="425" t="s">
        <v>4118</v>
      </c>
      <c r="G376" s="458" t="s">
        <v>3180</v>
      </c>
      <c r="H376" s="458" t="s">
        <v>3181</v>
      </c>
      <c r="I376" s="458">
        <v>1808</v>
      </c>
      <c r="J376" s="458">
        <v>0</v>
      </c>
      <c r="K376" s="458">
        <v>16</v>
      </c>
      <c r="L376" s="462">
        <f t="shared" si="94"/>
        <v>113</v>
      </c>
      <c r="M376" s="463">
        <v>45863</v>
      </c>
      <c r="N376" s="463">
        <v>45859</v>
      </c>
      <c r="O376" s="464" t="s">
        <v>1312</v>
      </c>
      <c r="P376" s="464" t="s">
        <v>103</v>
      </c>
      <c r="Q376" s="458"/>
      <c r="R376" s="472" t="s">
        <v>132</v>
      </c>
      <c r="S376" s="472" t="s">
        <v>66</v>
      </c>
      <c r="T376" s="472" t="s">
        <v>133</v>
      </c>
      <c r="U376" s="472"/>
      <c r="V376" s="473" t="s">
        <v>4100</v>
      </c>
      <c r="W376" s="473" t="s">
        <v>98</v>
      </c>
      <c r="X376" s="473">
        <v>0.5968</v>
      </c>
      <c r="Y376" s="480">
        <f t="shared" si="100"/>
        <v>1079.0144</v>
      </c>
      <c r="Z376" s="458" t="s">
        <v>4119</v>
      </c>
      <c r="AA376" s="458" t="s">
        <v>3180</v>
      </c>
      <c r="AB376" s="458" t="s">
        <v>76</v>
      </c>
      <c r="AC376" s="458"/>
      <c r="AD376" s="458"/>
      <c r="AE376" s="458"/>
      <c r="AF376" s="458">
        <v>1808</v>
      </c>
      <c r="AG376" s="458">
        <f t="shared" si="96"/>
        <v>0</v>
      </c>
      <c r="AH376" s="489"/>
      <c r="AI376" s="458"/>
      <c r="AJ376" s="458"/>
      <c r="AK376" s="458">
        <f t="shared" si="101"/>
        <v>1808</v>
      </c>
      <c r="AM376" s="425">
        <f t="shared" si="102"/>
        <v>1808</v>
      </c>
      <c r="AO376" s="495"/>
      <c r="AR376" s="425">
        <f t="shared" si="103"/>
        <v>1808</v>
      </c>
      <c r="AT376" s="495"/>
      <c r="AY376" s="498">
        <f t="shared" si="104"/>
        <v>37.6666666666667</v>
      </c>
      <c r="BM376" s="425">
        <f t="shared" si="105"/>
        <v>113</v>
      </c>
      <c r="BT376" s="495"/>
      <c r="BV376" s="495"/>
      <c r="CK376" s="425">
        <f t="shared" si="86"/>
        <v>113</v>
      </c>
      <c r="CL376" s="425">
        <f t="shared" si="87"/>
        <v>0</v>
      </c>
      <c r="CM376" s="425">
        <f t="shared" si="88"/>
        <v>0</v>
      </c>
      <c r="CN376" s="495"/>
      <c r="CO376" s="495"/>
      <c r="CP376" s="495"/>
      <c r="CT376" s="495"/>
      <c r="CU376" s="495"/>
      <c r="CV376" s="495"/>
      <c r="CW376" s="495"/>
      <c r="CX376" s="495"/>
    </row>
    <row r="377" s="425" customFormat="1" ht="31" customHeight="1" spans="1:102">
      <c r="A377" s="455">
        <v>45821</v>
      </c>
      <c r="B377" s="456" t="s">
        <v>1643</v>
      </c>
      <c r="C377" s="457" t="s">
        <v>249</v>
      </c>
      <c r="D377" s="425">
        <v>4500170043</v>
      </c>
      <c r="E377" s="457" t="s">
        <v>4120</v>
      </c>
      <c r="F377" s="425" t="s">
        <v>4121</v>
      </c>
      <c r="G377" s="458" t="s">
        <v>3419</v>
      </c>
      <c r="H377" s="458" t="s">
        <v>3221</v>
      </c>
      <c r="I377" s="458">
        <v>1000</v>
      </c>
      <c r="J377" s="458">
        <v>25</v>
      </c>
      <c r="K377" s="458">
        <v>50</v>
      </c>
      <c r="L377" s="462">
        <f t="shared" si="94"/>
        <v>20</v>
      </c>
      <c r="M377" s="463">
        <v>45863</v>
      </c>
      <c r="N377" s="463">
        <v>45859</v>
      </c>
      <c r="O377" s="464"/>
      <c r="P377" s="464" t="s">
        <v>103</v>
      </c>
      <c r="Q377" s="458"/>
      <c r="R377" s="472">
        <v>45834</v>
      </c>
      <c r="S377" s="472" t="s">
        <v>66</v>
      </c>
      <c r="T377" s="472" t="s">
        <v>4122</v>
      </c>
      <c r="U377" s="472"/>
      <c r="V377" s="473" t="s">
        <v>4123</v>
      </c>
      <c r="W377" s="473" t="s">
        <v>254</v>
      </c>
      <c r="X377" s="473">
        <v>0.95</v>
      </c>
      <c r="Y377" s="480">
        <f t="shared" si="100"/>
        <v>950</v>
      </c>
      <c r="Z377" s="458" t="s">
        <v>4124</v>
      </c>
      <c r="AA377" s="458" t="s">
        <v>3419</v>
      </c>
      <c r="AB377" s="458" t="s">
        <v>76</v>
      </c>
      <c r="AC377" s="458"/>
      <c r="AD377" s="458"/>
      <c r="AE377" s="458"/>
      <c r="AF377" s="458">
        <v>1000</v>
      </c>
      <c r="AG377" s="458">
        <f t="shared" si="96"/>
        <v>0</v>
      </c>
      <c r="AH377" s="489"/>
      <c r="AI377" s="458"/>
      <c r="AJ377" s="458"/>
      <c r="AK377" s="458"/>
      <c r="AL377" s="426">
        <f>I377</f>
        <v>1000</v>
      </c>
      <c r="AO377" s="495"/>
      <c r="AQ377" s="425">
        <f>I377</f>
        <v>1000</v>
      </c>
      <c r="AS377" s="425">
        <f>I377</f>
        <v>1000</v>
      </c>
      <c r="AT377" s="495"/>
      <c r="AY377" s="498">
        <f>I377/24</f>
        <v>41.6666666666667</v>
      </c>
      <c r="BL377" s="425">
        <f>I377/25</f>
        <v>40</v>
      </c>
      <c r="BT377" s="495"/>
      <c r="BV377" s="495"/>
      <c r="CK377" s="425">
        <f t="shared" si="86"/>
        <v>40</v>
      </c>
      <c r="CL377" s="425">
        <f t="shared" si="87"/>
        <v>0</v>
      </c>
      <c r="CM377" s="425">
        <f t="shared" si="88"/>
        <v>0</v>
      </c>
      <c r="CN377" s="495"/>
      <c r="CO377" s="495"/>
      <c r="CP377" s="495"/>
      <c r="CT377" s="495"/>
      <c r="CU377" s="495"/>
      <c r="CV377" s="495"/>
      <c r="CW377" s="495"/>
      <c r="CX377" s="495"/>
    </row>
    <row r="378" s="425" customFormat="1" ht="31" customHeight="1" spans="1:102">
      <c r="A378" s="455">
        <v>45825</v>
      </c>
      <c r="B378" s="456" t="s">
        <v>1383</v>
      </c>
      <c r="C378" s="457" t="s">
        <v>90</v>
      </c>
      <c r="D378" s="425">
        <v>4500170340</v>
      </c>
      <c r="E378" s="457" t="s">
        <v>4125</v>
      </c>
      <c r="F378" s="425" t="s">
        <v>4126</v>
      </c>
      <c r="G378" s="458" t="s">
        <v>3900</v>
      </c>
      <c r="H378" s="458" t="s">
        <v>3237</v>
      </c>
      <c r="I378" s="458">
        <v>3132</v>
      </c>
      <c r="J378" s="458">
        <v>0</v>
      </c>
      <c r="K378" s="458">
        <v>12</v>
      </c>
      <c r="L378" s="462">
        <f t="shared" si="94"/>
        <v>261</v>
      </c>
      <c r="M378" s="463">
        <v>45863</v>
      </c>
      <c r="N378" s="463">
        <v>45859</v>
      </c>
      <c r="O378" s="464"/>
      <c r="P378" s="464" t="s">
        <v>103</v>
      </c>
      <c r="Q378" s="458"/>
      <c r="R378" s="472">
        <v>45825</v>
      </c>
      <c r="S378" s="472" t="s">
        <v>96</v>
      </c>
      <c r="T378" s="472" t="s">
        <v>4127</v>
      </c>
      <c r="U378" s="472"/>
      <c r="V378" s="473" t="s">
        <v>3903</v>
      </c>
      <c r="W378" s="473" t="s">
        <v>1387</v>
      </c>
      <c r="X378" s="473">
        <v>1.3031</v>
      </c>
      <c r="Y378" s="480">
        <f t="shared" si="100"/>
        <v>4081.3092</v>
      </c>
      <c r="Z378" s="458" t="s">
        <v>4128</v>
      </c>
      <c r="AA378" s="458" t="s">
        <v>3236</v>
      </c>
      <c r="AB378" s="458" t="s">
        <v>76</v>
      </c>
      <c r="AC378" s="458"/>
      <c r="AD378" s="458"/>
      <c r="AE378" s="458"/>
      <c r="AF378" s="458">
        <v>3132</v>
      </c>
      <c r="AG378" s="458">
        <f t="shared" si="96"/>
        <v>0</v>
      </c>
      <c r="AH378" s="489"/>
      <c r="AI378" s="458"/>
      <c r="AJ378" s="458"/>
      <c r="AK378" s="458">
        <f t="shared" ref="AK378:AK383" si="106">I378*2</f>
        <v>6264</v>
      </c>
      <c r="AN378" s="425">
        <f t="shared" ref="AN378:AN383" si="107">I378*2</f>
        <v>6264</v>
      </c>
      <c r="AO378" s="495"/>
      <c r="AR378" s="425">
        <f t="shared" ref="AR378:AR383" si="108">I378*2</f>
        <v>6264</v>
      </c>
      <c r="AT378" s="495"/>
      <c r="AY378" s="498">
        <f t="shared" ref="AY378:AY383" si="109">I378/24*2</f>
        <v>261</v>
      </c>
      <c r="BT378" s="495"/>
      <c r="BV378" s="495"/>
      <c r="CH378" s="425">
        <f t="shared" ref="CH378:CH383" si="110">I378</f>
        <v>3132</v>
      </c>
      <c r="CI378" s="425">
        <f t="shared" ref="CI378:CI383" si="111">I378</f>
        <v>3132</v>
      </c>
      <c r="CJ378" s="425">
        <f t="shared" ref="CJ378:CJ383" si="112">I378</f>
        <v>3132</v>
      </c>
      <c r="CK378" s="425">
        <f t="shared" si="86"/>
        <v>0</v>
      </c>
      <c r="CL378" s="425">
        <f t="shared" si="87"/>
        <v>0</v>
      </c>
      <c r="CM378" s="425">
        <f t="shared" si="88"/>
        <v>0</v>
      </c>
      <c r="CN378" s="495"/>
      <c r="CO378" s="495"/>
      <c r="CP378" s="495"/>
      <c r="CT378" s="495"/>
      <c r="CU378" s="495"/>
      <c r="CV378" s="495"/>
      <c r="CW378" s="495"/>
      <c r="CX378" s="495"/>
    </row>
    <row r="379" s="425" customFormat="1" ht="31" customHeight="1" spans="1:102">
      <c r="A379" s="455">
        <v>45825</v>
      </c>
      <c r="B379" s="456" t="s">
        <v>1383</v>
      </c>
      <c r="C379" s="457" t="s">
        <v>90</v>
      </c>
      <c r="D379" s="425">
        <v>4500170340</v>
      </c>
      <c r="E379" s="457" t="s">
        <v>4129</v>
      </c>
      <c r="F379" s="425" t="s">
        <v>4130</v>
      </c>
      <c r="G379" s="458" t="s">
        <v>3900</v>
      </c>
      <c r="H379" s="458" t="s">
        <v>3237</v>
      </c>
      <c r="I379" s="458">
        <v>900</v>
      </c>
      <c r="J379" s="458">
        <v>0</v>
      </c>
      <c r="K379" s="458">
        <v>12</v>
      </c>
      <c r="L379" s="462">
        <f t="shared" si="94"/>
        <v>75</v>
      </c>
      <c r="M379" s="463">
        <v>45863</v>
      </c>
      <c r="N379" s="463">
        <v>45859</v>
      </c>
      <c r="O379" s="464"/>
      <c r="P379" s="464" t="s">
        <v>103</v>
      </c>
      <c r="Q379" s="458"/>
      <c r="R379" s="472">
        <v>45825</v>
      </c>
      <c r="S379" s="472" t="s">
        <v>96</v>
      </c>
      <c r="T379" s="472" t="s">
        <v>4127</v>
      </c>
      <c r="U379" s="472"/>
      <c r="V379" s="473" t="s">
        <v>3903</v>
      </c>
      <c r="W379" s="473" t="s">
        <v>1387</v>
      </c>
      <c r="X379" s="473">
        <v>1.3031</v>
      </c>
      <c r="Y379" s="480">
        <f t="shared" si="100"/>
        <v>1172.79</v>
      </c>
      <c r="Z379" s="458" t="s">
        <v>4128</v>
      </c>
      <c r="AA379" s="458" t="s">
        <v>3236</v>
      </c>
      <c r="AB379" s="458" t="s">
        <v>76</v>
      </c>
      <c r="AC379" s="458"/>
      <c r="AD379" s="458"/>
      <c r="AE379" s="458"/>
      <c r="AF379" s="458">
        <v>900</v>
      </c>
      <c r="AG379" s="458">
        <f t="shared" si="96"/>
        <v>0</v>
      </c>
      <c r="AH379" s="489"/>
      <c r="AI379" s="458"/>
      <c r="AJ379" s="458"/>
      <c r="AK379" s="458">
        <f t="shared" si="106"/>
        <v>1800</v>
      </c>
      <c r="AN379" s="425">
        <f t="shared" si="107"/>
        <v>1800</v>
      </c>
      <c r="AO379" s="495"/>
      <c r="AR379" s="425">
        <f t="shared" si="108"/>
        <v>1800</v>
      </c>
      <c r="AT379" s="495"/>
      <c r="AY379" s="498">
        <f t="shared" si="109"/>
        <v>75</v>
      </c>
      <c r="BT379" s="495"/>
      <c r="BV379" s="495"/>
      <c r="CH379" s="425">
        <f t="shared" si="110"/>
        <v>900</v>
      </c>
      <c r="CI379" s="425">
        <f t="shared" si="111"/>
        <v>900</v>
      </c>
      <c r="CJ379" s="425">
        <f t="shared" si="112"/>
        <v>900</v>
      </c>
      <c r="CK379" s="425">
        <f t="shared" si="86"/>
        <v>0</v>
      </c>
      <c r="CL379" s="425">
        <f t="shared" si="87"/>
        <v>0</v>
      </c>
      <c r="CM379" s="425">
        <f t="shared" si="88"/>
        <v>0</v>
      </c>
      <c r="CN379" s="495"/>
      <c r="CO379" s="495"/>
      <c r="CP379" s="495"/>
      <c r="CT379" s="495"/>
      <c r="CU379" s="495"/>
      <c r="CV379" s="495"/>
      <c r="CW379" s="495"/>
      <c r="CX379" s="495"/>
    </row>
    <row r="380" s="425" customFormat="1" ht="31" customHeight="1" spans="1:102">
      <c r="A380" s="455">
        <v>45825</v>
      </c>
      <c r="B380" s="456" t="s">
        <v>1383</v>
      </c>
      <c r="C380" s="457" t="s">
        <v>90</v>
      </c>
      <c r="D380" s="425">
        <v>4500170342</v>
      </c>
      <c r="E380" s="457" t="s">
        <v>4131</v>
      </c>
      <c r="F380" s="425" t="s">
        <v>4132</v>
      </c>
      <c r="G380" s="458" t="s">
        <v>3900</v>
      </c>
      <c r="H380" s="458" t="s">
        <v>3237</v>
      </c>
      <c r="I380" s="458">
        <v>4200</v>
      </c>
      <c r="J380" s="458">
        <v>0</v>
      </c>
      <c r="K380" s="458">
        <v>12</v>
      </c>
      <c r="L380" s="462">
        <f t="shared" si="94"/>
        <v>350</v>
      </c>
      <c r="M380" s="463">
        <v>45863</v>
      </c>
      <c r="N380" s="463">
        <v>45859</v>
      </c>
      <c r="O380" s="464"/>
      <c r="P380" s="464" t="s">
        <v>103</v>
      </c>
      <c r="Q380" s="458"/>
      <c r="R380" s="472">
        <v>45825</v>
      </c>
      <c r="S380" s="472" t="s">
        <v>96</v>
      </c>
      <c r="T380" s="472" t="s">
        <v>4127</v>
      </c>
      <c r="U380" s="472"/>
      <c r="V380" s="473" t="s">
        <v>3903</v>
      </c>
      <c r="W380" s="473" t="s">
        <v>1387</v>
      </c>
      <c r="X380" s="473">
        <v>1.2969</v>
      </c>
      <c r="Y380" s="480">
        <f t="shared" si="100"/>
        <v>5446.98</v>
      </c>
      <c r="Z380" s="458" t="s">
        <v>4133</v>
      </c>
      <c r="AA380" s="458" t="s">
        <v>3236</v>
      </c>
      <c r="AB380" s="458" t="s">
        <v>76</v>
      </c>
      <c r="AC380" s="458"/>
      <c r="AD380" s="458"/>
      <c r="AE380" s="458"/>
      <c r="AF380" s="458">
        <v>4200</v>
      </c>
      <c r="AG380" s="458">
        <f t="shared" si="96"/>
        <v>0</v>
      </c>
      <c r="AH380" s="489"/>
      <c r="AI380" s="458"/>
      <c r="AJ380" s="458"/>
      <c r="AK380" s="458">
        <f t="shared" si="106"/>
        <v>8400</v>
      </c>
      <c r="AN380" s="425">
        <f t="shared" si="107"/>
        <v>8400</v>
      </c>
      <c r="AO380" s="495"/>
      <c r="AR380" s="425">
        <f t="shared" si="108"/>
        <v>8400</v>
      </c>
      <c r="AT380" s="495"/>
      <c r="AY380" s="498">
        <f t="shared" si="109"/>
        <v>350</v>
      </c>
      <c r="BT380" s="495"/>
      <c r="BV380" s="495"/>
      <c r="CH380" s="425">
        <f t="shared" si="110"/>
        <v>4200</v>
      </c>
      <c r="CI380" s="425">
        <f t="shared" si="111"/>
        <v>4200</v>
      </c>
      <c r="CJ380" s="425">
        <f t="shared" si="112"/>
        <v>4200</v>
      </c>
      <c r="CK380" s="425">
        <f t="shared" si="86"/>
        <v>0</v>
      </c>
      <c r="CL380" s="425">
        <f t="shared" si="87"/>
        <v>0</v>
      </c>
      <c r="CM380" s="425">
        <f t="shared" si="88"/>
        <v>0</v>
      </c>
      <c r="CN380" s="495"/>
      <c r="CO380" s="495"/>
      <c r="CP380" s="495"/>
      <c r="CT380" s="495"/>
      <c r="CU380" s="495"/>
      <c r="CV380" s="495"/>
      <c r="CW380" s="495"/>
      <c r="CX380" s="495"/>
    </row>
    <row r="381" s="425" customFormat="1" ht="31" customHeight="1" spans="1:102">
      <c r="A381" s="455">
        <v>45825</v>
      </c>
      <c r="B381" s="456" t="s">
        <v>1383</v>
      </c>
      <c r="C381" s="457" t="s">
        <v>90</v>
      </c>
      <c r="D381" s="425">
        <v>4500170342</v>
      </c>
      <c r="E381" s="457" t="s">
        <v>4134</v>
      </c>
      <c r="F381" s="425" t="s">
        <v>4135</v>
      </c>
      <c r="G381" s="458" t="s">
        <v>3900</v>
      </c>
      <c r="H381" s="458" t="s">
        <v>3237</v>
      </c>
      <c r="I381" s="458">
        <v>2976</v>
      </c>
      <c r="J381" s="458">
        <v>0</v>
      </c>
      <c r="K381" s="458">
        <v>12</v>
      </c>
      <c r="L381" s="462">
        <f t="shared" si="94"/>
        <v>248</v>
      </c>
      <c r="M381" s="463">
        <v>45863</v>
      </c>
      <c r="N381" s="463">
        <v>45859</v>
      </c>
      <c r="O381" s="464"/>
      <c r="P381" s="464" t="s">
        <v>103</v>
      </c>
      <c r="Q381" s="458"/>
      <c r="R381" s="472">
        <v>45825</v>
      </c>
      <c r="S381" s="472" t="s">
        <v>96</v>
      </c>
      <c r="T381" s="472" t="s">
        <v>4127</v>
      </c>
      <c r="U381" s="472"/>
      <c r="V381" s="473" t="s">
        <v>3903</v>
      </c>
      <c r="W381" s="473" t="s">
        <v>1387</v>
      </c>
      <c r="X381" s="473">
        <v>1.2969</v>
      </c>
      <c r="Y381" s="480">
        <f t="shared" si="100"/>
        <v>3859.5744</v>
      </c>
      <c r="Z381" s="458" t="s">
        <v>4133</v>
      </c>
      <c r="AA381" s="458" t="s">
        <v>3236</v>
      </c>
      <c r="AB381" s="458" t="s">
        <v>76</v>
      </c>
      <c r="AC381" s="458"/>
      <c r="AD381" s="458"/>
      <c r="AE381" s="458"/>
      <c r="AF381" s="458">
        <f>2004+972</f>
        <v>2976</v>
      </c>
      <c r="AG381" s="458">
        <f t="shared" si="96"/>
        <v>0</v>
      </c>
      <c r="AH381" s="489"/>
      <c r="AI381" s="458"/>
      <c r="AJ381" s="458"/>
      <c r="AK381" s="458">
        <f t="shared" si="106"/>
        <v>5952</v>
      </c>
      <c r="AN381" s="425">
        <f t="shared" si="107"/>
        <v>5952</v>
      </c>
      <c r="AO381" s="495"/>
      <c r="AR381" s="425">
        <f t="shared" si="108"/>
        <v>5952</v>
      </c>
      <c r="AT381" s="495"/>
      <c r="AY381" s="498">
        <f t="shared" si="109"/>
        <v>248</v>
      </c>
      <c r="BT381" s="495"/>
      <c r="BV381" s="495"/>
      <c r="CH381" s="425">
        <f t="shared" si="110"/>
        <v>2976</v>
      </c>
      <c r="CI381" s="425">
        <f t="shared" si="111"/>
        <v>2976</v>
      </c>
      <c r="CJ381" s="425">
        <f t="shared" si="112"/>
        <v>2976</v>
      </c>
      <c r="CK381" s="425">
        <f t="shared" si="86"/>
        <v>0</v>
      </c>
      <c r="CL381" s="425">
        <f t="shared" si="87"/>
        <v>0</v>
      </c>
      <c r="CM381" s="425">
        <f t="shared" si="88"/>
        <v>0</v>
      </c>
      <c r="CN381" s="495"/>
      <c r="CO381" s="495"/>
      <c r="CP381" s="495"/>
      <c r="CT381" s="495"/>
      <c r="CU381" s="495"/>
      <c r="CV381" s="495"/>
      <c r="CW381" s="495"/>
      <c r="CX381" s="495"/>
    </row>
    <row r="382" s="425" customFormat="1" ht="31" customHeight="1" spans="1:102">
      <c r="A382" s="455">
        <v>45825</v>
      </c>
      <c r="B382" s="456" t="s">
        <v>1383</v>
      </c>
      <c r="C382" s="457" t="s">
        <v>90</v>
      </c>
      <c r="D382" s="425">
        <v>4500170344</v>
      </c>
      <c r="E382" s="457" t="s">
        <v>4136</v>
      </c>
      <c r="F382" s="425" t="s">
        <v>4137</v>
      </c>
      <c r="G382" s="458" t="s">
        <v>3900</v>
      </c>
      <c r="H382" s="458" t="s">
        <v>3237</v>
      </c>
      <c r="I382" s="458">
        <v>3912</v>
      </c>
      <c r="J382" s="458">
        <v>0</v>
      </c>
      <c r="K382" s="458">
        <v>12</v>
      </c>
      <c r="L382" s="462">
        <f t="shared" si="94"/>
        <v>326</v>
      </c>
      <c r="M382" s="463">
        <v>45863</v>
      </c>
      <c r="N382" s="463">
        <v>45859</v>
      </c>
      <c r="O382" s="464"/>
      <c r="P382" s="464" t="s">
        <v>103</v>
      </c>
      <c r="Q382" s="458"/>
      <c r="R382" s="472">
        <v>45825</v>
      </c>
      <c r="S382" s="472" t="s">
        <v>96</v>
      </c>
      <c r="T382" s="472" t="s">
        <v>4127</v>
      </c>
      <c r="U382" s="472"/>
      <c r="V382" s="473" t="s">
        <v>4138</v>
      </c>
      <c r="W382" s="473" t="s">
        <v>1387</v>
      </c>
      <c r="X382" s="473">
        <v>1.3031</v>
      </c>
      <c r="Y382" s="480">
        <f t="shared" si="100"/>
        <v>5097.7272</v>
      </c>
      <c r="Z382" s="458" t="s">
        <v>4139</v>
      </c>
      <c r="AA382" s="458" t="s">
        <v>3236</v>
      </c>
      <c r="AB382" s="458" t="s">
        <v>76</v>
      </c>
      <c r="AC382" s="458"/>
      <c r="AD382" s="458"/>
      <c r="AE382" s="458"/>
      <c r="AF382" s="458">
        <v>3912</v>
      </c>
      <c r="AG382" s="458">
        <f t="shared" si="96"/>
        <v>0</v>
      </c>
      <c r="AH382" s="489"/>
      <c r="AI382" s="458"/>
      <c r="AJ382" s="458"/>
      <c r="AK382" s="458">
        <f t="shared" si="106"/>
        <v>7824</v>
      </c>
      <c r="AN382" s="425">
        <f t="shared" si="107"/>
        <v>7824</v>
      </c>
      <c r="AO382" s="495"/>
      <c r="AR382" s="425">
        <f t="shared" si="108"/>
        <v>7824</v>
      </c>
      <c r="AT382" s="495"/>
      <c r="AY382" s="498">
        <f t="shared" si="109"/>
        <v>326</v>
      </c>
      <c r="BT382" s="495"/>
      <c r="BV382" s="495"/>
      <c r="CH382" s="425">
        <f t="shared" si="110"/>
        <v>3912</v>
      </c>
      <c r="CI382" s="425">
        <f t="shared" si="111"/>
        <v>3912</v>
      </c>
      <c r="CJ382" s="425">
        <f t="shared" si="112"/>
        <v>3912</v>
      </c>
      <c r="CK382" s="425">
        <f t="shared" si="86"/>
        <v>0</v>
      </c>
      <c r="CL382" s="425">
        <f t="shared" si="87"/>
        <v>0</v>
      </c>
      <c r="CM382" s="425">
        <f t="shared" si="88"/>
        <v>0</v>
      </c>
      <c r="CN382" s="495"/>
      <c r="CO382" s="495"/>
      <c r="CP382" s="495"/>
      <c r="CT382" s="495"/>
      <c r="CU382" s="495"/>
      <c r="CV382" s="495"/>
      <c r="CW382" s="495"/>
      <c r="CX382" s="495"/>
    </row>
    <row r="383" s="425" customFormat="1" ht="31" customHeight="1" spans="1:102">
      <c r="A383" s="455">
        <v>45825</v>
      </c>
      <c r="B383" s="456" t="s">
        <v>1383</v>
      </c>
      <c r="C383" s="457" t="s">
        <v>90</v>
      </c>
      <c r="D383" s="425">
        <v>4500170346</v>
      </c>
      <c r="E383" s="457" t="s">
        <v>4140</v>
      </c>
      <c r="F383" s="425" t="s">
        <v>4141</v>
      </c>
      <c r="G383" s="458" t="s">
        <v>3900</v>
      </c>
      <c r="H383" s="458" t="s">
        <v>3237</v>
      </c>
      <c r="I383" s="458">
        <v>5064</v>
      </c>
      <c r="J383" s="458">
        <v>0</v>
      </c>
      <c r="K383" s="458">
        <v>12</v>
      </c>
      <c r="L383" s="462">
        <f t="shared" si="94"/>
        <v>422</v>
      </c>
      <c r="M383" s="463">
        <v>45863</v>
      </c>
      <c r="N383" s="463">
        <v>45859</v>
      </c>
      <c r="O383" s="464"/>
      <c r="P383" s="464" t="s">
        <v>103</v>
      </c>
      <c r="Q383" s="458"/>
      <c r="R383" s="472">
        <v>45825</v>
      </c>
      <c r="S383" s="472" t="s">
        <v>96</v>
      </c>
      <c r="T383" s="472" t="s">
        <v>4127</v>
      </c>
      <c r="U383" s="472"/>
      <c r="V383" s="473" t="s">
        <v>4138</v>
      </c>
      <c r="W383" s="473" t="s">
        <v>1387</v>
      </c>
      <c r="X383" s="473">
        <v>1.2969</v>
      </c>
      <c r="Y383" s="480">
        <f t="shared" si="100"/>
        <v>6567.5016</v>
      </c>
      <c r="Z383" s="458"/>
      <c r="AA383" s="458" t="s">
        <v>3236</v>
      </c>
      <c r="AB383" s="458" t="s">
        <v>76</v>
      </c>
      <c r="AC383" s="458"/>
      <c r="AD383" s="458"/>
      <c r="AE383" s="458"/>
      <c r="AF383" s="458">
        <v>5064</v>
      </c>
      <c r="AG383" s="458">
        <f t="shared" si="96"/>
        <v>0</v>
      </c>
      <c r="AH383" s="489"/>
      <c r="AI383" s="458"/>
      <c r="AJ383" s="458"/>
      <c r="AK383" s="458">
        <f t="shared" si="106"/>
        <v>10128</v>
      </c>
      <c r="AN383" s="425">
        <f t="shared" si="107"/>
        <v>10128</v>
      </c>
      <c r="AO383" s="495"/>
      <c r="AR383" s="425">
        <f t="shared" si="108"/>
        <v>10128</v>
      </c>
      <c r="AT383" s="495"/>
      <c r="AY383" s="498">
        <f t="shared" si="109"/>
        <v>422</v>
      </c>
      <c r="BT383" s="495"/>
      <c r="BV383" s="495"/>
      <c r="CH383" s="425">
        <f t="shared" si="110"/>
        <v>5064</v>
      </c>
      <c r="CI383" s="425">
        <f t="shared" si="111"/>
        <v>5064</v>
      </c>
      <c r="CJ383" s="425">
        <f t="shared" si="112"/>
        <v>5064</v>
      </c>
      <c r="CK383" s="425">
        <f t="shared" si="86"/>
        <v>0</v>
      </c>
      <c r="CL383" s="425">
        <f t="shared" si="87"/>
        <v>0</v>
      </c>
      <c r="CM383" s="425">
        <f t="shared" si="88"/>
        <v>0</v>
      </c>
      <c r="CN383" s="495"/>
      <c r="CO383" s="495"/>
      <c r="CP383" s="495"/>
      <c r="CT383" s="495"/>
      <c r="CU383" s="495"/>
      <c r="CV383" s="495"/>
      <c r="CW383" s="495"/>
      <c r="CX383" s="495"/>
    </row>
    <row r="384" s="425" customFormat="1" ht="31" customHeight="1" spans="1:102">
      <c r="A384" s="455">
        <v>45821</v>
      </c>
      <c r="B384" s="456" t="s">
        <v>125</v>
      </c>
      <c r="C384" s="457" t="s">
        <v>71</v>
      </c>
      <c r="D384" s="425">
        <v>4500169879</v>
      </c>
      <c r="E384" s="457">
        <v>20922495</v>
      </c>
      <c r="F384" s="425" t="s">
        <v>4142</v>
      </c>
      <c r="G384" s="458" t="s">
        <v>3206</v>
      </c>
      <c r="H384" s="458" t="s">
        <v>3207</v>
      </c>
      <c r="I384" s="458">
        <v>299</v>
      </c>
      <c r="J384" s="458">
        <v>0</v>
      </c>
      <c r="K384" s="458">
        <v>13</v>
      </c>
      <c r="L384" s="462">
        <f t="shared" si="94"/>
        <v>23</v>
      </c>
      <c r="M384" s="463">
        <v>45866</v>
      </c>
      <c r="N384" s="463">
        <v>45862</v>
      </c>
      <c r="O384" s="464"/>
      <c r="P384" s="464" t="s">
        <v>103</v>
      </c>
      <c r="Q384" s="458"/>
      <c r="R384" s="472">
        <v>45821</v>
      </c>
      <c r="S384" s="472" t="s">
        <v>96</v>
      </c>
      <c r="T384" s="472">
        <v>45845</v>
      </c>
      <c r="U384" s="472"/>
      <c r="V384" s="473" t="s">
        <v>4143</v>
      </c>
      <c r="W384" s="473" t="s">
        <v>121</v>
      </c>
      <c r="X384" s="473">
        <v>0.9526</v>
      </c>
      <c r="Y384" s="480">
        <f t="shared" si="100"/>
        <v>284.8274</v>
      </c>
      <c r="Z384" s="458"/>
      <c r="AA384" s="458" t="s">
        <v>3206</v>
      </c>
      <c r="AB384" s="458" t="s">
        <v>76</v>
      </c>
      <c r="AC384" s="458"/>
      <c r="AD384" s="458"/>
      <c r="AE384" s="458"/>
      <c r="AF384" s="458">
        <v>299</v>
      </c>
      <c r="AG384" s="458">
        <f t="shared" si="96"/>
        <v>0</v>
      </c>
      <c r="AH384" s="489"/>
      <c r="AI384" s="458"/>
      <c r="AJ384" s="458"/>
      <c r="AK384" s="458"/>
      <c r="AL384" s="426">
        <f>I384</f>
        <v>299</v>
      </c>
      <c r="AO384" s="495"/>
      <c r="AQ384" s="425">
        <f>I384</f>
        <v>299</v>
      </c>
      <c r="AS384" s="425">
        <f>I384</f>
        <v>299</v>
      </c>
      <c r="AT384" s="495"/>
      <c r="AY384" s="498">
        <f>I384/24</f>
        <v>12.4583333333333</v>
      </c>
      <c r="BI384" s="425">
        <f>I384/13</f>
        <v>23</v>
      </c>
      <c r="BT384" s="495"/>
      <c r="BV384" s="495"/>
      <c r="CK384" s="425">
        <f t="shared" si="86"/>
        <v>0</v>
      </c>
      <c r="CL384" s="425">
        <f t="shared" si="87"/>
        <v>0</v>
      </c>
      <c r="CM384" s="425">
        <f t="shared" si="88"/>
        <v>0</v>
      </c>
      <c r="CN384" s="495"/>
      <c r="CO384" s="495"/>
      <c r="CP384" s="495"/>
      <c r="CT384" s="495"/>
      <c r="CU384" s="495"/>
      <c r="CV384" s="495"/>
      <c r="CW384" s="495"/>
      <c r="CX384" s="495"/>
    </row>
    <row r="385" s="425" customFormat="1" ht="31" customHeight="1" spans="1:102">
      <c r="A385" s="455">
        <v>45821</v>
      </c>
      <c r="B385" s="456" t="s">
        <v>122</v>
      </c>
      <c r="C385" s="457" t="s">
        <v>116</v>
      </c>
      <c r="D385" s="425">
        <v>4500169878</v>
      </c>
      <c r="E385" s="457">
        <v>20922494</v>
      </c>
      <c r="F385" s="425" t="s">
        <v>4144</v>
      </c>
      <c r="G385" s="458" t="s">
        <v>3206</v>
      </c>
      <c r="H385" s="458" t="s">
        <v>3207</v>
      </c>
      <c r="I385" s="458">
        <v>3536</v>
      </c>
      <c r="J385" s="458">
        <v>0</v>
      </c>
      <c r="K385" s="458">
        <v>13</v>
      </c>
      <c r="L385" s="462">
        <f t="shared" si="94"/>
        <v>272</v>
      </c>
      <c r="M385" s="463">
        <v>45866</v>
      </c>
      <c r="N385" s="463">
        <v>45862</v>
      </c>
      <c r="O385" s="464"/>
      <c r="P385" s="464" t="s">
        <v>103</v>
      </c>
      <c r="Q385" s="458"/>
      <c r="R385" s="472">
        <v>45821</v>
      </c>
      <c r="S385" s="472" t="s">
        <v>96</v>
      </c>
      <c r="T385" s="472">
        <v>45845</v>
      </c>
      <c r="U385" s="472"/>
      <c r="V385" s="473" t="s">
        <v>3930</v>
      </c>
      <c r="W385" s="473" t="s">
        <v>121</v>
      </c>
      <c r="X385" s="473">
        <v>0.9475</v>
      </c>
      <c r="Y385" s="480">
        <f t="shared" si="100"/>
        <v>3350.36</v>
      </c>
      <c r="Z385" s="458"/>
      <c r="AA385" s="458" t="s">
        <v>3206</v>
      </c>
      <c r="AB385" s="458" t="s">
        <v>76</v>
      </c>
      <c r="AC385" s="458"/>
      <c r="AD385" s="458"/>
      <c r="AE385" s="458"/>
      <c r="AF385" s="458">
        <v>3536</v>
      </c>
      <c r="AG385" s="458">
        <f t="shared" si="96"/>
        <v>0</v>
      </c>
      <c r="AH385" s="489"/>
      <c r="AI385" s="458"/>
      <c r="AJ385" s="458"/>
      <c r="AK385" s="458"/>
      <c r="AL385" s="426">
        <f>I385</f>
        <v>3536</v>
      </c>
      <c r="AO385" s="495"/>
      <c r="AQ385" s="425">
        <f>I385</f>
        <v>3536</v>
      </c>
      <c r="AS385" s="425">
        <f>I385</f>
        <v>3536</v>
      </c>
      <c r="AT385" s="495"/>
      <c r="AY385" s="498">
        <f>I385/24</f>
        <v>147.333333333333</v>
      </c>
      <c r="BI385" s="425">
        <f>I385/13</f>
        <v>272</v>
      </c>
      <c r="BT385" s="495"/>
      <c r="BV385" s="495"/>
      <c r="CK385" s="425">
        <f t="shared" si="86"/>
        <v>0</v>
      </c>
      <c r="CL385" s="425">
        <f t="shared" si="87"/>
        <v>0</v>
      </c>
      <c r="CM385" s="425">
        <f t="shared" si="88"/>
        <v>0</v>
      </c>
      <c r="CN385" s="495"/>
      <c r="CO385" s="495"/>
      <c r="CP385" s="495"/>
      <c r="CT385" s="495"/>
      <c r="CU385" s="495"/>
      <c r="CV385" s="495"/>
      <c r="CW385" s="495"/>
      <c r="CX385" s="495"/>
    </row>
    <row r="386" s="425" customFormat="1" ht="31" customHeight="1" spans="1:102">
      <c r="A386" s="455">
        <v>45820</v>
      </c>
      <c r="B386" s="456" t="s">
        <v>128</v>
      </c>
      <c r="C386" s="457" t="s">
        <v>90</v>
      </c>
      <c r="D386" s="425">
        <v>4500169834</v>
      </c>
      <c r="E386" s="895" t="s">
        <v>4145</v>
      </c>
      <c r="F386" s="425" t="s">
        <v>4146</v>
      </c>
      <c r="G386" s="458" t="s">
        <v>3180</v>
      </c>
      <c r="H386" s="458" t="s">
        <v>3181</v>
      </c>
      <c r="I386" s="458">
        <v>8736</v>
      </c>
      <c r="J386" s="458">
        <v>0</v>
      </c>
      <c r="K386" s="458">
        <v>16</v>
      </c>
      <c r="L386" s="462">
        <f t="shared" si="94"/>
        <v>546</v>
      </c>
      <c r="M386" s="463">
        <v>45867</v>
      </c>
      <c r="N386" s="463">
        <v>45863</v>
      </c>
      <c r="O386" s="464" t="s">
        <v>1312</v>
      </c>
      <c r="P386" s="464" t="s">
        <v>103</v>
      </c>
      <c r="Q386" s="458"/>
      <c r="R386" s="472" t="s">
        <v>132</v>
      </c>
      <c r="S386" s="472" t="s">
        <v>66</v>
      </c>
      <c r="T386" s="472" t="s">
        <v>133</v>
      </c>
      <c r="U386" s="472"/>
      <c r="V386" s="473" t="s">
        <v>4054</v>
      </c>
      <c r="W386" s="473" t="s">
        <v>98</v>
      </c>
      <c r="X386" s="473">
        <v>0.5936</v>
      </c>
      <c r="Y386" s="480">
        <f t="shared" si="100"/>
        <v>5185.6896</v>
      </c>
      <c r="Z386" s="458" t="s">
        <v>4147</v>
      </c>
      <c r="AA386" s="458" t="s">
        <v>3180</v>
      </c>
      <c r="AB386" s="458" t="s">
        <v>76</v>
      </c>
      <c r="AC386" s="458"/>
      <c r="AD386" s="458"/>
      <c r="AE386" s="458"/>
      <c r="AF386" s="458">
        <v>8736</v>
      </c>
      <c r="AG386" s="458">
        <f t="shared" si="96"/>
        <v>0</v>
      </c>
      <c r="AH386" s="489"/>
      <c r="AI386" s="458"/>
      <c r="AJ386" s="458"/>
      <c r="AK386" s="458">
        <f>I386</f>
        <v>8736</v>
      </c>
      <c r="AM386" s="425">
        <f>I386</f>
        <v>8736</v>
      </c>
      <c r="AO386" s="495"/>
      <c r="AR386" s="425">
        <f>I386</f>
        <v>8736</v>
      </c>
      <c r="AT386" s="495"/>
      <c r="AY386" s="498">
        <f>I386/48</f>
        <v>182</v>
      </c>
      <c r="BM386" s="425">
        <f>I386/16</f>
        <v>546</v>
      </c>
      <c r="BT386" s="495"/>
      <c r="BV386" s="495"/>
      <c r="CK386" s="425">
        <f t="shared" si="86"/>
        <v>546</v>
      </c>
      <c r="CL386" s="425">
        <f t="shared" si="87"/>
        <v>0</v>
      </c>
      <c r="CM386" s="425">
        <f t="shared" si="88"/>
        <v>0</v>
      </c>
      <c r="CN386" s="495"/>
      <c r="CO386" s="495"/>
      <c r="CP386" s="495"/>
      <c r="CT386" s="495"/>
      <c r="CU386" s="495"/>
      <c r="CV386" s="495"/>
      <c r="CW386" s="495"/>
      <c r="CX386" s="495"/>
    </row>
    <row r="387" s="425" customFormat="1" ht="31" customHeight="1" spans="1:102">
      <c r="A387" s="455">
        <v>45820</v>
      </c>
      <c r="B387" s="456" t="s">
        <v>128</v>
      </c>
      <c r="C387" s="457" t="s">
        <v>90</v>
      </c>
      <c r="D387" s="425">
        <v>4500169834</v>
      </c>
      <c r="E387" s="895" t="s">
        <v>4148</v>
      </c>
      <c r="F387" s="425" t="s">
        <v>4149</v>
      </c>
      <c r="G387" s="458" t="s">
        <v>3180</v>
      </c>
      <c r="H387" s="458" t="s">
        <v>3181</v>
      </c>
      <c r="I387" s="458">
        <v>9088</v>
      </c>
      <c r="J387" s="458">
        <v>0</v>
      </c>
      <c r="K387" s="458">
        <v>16</v>
      </c>
      <c r="L387" s="462">
        <f t="shared" si="94"/>
        <v>568</v>
      </c>
      <c r="M387" s="463">
        <v>45867</v>
      </c>
      <c r="N387" s="463">
        <v>45863</v>
      </c>
      <c r="O387" s="464" t="s">
        <v>1312</v>
      </c>
      <c r="P387" s="464" t="s">
        <v>103</v>
      </c>
      <c r="Q387" s="458"/>
      <c r="R387" s="472" t="s">
        <v>132</v>
      </c>
      <c r="S387" s="472" t="s">
        <v>66</v>
      </c>
      <c r="T387" s="472" t="s">
        <v>133</v>
      </c>
      <c r="U387" s="472"/>
      <c r="V387" s="473" t="s">
        <v>4054</v>
      </c>
      <c r="W387" s="473" t="s">
        <v>98</v>
      </c>
      <c r="X387" s="473">
        <v>0.5936</v>
      </c>
      <c r="Y387" s="480">
        <f t="shared" si="100"/>
        <v>5394.6368</v>
      </c>
      <c r="Z387" s="458" t="s">
        <v>4150</v>
      </c>
      <c r="AA387" s="458" t="s">
        <v>3180</v>
      </c>
      <c r="AB387" s="458" t="s">
        <v>76</v>
      </c>
      <c r="AC387" s="458"/>
      <c r="AD387" s="458"/>
      <c r="AE387" s="458"/>
      <c r="AF387" s="458">
        <v>9088</v>
      </c>
      <c r="AG387" s="458">
        <f t="shared" si="96"/>
        <v>0</v>
      </c>
      <c r="AH387" s="489"/>
      <c r="AI387" s="458"/>
      <c r="AJ387" s="458"/>
      <c r="AK387" s="458">
        <f>I387</f>
        <v>9088</v>
      </c>
      <c r="AM387" s="425">
        <f>I387</f>
        <v>9088</v>
      </c>
      <c r="AO387" s="495"/>
      <c r="AR387" s="425">
        <f>I387</f>
        <v>9088</v>
      </c>
      <c r="AT387" s="495"/>
      <c r="AY387" s="498">
        <f>I387/48</f>
        <v>189.333333333333</v>
      </c>
      <c r="BM387" s="425">
        <f>I387/16</f>
        <v>568</v>
      </c>
      <c r="BT387" s="495"/>
      <c r="BV387" s="495"/>
      <c r="CK387" s="425">
        <f t="shared" ref="CK387:CK450" si="113">BM387+BL387+BK387+BJ387+BS387</f>
        <v>568</v>
      </c>
      <c r="CL387" s="425">
        <f t="shared" ref="CL387:CL450" si="114">CA387+CB387+CC387+CD387+CE387+CG387+CF387</f>
        <v>0</v>
      </c>
      <c r="CM387" s="425">
        <f t="shared" ref="CM387:CM450" si="115">BY387+BZ387</f>
        <v>0</v>
      </c>
      <c r="CN387" s="495"/>
      <c r="CO387" s="495"/>
      <c r="CP387" s="495"/>
      <c r="CT387" s="495"/>
      <c r="CU387" s="495"/>
      <c r="CV387" s="495"/>
      <c r="CW387" s="495"/>
      <c r="CX387" s="495"/>
    </row>
    <row r="388" s="425" customFormat="1" ht="31" customHeight="1" spans="1:102">
      <c r="A388" s="455">
        <v>45826</v>
      </c>
      <c r="B388" s="456" t="s">
        <v>115</v>
      </c>
      <c r="C388" s="457" t="s">
        <v>116</v>
      </c>
      <c r="D388" s="425">
        <v>4500170489</v>
      </c>
      <c r="E388" s="457">
        <v>84439</v>
      </c>
      <c r="F388" s="425" t="s">
        <v>4151</v>
      </c>
      <c r="G388" s="458" t="s">
        <v>3165</v>
      </c>
      <c r="H388" s="458" t="s">
        <v>3303</v>
      </c>
      <c r="I388" s="458">
        <v>5000</v>
      </c>
      <c r="J388" s="458">
        <v>0</v>
      </c>
      <c r="K388" s="458">
        <v>25</v>
      </c>
      <c r="L388" s="462">
        <f t="shared" si="94"/>
        <v>200</v>
      </c>
      <c r="M388" s="463">
        <v>45869</v>
      </c>
      <c r="N388" s="463">
        <v>45866</v>
      </c>
      <c r="O388" s="464"/>
      <c r="P388" s="464" t="s">
        <v>103</v>
      </c>
      <c r="Q388" s="458"/>
      <c r="R388" s="472">
        <v>45831</v>
      </c>
      <c r="S388" s="472" t="s">
        <v>66</v>
      </c>
      <c r="T388" s="472" t="s">
        <v>4152</v>
      </c>
      <c r="U388" s="472"/>
      <c r="V388" s="473" t="s">
        <v>4153</v>
      </c>
      <c r="W388" s="473" t="s">
        <v>196</v>
      </c>
      <c r="X388" s="473">
        <v>0.9365</v>
      </c>
      <c r="Y388" s="480">
        <f t="shared" si="100"/>
        <v>4682.5</v>
      </c>
      <c r="Z388" s="458"/>
      <c r="AA388" s="458" t="s">
        <v>3165</v>
      </c>
      <c r="AB388" s="458" t="s">
        <v>76</v>
      </c>
      <c r="AC388" s="458"/>
      <c r="AD388" s="458"/>
      <c r="AE388" s="458"/>
      <c r="AF388" s="458">
        <v>5000</v>
      </c>
      <c r="AG388" s="458">
        <f t="shared" si="96"/>
        <v>0</v>
      </c>
      <c r="AH388" s="489"/>
      <c r="AI388" s="458"/>
      <c r="AJ388" s="458"/>
      <c r="AK388" s="458"/>
      <c r="AL388" s="426">
        <f>I388</f>
        <v>5000</v>
      </c>
      <c r="AO388" s="495"/>
      <c r="AQ388" s="425">
        <f>I388</f>
        <v>5000</v>
      </c>
      <c r="AS388" s="425">
        <f>I388</f>
        <v>5000</v>
      </c>
      <c r="AT388" s="495"/>
      <c r="AY388" s="498">
        <f>I388/24</f>
        <v>208.333333333333</v>
      </c>
      <c r="BL388" s="425">
        <f>I388/25</f>
        <v>200</v>
      </c>
      <c r="BT388" s="495"/>
      <c r="BV388" s="495"/>
      <c r="CK388" s="425">
        <f t="shared" si="113"/>
        <v>200</v>
      </c>
      <c r="CL388" s="425">
        <f t="shared" si="114"/>
        <v>0</v>
      </c>
      <c r="CM388" s="425">
        <f t="shared" si="115"/>
        <v>0</v>
      </c>
      <c r="CN388" s="495"/>
      <c r="CO388" s="495"/>
      <c r="CP388" s="495"/>
      <c r="CT388" s="495"/>
      <c r="CU388" s="495"/>
      <c r="CV388" s="495"/>
      <c r="CW388" s="495"/>
      <c r="CX388" s="495"/>
    </row>
    <row r="389" s="425" customFormat="1" ht="31" customHeight="1" spans="1:102">
      <c r="A389" s="455">
        <v>45841</v>
      </c>
      <c r="B389" s="456"/>
      <c r="C389" s="457"/>
      <c r="D389" s="425" t="s">
        <v>1019</v>
      </c>
      <c r="E389" s="457"/>
      <c r="G389" s="458" t="s">
        <v>3143</v>
      </c>
      <c r="H389" s="458" t="s">
        <v>3144</v>
      </c>
      <c r="I389" s="458" t="s">
        <v>3170</v>
      </c>
      <c r="J389" s="458"/>
      <c r="K389" s="458"/>
      <c r="L389" s="462"/>
      <c r="M389" s="463">
        <v>45852</v>
      </c>
      <c r="N389" s="463">
        <v>45848</v>
      </c>
      <c r="O389" s="464"/>
      <c r="P389" s="464"/>
      <c r="Q389" s="458"/>
      <c r="R389" s="472">
        <v>45841</v>
      </c>
      <c r="S389" s="472" t="s">
        <v>66</v>
      </c>
      <c r="T389" s="472" t="s">
        <v>66</v>
      </c>
      <c r="U389" s="472"/>
      <c r="V389" s="473" t="s">
        <v>4154</v>
      </c>
      <c r="W389" s="473" t="s">
        <v>79</v>
      </c>
      <c r="X389" s="473"/>
      <c r="Y389" s="480"/>
      <c r="Z389" s="458" t="s">
        <v>1021</v>
      </c>
      <c r="AA389" s="458" t="s">
        <v>68</v>
      </c>
      <c r="AB389" s="458" t="s">
        <v>68</v>
      </c>
      <c r="AC389" s="458"/>
      <c r="AD389" s="458"/>
      <c r="AE389" s="458"/>
      <c r="AF389" s="458">
        <v>20</v>
      </c>
      <c r="AG389" s="458">
        <v>0</v>
      </c>
      <c r="AH389" s="489"/>
      <c r="AI389" s="458"/>
      <c r="AJ389" s="458"/>
      <c r="AK389" s="458"/>
      <c r="AL389" s="426" t="str">
        <f>I389</f>
        <v>20套散件</v>
      </c>
      <c r="AO389" s="495"/>
      <c r="AT389" s="495"/>
      <c r="AY389" s="498"/>
      <c r="BT389" s="495"/>
      <c r="BV389" s="495"/>
      <c r="CK389" s="425">
        <f t="shared" si="113"/>
        <v>0</v>
      </c>
      <c r="CL389" s="425">
        <f t="shared" si="114"/>
        <v>0</v>
      </c>
      <c r="CM389" s="425">
        <f t="shared" si="115"/>
        <v>0</v>
      </c>
      <c r="CN389" s="495"/>
      <c r="CO389" s="495"/>
      <c r="CP389" s="495"/>
      <c r="CT389" s="495"/>
      <c r="CU389" s="495"/>
      <c r="CV389" s="495"/>
      <c r="CW389" s="495"/>
      <c r="CX389" s="495"/>
    </row>
    <row r="390" s="425" customFormat="1" ht="31" customHeight="1" spans="1:102">
      <c r="A390" s="455">
        <v>45835</v>
      </c>
      <c r="B390" s="456"/>
      <c r="C390" s="457"/>
      <c r="D390" s="425" t="s">
        <v>4155</v>
      </c>
      <c r="E390" s="457"/>
      <c r="G390" s="458" t="s">
        <v>3138</v>
      </c>
      <c r="H390" s="458" t="s">
        <v>3139</v>
      </c>
      <c r="I390" s="458" t="s">
        <v>4156</v>
      </c>
      <c r="J390" s="458">
        <v>0</v>
      </c>
      <c r="K390" s="458">
        <v>24</v>
      </c>
      <c r="L390" s="462" t="e">
        <f t="shared" ref="L390:L448" si="116">I390/K390</f>
        <v>#VALUE!</v>
      </c>
      <c r="M390" s="463">
        <v>45847</v>
      </c>
      <c r="N390" s="463">
        <v>45843</v>
      </c>
      <c r="O390" s="464"/>
      <c r="P390" s="464"/>
      <c r="Q390" s="458"/>
      <c r="R390" s="472" t="s">
        <v>66</v>
      </c>
      <c r="S390" s="472" t="s">
        <v>66</v>
      </c>
      <c r="T390" s="472" t="s">
        <v>66</v>
      </c>
      <c r="U390" s="472"/>
      <c r="V390" s="473" t="s">
        <v>4157</v>
      </c>
      <c r="W390" s="473" t="s">
        <v>79</v>
      </c>
      <c r="X390" s="473"/>
      <c r="Y390" s="480"/>
      <c r="Z390" s="458" t="s">
        <v>4158</v>
      </c>
      <c r="AA390" s="458" t="s">
        <v>68</v>
      </c>
      <c r="AB390" s="458" t="s">
        <v>68</v>
      </c>
      <c r="AC390" s="458"/>
      <c r="AD390" s="458"/>
      <c r="AE390" s="458"/>
      <c r="AF390" s="458">
        <v>15</v>
      </c>
      <c r="AG390" s="458"/>
      <c r="AH390" s="489"/>
      <c r="AI390" s="458"/>
      <c r="AJ390" s="458"/>
      <c r="AK390" s="458"/>
      <c r="AO390" s="495"/>
      <c r="AT390" s="495"/>
      <c r="AY390" s="498"/>
      <c r="BT390" s="495"/>
      <c r="BV390" s="495"/>
      <c r="CK390" s="425">
        <f t="shared" si="113"/>
        <v>0</v>
      </c>
      <c r="CL390" s="425">
        <f t="shared" si="114"/>
        <v>0</v>
      </c>
      <c r="CM390" s="425">
        <f t="shared" si="115"/>
        <v>0</v>
      </c>
      <c r="CN390" s="495"/>
      <c r="CO390" s="495"/>
      <c r="CP390" s="495"/>
      <c r="CT390" s="495"/>
      <c r="CU390" s="495"/>
      <c r="CV390" s="495"/>
      <c r="CW390" s="495"/>
      <c r="CX390" s="495"/>
    </row>
    <row r="391" s="425" customFormat="1" ht="31" customHeight="1" spans="1:102">
      <c r="A391" s="455">
        <v>45813</v>
      </c>
      <c r="B391" s="456" t="s">
        <v>605</v>
      </c>
      <c r="C391" s="457" t="s">
        <v>366</v>
      </c>
      <c r="D391" s="425">
        <v>4500169038</v>
      </c>
      <c r="E391" s="457" t="s">
        <v>1059</v>
      </c>
      <c r="F391" s="425" t="s">
        <v>4159</v>
      </c>
      <c r="G391" s="458" t="s">
        <v>3231</v>
      </c>
      <c r="H391" s="458" t="s">
        <v>3207</v>
      </c>
      <c r="I391" s="458">
        <v>520</v>
      </c>
      <c r="J391" s="458">
        <v>0</v>
      </c>
      <c r="K391" s="458">
        <v>13</v>
      </c>
      <c r="L391" s="462">
        <f t="shared" si="116"/>
        <v>40</v>
      </c>
      <c r="M391" s="463">
        <v>45859</v>
      </c>
      <c r="N391" s="463">
        <v>45859</v>
      </c>
      <c r="O391" s="464"/>
      <c r="P391" s="464" t="s">
        <v>103</v>
      </c>
      <c r="Q391" s="458"/>
      <c r="R391" s="472">
        <v>45813</v>
      </c>
      <c r="S391" s="472" t="s">
        <v>66</v>
      </c>
      <c r="T391" s="472" t="s">
        <v>3562</v>
      </c>
      <c r="U391" s="472"/>
      <c r="V391" s="473" t="s">
        <v>4160</v>
      </c>
      <c r="W391" s="473" t="s">
        <v>370</v>
      </c>
      <c r="X391" s="473">
        <v>0.9168</v>
      </c>
      <c r="Y391" s="480">
        <f>X391*I391</f>
        <v>476.736</v>
      </c>
      <c r="Z391" s="509" t="s">
        <v>1063</v>
      </c>
      <c r="AA391" s="458" t="s">
        <v>3206</v>
      </c>
      <c r="AB391" s="458" t="s">
        <v>76</v>
      </c>
      <c r="AC391" s="458"/>
      <c r="AD391" s="458"/>
      <c r="AE391" s="458"/>
      <c r="AF391" s="458">
        <v>520</v>
      </c>
      <c r="AG391" s="458">
        <f>AF391-I391</f>
        <v>0</v>
      </c>
      <c r="AH391" s="489"/>
      <c r="AI391" s="458"/>
      <c r="AJ391" s="458"/>
      <c r="AK391" s="458"/>
      <c r="AL391" s="426">
        <f>I391</f>
        <v>520</v>
      </c>
      <c r="AO391" s="495"/>
      <c r="AQ391" s="425">
        <f>I391</f>
        <v>520</v>
      </c>
      <c r="AS391" s="425">
        <f>I391</f>
        <v>520</v>
      </c>
      <c r="AT391" s="495"/>
      <c r="AY391" s="498">
        <f>I391/24</f>
        <v>21.6666666666667</v>
      </c>
      <c r="BI391" s="425">
        <f>I391/13</f>
        <v>40</v>
      </c>
      <c r="BT391" s="495"/>
      <c r="BV391" s="495"/>
      <c r="CK391" s="425">
        <f t="shared" si="113"/>
        <v>0</v>
      </c>
      <c r="CL391" s="425">
        <f t="shared" si="114"/>
        <v>0</v>
      </c>
      <c r="CM391" s="425">
        <f t="shared" si="115"/>
        <v>0</v>
      </c>
      <c r="CN391" s="495"/>
      <c r="CO391" s="495"/>
      <c r="CP391" s="495"/>
      <c r="CT391" s="495"/>
      <c r="CU391" s="495"/>
      <c r="CV391" s="495"/>
      <c r="CW391" s="495"/>
      <c r="CX391" s="495"/>
    </row>
    <row r="392" s="425" customFormat="1" ht="31" customHeight="1" spans="1:102">
      <c r="A392" s="455">
        <v>45805</v>
      </c>
      <c r="B392" s="456" t="s">
        <v>1014</v>
      </c>
      <c r="C392" s="457" t="s">
        <v>366</v>
      </c>
      <c r="D392" s="425">
        <v>4500166748</v>
      </c>
      <c r="E392" s="457"/>
      <c r="F392" s="425" t="s">
        <v>1015</v>
      </c>
      <c r="G392" s="458" t="s">
        <v>3506</v>
      </c>
      <c r="H392" s="458" t="s">
        <v>455</v>
      </c>
      <c r="I392" s="458">
        <v>1800</v>
      </c>
      <c r="J392" s="458">
        <v>0</v>
      </c>
      <c r="K392" s="458">
        <v>90</v>
      </c>
      <c r="L392" s="462">
        <f t="shared" si="116"/>
        <v>20</v>
      </c>
      <c r="M392" s="463">
        <v>45841</v>
      </c>
      <c r="N392" s="463">
        <v>45841</v>
      </c>
      <c r="O392" s="464"/>
      <c r="P392" s="464" t="s">
        <v>103</v>
      </c>
      <c r="Q392" s="458"/>
      <c r="R392" s="472">
        <v>45806</v>
      </c>
      <c r="S392" s="472" t="s">
        <v>66</v>
      </c>
      <c r="T392" s="472">
        <v>45826</v>
      </c>
      <c r="U392" s="472"/>
      <c r="V392" s="473" t="s">
        <v>4161</v>
      </c>
      <c r="W392" s="473" t="s">
        <v>395</v>
      </c>
      <c r="X392" s="473">
        <v>0</v>
      </c>
      <c r="Y392" s="480">
        <v>0</v>
      </c>
      <c r="Z392" s="509" t="s">
        <v>1018</v>
      </c>
      <c r="AA392" s="482" t="s">
        <v>3506</v>
      </c>
      <c r="AB392" s="458" t="s">
        <v>76</v>
      </c>
      <c r="AC392" s="458"/>
      <c r="AD392" s="458"/>
      <c r="AE392" s="458"/>
      <c r="AF392" s="458">
        <v>1800</v>
      </c>
      <c r="AG392" s="458">
        <v>0</v>
      </c>
      <c r="AH392" s="489"/>
      <c r="AI392" s="458"/>
      <c r="AJ392" s="458"/>
      <c r="AK392" s="458"/>
      <c r="AL392" s="426">
        <f>I392</f>
        <v>1800</v>
      </c>
      <c r="AO392" s="495"/>
      <c r="AQ392" s="425">
        <f>I392</f>
        <v>1800</v>
      </c>
      <c r="AS392" s="425">
        <f>I392</f>
        <v>1800</v>
      </c>
      <c r="AT392" s="495"/>
      <c r="AY392" s="498">
        <f>I392/24</f>
        <v>75</v>
      </c>
      <c r="BT392" s="495"/>
      <c r="BV392" s="495"/>
      <c r="BZ392" s="425">
        <f>L392</f>
        <v>20</v>
      </c>
      <c r="CK392" s="425">
        <f t="shared" si="113"/>
        <v>0</v>
      </c>
      <c r="CL392" s="425">
        <f t="shared" si="114"/>
        <v>0</v>
      </c>
      <c r="CM392" s="425">
        <f t="shared" si="115"/>
        <v>20</v>
      </c>
      <c r="CN392" s="495"/>
      <c r="CO392" s="495"/>
      <c r="CP392" s="495"/>
      <c r="CT392" s="495"/>
      <c r="CU392" s="495"/>
      <c r="CV392" s="495"/>
      <c r="CW392" s="495"/>
      <c r="CX392" s="495"/>
    </row>
    <row r="393" s="425" customFormat="1" ht="31" customHeight="1" spans="1:102">
      <c r="A393" s="455">
        <v>45814</v>
      </c>
      <c r="B393" s="456" t="s">
        <v>4162</v>
      </c>
      <c r="C393" s="457" t="s">
        <v>4004</v>
      </c>
      <c r="D393" s="425">
        <v>4500169209</v>
      </c>
      <c r="E393" s="457" t="s">
        <v>4163</v>
      </c>
      <c r="F393" s="425" t="s">
        <v>4164</v>
      </c>
      <c r="G393" s="458" t="s">
        <v>4165</v>
      </c>
      <c r="H393" s="458" t="s">
        <v>3194</v>
      </c>
      <c r="I393" s="458">
        <v>3000</v>
      </c>
      <c r="J393" s="458">
        <v>0</v>
      </c>
      <c r="K393" s="458">
        <v>30</v>
      </c>
      <c r="L393" s="462">
        <f t="shared" si="116"/>
        <v>100</v>
      </c>
      <c r="M393" s="463">
        <v>45854</v>
      </c>
      <c r="N393" s="463">
        <v>45850</v>
      </c>
      <c r="O393" s="464" t="s">
        <v>4166</v>
      </c>
      <c r="P393" s="464" t="s">
        <v>103</v>
      </c>
      <c r="Q393" s="458"/>
      <c r="R393" s="472">
        <v>45825</v>
      </c>
      <c r="S393" s="472" t="s">
        <v>66</v>
      </c>
      <c r="T393" s="472" t="s">
        <v>66</v>
      </c>
      <c r="U393" s="472"/>
      <c r="V393" s="473" t="s">
        <v>4167</v>
      </c>
      <c r="W393" s="473" t="s">
        <v>1213</v>
      </c>
      <c r="X393" s="473">
        <v>40.9667</v>
      </c>
      <c r="Y393" s="480">
        <f>X393*L393</f>
        <v>4096.67</v>
      </c>
      <c r="Z393" s="458" t="s">
        <v>4168</v>
      </c>
      <c r="AA393" s="458" t="s">
        <v>4165</v>
      </c>
      <c r="AB393" s="458" t="s">
        <v>76</v>
      </c>
      <c r="AC393" s="458"/>
      <c r="AD393" s="458"/>
      <c r="AE393" s="458"/>
      <c r="AF393" s="458">
        <v>3000</v>
      </c>
      <c r="AG393" s="458">
        <v>0</v>
      </c>
      <c r="AH393" s="489"/>
      <c r="AI393" s="458"/>
      <c r="AJ393" s="458"/>
      <c r="AK393" s="458">
        <f>I393</f>
        <v>3000</v>
      </c>
      <c r="AO393" s="495"/>
      <c r="AP393" s="425">
        <f>I393</f>
        <v>3000</v>
      </c>
      <c r="AR393" s="425">
        <f>I393</f>
        <v>3000</v>
      </c>
      <c r="AT393" s="495"/>
      <c r="AY393" s="498">
        <f>I393/24</f>
        <v>125</v>
      </c>
      <c r="BT393" s="495"/>
      <c r="BV393" s="495"/>
      <c r="CE393" s="425">
        <f>I393/30</f>
        <v>100</v>
      </c>
      <c r="CK393" s="425">
        <f t="shared" si="113"/>
        <v>0</v>
      </c>
      <c r="CL393" s="425">
        <f t="shared" si="114"/>
        <v>100</v>
      </c>
      <c r="CM393" s="425">
        <f t="shared" si="115"/>
        <v>0</v>
      </c>
      <c r="CN393" s="495"/>
      <c r="CO393" s="495"/>
      <c r="CP393" s="495"/>
      <c r="CT393" s="495"/>
      <c r="CU393" s="495"/>
      <c r="CV393" s="495"/>
      <c r="CW393" s="495"/>
      <c r="CX393" s="495"/>
    </row>
    <row r="394" s="425" customFormat="1" ht="31" customHeight="1" spans="1:102">
      <c r="A394" s="455">
        <v>45741</v>
      </c>
      <c r="B394" s="456" t="s">
        <v>817</v>
      </c>
      <c r="C394" s="457" t="s">
        <v>153</v>
      </c>
      <c r="D394" s="425">
        <v>4500161405</v>
      </c>
      <c r="E394" s="895" t="s">
        <v>1109</v>
      </c>
      <c r="F394" s="425" t="s">
        <v>1110</v>
      </c>
      <c r="G394" s="458" t="s">
        <v>819</v>
      </c>
      <c r="H394" s="458" t="s">
        <v>744</v>
      </c>
      <c r="I394" s="458">
        <v>72</v>
      </c>
      <c r="J394" s="458">
        <v>0</v>
      </c>
      <c r="K394" s="458">
        <v>1</v>
      </c>
      <c r="L394" s="462">
        <f t="shared" si="116"/>
        <v>72</v>
      </c>
      <c r="M394" s="463">
        <v>45854</v>
      </c>
      <c r="N394" s="463">
        <f>M394-4</f>
        <v>45850</v>
      </c>
      <c r="O394" s="464"/>
      <c r="P394" s="464" t="s">
        <v>103</v>
      </c>
      <c r="Q394" s="458"/>
      <c r="R394" s="472">
        <v>45790</v>
      </c>
      <c r="S394" s="472" t="s">
        <v>66</v>
      </c>
      <c r="T394" s="472" t="s">
        <v>66</v>
      </c>
      <c r="U394" s="472"/>
      <c r="V394" s="473" t="s">
        <v>820</v>
      </c>
      <c r="W394" s="473" t="s">
        <v>821</v>
      </c>
      <c r="X394" s="473">
        <v>0</v>
      </c>
      <c r="Y394" s="480">
        <f>X394*L394</f>
        <v>0</v>
      </c>
      <c r="Z394" s="458" t="s">
        <v>1111</v>
      </c>
      <c r="AA394" s="458" t="s">
        <v>819</v>
      </c>
      <c r="AB394" s="458" t="s">
        <v>76</v>
      </c>
      <c r="AC394" s="458"/>
      <c r="AD394" s="458"/>
      <c r="AE394" s="458"/>
      <c r="AF394" s="458">
        <v>0</v>
      </c>
      <c r="AG394" s="458">
        <v>0</v>
      </c>
      <c r="AH394" s="489"/>
      <c r="AI394" s="458"/>
      <c r="AJ394" s="458"/>
      <c r="AK394" s="458"/>
      <c r="AO394" s="495"/>
      <c r="AT394" s="495"/>
      <c r="AY394" s="498"/>
      <c r="BT394" s="495"/>
      <c r="BV394" s="495"/>
      <c r="CK394" s="425">
        <f t="shared" si="113"/>
        <v>0</v>
      </c>
      <c r="CL394" s="425">
        <f t="shared" si="114"/>
        <v>0</v>
      </c>
      <c r="CM394" s="425">
        <f t="shared" si="115"/>
        <v>0</v>
      </c>
      <c r="CN394" s="495"/>
      <c r="CO394" s="495"/>
      <c r="CP394" s="495"/>
      <c r="CT394" s="495"/>
      <c r="CU394" s="495"/>
      <c r="CV394" s="495"/>
      <c r="CW394" s="495"/>
      <c r="CX394" s="495"/>
    </row>
    <row r="395" s="425" customFormat="1" ht="31" customHeight="1" spans="1:102">
      <c r="A395" s="455">
        <v>45741</v>
      </c>
      <c r="B395" s="456" t="s">
        <v>817</v>
      </c>
      <c r="C395" s="457" t="s">
        <v>153</v>
      </c>
      <c r="D395" s="425">
        <v>4500161405</v>
      </c>
      <c r="E395" s="895" t="s">
        <v>1109</v>
      </c>
      <c r="F395" s="425" t="s">
        <v>1110</v>
      </c>
      <c r="G395" s="458">
        <v>77711</v>
      </c>
      <c r="H395" s="458" t="s">
        <v>3151</v>
      </c>
      <c r="I395" s="458">
        <v>5400</v>
      </c>
      <c r="J395" s="458">
        <v>0</v>
      </c>
      <c r="K395" s="458">
        <v>75</v>
      </c>
      <c r="L395" s="462">
        <f t="shared" si="116"/>
        <v>72</v>
      </c>
      <c r="M395" s="463">
        <v>45854</v>
      </c>
      <c r="N395" s="463">
        <f>M395-4</f>
        <v>45850</v>
      </c>
      <c r="O395" s="464"/>
      <c r="P395" s="464" t="s">
        <v>103</v>
      </c>
      <c r="Q395" s="458"/>
      <c r="R395" s="472">
        <v>45790</v>
      </c>
      <c r="S395" s="472" t="s">
        <v>66</v>
      </c>
      <c r="T395" s="472" t="s">
        <v>66</v>
      </c>
      <c r="U395" s="472"/>
      <c r="V395" s="473" t="s">
        <v>820</v>
      </c>
      <c r="W395" s="473" t="s">
        <v>821</v>
      </c>
      <c r="X395" s="473">
        <v>762.5</v>
      </c>
      <c r="Y395" s="480">
        <f>X395*L395</f>
        <v>54900</v>
      </c>
      <c r="Z395" s="458"/>
      <c r="AA395" s="458" t="s">
        <v>819</v>
      </c>
      <c r="AB395" s="458" t="s">
        <v>76</v>
      </c>
      <c r="AC395" s="458"/>
      <c r="AD395" s="458"/>
      <c r="AE395" s="458"/>
      <c r="AF395" s="458">
        <v>0</v>
      </c>
      <c r="AG395" s="458">
        <v>0</v>
      </c>
      <c r="AH395" s="489"/>
      <c r="AI395" s="458"/>
      <c r="AJ395" s="458"/>
      <c r="AK395" s="458">
        <f>I395*3</f>
        <v>16200</v>
      </c>
      <c r="AO395" s="495"/>
      <c r="AT395" s="495"/>
      <c r="AY395" s="498">
        <f>I395/24*3</f>
        <v>675</v>
      </c>
      <c r="BC395" s="425">
        <f>I395*3</f>
        <v>16200</v>
      </c>
      <c r="BD395" s="425">
        <f>I395*3</f>
        <v>16200</v>
      </c>
      <c r="BE395" s="425">
        <f>I395</f>
        <v>5400</v>
      </c>
      <c r="BF395" s="425">
        <f>I395/5</f>
        <v>1080</v>
      </c>
      <c r="BT395" s="495"/>
      <c r="BV395" s="495"/>
      <c r="CK395" s="425">
        <f t="shared" si="113"/>
        <v>0</v>
      </c>
      <c r="CL395" s="425">
        <f t="shared" si="114"/>
        <v>0</v>
      </c>
      <c r="CM395" s="425">
        <f t="shared" si="115"/>
        <v>0</v>
      </c>
      <c r="CN395" s="495"/>
      <c r="CO395" s="495"/>
      <c r="CP395" s="495"/>
      <c r="CT395" s="495"/>
      <c r="CU395" s="495"/>
      <c r="CV395" s="495"/>
      <c r="CW395" s="495"/>
      <c r="CX395" s="495"/>
    </row>
    <row r="396" s="425" customFormat="1" ht="31" customHeight="1" spans="1:102">
      <c r="A396" s="455">
        <v>45789</v>
      </c>
      <c r="B396" s="456" t="s">
        <v>4169</v>
      </c>
      <c r="C396" s="457" t="s">
        <v>90</v>
      </c>
      <c r="D396" s="425">
        <v>4500164072</v>
      </c>
      <c r="E396" s="457" t="s">
        <v>4170</v>
      </c>
      <c r="F396" s="425" t="s">
        <v>4171</v>
      </c>
      <c r="G396" s="458" t="s">
        <v>3518</v>
      </c>
      <c r="H396" s="458" t="s">
        <v>3519</v>
      </c>
      <c r="I396" s="458">
        <v>34992</v>
      </c>
      <c r="J396" s="458">
        <v>0</v>
      </c>
      <c r="K396" s="458">
        <v>48</v>
      </c>
      <c r="L396" s="462">
        <f t="shared" si="116"/>
        <v>729</v>
      </c>
      <c r="M396" s="463">
        <v>45866</v>
      </c>
      <c r="N396" s="463">
        <v>45862</v>
      </c>
      <c r="O396" s="464" t="s">
        <v>4172</v>
      </c>
      <c r="P396" s="464" t="s">
        <v>103</v>
      </c>
      <c r="Q396" s="458"/>
      <c r="R396" s="472" t="s">
        <v>3980</v>
      </c>
      <c r="S396" s="472" t="s">
        <v>66</v>
      </c>
      <c r="T396" s="472" t="s">
        <v>66</v>
      </c>
      <c r="U396" s="472" t="s">
        <v>3981</v>
      </c>
      <c r="V396" s="473" t="s">
        <v>4173</v>
      </c>
      <c r="W396" s="473" t="s">
        <v>3983</v>
      </c>
      <c r="X396" s="473">
        <v>0.97</v>
      </c>
      <c r="Y396" s="480">
        <f>I396*X396</f>
        <v>33942.24</v>
      </c>
      <c r="Z396" s="458" t="s">
        <v>4174</v>
      </c>
      <c r="AA396" s="458" t="s">
        <v>3518</v>
      </c>
      <c r="AB396" s="458" t="s">
        <v>76</v>
      </c>
      <c r="AC396" s="458"/>
      <c r="AD396" s="458"/>
      <c r="AE396" s="458"/>
      <c r="AF396" s="458">
        <f>19200+15792</f>
        <v>34992</v>
      </c>
      <c r="AG396" s="458">
        <f t="shared" ref="AG393:AG433" si="117">AF396-I396</f>
        <v>0</v>
      </c>
      <c r="AH396" s="489"/>
      <c r="AI396" s="458"/>
      <c r="AJ396" s="458"/>
      <c r="AK396" s="458">
        <f>I396</f>
        <v>34992</v>
      </c>
      <c r="AO396" s="495"/>
      <c r="AR396" s="425">
        <f>I396</f>
        <v>34992</v>
      </c>
      <c r="AT396" s="495"/>
      <c r="AY396" s="498">
        <f>I396/24*2</f>
        <v>2916</v>
      </c>
      <c r="AZ396" s="425">
        <f>I396</f>
        <v>34992</v>
      </c>
      <c r="BO396" s="425">
        <f>I396/8</f>
        <v>4374</v>
      </c>
      <c r="BT396" s="495"/>
      <c r="BV396" s="495"/>
      <c r="CK396" s="425">
        <f t="shared" si="113"/>
        <v>0</v>
      </c>
      <c r="CL396" s="425">
        <f t="shared" si="114"/>
        <v>0</v>
      </c>
      <c r="CM396" s="425">
        <f t="shared" si="115"/>
        <v>0</v>
      </c>
      <c r="CN396" s="495"/>
      <c r="CO396" s="495"/>
      <c r="CP396" s="495"/>
      <c r="CT396" s="495"/>
      <c r="CU396" s="495"/>
      <c r="CV396" s="495"/>
      <c r="CW396" s="495"/>
      <c r="CX396" s="495"/>
    </row>
    <row r="397" s="425" customFormat="1" ht="31" customHeight="1" spans="1:102">
      <c r="A397" s="455">
        <v>45754</v>
      </c>
      <c r="B397" s="456" t="s">
        <v>4175</v>
      </c>
      <c r="C397" s="457" t="s">
        <v>249</v>
      </c>
      <c r="D397" s="425">
        <v>4500162761</v>
      </c>
      <c r="E397" s="457">
        <v>2950866795</v>
      </c>
      <c r="F397" s="425" t="s">
        <v>4176</v>
      </c>
      <c r="G397" s="458" t="s">
        <v>4177</v>
      </c>
      <c r="H397" s="458" t="s">
        <v>4178</v>
      </c>
      <c r="I397" s="458">
        <v>3900</v>
      </c>
      <c r="J397" s="458">
        <v>0</v>
      </c>
      <c r="K397" s="458">
        <v>975</v>
      </c>
      <c r="L397" s="462">
        <f t="shared" si="116"/>
        <v>4</v>
      </c>
      <c r="M397" s="463">
        <v>45866</v>
      </c>
      <c r="N397" s="463">
        <v>45862</v>
      </c>
      <c r="O397" s="464"/>
      <c r="P397" s="464" t="s">
        <v>103</v>
      </c>
      <c r="Q397" s="458"/>
      <c r="R397" s="472">
        <v>45811</v>
      </c>
      <c r="S397" s="472" t="s">
        <v>66</v>
      </c>
      <c r="T397" s="472" t="s">
        <v>66</v>
      </c>
      <c r="U397" s="472"/>
      <c r="V397" s="473" t="s">
        <v>4179</v>
      </c>
      <c r="W397" s="473" t="s">
        <v>254</v>
      </c>
      <c r="X397" s="473">
        <v>933.32</v>
      </c>
      <c r="Y397" s="480">
        <f>X397*L397</f>
        <v>3733.28</v>
      </c>
      <c r="Z397" s="458"/>
      <c r="AA397" s="458" t="s">
        <v>4177</v>
      </c>
      <c r="AB397" s="458" t="s">
        <v>76</v>
      </c>
      <c r="AC397" s="458"/>
      <c r="AD397" s="458" t="s">
        <v>69</v>
      </c>
      <c r="AE397" s="458"/>
      <c r="AF397" s="458">
        <v>3900</v>
      </c>
      <c r="AG397" s="458">
        <f t="shared" si="117"/>
        <v>0</v>
      </c>
      <c r="AH397" s="489"/>
      <c r="AI397" s="458"/>
      <c r="AJ397" s="458"/>
      <c r="AK397" s="458"/>
      <c r="AL397" s="426">
        <f>I397</f>
        <v>3900</v>
      </c>
      <c r="AM397" s="425">
        <f>I397</f>
        <v>3900</v>
      </c>
      <c r="AO397" s="495"/>
      <c r="AS397" s="425">
        <f>I397</f>
        <v>3900</v>
      </c>
      <c r="AT397" s="495"/>
      <c r="AY397" s="498">
        <f>I397/24*2</f>
        <v>325</v>
      </c>
      <c r="BI397" s="425">
        <f>I397/13</f>
        <v>300</v>
      </c>
      <c r="BT397" s="495"/>
      <c r="BV397" s="495"/>
      <c r="CK397" s="425">
        <f t="shared" si="113"/>
        <v>0</v>
      </c>
      <c r="CL397" s="425">
        <f t="shared" si="114"/>
        <v>0</v>
      </c>
      <c r="CM397" s="425">
        <f t="shared" si="115"/>
        <v>0</v>
      </c>
      <c r="CN397" s="495"/>
      <c r="CO397" s="495"/>
      <c r="CP397" s="495"/>
      <c r="CT397" s="495"/>
      <c r="CU397" s="495"/>
      <c r="CV397" s="495"/>
      <c r="CW397" s="495"/>
      <c r="CX397" s="495"/>
    </row>
    <row r="398" s="425" customFormat="1" ht="31" customHeight="1" spans="1:102">
      <c r="A398" s="455">
        <v>45825</v>
      </c>
      <c r="B398" s="456" t="s">
        <v>783</v>
      </c>
      <c r="C398" s="457" t="s">
        <v>90</v>
      </c>
      <c r="D398" s="425">
        <v>4500170270</v>
      </c>
      <c r="E398" s="457" t="s">
        <v>1162</v>
      </c>
      <c r="F398" s="425" t="s">
        <v>4180</v>
      </c>
      <c r="G398" s="458" t="s">
        <v>3198</v>
      </c>
      <c r="H398" s="458" t="s">
        <v>3303</v>
      </c>
      <c r="I398" s="458">
        <v>5275</v>
      </c>
      <c r="J398" s="458">
        <v>0</v>
      </c>
      <c r="K398" s="458">
        <v>25</v>
      </c>
      <c r="L398" s="462">
        <f t="shared" si="116"/>
        <v>211</v>
      </c>
      <c r="M398" s="463">
        <v>45869</v>
      </c>
      <c r="N398" s="463">
        <v>45866</v>
      </c>
      <c r="O398" s="464"/>
      <c r="P398" s="464" t="s">
        <v>103</v>
      </c>
      <c r="Q398" s="458"/>
      <c r="R398" s="472">
        <v>45825</v>
      </c>
      <c r="S398" s="472" t="s">
        <v>66</v>
      </c>
      <c r="T398" s="472" t="s">
        <v>66</v>
      </c>
      <c r="U398" s="472"/>
      <c r="V398" s="473" t="s">
        <v>1164</v>
      </c>
      <c r="W398" s="473" t="s">
        <v>316</v>
      </c>
      <c r="X398" s="473">
        <v>0.5677</v>
      </c>
      <c r="Y398" s="480">
        <f t="shared" ref="Y398:Y433" si="118">X398*I398</f>
        <v>2994.6175</v>
      </c>
      <c r="Z398" s="458" t="s">
        <v>1165</v>
      </c>
      <c r="AA398" s="458" t="s">
        <v>3198</v>
      </c>
      <c r="AB398" s="458" t="s">
        <v>76</v>
      </c>
      <c r="AC398" s="458"/>
      <c r="AD398" s="458"/>
      <c r="AE398" s="458"/>
      <c r="AF398" s="458">
        <v>5275</v>
      </c>
      <c r="AG398" s="458">
        <f t="shared" si="117"/>
        <v>0</v>
      </c>
      <c r="AH398" s="489"/>
      <c r="AI398" s="458"/>
      <c r="AJ398" s="458"/>
      <c r="AK398" s="458">
        <f>I398</f>
        <v>5275</v>
      </c>
      <c r="AM398" s="425">
        <f>I398</f>
        <v>5275</v>
      </c>
      <c r="AO398" s="495"/>
      <c r="AR398" s="425">
        <f>I398</f>
        <v>5275</v>
      </c>
      <c r="AT398" s="495"/>
      <c r="AY398" s="498">
        <f>I398/48</f>
        <v>109.895833333333</v>
      </c>
      <c r="BJ398" s="425">
        <f>I398/25</f>
        <v>211</v>
      </c>
      <c r="BT398" s="495"/>
      <c r="BV398" s="495"/>
      <c r="CK398" s="425">
        <f t="shared" si="113"/>
        <v>211</v>
      </c>
      <c r="CL398" s="425">
        <f t="shared" si="114"/>
        <v>0</v>
      </c>
      <c r="CM398" s="425">
        <f t="shared" si="115"/>
        <v>0</v>
      </c>
      <c r="CN398" s="495"/>
      <c r="CO398" s="495"/>
      <c r="CP398" s="495"/>
      <c r="CT398" s="495"/>
      <c r="CU398" s="495"/>
      <c r="CV398" s="495"/>
      <c r="CW398" s="495"/>
      <c r="CX398" s="495"/>
    </row>
    <row r="399" s="425" customFormat="1" ht="31" customHeight="1" spans="1:102">
      <c r="A399" s="455">
        <v>45831</v>
      </c>
      <c r="B399" s="456" t="s">
        <v>1141</v>
      </c>
      <c r="C399" s="457"/>
      <c r="D399" s="425" t="s">
        <v>1142</v>
      </c>
      <c r="E399" s="457"/>
      <c r="G399" s="458" t="s">
        <v>3158</v>
      </c>
      <c r="H399" s="458" t="s">
        <v>3159</v>
      </c>
      <c r="I399" s="458">
        <v>4602</v>
      </c>
      <c r="J399" s="458">
        <v>0</v>
      </c>
      <c r="K399" s="458">
        <v>52</v>
      </c>
      <c r="L399" s="462">
        <f t="shared" si="116"/>
        <v>88.5</v>
      </c>
      <c r="M399" s="463">
        <v>45832</v>
      </c>
      <c r="N399" s="463">
        <v>45828</v>
      </c>
      <c r="O399" s="464"/>
      <c r="P399" s="464" t="s">
        <v>103</v>
      </c>
      <c r="Q399" s="458" t="s">
        <v>4181</v>
      </c>
      <c r="R399" s="472" t="s">
        <v>1144</v>
      </c>
      <c r="S399" s="472" t="s">
        <v>66</v>
      </c>
      <c r="T399" s="472" t="s">
        <v>66</v>
      </c>
      <c r="U399" s="472"/>
      <c r="V399" s="473" t="s">
        <v>4182</v>
      </c>
      <c r="W399" s="473" t="s">
        <v>879</v>
      </c>
      <c r="X399" s="473">
        <v>0.87</v>
      </c>
      <c r="Y399" s="480">
        <f t="shared" si="118"/>
        <v>4003.74</v>
      </c>
      <c r="Z399" s="458" t="s">
        <v>1146</v>
      </c>
      <c r="AA399" s="458" t="s">
        <v>3158</v>
      </c>
      <c r="AB399" s="458" t="s">
        <v>76</v>
      </c>
      <c r="AC399" s="458"/>
      <c r="AD399" s="458"/>
      <c r="AE399" s="458"/>
      <c r="AF399" s="458">
        <v>4602</v>
      </c>
      <c r="AG399" s="458">
        <f t="shared" si="117"/>
        <v>0</v>
      </c>
      <c r="AH399" s="489"/>
      <c r="AI399" s="458"/>
      <c r="AJ399" s="458"/>
      <c r="AK399" s="458"/>
      <c r="AL399" s="426">
        <f>I399</f>
        <v>4602</v>
      </c>
      <c r="AO399" s="495"/>
      <c r="AQ399" s="425">
        <f>I399</f>
        <v>4602</v>
      </c>
      <c r="AS399" s="425">
        <f>I399</f>
        <v>4602</v>
      </c>
      <c r="AT399" s="495"/>
      <c r="AY399" s="498">
        <f>I399/24</f>
        <v>191.75</v>
      </c>
      <c r="BI399" s="425">
        <f>I399/13</f>
        <v>354</v>
      </c>
      <c r="BT399" s="495"/>
      <c r="BV399" s="495"/>
      <c r="CK399" s="425">
        <f t="shared" si="113"/>
        <v>0</v>
      </c>
      <c r="CL399" s="425">
        <f t="shared" si="114"/>
        <v>0</v>
      </c>
      <c r="CM399" s="425">
        <f t="shared" si="115"/>
        <v>0</v>
      </c>
      <c r="CN399" s="495"/>
      <c r="CO399" s="495"/>
      <c r="CP399" s="495"/>
      <c r="CT399" s="495"/>
      <c r="CU399" s="495"/>
      <c r="CV399" s="495"/>
      <c r="CW399" s="495"/>
      <c r="CX399" s="495"/>
    </row>
    <row r="400" s="425" customFormat="1" ht="31" customHeight="1" spans="1:102">
      <c r="A400" s="455">
        <v>45831</v>
      </c>
      <c r="B400" s="456" t="s">
        <v>125</v>
      </c>
      <c r="C400" s="457" t="s">
        <v>71</v>
      </c>
      <c r="D400" s="425">
        <v>4500170978</v>
      </c>
      <c r="E400" s="457">
        <v>20935535</v>
      </c>
      <c r="F400" s="425" t="s">
        <v>4183</v>
      </c>
      <c r="G400" s="458" t="s">
        <v>3206</v>
      </c>
      <c r="H400" s="458" t="s">
        <v>3207</v>
      </c>
      <c r="I400" s="458">
        <v>91</v>
      </c>
      <c r="J400" s="458">
        <v>0</v>
      </c>
      <c r="K400" s="458">
        <v>13</v>
      </c>
      <c r="L400" s="462">
        <f t="shared" si="116"/>
        <v>7</v>
      </c>
      <c r="M400" s="463">
        <v>45873</v>
      </c>
      <c r="N400" s="463">
        <f t="shared" ref="N400:N405" si="119">M400-4</f>
        <v>45869</v>
      </c>
      <c r="O400" s="464"/>
      <c r="P400" s="464" t="s">
        <v>103</v>
      </c>
      <c r="Q400" s="458"/>
      <c r="R400" s="472">
        <v>45828</v>
      </c>
      <c r="S400" s="472" t="s">
        <v>96</v>
      </c>
      <c r="T400" s="472">
        <v>45852</v>
      </c>
      <c r="U400" s="472"/>
      <c r="V400" s="473" t="s">
        <v>3831</v>
      </c>
      <c r="W400" s="473" t="s">
        <v>121</v>
      </c>
      <c r="X400" s="473">
        <v>0.9526</v>
      </c>
      <c r="Y400" s="480">
        <f t="shared" si="118"/>
        <v>86.6866</v>
      </c>
      <c r="Z400" s="458"/>
      <c r="AA400" s="458" t="s">
        <v>3206</v>
      </c>
      <c r="AB400" s="458" t="s">
        <v>76</v>
      </c>
      <c r="AC400" s="458"/>
      <c r="AD400" s="458"/>
      <c r="AE400" s="458"/>
      <c r="AF400" s="458">
        <v>91</v>
      </c>
      <c r="AG400" s="458">
        <f t="shared" si="117"/>
        <v>0</v>
      </c>
      <c r="AH400" s="489"/>
      <c r="AI400" s="458"/>
      <c r="AJ400" s="458"/>
      <c r="AK400" s="458"/>
      <c r="AL400" s="426">
        <f>I400</f>
        <v>91</v>
      </c>
      <c r="AO400" s="495"/>
      <c r="AQ400" s="425">
        <f>I400</f>
        <v>91</v>
      </c>
      <c r="AS400" s="425">
        <f>I400</f>
        <v>91</v>
      </c>
      <c r="AT400" s="495"/>
      <c r="AY400" s="498">
        <f>I400/24</f>
        <v>3.79166666666667</v>
      </c>
      <c r="BI400" s="425">
        <f>I400/13</f>
        <v>7</v>
      </c>
      <c r="BT400" s="495"/>
      <c r="BV400" s="495"/>
      <c r="CK400" s="425">
        <f t="shared" si="113"/>
        <v>0</v>
      </c>
      <c r="CL400" s="425">
        <f t="shared" si="114"/>
        <v>0</v>
      </c>
      <c r="CM400" s="425">
        <f t="shared" si="115"/>
        <v>0</v>
      </c>
      <c r="CN400" s="495"/>
      <c r="CO400" s="495"/>
      <c r="CP400" s="495"/>
      <c r="CT400" s="495"/>
      <c r="CU400" s="495"/>
      <c r="CV400" s="495"/>
      <c r="CW400" s="495"/>
      <c r="CX400" s="495"/>
    </row>
    <row r="401" s="425" customFormat="1" ht="31" customHeight="1" spans="1:102">
      <c r="A401" s="455">
        <v>45831</v>
      </c>
      <c r="B401" s="456" t="s">
        <v>122</v>
      </c>
      <c r="C401" s="457" t="s">
        <v>116</v>
      </c>
      <c r="D401" s="425">
        <v>4500170975</v>
      </c>
      <c r="E401" s="457" t="s">
        <v>4184</v>
      </c>
      <c r="F401" s="425" t="s">
        <v>4185</v>
      </c>
      <c r="G401" s="458" t="s">
        <v>3206</v>
      </c>
      <c r="H401" s="458" t="s">
        <v>3207</v>
      </c>
      <c r="I401" s="458">
        <v>1599</v>
      </c>
      <c r="J401" s="458">
        <v>0</v>
      </c>
      <c r="K401" s="458">
        <v>13</v>
      </c>
      <c r="L401" s="462">
        <f t="shared" si="116"/>
        <v>123</v>
      </c>
      <c r="M401" s="463">
        <v>45873</v>
      </c>
      <c r="N401" s="463">
        <f t="shared" si="119"/>
        <v>45869</v>
      </c>
      <c r="O401" s="464"/>
      <c r="P401" s="464" t="s">
        <v>103</v>
      </c>
      <c r="Q401" s="458"/>
      <c r="R401" s="472">
        <v>45828</v>
      </c>
      <c r="S401" s="472" t="s">
        <v>96</v>
      </c>
      <c r="T401" s="472">
        <v>45852</v>
      </c>
      <c r="U401" s="472"/>
      <c r="V401" s="473" t="s">
        <v>3930</v>
      </c>
      <c r="W401" s="473" t="s">
        <v>121</v>
      </c>
      <c r="X401" s="473">
        <v>0.9475</v>
      </c>
      <c r="Y401" s="480">
        <f t="shared" si="118"/>
        <v>1515.0525</v>
      </c>
      <c r="Z401" s="458"/>
      <c r="AA401" s="458" t="s">
        <v>3206</v>
      </c>
      <c r="AB401" s="458" t="s">
        <v>76</v>
      </c>
      <c r="AC401" s="458"/>
      <c r="AD401" s="458"/>
      <c r="AE401" s="458"/>
      <c r="AF401" s="458">
        <v>1599</v>
      </c>
      <c r="AG401" s="458">
        <f t="shared" si="117"/>
        <v>0</v>
      </c>
      <c r="AH401" s="489"/>
      <c r="AI401" s="458"/>
      <c r="AJ401" s="458"/>
      <c r="AK401" s="458"/>
      <c r="AL401" s="426">
        <f>I401</f>
        <v>1599</v>
      </c>
      <c r="AO401" s="495"/>
      <c r="AQ401" s="425">
        <f>I401</f>
        <v>1599</v>
      </c>
      <c r="AS401" s="425">
        <f>I401</f>
        <v>1599</v>
      </c>
      <c r="AT401" s="495"/>
      <c r="AY401" s="498">
        <f>I401/24</f>
        <v>66.625</v>
      </c>
      <c r="BI401" s="425">
        <f>I401/13</f>
        <v>123</v>
      </c>
      <c r="BT401" s="495"/>
      <c r="BV401" s="495"/>
      <c r="CK401" s="425">
        <f t="shared" si="113"/>
        <v>0</v>
      </c>
      <c r="CL401" s="425">
        <f t="shared" si="114"/>
        <v>0</v>
      </c>
      <c r="CM401" s="425">
        <f t="shared" si="115"/>
        <v>0</v>
      </c>
      <c r="CN401" s="495"/>
      <c r="CO401" s="495"/>
      <c r="CP401" s="495"/>
      <c r="CT401" s="495"/>
      <c r="CU401" s="495"/>
      <c r="CV401" s="495"/>
      <c r="CW401" s="495"/>
      <c r="CX401" s="495"/>
    </row>
    <row r="402" s="425" customFormat="1" ht="31" customHeight="1" spans="1:102">
      <c r="A402" s="455">
        <v>45828</v>
      </c>
      <c r="B402" s="456" t="s">
        <v>398</v>
      </c>
      <c r="C402" s="457" t="s">
        <v>356</v>
      </c>
      <c r="D402" s="425">
        <v>4500170833</v>
      </c>
      <c r="E402" s="457"/>
      <c r="F402" s="425" t="s">
        <v>4186</v>
      </c>
      <c r="G402" s="458" t="s">
        <v>3206</v>
      </c>
      <c r="H402" s="458" t="s">
        <v>3207</v>
      </c>
      <c r="I402" s="458">
        <v>611</v>
      </c>
      <c r="J402" s="458">
        <v>0</v>
      </c>
      <c r="K402" s="458">
        <v>13</v>
      </c>
      <c r="L402" s="462">
        <f t="shared" si="116"/>
        <v>47</v>
      </c>
      <c r="M402" s="463">
        <v>45873</v>
      </c>
      <c r="N402" s="463">
        <f t="shared" si="119"/>
        <v>45869</v>
      </c>
      <c r="O402" s="464"/>
      <c r="P402" s="464" t="s">
        <v>103</v>
      </c>
      <c r="Q402" s="458"/>
      <c r="R402" s="472">
        <v>45835</v>
      </c>
      <c r="S402" s="472" t="s">
        <v>66</v>
      </c>
      <c r="T402" s="472">
        <v>45846</v>
      </c>
      <c r="U402" s="472" t="s">
        <v>4187</v>
      </c>
      <c r="V402" s="473" t="s">
        <v>4188</v>
      </c>
      <c r="W402" s="473" t="s">
        <v>395</v>
      </c>
      <c r="X402" s="473">
        <v>0.9168</v>
      </c>
      <c r="Y402" s="480">
        <f t="shared" si="118"/>
        <v>560.1648</v>
      </c>
      <c r="Z402" s="458"/>
      <c r="AA402" s="458" t="s">
        <v>3206</v>
      </c>
      <c r="AB402" s="458" t="s">
        <v>76</v>
      </c>
      <c r="AC402" s="458"/>
      <c r="AD402" s="458"/>
      <c r="AE402" s="458"/>
      <c r="AF402" s="458">
        <v>611</v>
      </c>
      <c r="AG402" s="458">
        <f t="shared" si="117"/>
        <v>0</v>
      </c>
      <c r="AH402" s="489"/>
      <c r="AI402" s="458"/>
      <c r="AJ402" s="458"/>
      <c r="AK402" s="458"/>
      <c r="AL402" s="426">
        <f>I402</f>
        <v>611</v>
      </c>
      <c r="AO402" s="495"/>
      <c r="AQ402" s="425">
        <f>I402</f>
        <v>611</v>
      </c>
      <c r="AS402" s="425">
        <f>I402</f>
        <v>611</v>
      </c>
      <c r="AT402" s="495"/>
      <c r="AY402" s="498">
        <f>I402/24</f>
        <v>25.4583333333333</v>
      </c>
      <c r="BI402" s="425">
        <f>I402/13</f>
        <v>47</v>
      </c>
      <c r="BT402" s="495"/>
      <c r="BV402" s="495"/>
      <c r="CK402" s="425">
        <f t="shared" si="113"/>
        <v>0</v>
      </c>
      <c r="CL402" s="425">
        <f t="shared" si="114"/>
        <v>0</v>
      </c>
      <c r="CM402" s="425">
        <f t="shared" si="115"/>
        <v>0</v>
      </c>
      <c r="CN402" s="495"/>
      <c r="CO402" s="495"/>
      <c r="CP402" s="495"/>
      <c r="CT402" s="495"/>
      <c r="CU402" s="495"/>
      <c r="CV402" s="495"/>
      <c r="CW402" s="495"/>
      <c r="CX402" s="495"/>
    </row>
    <row r="403" s="425" customFormat="1" ht="31" customHeight="1" spans="1:102">
      <c r="A403" s="455">
        <v>45834</v>
      </c>
      <c r="B403" s="456" t="s">
        <v>312</v>
      </c>
      <c r="C403" s="457" t="s">
        <v>90</v>
      </c>
      <c r="D403" s="425">
        <v>4500171377</v>
      </c>
      <c r="E403" s="457" t="s">
        <v>1241</v>
      </c>
      <c r="F403" s="425" t="s">
        <v>4189</v>
      </c>
      <c r="G403" s="458" t="s">
        <v>3198</v>
      </c>
      <c r="H403" s="458" t="s">
        <v>3303</v>
      </c>
      <c r="I403" s="458">
        <v>4025</v>
      </c>
      <c r="J403" s="458">
        <v>0</v>
      </c>
      <c r="K403" s="458">
        <v>25</v>
      </c>
      <c r="L403" s="462">
        <f t="shared" si="116"/>
        <v>161</v>
      </c>
      <c r="M403" s="463">
        <v>45873</v>
      </c>
      <c r="N403" s="463">
        <f t="shared" si="119"/>
        <v>45869</v>
      </c>
      <c r="O403" s="464"/>
      <c r="P403" s="464" t="s">
        <v>103</v>
      </c>
      <c r="Q403" s="458"/>
      <c r="R403" s="472">
        <v>45834</v>
      </c>
      <c r="S403" s="472" t="s">
        <v>66</v>
      </c>
      <c r="T403" s="472" t="s">
        <v>403</v>
      </c>
      <c r="U403" s="472"/>
      <c r="V403" s="473" t="s">
        <v>315</v>
      </c>
      <c r="W403" s="473" t="s">
        <v>316</v>
      </c>
      <c r="X403" s="473">
        <v>0.5708</v>
      </c>
      <c r="Y403" s="480">
        <f t="shared" si="118"/>
        <v>2297.47</v>
      </c>
      <c r="Z403" s="458" t="s">
        <v>1244</v>
      </c>
      <c r="AA403" s="458" t="s">
        <v>3198</v>
      </c>
      <c r="AB403" s="458" t="s">
        <v>76</v>
      </c>
      <c r="AC403" s="458"/>
      <c r="AD403" s="458"/>
      <c r="AE403" s="458"/>
      <c r="AF403" s="458">
        <v>4025</v>
      </c>
      <c r="AG403" s="458">
        <f t="shared" si="117"/>
        <v>0</v>
      </c>
      <c r="AH403" s="489"/>
      <c r="AI403" s="458"/>
      <c r="AJ403" s="458"/>
      <c r="AK403" s="458">
        <f t="shared" ref="AK403:AK409" si="120">I403</f>
        <v>4025</v>
      </c>
      <c r="AM403" s="425">
        <f t="shared" ref="AM403:AM409" si="121">I403</f>
        <v>4025</v>
      </c>
      <c r="AO403" s="495"/>
      <c r="AR403" s="425">
        <f t="shared" ref="AR403:AR409" si="122">I403</f>
        <v>4025</v>
      </c>
      <c r="AT403" s="495"/>
      <c r="AY403" s="498">
        <f t="shared" ref="AY403:AY409" si="123">I403/48</f>
        <v>83.8541666666667</v>
      </c>
      <c r="BJ403" s="425">
        <f>I403/25</f>
        <v>161</v>
      </c>
      <c r="BT403" s="495"/>
      <c r="BV403" s="495"/>
      <c r="CK403" s="425">
        <f t="shared" si="113"/>
        <v>161</v>
      </c>
      <c r="CL403" s="425">
        <f t="shared" si="114"/>
        <v>0</v>
      </c>
      <c r="CM403" s="425">
        <f t="shared" si="115"/>
        <v>0</v>
      </c>
      <c r="CN403" s="495"/>
      <c r="CO403" s="495"/>
      <c r="CP403" s="495"/>
      <c r="CT403" s="495"/>
      <c r="CU403" s="495"/>
      <c r="CV403" s="495"/>
      <c r="CW403" s="495"/>
      <c r="CX403" s="495"/>
    </row>
    <row r="404" s="425" customFormat="1" ht="31" customHeight="1" spans="1:102">
      <c r="A404" s="455">
        <v>45834</v>
      </c>
      <c r="B404" s="456" t="s">
        <v>312</v>
      </c>
      <c r="C404" s="457" t="s">
        <v>90</v>
      </c>
      <c r="D404" s="425">
        <v>4500171377</v>
      </c>
      <c r="E404" s="457" t="s">
        <v>1245</v>
      </c>
      <c r="F404" s="425" t="s">
        <v>4190</v>
      </c>
      <c r="G404" s="458" t="s">
        <v>3198</v>
      </c>
      <c r="H404" s="458" t="s">
        <v>3303</v>
      </c>
      <c r="I404" s="458">
        <v>4325</v>
      </c>
      <c r="J404" s="458">
        <v>0</v>
      </c>
      <c r="K404" s="458">
        <v>25</v>
      </c>
      <c r="L404" s="462">
        <f t="shared" si="116"/>
        <v>173</v>
      </c>
      <c r="M404" s="463">
        <v>45873</v>
      </c>
      <c r="N404" s="463">
        <f t="shared" si="119"/>
        <v>45869</v>
      </c>
      <c r="O404" s="464"/>
      <c r="P404" s="464" t="s">
        <v>103</v>
      </c>
      <c r="Q404" s="458"/>
      <c r="R404" s="472">
        <v>45834</v>
      </c>
      <c r="S404" s="472" t="s">
        <v>66</v>
      </c>
      <c r="T404" s="472" t="s">
        <v>403</v>
      </c>
      <c r="U404" s="472"/>
      <c r="V404" s="473" t="s">
        <v>315</v>
      </c>
      <c r="W404" s="473" t="s">
        <v>316</v>
      </c>
      <c r="X404" s="473">
        <v>0.5708</v>
      </c>
      <c r="Y404" s="480">
        <f t="shared" si="118"/>
        <v>2468.71</v>
      </c>
      <c r="Z404" s="458" t="s">
        <v>1247</v>
      </c>
      <c r="AA404" s="458" t="s">
        <v>3198</v>
      </c>
      <c r="AB404" s="458" t="s">
        <v>76</v>
      </c>
      <c r="AC404" s="458"/>
      <c r="AD404" s="458"/>
      <c r="AE404" s="458"/>
      <c r="AF404" s="458">
        <v>4325</v>
      </c>
      <c r="AG404" s="458">
        <f t="shared" si="117"/>
        <v>0</v>
      </c>
      <c r="AH404" s="489"/>
      <c r="AI404" s="458"/>
      <c r="AJ404" s="458"/>
      <c r="AK404" s="458">
        <f t="shared" si="120"/>
        <v>4325</v>
      </c>
      <c r="AM404" s="425">
        <f t="shared" si="121"/>
        <v>4325</v>
      </c>
      <c r="AO404" s="495"/>
      <c r="AR404" s="425">
        <f t="shared" si="122"/>
        <v>4325</v>
      </c>
      <c r="AT404" s="495"/>
      <c r="AY404" s="498">
        <f t="shared" si="123"/>
        <v>90.1041666666667</v>
      </c>
      <c r="BJ404" s="425">
        <f>I404/25</f>
        <v>173</v>
      </c>
      <c r="BT404" s="495"/>
      <c r="BV404" s="495"/>
      <c r="CK404" s="425">
        <f t="shared" si="113"/>
        <v>173</v>
      </c>
      <c r="CL404" s="425">
        <f t="shared" si="114"/>
        <v>0</v>
      </c>
      <c r="CM404" s="425">
        <f t="shared" si="115"/>
        <v>0</v>
      </c>
      <c r="CN404" s="495"/>
      <c r="CO404" s="495"/>
      <c r="CP404" s="495"/>
      <c r="CT404" s="495"/>
      <c r="CU404" s="495"/>
      <c r="CV404" s="495"/>
      <c r="CW404" s="495"/>
      <c r="CX404" s="495"/>
    </row>
    <row r="405" s="425" customFormat="1" ht="31" customHeight="1" spans="1:102">
      <c r="A405" s="455">
        <v>45834</v>
      </c>
      <c r="B405" s="456" t="s">
        <v>312</v>
      </c>
      <c r="C405" s="457" t="s">
        <v>90</v>
      </c>
      <c r="D405" s="425">
        <v>4500171377</v>
      </c>
      <c r="E405" s="457" t="s">
        <v>1248</v>
      </c>
      <c r="F405" s="425" t="s">
        <v>4191</v>
      </c>
      <c r="G405" s="458" t="s">
        <v>3198</v>
      </c>
      <c r="H405" s="458" t="s">
        <v>3303</v>
      </c>
      <c r="I405" s="458">
        <v>725</v>
      </c>
      <c r="J405" s="458">
        <v>0</v>
      </c>
      <c r="K405" s="458">
        <v>25</v>
      </c>
      <c r="L405" s="462">
        <f t="shared" si="116"/>
        <v>29</v>
      </c>
      <c r="M405" s="463">
        <v>45873</v>
      </c>
      <c r="N405" s="463">
        <f t="shared" si="119"/>
        <v>45869</v>
      </c>
      <c r="O405" s="464"/>
      <c r="P405" s="464" t="s">
        <v>103</v>
      </c>
      <c r="Q405" s="458"/>
      <c r="R405" s="472">
        <v>45834</v>
      </c>
      <c r="S405" s="472" t="s">
        <v>66</v>
      </c>
      <c r="T405" s="472" t="s">
        <v>403</v>
      </c>
      <c r="U405" s="472"/>
      <c r="V405" s="473" t="s">
        <v>315</v>
      </c>
      <c r="W405" s="473" t="s">
        <v>316</v>
      </c>
      <c r="X405" s="473">
        <v>0.5739</v>
      </c>
      <c r="Y405" s="480">
        <f t="shared" si="118"/>
        <v>416.0775</v>
      </c>
      <c r="Z405" s="458" t="s">
        <v>1250</v>
      </c>
      <c r="AA405" s="458" t="s">
        <v>3198</v>
      </c>
      <c r="AB405" s="458" t="s">
        <v>76</v>
      </c>
      <c r="AC405" s="458"/>
      <c r="AD405" s="458"/>
      <c r="AE405" s="458"/>
      <c r="AF405" s="458">
        <v>725</v>
      </c>
      <c r="AG405" s="458">
        <f t="shared" si="117"/>
        <v>0</v>
      </c>
      <c r="AH405" s="489"/>
      <c r="AI405" s="458"/>
      <c r="AJ405" s="458"/>
      <c r="AK405" s="458">
        <f t="shared" si="120"/>
        <v>725</v>
      </c>
      <c r="AM405" s="425">
        <f t="shared" si="121"/>
        <v>725</v>
      </c>
      <c r="AO405" s="495"/>
      <c r="AR405" s="425">
        <f t="shared" si="122"/>
        <v>725</v>
      </c>
      <c r="AT405" s="495"/>
      <c r="AY405" s="498">
        <f t="shared" si="123"/>
        <v>15.1041666666667</v>
      </c>
      <c r="BJ405" s="425">
        <f>I405/25</f>
        <v>29</v>
      </c>
      <c r="BT405" s="495"/>
      <c r="BV405" s="495"/>
      <c r="CK405" s="425">
        <f t="shared" si="113"/>
        <v>29</v>
      </c>
      <c r="CL405" s="425">
        <f t="shared" si="114"/>
        <v>0</v>
      </c>
      <c r="CM405" s="425">
        <f t="shared" si="115"/>
        <v>0</v>
      </c>
      <c r="CN405" s="495"/>
      <c r="CO405" s="495"/>
      <c r="CP405" s="495"/>
      <c r="CT405" s="495"/>
      <c r="CU405" s="495"/>
      <c r="CV405" s="495"/>
      <c r="CW405" s="495"/>
      <c r="CX405" s="495"/>
    </row>
    <row r="406" s="425" customFormat="1" ht="31" customHeight="1" spans="1:102">
      <c r="A406" s="455">
        <v>45827</v>
      </c>
      <c r="B406" s="456" t="s">
        <v>128</v>
      </c>
      <c r="C406" s="457" t="s">
        <v>90</v>
      </c>
      <c r="D406" s="425">
        <v>4500170587</v>
      </c>
      <c r="E406" s="895" t="s">
        <v>4192</v>
      </c>
      <c r="F406" s="425" t="s">
        <v>4193</v>
      </c>
      <c r="G406" s="458" t="s">
        <v>3180</v>
      </c>
      <c r="H406" s="458" t="s">
        <v>3181</v>
      </c>
      <c r="I406" s="458">
        <v>2096</v>
      </c>
      <c r="J406" s="458">
        <v>0</v>
      </c>
      <c r="K406" s="458">
        <v>16</v>
      </c>
      <c r="L406" s="462">
        <f t="shared" si="116"/>
        <v>131</v>
      </c>
      <c r="M406" s="463">
        <v>45874</v>
      </c>
      <c r="N406" s="463">
        <v>45870</v>
      </c>
      <c r="O406" s="464"/>
      <c r="P406" s="464" t="s">
        <v>103</v>
      </c>
      <c r="Q406" s="458"/>
      <c r="R406" s="472" t="s">
        <v>4194</v>
      </c>
      <c r="S406" s="472" t="s">
        <v>66</v>
      </c>
      <c r="T406" s="472" t="s">
        <v>133</v>
      </c>
      <c r="U406" s="472"/>
      <c r="V406" s="473" t="s">
        <v>4195</v>
      </c>
      <c r="W406" s="473" t="s">
        <v>98</v>
      </c>
      <c r="X406" s="473">
        <v>0.5936</v>
      </c>
      <c r="Y406" s="480">
        <f t="shared" si="118"/>
        <v>1244.1856</v>
      </c>
      <c r="Z406" s="458" t="s">
        <v>4196</v>
      </c>
      <c r="AA406" s="458" t="s">
        <v>3180</v>
      </c>
      <c r="AB406" s="458" t="s">
        <v>76</v>
      </c>
      <c r="AC406" s="458"/>
      <c r="AD406" s="458"/>
      <c r="AE406" s="458"/>
      <c r="AF406" s="458">
        <v>2096</v>
      </c>
      <c r="AG406" s="458">
        <f t="shared" si="117"/>
        <v>0</v>
      </c>
      <c r="AH406" s="489"/>
      <c r="AI406" s="458"/>
      <c r="AJ406" s="458"/>
      <c r="AK406" s="458">
        <f t="shared" si="120"/>
        <v>2096</v>
      </c>
      <c r="AM406" s="425">
        <f t="shared" si="121"/>
        <v>2096</v>
      </c>
      <c r="AO406" s="495"/>
      <c r="AR406" s="425">
        <f t="shared" si="122"/>
        <v>2096</v>
      </c>
      <c r="AT406" s="495"/>
      <c r="AY406" s="498">
        <f t="shared" si="123"/>
        <v>43.6666666666667</v>
      </c>
      <c r="BM406" s="425">
        <f>I406/16</f>
        <v>131</v>
      </c>
      <c r="BT406" s="495"/>
      <c r="BV406" s="495"/>
      <c r="CK406" s="425">
        <f t="shared" si="113"/>
        <v>131</v>
      </c>
      <c r="CL406" s="425">
        <f t="shared" si="114"/>
        <v>0</v>
      </c>
      <c r="CM406" s="425">
        <f t="shared" si="115"/>
        <v>0</v>
      </c>
      <c r="CN406" s="495"/>
      <c r="CO406" s="495"/>
      <c r="CP406" s="495"/>
      <c r="CT406" s="495"/>
      <c r="CU406" s="495"/>
      <c r="CV406" s="495"/>
      <c r="CW406" s="495"/>
      <c r="CX406" s="495"/>
    </row>
    <row r="407" s="425" customFormat="1" ht="31" customHeight="1" spans="1:102">
      <c r="A407" s="455">
        <v>45827</v>
      </c>
      <c r="B407" s="456" t="s">
        <v>128</v>
      </c>
      <c r="C407" s="457" t="s">
        <v>90</v>
      </c>
      <c r="D407" s="425">
        <v>4500170587</v>
      </c>
      <c r="E407" s="895" t="s">
        <v>4197</v>
      </c>
      <c r="F407" s="425" t="s">
        <v>4198</v>
      </c>
      <c r="G407" s="458" t="s">
        <v>3180</v>
      </c>
      <c r="H407" s="458" t="s">
        <v>3181</v>
      </c>
      <c r="I407" s="458">
        <v>1632</v>
      </c>
      <c r="J407" s="458">
        <v>0</v>
      </c>
      <c r="K407" s="458">
        <v>16</v>
      </c>
      <c r="L407" s="462">
        <f t="shared" si="116"/>
        <v>102</v>
      </c>
      <c r="M407" s="463">
        <v>45874</v>
      </c>
      <c r="N407" s="463">
        <v>45870</v>
      </c>
      <c r="O407" s="464"/>
      <c r="P407" s="464" t="s">
        <v>103</v>
      </c>
      <c r="Q407" s="458"/>
      <c r="R407" s="472" t="s">
        <v>4194</v>
      </c>
      <c r="S407" s="472" t="s">
        <v>66</v>
      </c>
      <c r="T407" s="472" t="s">
        <v>133</v>
      </c>
      <c r="U407" s="472"/>
      <c r="V407" s="473" t="s">
        <v>4195</v>
      </c>
      <c r="W407" s="473" t="s">
        <v>98</v>
      </c>
      <c r="X407" s="473">
        <v>0.5936</v>
      </c>
      <c r="Y407" s="480">
        <f t="shared" si="118"/>
        <v>968.7552</v>
      </c>
      <c r="Z407" s="458" t="s">
        <v>4199</v>
      </c>
      <c r="AA407" s="458" t="s">
        <v>3180</v>
      </c>
      <c r="AB407" s="458" t="s">
        <v>76</v>
      </c>
      <c r="AC407" s="458"/>
      <c r="AD407" s="458"/>
      <c r="AE407" s="458"/>
      <c r="AF407" s="458">
        <v>1632</v>
      </c>
      <c r="AG407" s="458">
        <f t="shared" si="117"/>
        <v>0</v>
      </c>
      <c r="AH407" s="489"/>
      <c r="AI407" s="458"/>
      <c r="AJ407" s="458"/>
      <c r="AK407" s="458">
        <f t="shared" si="120"/>
        <v>1632</v>
      </c>
      <c r="AM407" s="425">
        <f t="shared" si="121"/>
        <v>1632</v>
      </c>
      <c r="AO407" s="495"/>
      <c r="AR407" s="425">
        <f t="shared" si="122"/>
        <v>1632</v>
      </c>
      <c r="AT407" s="495"/>
      <c r="AY407" s="498">
        <f t="shared" si="123"/>
        <v>34</v>
      </c>
      <c r="BM407" s="425">
        <f>I407/16</f>
        <v>102</v>
      </c>
      <c r="BT407" s="495"/>
      <c r="BV407" s="495"/>
      <c r="CK407" s="425">
        <f t="shared" si="113"/>
        <v>102</v>
      </c>
      <c r="CL407" s="425">
        <f t="shared" si="114"/>
        <v>0</v>
      </c>
      <c r="CM407" s="425">
        <f t="shared" si="115"/>
        <v>0</v>
      </c>
      <c r="CN407" s="495"/>
      <c r="CO407" s="495"/>
      <c r="CP407" s="495"/>
      <c r="CT407" s="495"/>
      <c r="CU407" s="495"/>
      <c r="CV407" s="495"/>
      <c r="CW407" s="495"/>
      <c r="CX407" s="495"/>
    </row>
    <row r="408" s="425" customFormat="1" ht="31" customHeight="1" spans="1:102">
      <c r="A408" s="455">
        <v>45827</v>
      </c>
      <c r="B408" s="456" t="s">
        <v>128</v>
      </c>
      <c r="C408" s="457" t="s">
        <v>90</v>
      </c>
      <c r="D408" s="425">
        <v>4500170587</v>
      </c>
      <c r="E408" s="895" t="s">
        <v>4200</v>
      </c>
      <c r="F408" s="425" t="s">
        <v>4201</v>
      </c>
      <c r="G408" s="458" t="s">
        <v>3180</v>
      </c>
      <c r="H408" s="458" t="s">
        <v>3181</v>
      </c>
      <c r="I408" s="458">
        <v>2432</v>
      </c>
      <c r="J408" s="458">
        <v>0</v>
      </c>
      <c r="K408" s="458">
        <v>16</v>
      </c>
      <c r="L408" s="462">
        <f t="shared" si="116"/>
        <v>152</v>
      </c>
      <c r="M408" s="463">
        <v>45874</v>
      </c>
      <c r="N408" s="463">
        <v>45870</v>
      </c>
      <c r="O408" s="464"/>
      <c r="P408" s="464" t="s">
        <v>103</v>
      </c>
      <c r="Q408" s="458"/>
      <c r="R408" s="472" t="s">
        <v>4194</v>
      </c>
      <c r="S408" s="472" t="s">
        <v>66</v>
      </c>
      <c r="T408" s="472" t="s">
        <v>133</v>
      </c>
      <c r="U408" s="472"/>
      <c r="V408" s="473" t="s">
        <v>4195</v>
      </c>
      <c r="W408" s="473" t="s">
        <v>98</v>
      </c>
      <c r="X408" s="473">
        <v>0.5936</v>
      </c>
      <c r="Y408" s="480">
        <f t="shared" si="118"/>
        <v>1443.6352</v>
      </c>
      <c r="Z408" s="458" t="s">
        <v>4202</v>
      </c>
      <c r="AA408" s="458" t="s">
        <v>3180</v>
      </c>
      <c r="AB408" s="458" t="s">
        <v>76</v>
      </c>
      <c r="AC408" s="458"/>
      <c r="AD408" s="458"/>
      <c r="AE408" s="458"/>
      <c r="AF408" s="458">
        <v>2432</v>
      </c>
      <c r="AG408" s="458">
        <f t="shared" si="117"/>
        <v>0</v>
      </c>
      <c r="AH408" s="489"/>
      <c r="AI408" s="458"/>
      <c r="AJ408" s="458"/>
      <c r="AK408" s="458">
        <f t="shared" si="120"/>
        <v>2432</v>
      </c>
      <c r="AM408" s="425">
        <f t="shared" si="121"/>
        <v>2432</v>
      </c>
      <c r="AO408" s="495"/>
      <c r="AR408" s="425">
        <f t="shared" si="122"/>
        <v>2432</v>
      </c>
      <c r="AT408" s="495"/>
      <c r="AY408" s="498">
        <f t="shared" si="123"/>
        <v>50.6666666666667</v>
      </c>
      <c r="BM408" s="425">
        <f>I408/16</f>
        <v>152</v>
      </c>
      <c r="BT408" s="495"/>
      <c r="BV408" s="495"/>
      <c r="CK408" s="425">
        <f t="shared" si="113"/>
        <v>152</v>
      </c>
      <c r="CL408" s="425">
        <f t="shared" si="114"/>
        <v>0</v>
      </c>
      <c r="CM408" s="425">
        <f t="shared" si="115"/>
        <v>0</v>
      </c>
      <c r="CN408" s="495"/>
      <c r="CO408" s="495"/>
      <c r="CP408" s="495"/>
      <c r="CT408" s="495"/>
      <c r="CU408" s="495"/>
      <c r="CV408" s="495"/>
      <c r="CW408" s="495"/>
      <c r="CX408" s="495"/>
    </row>
    <row r="409" s="425" customFormat="1" ht="31" customHeight="1" spans="1:102">
      <c r="A409" s="455">
        <v>45827</v>
      </c>
      <c r="B409" s="456" t="s">
        <v>128</v>
      </c>
      <c r="C409" s="457" t="s">
        <v>90</v>
      </c>
      <c r="D409" s="425">
        <v>4500170587</v>
      </c>
      <c r="E409" s="895" t="s">
        <v>4203</v>
      </c>
      <c r="F409" s="425" t="s">
        <v>4204</v>
      </c>
      <c r="G409" s="458" t="s">
        <v>3180</v>
      </c>
      <c r="H409" s="458" t="s">
        <v>3181</v>
      </c>
      <c r="I409" s="458">
        <v>1696</v>
      </c>
      <c r="J409" s="458">
        <v>0</v>
      </c>
      <c r="K409" s="458">
        <v>16</v>
      </c>
      <c r="L409" s="462">
        <f t="shared" si="116"/>
        <v>106</v>
      </c>
      <c r="M409" s="463">
        <v>45874</v>
      </c>
      <c r="N409" s="463">
        <v>45870</v>
      </c>
      <c r="O409" s="464"/>
      <c r="P409" s="464" t="s">
        <v>103</v>
      </c>
      <c r="Q409" s="458"/>
      <c r="R409" s="472" t="s">
        <v>4194</v>
      </c>
      <c r="S409" s="472" t="s">
        <v>66</v>
      </c>
      <c r="T409" s="472" t="s">
        <v>133</v>
      </c>
      <c r="U409" s="472"/>
      <c r="V409" s="473" t="s">
        <v>4195</v>
      </c>
      <c r="W409" s="473" t="s">
        <v>98</v>
      </c>
      <c r="X409" s="473">
        <v>0.5936</v>
      </c>
      <c r="Y409" s="480">
        <f t="shared" si="118"/>
        <v>1006.7456</v>
      </c>
      <c r="Z409" s="458" t="s">
        <v>4205</v>
      </c>
      <c r="AA409" s="458" t="s">
        <v>3180</v>
      </c>
      <c r="AB409" s="458" t="s">
        <v>76</v>
      </c>
      <c r="AC409" s="458"/>
      <c r="AD409" s="458"/>
      <c r="AE409" s="458"/>
      <c r="AF409" s="458">
        <v>1696</v>
      </c>
      <c r="AG409" s="458">
        <f t="shared" si="117"/>
        <v>0</v>
      </c>
      <c r="AH409" s="489"/>
      <c r="AI409" s="458"/>
      <c r="AJ409" s="458"/>
      <c r="AK409" s="458">
        <f t="shared" si="120"/>
        <v>1696</v>
      </c>
      <c r="AM409" s="425">
        <f t="shared" si="121"/>
        <v>1696</v>
      </c>
      <c r="AO409" s="495"/>
      <c r="AR409" s="425">
        <f t="shared" si="122"/>
        <v>1696</v>
      </c>
      <c r="AT409" s="495"/>
      <c r="AY409" s="498">
        <f t="shared" si="123"/>
        <v>35.3333333333333</v>
      </c>
      <c r="BM409" s="425">
        <f>I409/16</f>
        <v>106</v>
      </c>
      <c r="BT409" s="495"/>
      <c r="BV409" s="495"/>
      <c r="CK409" s="425">
        <f t="shared" si="113"/>
        <v>106</v>
      </c>
      <c r="CL409" s="425">
        <f t="shared" si="114"/>
        <v>0</v>
      </c>
      <c r="CM409" s="425">
        <f t="shared" si="115"/>
        <v>0</v>
      </c>
      <c r="CN409" s="495"/>
      <c r="CO409" s="495"/>
      <c r="CP409" s="495"/>
      <c r="CT409" s="495"/>
      <c r="CU409" s="495"/>
      <c r="CV409" s="495"/>
      <c r="CW409" s="495"/>
      <c r="CX409" s="495"/>
    </row>
    <row r="410" s="425" customFormat="1" ht="31" customHeight="1" spans="1:102">
      <c r="A410" s="455">
        <v>45789</v>
      </c>
      <c r="B410" s="456" t="s">
        <v>1180</v>
      </c>
      <c r="C410" s="457" t="s">
        <v>468</v>
      </c>
      <c r="D410" s="425">
        <v>4500165982</v>
      </c>
      <c r="E410" s="457">
        <v>61971743</v>
      </c>
      <c r="F410" s="425" t="s">
        <v>4206</v>
      </c>
      <c r="G410" s="458" t="s">
        <v>3161</v>
      </c>
      <c r="H410" s="458" t="s">
        <v>3221</v>
      </c>
      <c r="I410" s="458">
        <v>5000</v>
      </c>
      <c r="J410" s="458">
        <v>0</v>
      </c>
      <c r="K410" s="458">
        <v>50</v>
      </c>
      <c r="L410" s="462">
        <f t="shared" si="116"/>
        <v>100</v>
      </c>
      <c r="M410" s="463">
        <v>45863</v>
      </c>
      <c r="N410" s="463">
        <v>45859</v>
      </c>
      <c r="O410" s="464"/>
      <c r="P410" s="464" t="s">
        <v>103</v>
      </c>
      <c r="Q410" s="458"/>
      <c r="R410" s="472">
        <v>45840</v>
      </c>
      <c r="S410" s="472" t="s">
        <v>66</v>
      </c>
      <c r="T410" s="472">
        <v>45828</v>
      </c>
      <c r="U410" s="472" t="s">
        <v>4207</v>
      </c>
      <c r="V410" s="473" t="s">
        <v>4208</v>
      </c>
      <c r="W410" s="473" t="s">
        <v>1184</v>
      </c>
      <c r="X410" s="473">
        <v>0.95</v>
      </c>
      <c r="Y410" s="480">
        <f t="shared" si="118"/>
        <v>4750</v>
      </c>
      <c r="Z410" s="458"/>
      <c r="AA410" s="458" t="s">
        <v>3161</v>
      </c>
      <c r="AB410" s="458" t="s">
        <v>76</v>
      </c>
      <c r="AC410" s="458"/>
      <c r="AD410" s="458" t="s">
        <v>69</v>
      </c>
      <c r="AE410" s="458"/>
      <c r="AF410" s="458">
        <v>5000</v>
      </c>
      <c r="AG410" s="458">
        <f t="shared" si="117"/>
        <v>0</v>
      </c>
      <c r="AH410" s="489"/>
      <c r="AI410" s="458"/>
      <c r="AJ410" s="458"/>
      <c r="AK410" s="458"/>
      <c r="AL410" s="426">
        <f>I410</f>
        <v>5000</v>
      </c>
      <c r="AO410" s="495"/>
      <c r="AQ410" s="425">
        <f>I410</f>
        <v>5000</v>
      </c>
      <c r="AS410" s="425">
        <f>I410</f>
        <v>5000</v>
      </c>
      <c r="AT410" s="495"/>
      <c r="AY410" s="498">
        <f>I410/24</f>
        <v>208.333333333333</v>
      </c>
      <c r="BL410" s="425">
        <f>I410/25</f>
        <v>200</v>
      </c>
      <c r="BT410" s="495"/>
      <c r="BV410" s="495"/>
      <c r="CK410" s="425">
        <f t="shared" si="113"/>
        <v>200</v>
      </c>
      <c r="CL410" s="425">
        <f t="shared" si="114"/>
        <v>0</v>
      </c>
      <c r="CM410" s="425">
        <f t="shared" si="115"/>
        <v>0</v>
      </c>
      <c r="CN410" s="495"/>
      <c r="CO410" s="495"/>
      <c r="CP410" s="495"/>
      <c r="CT410" s="495"/>
      <c r="CU410" s="495"/>
      <c r="CV410" s="495"/>
      <c r="CW410" s="495"/>
      <c r="CX410" s="495"/>
    </row>
    <row r="411" s="425" customFormat="1" ht="31" customHeight="1" spans="1:102">
      <c r="A411" s="455">
        <v>45775</v>
      </c>
      <c r="B411" s="456" t="s">
        <v>1180</v>
      </c>
      <c r="C411" s="457" t="s">
        <v>468</v>
      </c>
      <c r="D411" s="425">
        <v>4500164920</v>
      </c>
      <c r="E411" s="457">
        <v>61963726</v>
      </c>
      <c r="F411" s="425" t="s">
        <v>4209</v>
      </c>
      <c r="G411" s="458" t="s">
        <v>3161</v>
      </c>
      <c r="H411" s="458" t="s">
        <v>3221</v>
      </c>
      <c r="I411" s="458">
        <v>700</v>
      </c>
      <c r="J411" s="458">
        <v>0</v>
      </c>
      <c r="K411" s="458">
        <v>50</v>
      </c>
      <c r="L411" s="462">
        <f t="shared" si="116"/>
        <v>14</v>
      </c>
      <c r="M411" s="463">
        <v>45863</v>
      </c>
      <c r="N411" s="463">
        <v>45859</v>
      </c>
      <c r="O411" s="464"/>
      <c r="P411" s="464" t="s">
        <v>103</v>
      </c>
      <c r="Q411" s="458"/>
      <c r="R411" s="472">
        <v>45812</v>
      </c>
      <c r="S411" s="472" t="s">
        <v>66</v>
      </c>
      <c r="T411" s="472">
        <v>45828</v>
      </c>
      <c r="U411" s="472" t="s">
        <v>4207</v>
      </c>
      <c r="V411" s="473" t="s">
        <v>4210</v>
      </c>
      <c r="W411" s="473" t="s">
        <v>473</v>
      </c>
      <c r="X411" s="473">
        <v>0.95</v>
      </c>
      <c r="Y411" s="480">
        <f t="shared" si="118"/>
        <v>665</v>
      </c>
      <c r="Z411" s="458"/>
      <c r="AA411" s="458" t="s">
        <v>3161</v>
      </c>
      <c r="AB411" s="458" t="s">
        <v>76</v>
      </c>
      <c r="AC411" s="458"/>
      <c r="AD411" s="458"/>
      <c r="AE411" s="458"/>
      <c r="AF411" s="458">
        <v>700</v>
      </c>
      <c r="AG411" s="458">
        <f t="shared" si="117"/>
        <v>0</v>
      </c>
      <c r="AH411" s="489"/>
      <c r="AI411" s="458"/>
      <c r="AJ411" s="458"/>
      <c r="AK411" s="458"/>
      <c r="AL411" s="426">
        <f>I411</f>
        <v>700</v>
      </c>
      <c r="AO411" s="495"/>
      <c r="AQ411" s="425">
        <f>I411</f>
        <v>700</v>
      </c>
      <c r="AS411" s="425">
        <f>I411</f>
        <v>700</v>
      </c>
      <c r="AT411" s="495"/>
      <c r="AY411" s="498">
        <f>I411/24</f>
        <v>29.1666666666667</v>
      </c>
      <c r="BL411" s="425">
        <f>I411/25</f>
        <v>28</v>
      </c>
      <c r="BT411" s="495"/>
      <c r="BV411" s="495"/>
      <c r="CK411" s="425">
        <f t="shared" si="113"/>
        <v>28</v>
      </c>
      <c r="CL411" s="425">
        <f t="shared" si="114"/>
        <v>0</v>
      </c>
      <c r="CM411" s="425">
        <f t="shared" si="115"/>
        <v>0</v>
      </c>
      <c r="CN411" s="495"/>
      <c r="CO411" s="495"/>
      <c r="CP411" s="495"/>
      <c r="CT411" s="495"/>
      <c r="CU411" s="495"/>
      <c r="CV411" s="495"/>
      <c r="CW411" s="495"/>
      <c r="CX411" s="495"/>
    </row>
    <row r="412" s="425" customFormat="1" ht="31" customHeight="1" spans="1:102">
      <c r="A412" s="455">
        <v>45827</v>
      </c>
      <c r="B412" s="456" t="s">
        <v>220</v>
      </c>
      <c r="C412" s="457" t="s">
        <v>90</v>
      </c>
      <c r="D412" s="425">
        <v>4500170534</v>
      </c>
      <c r="E412" s="457" t="s">
        <v>4211</v>
      </c>
      <c r="F412" s="425" t="s">
        <v>4212</v>
      </c>
      <c r="G412" s="458" t="s">
        <v>3198</v>
      </c>
      <c r="H412" s="458" t="s">
        <v>3303</v>
      </c>
      <c r="I412" s="458">
        <v>17925</v>
      </c>
      <c r="J412" s="458">
        <v>0</v>
      </c>
      <c r="K412" s="458">
        <v>25</v>
      </c>
      <c r="L412" s="462">
        <f t="shared" si="116"/>
        <v>717</v>
      </c>
      <c r="M412" s="463">
        <v>45869</v>
      </c>
      <c r="N412" s="463">
        <v>45866</v>
      </c>
      <c r="O412" s="464"/>
      <c r="P412" s="464" t="s">
        <v>103</v>
      </c>
      <c r="Q412" s="458"/>
      <c r="R412" s="472">
        <v>45832</v>
      </c>
      <c r="S412" s="472" t="s">
        <v>96</v>
      </c>
      <c r="T412" s="472" t="s">
        <v>4213</v>
      </c>
      <c r="U412" s="472"/>
      <c r="V412" s="473" t="s">
        <v>4214</v>
      </c>
      <c r="W412" s="473" t="s">
        <v>226</v>
      </c>
      <c r="X412" s="473">
        <v>0.5543</v>
      </c>
      <c r="Y412" s="480">
        <f t="shared" si="118"/>
        <v>9935.8275</v>
      </c>
      <c r="Z412" s="458" t="s">
        <v>4215</v>
      </c>
      <c r="AA412" s="458" t="s">
        <v>3198</v>
      </c>
      <c r="AB412" s="458" t="s">
        <v>76</v>
      </c>
      <c r="AC412" s="458"/>
      <c r="AD412" s="458"/>
      <c r="AE412" s="458"/>
      <c r="AF412" s="458">
        <v>17925</v>
      </c>
      <c r="AG412" s="458">
        <f t="shared" si="117"/>
        <v>0</v>
      </c>
      <c r="AH412" s="489"/>
      <c r="AI412" s="458"/>
      <c r="AJ412" s="458"/>
      <c r="AK412" s="458">
        <f>I412</f>
        <v>17925</v>
      </c>
      <c r="AM412" s="425">
        <f>I412</f>
        <v>17925</v>
      </c>
      <c r="AO412" s="495"/>
      <c r="AR412" s="425">
        <f>I412</f>
        <v>17925</v>
      </c>
      <c r="AT412" s="495"/>
      <c r="AY412" s="498">
        <f>I412/48</f>
        <v>373.4375</v>
      </c>
      <c r="BJ412" s="425">
        <f>I412/25</f>
        <v>717</v>
      </c>
      <c r="BT412" s="495"/>
      <c r="BV412" s="495"/>
      <c r="CK412" s="425">
        <f t="shared" si="113"/>
        <v>717</v>
      </c>
      <c r="CL412" s="425">
        <f t="shared" si="114"/>
        <v>0</v>
      </c>
      <c r="CM412" s="425">
        <f t="shared" si="115"/>
        <v>0</v>
      </c>
      <c r="CN412" s="495"/>
      <c r="CO412" s="495"/>
      <c r="CP412" s="495"/>
      <c r="CT412" s="495"/>
      <c r="CU412" s="495"/>
      <c r="CV412" s="495"/>
      <c r="CW412" s="495"/>
      <c r="CX412" s="495"/>
    </row>
    <row r="413" s="425" customFormat="1" ht="31" customHeight="1" spans="1:102">
      <c r="A413" s="455">
        <v>45826</v>
      </c>
      <c r="B413" s="456" t="s">
        <v>1220</v>
      </c>
      <c r="C413" s="457" t="s">
        <v>468</v>
      </c>
      <c r="D413" s="425">
        <v>4500170311</v>
      </c>
      <c r="E413" s="457"/>
      <c r="F413" s="425" t="s">
        <v>4216</v>
      </c>
      <c r="G413" s="458" t="s">
        <v>3161</v>
      </c>
      <c r="H413" s="458" t="s">
        <v>3221</v>
      </c>
      <c r="I413" s="458">
        <v>650</v>
      </c>
      <c r="J413" s="458">
        <v>0</v>
      </c>
      <c r="K413" s="458">
        <v>50</v>
      </c>
      <c r="L413" s="462">
        <f t="shared" si="116"/>
        <v>13</v>
      </c>
      <c r="M413" s="463">
        <v>45870</v>
      </c>
      <c r="N413" s="463">
        <v>45868</v>
      </c>
      <c r="O413" s="464"/>
      <c r="P413" s="464" t="s">
        <v>103</v>
      </c>
      <c r="Q413" s="458"/>
      <c r="R413" s="472">
        <v>45840</v>
      </c>
      <c r="S413" s="472" t="s">
        <v>66</v>
      </c>
      <c r="T413" s="472">
        <v>45848</v>
      </c>
      <c r="U413" s="472"/>
      <c r="V413" s="473" t="s">
        <v>4217</v>
      </c>
      <c r="W413" s="473" t="s">
        <v>304</v>
      </c>
      <c r="X413" s="473">
        <v>0.9462</v>
      </c>
      <c r="Y413" s="480">
        <f t="shared" si="118"/>
        <v>615.03</v>
      </c>
      <c r="Z413" s="458"/>
      <c r="AA413" s="458" t="s">
        <v>3161</v>
      </c>
      <c r="AB413" s="458" t="s">
        <v>76</v>
      </c>
      <c r="AC413" s="458"/>
      <c r="AD413" s="458"/>
      <c r="AE413" s="458"/>
      <c r="AF413" s="458">
        <v>650</v>
      </c>
      <c r="AG413" s="458">
        <f t="shared" si="117"/>
        <v>0</v>
      </c>
      <c r="AH413" s="489"/>
      <c r="AI413" s="458"/>
      <c r="AJ413" s="458"/>
      <c r="AK413" s="458"/>
      <c r="AL413" s="426">
        <f>I413</f>
        <v>650</v>
      </c>
      <c r="AO413" s="495"/>
      <c r="AQ413" s="425">
        <f>I413</f>
        <v>650</v>
      </c>
      <c r="AS413" s="425">
        <f>I413</f>
        <v>650</v>
      </c>
      <c r="AT413" s="495"/>
      <c r="AY413" s="498">
        <f>I413/24</f>
        <v>27.0833333333333</v>
      </c>
      <c r="BL413" s="425">
        <f>I413/25</f>
        <v>26</v>
      </c>
      <c r="BT413" s="495"/>
      <c r="BV413" s="495"/>
      <c r="CK413" s="425">
        <f t="shared" si="113"/>
        <v>26</v>
      </c>
      <c r="CL413" s="425">
        <f t="shared" si="114"/>
        <v>0</v>
      </c>
      <c r="CM413" s="425">
        <f t="shared" si="115"/>
        <v>0</v>
      </c>
      <c r="CN413" s="495"/>
      <c r="CO413" s="495"/>
      <c r="CP413" s="495"/>
      <c r="CT413" s="495"/>
      <c r="CU413" s="495"/>
      <c r="CV413" s="495"/>
      <c r="CW413" s="495"/>
      <c r="CX413" s="495"/>
    </row>
    <row r="414" s="425" customFormat="1" ht="31" customHeight="1" spans="1:102">
      <c r="A414" s="455">
        <v>45838</v>
      </c>
      <c r="B414" s="456" t="s">
        <v>360</v>
      </c>
      <c r="C414" s="457" t="s">
        <v>249</v>
      </c>
      <c r="D414" s="425">
        <v>4500164207</v>
      </c>
      <c r="E414" s="457">
        <v>240151</v>
      </c>
      <c r="F414" s="425" t="s">
        <v>4218</v>
      </c>
      <c r="G414" s="458" t="s">
        <v>3143</v>
      </c>
      <c r="H414" s="458" t="s">
        <v>3144</v>
      </c>
      <c r="I414" s="458">
        <v>216</v>
      </c>
      <c r="J414" s="458">
        <v>0</v>
      </c>
      <c r="K414" s="458">
        <v>24</v>
      </c>
      <c r="L414" s="462">
        <f t="shared" si="116"/>
        <v>9</v>
      </c>
      <c r="M414" s="463">
        <v>45870</v>
      </c>
      <c r="N414" s="463">
        <f>M414-4</f>
        <v>45866</v>
      </c>
      <c r="O414" s="464"/>
      <c r="P414" s="464" t="s">
        <v>103</v>
      </c>
      <c r="Q414" s="458"/>
      <c r="R414" s="472">
        <v>45838</v>
      </c>
      <c r="S414" s="472" t="s">
        <v>66</v>
      </c>
      <c r="T414" s="472">
        <v>45838</v>
      </c>
      <c r="U414" s="472"/>
      <c r="V414" s="473" t="s">
        <v>4219</v>
      </c>
      <c r="W414" s="473">
        <v>300150</v>
      </c>
      <c r="X414" s="473">
        <v>0.8707</v>
      </c>
      <c r="Y414" s="480">
        <f t="shared" si="118"/>
        <v>188.0712</v>
      </c>
      <c r="Z414" s="458"/>
      <c r="AA414" s="458" t="s">
        <v>3143</v>
      </c>
      <c r="AB414" s="458" t="s">
        <v>76</v>
      </c>
      <c r="AC414" s="458"/>
      <c r="AD414" s="458"/>
      <c r="AE414" s="458"/>
      <c r="AF414" s="458">
        <v>216</v>
      </c>
      <c r="AG414" s="458">
        <f t="shared" si="117"/>
        <v>0</v>
      </c>
      <c r="AH414" s="489"/>
      <c r="AI414" s="458"/>
      <c r="AJ414" s="458"/>
      <c r="AK414" s="458"/>
      <c r="AL414" s="426">
        <f>I414</f>
        <v>216</v>
      </c>
      <c r="AO414" s="495"/>
      <c r="AQ414" s="425">
        <f>I414</f>
        <v>216</v>
      </c>
      <c r="AS414" s="425">
        <f>I414</f>
        <v>216</v>
      </c>
      <c r="AT414" s="495"/>
      <c r="AY414" s="498">
        <f>I414/24</f>
        <v>9</v>
      </c>
      <c r="BT414" s="495"/>
      <c r="BV414" s="495"/>
      <c r="CK414" s="425">
        <f t="shared" si="113"/>
        <v>0</v>
      </c>
      <c r="CL414" s="425">
        <f t="shared" si="114"/>
        <v>0</v>
      </c>
      <c r="CM414" s="425">
        <f t="shared" si="115"/>
        <v>0</v>
      </c>
      <c r="CN414" s="495"/>
      <c r="CO414" s="495"/>
      <c r="CP414" s="495"/>
      <c r="CT414" s="495"/>
      <c r="CU414" s="495"/>
      <c r="CV414" s="495"/>
      <c r="CW414" s="495"/>
      <c r="CX414" s="495"/>
    </row>
    <row r="415" s="425" customFormat="1" ht="31" customHeight="1" spans="1:102">
      <c r="A415" s="455">
        <v>45770</v>
      </c>
      <c r="B415" s="456" t="s">
        <v>4220</v>
      </c>
      <c r="C415" s="457" t="s">
        <v>271</v>
      </c>
      <c r="D415" s="425">
        <v>4500163362</v>
      </c>
      <c r="E415" s="457"/>
      <c r="F415" s="425" t="s">
        <v>4221</v>
      </c>
      <c r="G415" s="458" t="s">
        <v>3161</v>
      </c>
      <c r="H415" s="458" t="s">
        <v>3221</v>
      </c>
      <c r="I415" s="458">
        <v>350</v>
      </c>
      <c r="J415" s="458">
        <v>0</v>
      </c>
      <c r="K415" s="458">
        <v>50</v>
      </c>
      <c r="L415" s="462">
        <f t="shared" si="116"/>
        <v>7</v>
      </c>
      <c r="M415" s="463">
        <v>45873</v>
      </c>
      <c r="N415" s="463">
        <f>M415-4</f>
        <v>45869</v>
      </c>
      <c r="O415" s="464"/>
      <c r="P415" s="464" t="s">
        <v>103</v>
      </c>
      <c r="Q415" s="458"/>
      <c r="R415" s="472">
        <v>45806</v>
      </c>
      <c r="S415" s="472" t="s">
        <v>66</v>
      </c>
      <c r="T415" s="472" t="s">
        <v>403</v>
      </c>
      <c r="U415" s="472"/>
      <c r="V415" s="473" t="s">
        <v>4222</v>
      </c>
      <c r="W415" s="473" t="s">
        <v>235</v>
      </c>
      <c r="X415" s="473">
        <v>0.95</v>
      </c>
      <c r="Y415" s="480">
        <f t="shared" si="118"/>
        <v>332.5</v>
      </c>
      <c r="Z415" s="458"/>
      <c r="AA415" s="458" t="s">
        <v>3161</v>
      </c>
      <c r="AB415" s="458" t="s">
        <v>76</v>
      </c>
      <c r="AC415" s="458"/>
      <c r="AD415" s="458"/>
      <c r="AE415" s="458"/>
      <c r="AF415" s="458">
        <v>350</v>
      </c>
      <c r="AG415" s="458">
        <f t="shared" si="117"/>
        <v>0</v>
      </c>
      <c r="AH415" s="489"/>
      <c r="AI415" s="458"/>
      <c r="AJ415" s="458"/>
      <c r="AK415" s="458"/>
      <c r="AL415" s="426">
        <f>I415</f>
        <v>350</v>
      </c>
      <c r="AO415" s="495"/>
      <c r="AQ415" s="425">
        <f>I415</f>
        <v>350</v>
      </c>
      <c r="AS415" s="425">
        <f>I415</f>
        <v>350</v>
      </c>
      <c r="AT415" s="495"/>
      <c r="AY415" s="498">
        <f>I415/24</f>
        <v>14.5833333333333</v>
      </c>
      <c r="BL415" s="425">
        <f>I415/25</f>
        <v>14</v>
      </c>
      <c r="BT415" s="495"/>
      <c r="BV415" s="495"/>
      <c r="CK415" s="425">
        <f t="shared" si="113"/>
        <v>14</v>
      </c>
      <c r="CL415" s="425">
        <f t="shared" si="114"/>
        <v>0</v>
      </c>
      <c r="CM415" s="425">
        <f t="shared" si="115"/>
        <v>0</v>
      </c>
      <c r="CN415" s="495"/>
      <c r="CO415" s="495"/>
      <c r="CP415" s="495"/>
      <c r="CT415" s="495"/>
      <c r="CU415" s="495"/>
      <c r="CV415" s="495"/>
      <c r="CW415" s="495"/>
      <c r="CX415" s="495"/>
    </row>
    <row r="416" s="425" customFormat="1" ht="31" customHeight="1" spans="1:102">
      <c r="A416" s="455">
        <v>45826</v>
      </c>
      <c r="B416" s="456" t="s">
        <v>1224</v>
      </c>
      <c r="C416" s="457" t="s">
        <v>524</v>
      </c>
      <c r="D416" s="425">
        <v>4500170501</v>
      </c>
      <c r="E416" s="457"/>
      <c r="F416" s="425" t="s">
        <v>4223</v>
      </c>
      <c r="G416" s="458" t="s">
        <v>3541</v>
      </c>
      <c r="H416" s="458" t="s">
        <v>3542</v>
      </c>
      <c r="I416" s="458">
        <v>1500</v>
      </c>
      <c r="J416" s="458">
        <v>0</v>
      </c>
      <c r="K416" s="458">
        <v>50</v>
      </c>
      <c r="L416" s="462">
        <f t="shared" si="116"/>
        <v>30</v>
      </c>
      <c r="M416" s="463">
        <v>45869</v>
      </c>
      <c r="N416" s="463">
        <v>45866</v>
      </c>
      <c r="O416" s="464"/>
      <c r="P416" s="464" t="s">
        <v>103</v>
      </c>
      <c r="Q416" s="458"/>
      <c r="R416" s="472">
        <v>45834</v>
      </c>
      <c r="S416" s="472" t="s">
        <v>66</v>
      </c>
      <c r="T416" s="472" t="s">
        <v>4224</v>
      </c>
      <c r="U416" s="472"/>
      <c r="V416" s="473" t="s">
        <v>4225</v>
      </c>
      <c r="W416" s="473" t="s">
        <v>207</v>
      </c>
      <c r="X416" s="473">
        <v>0.9543</v>
      </c>
      <c r="Y416" s="480">
        <f t="shared" si="118"/>
        <v>1431.45</v>
      </c>
      <c r="Z416" s="458"/>
      <c r="AA416" s="458" t="s">
        <v>3541</v>
      </c>
      <c r="AB416" s="458" t="s">
        <v>76</v>
      </c>
      <c r="AC416" s="458"/>
      <c r="AD416" s="458"/>
      <c r="AE416" s="458"/>
      <c r="AF416" s="458">
        <v>1500</v>
      </c>
      <c r="AG416" s="458">
        <f t="shared" si="117"/>
        <v>0</v>
      </c>
      <c r="AH416" s="489"/>
      <c r="AI416" s="458"/>
      <c r="AJ416" s="458"/>
      <c r="AK416" s="458"/>
      <c r="AL416" s="425">
        <f>I416</f>
        <v>1500</v>
      </c>
      <c r="AO416" s="495"/>
      <c r="AQ416" s="425">
        <f>I416</f>
        <v>1500</v>
      </c>
      <c r="AT416" s="495"/>
      <c r="AW416" s="425">
        <f>I416</f>
        <v>1500</v>
      </c>
      <c r="AY416" s="498">
        <f>I416/24*2</f>
        <v>125</v>
      </c>
      <c r="BS416" s="425">
        <f>I416/25</f>
        <v>60</v>
      </c>
      <c r="BT416" s="495"/>
      <c r="BV416" s="495"/>
      <c r="CK416" s="425">
        <f t="shared" si="113"/>
        <v>60</v>
      </c>
      <c r="CL416" s="425">
        <f t="shared" si="114"/>
        <v>0</v>
      </c>
      <c r="CM416" s="425">
        <f t="shared" si="115"/>
        <v>0</v>
      </c>
      <c r="CN416" s="495"/>
      <c r="CO416" s="495"/>
      <c r="CP416" s="495"/>
      <c r="CT416" s="495"/>
      <c r="CU416" s="495"/>
      <c r="CV416" s="495"/>
      <c r="CW416" s="495"/>
      <c r="CX416" s="495"/>
    </row>
    <row r="417" s="425" customFormat="1" ht="31" customHeight="1" spans="1:102">
      <c r="A417" s="455">
        <v>45828</v>
      </c>
      <c r="B417" s="456" t="s">
        <v>125</v>
      </c>
      <c r="C417" s="457" t="s">
        <v>71</v>
      </c>
      <c r="D417" s="425">
        <v>4500170843</v>
      </c>
      <c r="E417" s="457">
        <v>20862339</v>
      </c>
      <c r="F417" s="425" t="s">
        <v>1200</v>
      </c>
      <c r="G417" s="458" t="s">
        <v>3436</v>
      </c>
      <c r="H417" s="458" t="s">
        <v>424</v>
      </c>
      <c r="I417" s="458">
        <v>354</v>
      </c>
      <c r="J417" s="458">
        <v>0</v>
      </c>
      <c r="K417" s="458">
        <v>6</v>
      </c>
      <c r="L417" s="462">
        <f t="shared" si="116"/>
        <v>59</v>
      </c>
      <c r="M417" s="463">
        <v>45870</v>
      </c>
      <c r="N417" s="463">
        <v>45868</v>
      </c>
      <c r="O417" s="464"/>
      <c r="P417" s="464" t="s">
        <v>103</v>
      </c>
      <c r="Q417" s="458"/>
      <c r="R417" s="472">
        <v>45828</v>
      </c>
      <c r="S417" s="472" t="s">
        <v>96</v>
      </c>
      <c r="T417" s="472">
        <v>45846</v>
      </c>
      <c r="U417" s="472"/>
      <c r="V417" s="473" t="s">
        <v>4226</v>
      </c>
      <c r="W417" s="473" t="s">
        <v>121</v>
      </c>
      <c r="X417" s="473">
        <v>7.4117</v>
      </c>
      <c r="Y417" s="480">
        <f t="shared" si="118"/>
        <v>2623.7418</v>
      </c>
      <c r="Z417" s="458"/>
      <c r="AA417" s="458" t="s">
        <v>1203</v>
      </c>
      <c r="AB417" s="458" t="s">
        <v>76</v>
      </c>
      <c r="AC417" s="458"/>
      <c r="AD417" s="458"/>
      <c r="AE417" s="458"/>
      <c r="AF417" s="458">
        <v>354</v>
      </c>
      <c r="AG417" s="458">
        <f t="shared" si="117"/>
        <v>0</v>
      </c>
      <c r="AH417" s="489"/>
      <c r="AI417" s="458"/>
      <c r="AJ417" s="458"/>
      <c r="AK417" s="458"/>
      <c r="AL417" s="425">
        <f>I417*2</f>
        <v>708</v>
      </c>
      <c r="AO417" s="495">
        <f>$I417*2</f>
        <v>708</v>
      </c>
      <c r="AS417" s="425">
        <f>I417*2</f>
        <v>708</v>
      </c>
      <c r="AT417" s="495"/>
      <c r="AY417" s="498">
        <f>I417/24*2</f>
        <v>29.5</v>
      </c>
      <c r="BT417" s="495"/>
      <c r="BU417" s="425">
        <f>I417</f>
        <v>354</v>
      </c>
      <c r="BV417" s="495"/>
      <c r="CK417" s="425">
        <f t="shared" si="113"/>
        <v>0</v>
      </c>
      <c r="CL417" s="425">
        <f t="shared" si="114"/>
        <v>0</v>
      </c>
      <c r="CM417" s="425">
        <f t="shared" si="115"/>
        <v>0</v>
      </c>
      <c r="CN417" s="495"/>
      <c r="CO417" s="495"/>
      <c r="CP417" s="495"/>
      <c r="CT417" s="495"/>
      <c r="CU417" s="495"/>
      <c r="CV417" s="495"/>
      <c r="CW417" s="495"/>
      <c r="CX417" s="495"/>
    </row>
    <row r="418" s="425" customFormat="1" ht="31" customHeight="1" spans="1:102">
      <c r="A418" s="455">
        <v>45828</v>
      </c>
      <c r="B418" s="456" t="s">
        <v>122</v>
      </c>
      <c r="C418" s="457" t="s">
        <v>116</v>
      </c>
      <c r="D418" s="425">
        <v>4500170842</v>
      </c>
      <c r="E418" s="457">
        <v>20862333</v>
      </c>
      <c r="F418" s="425" t="s">
        <v>1204</v>
      </c>
      <c r="G418" s="458" t="s">
        <v>3436</v>
      </c>
      <c r="H418" s="458" t="s">
        <v>424</v>
      </c>
      <c r="I418" s="458">
        <v>3246</v>
      </c>
      <c r="J418" s="458">
        <v>0</v>
      </c>
      <c r="K418" s="458">
        <v>6</v>
      </c>
      <c r="L418" s="462">
        <f t="shared" si="116"/>
        <v>541</v>
      </c>
      <c r="M418" s="463">
        <v>45870</v>
      </c>
      <c r="N418" s="463">
        <v>45868</v>
      </c>
      <c r="O418" s="464"/>
      <c r="P418" s="464" t="s">
        <v>103</v>
      </c>
      <c r="Q418" s="458"/>
      <c r="R418" s="472">
        <v>45828</v>
      </c>
      <c r="S418" s="472" t="s">
        <v>96</v>
      </c>
      <c r="T418" s="472">
        <v>45846</v>
      </c>
      <c r="U418" s="472"/>
      <c r="V418" s="473" t="s">
        <v>4227</v>
      </c>
      <c r="W418" s="473" t="s">
        <v>121</v>
      </c>
      <c r="X418" s="473">
        <v>6.8865</v>
      </c>
      <c r="Y418" s="480">
        <f t="shared" si="118"/>
        <v>22353.579</v>
      </c>
      <c r="Z418" s="458"/>
      <c r="AA418" s="458" t="s">
        <v>1203</v>
      </c>
      <c r="AB418" s="458" t="s">
        <v>76</v>
      </c>
      <c r="AC418" s="458"/>
      <c r="AD418" s="458"/>
      <c r="AE418" s="458"/>
      <c r="AF418" s="458">
        <v>3246</v>
      </c>
      <c r="AG418" s="458">
        <f t="shared" si="117"/>
        <v>0</v>
      </c>
      <c r="AH418" s="489"/>
      <c r="AI418" s="458"/>
      <c r="AJ418" s="458"/>
      <c r="AK418" s="458"/>
      <c r="AL418" s="425">
        <f>I418*2</f>
        <v>6492</v>
      </c>
      <c r="AO418" s="495">
        <f>$I418*2</f>
        <v>6492</v>
      </c>
      <c r="AS418" s="425">
        <f>I418*2</f>
        <v>6492</v>
      </c>
      <c r="AT418" s="495"/>
      <c r="AY418" s="498">
        <f>I418/24*2</f>
        <v>270.5</v>
      </c>
      <c r="BT418" s="495"/>
      <c r="BU418" s="425">
        <f>I418</f>
        <v>3246</v>
      </c>
      <c r="BV418" s="495"/>
      <c r="CK418" s="425">
        <f t="shared" si="113"/>
        <v>0</v>
      </c>
      <c r="CL418" s="425">
        <f t="shared" si="114"/>
        <v>0</v>
      </c>
      <c r="CM418" s="425">
        <f t="shared" si="115"/>
        <v>0</v>
      </c>
      <c r="CN418" s="495"/>
      <c r="CO418" s="495"/>
      <c r="CP418" s="495"/>
      <c r="CT418" s="495"/>
      <c r="CU418" s="495"/>
      <c r="CV418" s="495"/>
      <c r="CW418" s="495"/>
      <c r="CX418" s="495"/>
    </row>
    <row r="419" s="425" customFormat="1" ht="31" customHeight="1" spans="1:102">
      <c r="A419" s="455">
        <v>45834</v>
      </c>
      <c r="B419" s="456" t="s">
        <v>1228</v>
      </c>
      <c r="C419" s="457" t="s">
        <v>841</v>
      </c>
      <c r="D419" s="425">
        <v>4500171272</v>
      </c>
      <c r="E419" s="457"/>
      <c r="F419" s="425" t="s">
        <v>4228</v>
      </c>
      <c r="G419" s="458" t="s">
        <v>3378</v>
      </c>
      <c r="H419" s="458" t="s">
        <v>3379</v>
      </c>
      <c r="I419" s="458">
        <v>1300</v>
      </c>
      <c r="J419" s="458">
        <v>0</v>
      </c>
      <c r="K419" s="458">
        <v>50</v>
      </c>
      <c r="L419" s="462">
        <f t="shared" si="116"/>
        <v>26</v>
      </c>
      <c r="M419" s="463">
        <v>45870</v>
      </c>
      <c r="N419" s="463">
        <v>45868</v>
      </c>
      <c r="O419" s="464"/>
      <c r="P419" s="464" t="s">
        <v>103</v>
      </c>
      <c r="Q419" s="458"/>
      <c r="R419" s="472">
        <v>45845</v>
      </c>
      <c r="S419" s="472" t="s">
        <v>66</v>
      </c>
      <c r="T419" s="472" t="s">
        <v>66</v>
      </c>
      <c r="U419" s="472"/>
      <c r="V419" s="473" t="s">
        <v>4229</v>
      </c>
      <c r="W419" s="473" t="s">
        <v>853</v>
      </c>
      <c r="X419" s="473">
        <v>0.924</v>
      </c>
      <c r="Y419" s="480">
        <f t="shared" si="118"/>
        <v>1201.2</v>
      </c>
      <c r="Z419" s="458"/>
      <c r="AA419" s="458" t="s">
        <v>3378</v>
      </c>
      <c r="AB419" s="458" t="s">
        <v>76</v>
      </c>
      <c r="AC419" s="458"/>
      <c r="AD419" s="458"/>
      <c r="AE419" s="458"/>
      <c r="AF419" s="458">
        <v>1300</v>
      </c>
      <c r="AG419" s="458">
        <f t="shared" si="117"/>
        <v>0</v>
      </c>
      <c r="AH419" s="489"/>
      <c r="AI419" s="458"/>
      <c r="AJ419" s="458"/>
      <c r="AK419" s="458"/>
      <c r="AL419" s="425">
        <f>I419</f>
        <v>1300</v>
      </c>
      <c r="AO419" s="495"/>
      <c r="AT419" s="495"/>
      <c r="AY419" s="498">
        <f>I419/24*2</f>
        <v>108.333333333333</v>
      </c>
      <c r="BQ419" s="425">
        <f>I419</f>
        <v>1300</v>
      </c>
      <c r="BR419" s="425">
        <f>I419</f>
        <v>1300</v>
      </c>
      <c r="BS419" s="425">
        <f>I419/25</f>
        <v>52</v>
      </c>
      <c r="BT419" s="495"/>
      <c r="BV419" s="495"/>
      <c r="CK419" s="425">
        <f t="shared" si="113"/>
        <v>52</v>
      </c>
      <c r="CL419" s="425">
        <f t="shared" si="114"/>
        <v>0</v>
      </c>
      <c r="CM419" s="425">
        <f t="shared" si="115"/>
        <v>0</v>
      </c>
      <c r="CN419" s="495"/>
      <c r="CO419" s="495"/>
      <c r="CP419" s="495"/>
      <c r="CT419" s="495"/>
      <c r="CU419" s="495"/>
      <c r="CV419" s="495"/>
      <c r="CW419" s="495"/>
      <c r="CX419" s="495"/>
    </row>
    <row r="420" s="425" customFormat="1" ht="31" customHeight="1" spans="1:102">
      <c r="A420" s="455">
        <v>45834</v>
      </c>
      <c r="B420" s="456" t="s">
        <v>1228</v>
      </c>
      <c r="C420" s="457" t="s">
        <v>841</v>
      </c>
      <c r="D420" s="425">
        <v>4500171286</v>
      </c>
      <c r="E420" s="457"/>
      <c r="F420" s="425" t="s">
        <v>4230</v>
      </c>
      <c r="G420" s="458" t="s">
        <v>3378</v>
      </c>
      <c r="H420" s="458" t="s">
        <v>3379</v>
      </c>
      <c r="I420" s="458">
        <v>500</v>
      </c>
      <c r="J420" s="458">
        <v>0</v>
      </c>
      <c r="K420" s="458">
        <v>50</v>
      </c>
      <c r="L420" s="462">
        <f t="shared" si="116"/>
        <v>10</v>
      </c>
      <c r="M420" s="463">
        <v>45870</v>
      </c>
      <c r="N420" s="463">
        <f>M420-4</f>
        <v>45866</v>
      </c>
      <c r="O420" s="464"/>
      <c r="P420" s="464" t="s">
        <v>103</v>
      </c>
      <c r="Q420" s="458"/>
      <c r="R420" s="472">
        <v>45845</v>
      </c>
      <c r="S420" s="472" t="s">
        <v>66</v>
      </c>
      <c r="T420" s="472" t="s">
        <v>66</v>
      </c>
      <c r="U420" s="472"/>
      <c r="V420" s="473" t="s">
        <v>4231</v>
      </c>
      <c r="W420" s="473" t="s">
        <v>853</v>
      </c>
      <c r="X420" s="473">
        <v>0.9292</v>
      </c>
      <c r="Y420" s="480">
        <f t="shared" si="118"/>
        <v>464.6</v>
      </c>
      <c r="Z420" s="509" t="s">
        <v>1321</v>
      </c>
      <c r="AA420" s="458" t="s">
        <v>3378</v>
      </c>
      <c r="AB420" s="458" t="s">
        <v>76</v>
      </c>
      <c r="AC420" s="458"/>
      <c r="AD420" s="458"/>
      <c r="AE420" s="458"/>
      <c r="AF420" s="458">
        <v>500</v>
      </c>
      <c r="AG420" s="458">
        <f t="shared" si="117"/>
        <v>0</v>
      </c>
      <c r="AH420" s="489"/>
      <c r="AI420" s="458"/>
      <c r="AJ420" s="458"/>
      <c r="AK420" s="458"/>
      <c r="AL420" s="425">
        <f>I420</f>
        <v>500</v>
      </c>
      <c r="AO420" s="495"/>
      <c r="AT420" s="495"/>
      <c r="AY420" s="498">
        <f>I420/24*2</f>
        <v>41.6666666666667</v>
      </c>
      <c r="BQ420" s="425">
        <f>I420</f>
        <v>500</v>
      </c>
      <c r="BR420" s="425">
        <f>I420</f>
        <v>500</v>
      </c>
      <c r="BS420" s="425">
        <f>I420/25</f>
        <v>20</v>
      </c>
      <c r="BT420" s="495"/>
      <c r="BV420" s="495"/>
      <c r="CK420" s="425">
        <f t="shared" si="113"/>
        <v>20</v>
      </c>
      <c r="CL420" s="425">
        <f t="shared" si="114"/>
        <v>0</v>
      </c>
      <c r="CM420" s="425">
        <f t="shared" si="115"/>
        <v>0</v>
      </c>
      <c r="CN420" s="495"/>
      <c r="CO420" s="495"/>
      <c r="CP420" s="495"/>
      <c r="CT420" s="495"/>
      <c r="CU420" s="495"/>
      <c r="CV420" s="495"/>
      <c r="CW420" s="495"/>
      <c r="CX420" s="495"/>
    </row>
    <row r="421" s="425" customFormat="1" ht="31" customHeight="1" spans="1:102">
      <c r="A421" s="455">
        <v>45803</v>
      </c>
      <c r="B421" s="456" t="s">
        <v>184</v>
      </c>
      <c r="C421" s="457" t="s">
        <v>90</v>
      </c>
      <c r="D421" s="425">
        <v>4500168039</v>
      </c>
      <c r="E421" s="457">
        <v>217405827</v>
      </c>
      <c r="F421" s="425" t="s">
        <v>4232</v>
      </c>
      <c r="G421" s="458" t="s">
        <v>3272</v>
      </c>
      <c r="H421" s="458" t="s">
        <v>3207</v>
      </c>
      <c r="I421" s="458">
        <v>637</v>
      </c>
      <c r="J421" s="458">
        <v>0</v>
      </c>
      <c r="K421" s="458">
        <v>13</v>
      </c>
      <c r="L421" s="462">
        <f t="shared" si="116"/>
        <v>49</v>
      </c>
      <c r="M421" s="463">
        <v>45871</v>
      </c>
      <c r="N421" s="463">
        <f>M421-4</f>
        <v>45867</v>
      </c>
      <c r="O421" s="464"/>
      <c r="P421" s="464" t="s">
        <v>103</v>
      </c>
      <c r="Q421" s="458"/>
      <c r="R421" s="472">
        <v>45839</v>
      </c>
      <c r="S421" s="472" t="s">
        <v>66</v>
      </c>
      <c r="T421" s="472" t="s">
        <v>66</v>
      </c>
      <c r="U421" s="472"/>
      <c r="V421" s="473" t="s">
        <v>187</v>
      </c>
      <c r="W421" s="473" t="s">
        <v>188</v>
      </c>
      <c r="X421" s="473">
        <v>0.9623</v>
      </c>
      <c r="Y421" s="480">
        <f t="shared" si="118"/>
        <v>612.9851</v>
      </c>
      <c r="Z421" s="458" t="s">
        <v>4233</v>
      </c>
      <c r="AA421" s="458" t="s">
        <v>3359</v>
      </c>
      <c r="AB421" s="458" t="s">
        <v>76</v>
      </c>
      <c r="AC421" s="458"/>
      <c r="AD421" s="458"/>
      <c r="AE421" s="458"/>
      <c r="AF421" s="458">
        <v>637</v>
      </c>
      <c r="AG421" s="458">
        <f t="shared" si="117"/>
        <v>0</v>
      </c>
      <c r="AH421" s="489"/>
      <c r="AI421" s="458"/>
      <c r="AJ421" s="458"/>
      <c r="AK421" s="458">
        <f>I421</f>
        <v>637</v>
      </c>
      <c r="AM421" s="425">
        <f>I421</f>
        <v>637</v>
      </c>
      <c r="AO421" s="495"/>
      <c r="AR421" s="425">
        <f>I421</f>
        <v>637</v>
      </c>
      <c r="AT421" s="495"/>
      <c r="AY421" s="498">
        <f>I421/48</f>
        <v>13.2708333333333</v>
      </c>
      <c r="BG421" s="425">
        <f>I421/13</f>
        <v>49</v>
      </c>
      <c r="BT421" s="495"/>
      <c r="BV421" s="495"/>
      <c r="CK421" s="425">
        <f t="shared" si="113"/>
        <v>0</v>
      </c>
      <c r="CL421" s="425">
        <f t="shared" si="114"/>
        <v>0</v>
      </c>
      <c r="CM421" s="425">
        <f t="shared" si="115"/>
        <v>0</v>
      </c>
      <c r="CN421" s="495"/>
      <c r="CO421" s="495"/>
      <c r="CP421" s="495"/>
      <c r="CT421" s="495"/>
      <c r="CU421" s="495"/>
      <c r="CV421" s="495"/>
      <c r="CW421" s="495"/>
      <c r="CX421" s="495"/>
    </row>
    <row r="422" s="425" customFormat="1" ht="31" customHeight="1" spans="1:102">
      <c r="A422" s="455">
        <v>45803</v>
      </c>
      <c r="B422" s="456" t="s">
        <v>184</v>
      </c>
      <c r="C422" s="457" t="s">
        <v>90</v>
      </c>
      <c r="D422" s="425">
        <v>4500168038</v>
      </c>
      <c r="E422" s="457">
        <v>217405708</v>
      </c>
      <c r="F422" s="425" t="s">
        <v>4234</v>
      </c>
      <c r="G422" s="458" t="s">
        <v>3272</v>
      </c>
      <c r="H422" s="458" t="s">
        <v>3207</v>
      </c>
      <c r="I422" s="458">
        <v>7800</v>
      </c>
      <c r="J422" s="458">
        <v>0</v>
      </c>
      <c r="K422" s="458">
        <v>13</v>
      </c>
      <c r="L422" s="462">
        <f t="shared" si="116"/>
        <v>600</v>
      </c>
      <c r="M422" s="463">
        <v>45871</v>
      </c>
      <c r="N422" s="463">
        <f>M422-4</f>
        <v>45867</v>
      </c>
      <c r="O422" s="464"/>
      <c r="P422" s="464" t="s">
        <v>103</v>
      </c>
      <c r="Q422" s="458"/>
      <c r="R422" s="472">
        <v>45839</v>
      </c>
      <c r="S422" s="472" t="s">
        <v>66</v>
      </c>
      <c r="T422" s="472" t="s">
        <v>66</v>
      </c>
      <c r="U422" s="472"/>
      <c r="V422" s="473" t="s">
        <v>187</v>
      </c>
      <c r="W422" s="473" t="s">
        <v>188</v>
      </c>
      <c r="X422" s="473">
        <v>0.952</v>
      </c>
      <c r="Y422" s="480">
        <f t="shared" si="118"/>
        <v>7425.6</v>
      </c>
      <c r="Z422" s="458" t="s">
        <v>4235</v>
      </c>
      <c r="AA422" s="458" t="s">
        <v>3359</v>
      </c>
      <c r="AB422" s="458" t="s">
        <v>76</v>
      </c>
      <c r="AC422" s="458"/>
      <c r="AD422" s="458"/>
      <c r="AE422" s="458"/>
      <c r="AF422" s="458">
        <v>7800</v>
      </c>
      <c r="AG422" s="458">
        <f t="shared" si="117"/>
        <v>0</v>
      </c>
      <c r="AH422" s="489"/>
      <c r="AI422" s="458"/>
      <c r="AJ422" s="458"/>
      <c r="AK422" s="458">
        <f>I422</f>
        <v>7800</v>
      </c>
      <c r="AM422" s="425">
        <f>I422</f>
        <v>7800</v>
      </c>
      <c r="AO422" s="495"/>
      <c r="AR422" s="425">
        <f>I422</f>
        <v>7800</v>
      </c>
      <c r="AT422" s="495"/>
      <c r="AY422" s="498">
        <f>I422/48</f>
        <v>162.5</v>
      </c>
      <c r="BG422" s="425">
        <f>I422/13</f>
        <v>600</v>
      </c>
      <c r="BT422" s="495"/>
      <c r="BV422" s="495"/>
      <c r="CK422" s="425">
        <f t="shared" si="113"/>
        <v>0</v>
      </c>
      <c r="CL422" s="425">
        <f t="shared" si="114"/>
        <v>0</v>
      </c>
      <c r="CM422" s="425">
        <f t="shared" si="115"/>
        <v>0</v>
      </c>
      <c r="CN422" s="495"/>
      <c r="CO422" s="495"/>
      <c r="CP422" s="495"/>
      <c r="CT422" s="495"/>
      <c r="CU422" s="495"/>
      <c r="CV422" s="495"/>
      <c r="CW422" s="495"/>
      <c r="CX422" s="495"/>
    </row>
    <row r="423" s="425" customFormat="1" ht="31" customHeight="1" spans="1:102">
      <c r="A423" s="455">
        <v>45831</v>
      </c>
      <c r="B423" s="456" t="s">
        <v>184</v>
      </c>
      <c r="C423" s="457" t="s">
        <v>90</v>
      </c>
      <c r="D423" s="425">
        <v>4500170958</v>
      </c>
      <c r="E423" s="457">
        <v>217652640</v>
      </c>
      <c r="F423" s="425" t="s">
        <v>4236</v>
      </c>
      <c r="G423" s="458" t="s">
        <v>3272</v>
      </c>
      <c r="H423" s="458" t="s">
        <v>3207</v>
      </c>
      <c r="I423" s="458">
        <v>3159</v>
      </c>
      <c r="J423" s="458">
        <v>0</v>
      </c>
      <c r="K423" s="458">
        <v>13</v>
      </c>
      <c r="L423" s="462">
        <f t="shared" si="116"/>
        <v>243</v>
      </c>
      <c r="M423" s="463">
        <v>45873</v>
      </c>
      <c r="N423" s="463">
        <f>M423-4</f>
        <v>45869</v>
      </c>
      <c r="O423" s="464"/>
      <c r="P423" s="464" t="s">
        <v>103</v>
      </c>
      <c r="Q423" s="458"/>
      <c r="R423" s="472">
        <v>45831</v>
      </c>
      <c r="S423" s="472" t="s">
        <v>66</v>
      </c>
      <c r="T423" s="472" t="s">
        <v>66</v>
      </c>
      <c r="U423" s="472"/>
      <c r="V423" s="473" t="s">
        <v>187</v>
      </c>
      <c r="W423" s="473" t="s">
        <v>188</v>
      </c>
      <c r="X423" s="473">
        <v>0.5743</v>
      </c>
      <c r="Y423" s="480">
        <f t="shared" si="118"/>
        <v>1814.2137</v>
      </c>
      <c r="Z423" s="458" t="s">
        <v>4237</v>
      </c>
      <c r="AA423" s="458" t="s">
        <v>3359</v>
      </c>
      <c r="AB423" s="458" t="s">
        <v>76</v>
      </c>
      <c r="AC423" s="458"/>
      <c r="AD423" s="458"/>
      <c r="AE423" s="458"/>
      <c r="AF423" s="458">
        <v>3159</v>
      </c>
      <c r="AG423" s="458">
        <f t="shared" si="117"/>
        <v>0</v>
      </c>
      <c r="AH423" s="489"/>
      <c r="AI423" s="458"/>
      <c r="AJ423" s="458"/>
      <c r="AK423" s="458">
        <f>I423</f>
        <v>3159</v>
      </c>
      <c r="AM423" s="425">
        <f>I423</f>
        <v>3159</v>
      </c>
      <c r="AO423" s="495"/>
      <c r="AR423" s="425">
        <f>I423</f>
        <v>3159</v>
      </c>
      <c r="AT423" s="495"/>
      <c r="AY423" s="498">
        <f>I423/48</f>
        <v>65.8125</v>
      </c>
      <c r="BG423" s="425">
        <f>I423/13</f>
        <v>243</v>
      </c>
      <c r="BT423" s="495"/>
      <c r="BV423" s="495"/>
      <c r="CK423" s="425">
        <f t="shared" si="113"/>
        <v>0</v>
      </c>
      <c r="CL423" s="425">
        <f t="shared" si="114"/>
        <v>0</v>
      </c>
      <c r="CM423" s="425">
        <f t="shared" si="115"/>
        <v>0</v>
      </c>
      <c r="CN423" s="495"/>
      <c r="CO423" s="495"/>
      <c r="CP423" s="495"/>
      <c r="CT423" s="495"/>
      <c r="CU423" s="495"/>
      <c r="CV423" s="495"/>
      <c r="CW423" s="495"/>
      <c r="CX423" s="495"/>
    </row>
    <row r="424" s="425" customFormat="1" ht="31" customHeight="1" spans="1:102">
      <c r="A424" s="455">
        <v>45831</v>
      </c>
      <c r="B424" s="456" t="s">
        <v>184</v>
      </c>
      <c r="C424" s="457" t="s">
        <v>90</v>
      </c>
      <c r="D424" s="425">
        <v>4500170955</v>
      </c>
      <c r="E424" s="457">
        <v>217652638</v>
      </c>
      <c r="F424" s="425" t="s">
        <v>4238</v>
      </c>
      <c r="G424" s="458" t="s">
        <v>3272</v>
      </c>
      <c r="H424" s="458" t="s">
        <v>3207</v>
      </c>
      <c r="I424" s="458">
        <v>5850</v>
      </c>
      <c r="J424" s="458">
        <v>0</v>
      </c>
      <c r="K424" s="458">
        <v>13</v>
      </c>
      <c r="L424" s="462">
        <f t="shared" si="116"/>
        <v>450</v>
      </c>
      <c r="M424" s="463">
        <v>45873</v>
      </c>
      <c r="N424" s="463">
        <f>M424-4</f>
        <v>45869</v>
      </c>
      <c r="O424" s="464"/>
      <c r="P424" s="464" t="s">
        <v>103</v>
      </c>
      <c r="Q424" s="458"/>
      <c r="R424" s="472">
        <v>45831</v>
      </c>
      <c r="S424" s="472" t="s">
        <v>66</v>
      </c>
      <c r="T424" s="472" t="s">
        <v>66</v>
      </c>
      <c r="U424" s="472"/>
      <c r="V424" s="473" t="s">
        <v>187</v>
      </c>
      <c r="W424" s="473" t="s">
        <v>188</v>
      </c>
      <c r="X424" s="473">
        <v>0.5712</v>
      </c>
      <c r="Y424" s="480">
        <f t="shared" si="118"/>
        <v>3341.52</v>
      </c>
      <c r="Z424" s="458" t="s">
        <v>4239</v>
      </c>
      <c r="AA424" s="458" t="s">
        <v>3359</v>
      </c>
      <c r="AB424" s="458" t="s">
        <v>76</v>
      </c>
      <c r="AC424" s="458"/>
      <c r="AD424" s="458"/>
      <c r="AE424" s="458"/>
      <c r="AF424" s="458">
        <v>5850</v>
      </c>
      <c r="AG424" s="458">
        <f t="shared" si="117"/>
        <v>0</v>
      </c>
      <c r="AH424" s="489"/>
      <c r="AI424" s="458"/>
      <c r="AJ424" s="458"/>
      <c r="AK424" s="458">
        <f>I424</f>
        <v>5850</v>
      </c>
      <c r="AM424" s="425">
        <f>I424</f>
        <v>5850</v>
      </c>
      <c r="AO424" s="495"/>
      <c r="AR424" s="425">
        <f>I424</f>
        <v>5850</v>
      </c>
      <c r="AT424" s="495"/>
      <c r="AY424" s="498">
        <f>I424/48</f>
        <v>121.875</v>
      </c>
      <c r="BG424" s="425">
        <f>I424/13</f>
        <v>450</v>
      </c>
      <c r="BT424" s="495"/>
      <c r="BV424" s="495"/>
      <c r="CK424" s="425">
        <f t="shared" si="113"/>
        <v>0</v>
      </c>
      <c r="CL424" s="425">
        <f t="shared" si="114"/>
        <v>0</v>
      </c>
      <c r="CM424" s="425">
        <f t="shared" si="115"/>
        <v>0</v>
      </c>
      <c r="CN424" s="495"/>
      <c r="CO424" s="495"/>
      <c r="CP424" s="495"/>
      <c r="CT424" s="495"/>
      <c r="CU424" s="495"/>
      <c r="CV424" s="495"/>
      <c r="CW424" s="495"/>
      <c r="CX424" s="495"/>
    </row>
    <row r="425" s="425" customFormat="1" ht="31" customHeight="1" spans="1:102">
      <c r="A425" s="455">
        <v>45838</v>
      </c>
      <c r="B425" s="456" t="s">
        <v>1228</v>
      </c>
      <c r="C425" s="457" t="s">
        <v>841</v>
      </c>
      <c r="D425" s="425">
        <v>4500172103</v>
      </c>
      <c r="E425" s="457"/>
      <c r="F425" s="425" t="s">
        <v>4240</v>
      </c>
      <c r="G425" s="458" t="s">
        <v>3378</v>
      </c>
      <c r="H425" s="458" t="s">
        <v>3379</v>
      </c>
      <c r="I425" s="458">
        <v>300</v>
      </c>
      <c r="J425" s="458">
        <v>0</v>
      </c>
      <c r="K425" s="458">
        <v>50</v>
      </c>
      <c r="L425" s="462">
        <f t="shared" si="116"/>
        <v>6</v>
      </c>
      <c r="M425" s="463">
        <v>45874</v>
      </c>
      <c r="N425" s="463">
        <v>45870</v>
      </c>
      <c r="O425" s="464"/>
      <c r="P425" s="464" t="s">
        <v>103</v>
      </c>
      <c r="Q425" s="458"/>
      <c r="R425" s="472">
        <v>45845</v>
      </c>
      <c r="S425" s="472" t="s">
        <v>66</v>
      </c>
      <c r="T425" s="472" t="s">
        <v>66</v>
      </c>
      <c r="U425" s="472"/>
      <c r="V425" s="473" t="s">
        <v>4241</v>
      </c>
      <c r="W425" s="473" t="s">
        <v>853</v>
      </c>
      <c r="X425" s="473">
        <v>0.9292</v>
      </c>
      <c r="Y425" s="480">
        <f t="shared" si="118"/>
        <v>278.76</v>
      </c>
      <c r="Z425" s="458" t="s">
        <v>4242</v>
      </c>
      <c r="AA425" s="458" t="s">
        <v>3378</v>
      </c>
      <c r="AB425" s="458" t="s">
        <v>76</v>
      </c>
      <c r="AC425" s="458"/>
      <c r="AD425" s="458"/>
      <c r="AE425" s="458"/>
      <c r="AF425" s="458">
        <v>300</v>
      </c>
      <c r="AG425" s="458">
        <f t="shared" si="117"/>
        <v>0</v>
      </c>
      <c r="AH425" s="489"/>
      <c r="AI425" s="458"/>
      <c r="AJ425" s="458"/>
      <c r="AK425" s="458"/>
      <c r="AL425" s="425">
        <f>I425</f>
        <v>300</v>
      </c>
      <c r="AO425" s="495"/>
      <c r="AT425" s="495"/>
      <c r="AY425" s="498">
        <f>I425/24*2</f>
        <v>25</v>
      </c>
      <c r="BQ425" s="425">
        <f>I425</f>
        <v>300</v>
      </c>
      <c r="BR425" s="425">
        <f>I425</f>
        <v>300</v>
      </c>
      <c r="BS425" s="425">
        <f>I425/25</f>
        <v>12</v>
      </c>
      <c r="BT425" s="495"/>
      <c r="BV425" s="495"/>
      <c r="CK425" s="425">
        <f t="shared" si="113"/>
        <v>12</v>
      </c>
      <c r="CL425" s="425">
        <f t="shared" si="114"/>
        <v>0</v>
      </c>
      <c r="CM425" s="425">
        <f t="shared" si="115"/>
        <v>0</v>
      </c>
      <c r="CN425" s="495"/>
      <c r="CO425" s="495"/>
      <c r="CP425" s="495"/>
      <c r="CT425" s="495"/>
      <c r="CU425" s="495"/>
      <c r="CV425" s="495"/>
      <c r="CW425" s="495"/>
      <c r="CX425" s="495"/>
    </row>
    <row r="426" s="425" customFormat="1" ht="31" customHeight="1" spans="1:102">
      <c r="A426" s="455">
        <v>45813</v>
      </c>
      <c r="B426" s="456" t="s">
        <v>1172</v>
      </c>
      <c r="C426" s="457" t="s">
        <v>90</v>
      </c>
      <c r="D426" s="425">
        <v>4500169087</v>
      </c>
      <c r="E426" s="457" t="s">
        <v>1173</v>
      </c>
      <c r="F426" s="425" t="s">
        <v>4243</v>
      </c>
      <c r="G426" s="458" t="s">
        <v>3272</v>
      </c>
      <c r="H426" s="458" t="s">
        <v>3207</v>
      </c>
      <c r="I426" s="458">
        <v>3900</v>
      </c>
      <c r="J426" s="458">
        <v>0</v>
      </c>
      <c r="K426" s="458">
        <v>13</v>
      </c>
      <c r="L426" s="462">
        <f t="shared" si="116"/>
        <v>300</v>
      </c>
      <c r="M426" s="463">
        <v>45863</v>
      </c>
      <c r="N426" s="463">
        <v>45859</v>
      </c>
      <c r="O426" s="464"/>
      <c r="P426" s="464" t="s">
        <v>103</v>
      </c>
      <c r="Q426" s="458"/>
      <c r="R426" s="472" t="s">
        <v>1176</v>
      </c>
      <c r="S426" s="472" t="s">
        <v>96</v>
      </c>
      <c r="T426" s="472">
        <v>45824</v>
      </c>
      <c r="U426" s="472"/>
      <c r="V426" s="473" t="s">
        <v>1177</v>
      </c>
      <c r="W426" s="473" t="s">
        <v>1178</v>
      </c>
      <c r="X426" s="473">
        <v>0.5528</v>
      </c>
      <c r="Y426" s="480">
        <f t="shared" si="118"/>
        <v>2155.92</v>
      </c>
      <c r="Z426" s="458" t="s">
        <v>1179</v>
      </c>
      <c r="AA426" s="458" t="s">
        <v>3359</v>
      </c>
      <c r="AB426" s="458" t="s">
        <v>76</v>
      </c>
      <c r="AC426" s="458"/>
      <c r="AD426" s="458"/>
      <c r="AE426" s="458"/>
      <c r="AF426" s="458">
        <v>3900</v>
      </c>
      <c r="AG426" s="458">
        <f t="shared" si="117"/>
        <v>0</v>
      </c>
      <c r="AH426" s="489"/>
      <c r="AI426" s="458"/>
      <c r="AJ426" s="458"/>
      <c r="AK426" s="458">
        <f>I426</f>
        <v>3900</v>
      </c>
      <c r="AM426" s="425">
        <f>I426</f>
        <v>3900</v>
      </c>
      <c r="AO426" s="495"/>
      <c r="AR426" s="425">
        <f>I426</f>
        <v>3900</v>
      </c>
      <c r="AT426" s="495"/>
      <c r="AY426" s="498">
        <f>I426/48</f>
        <v>81.25</v>
      </c>
      <c r="BG426" s="425">
        <f>I426/13</f>
        <v>300</v>
      </c>
      <c r="BT426" s="495"/>
      <c r="BV426" s="495"/>
      <c r="CK426" s="425">
        <f t="shared" si="113"/>
        <v>0</v>
      </c>
      <c r="CL426" s="425">
        <f t="shared" si="114"/>
        <v>0</v>
      </c>
      <c r="CM426" s="425">
        <f t="shared" si="115"/>
        <v>0</v>
      </c>
      <c r="CN426" s="495"/>
      <c r="CO426" s="495"/>
      <c r="CP426" s="495"/>
      <c r="CT426" s="495"/>
      <c r="CU426" s="495"/>
      <c r="CV426" s="495"/>
      <c r="CW426" s="495"/>
      <c r="CX426" s="495"/>
    </row>
    <row r="427" s="425" customFormat="1" ht="31" customHeight="1" spans="1:102">
      <c r="A427" s="455">
        <v>45827</v>
      </c>
      <c r="B427" s="456" t="s">
        <v>489</v>
      </c>
      <c r="C427" s="457" t="s">
        <v>139</v>
      </c>
      <c r="D427" s="425">
        <v>4500170600</v>
      </c>
      <c r="E427" s="457" t="s">
        <v>1269</v>
      </c>
      <c r="F427" s="425" t="s">
        <v>4244</v>
      </c>
      <c r="G427" s="458" t="s">
        <v>3464</v>
      </c>
      <c r="H427" s="458" t="s">
        <v>3237</v>
      </c>
      <c r="I427" s="458">
        <v>1056</v>
      </c>
      <c r="J427" s="458">
        <v>0</v>
      </c>
      <c r="K427" s="458">
        <v>12</v>
      </c>
      <c r="L427" s="462">
        <f t="shared" si="116"/>
        <v>88</v>
      </c>
      <c r="M427" s="463">
        <v>45868</v>
      </c>
      <c r="N427" s="463">
        <v>45864</v>
      </c>
      <c r="O427" s="464"/>
      <c r="P427" s="464" t="s">
        <v>103</v>
      </c>
      <c r="Q427" s="458"/>
      <c r="R427" s="472" t="s">
        <v>411</v>
      </c>
      <c r="S427" s="472" t="s">
        <v>96</v>
      </c>
      <c r="T427" s="472">
        <v>45846</v>
      </c>
      <c r="U427" s="472"/>
      <c r="V427" s="473" t="s">
        <v>4245</v>
      </c>
      <c r="W427" s="473" t="s">
        <v>414</v>
      </c>
      <c r="X427" s="473">
        <v>2.1629</v>
      </c>
      <c r="Y427" s="480">
        <f t="shared" si="118"/>
        <v>2284.0224</v>
      </c>
      <c r="Z427" s="458"/>
      <c r="AA427" s="458" t="s">
        <v>3464</v>
      </c>
      <c r="AB427" s="458" t="s">
        <v>76</v>
      </c>
      <c r="AC427" s="458"/>
      <c r="AD427" s="458"/>
      <c r="AE427" s="458"/>
      <c r="AF427" s="458">
        <v>1056</v>
      </c>
      <c r="AG427" s="458">
        <f t="shared" si="117"/>
        <v>0</v>
      </c>
      <c r="AH427" s="489"/>
      <c r="AI427" s="458"/>
      <c r="AJ427" s="458"/>
      <c r="AK427" s="458"/>
      <c r="AL427" s="425">
        <f>I427*2</f>
        <v>2112</v>
      </c>
      <c r="AO427" s="495"/>
      <c r="AQ427" s="425">
        <f>I427*2</f>
        <v>2112</v>
      </c>
      <c r="AS427" s="425">
        <f>I427*2</f>
        <v>2112</v>
      </c>
      <c r="AT427" s="495"/>
      <c r="AY427" s="498">
        <f>I427/24*2</f>
        <v>88</v>
      </c>
      <c r="BT427" s="495"/>
      <c r="BV427" s="495"/>
      <c r="CH427" s="425">
        <f>I427</f>
        <v>1056</v>
      </c>
      <c r="CI427" s="425">
        <f>I427</f>
        <v>1056</v>
      </c>
      <c r="CJ427" s="425">
        <f>I427</f>
        <v>1056</v>
      </c>
      <c r="CK427" s="425">
        <f t="shared" si="113"/>
        <v>0</v>
      </c>
      <c r="CL427" s="425">
        <f t="shared" si="114"/>
        <v>0</v>
      </c>
      <c r="CM427" s="425">
        <f t="shared" si="115"/>
        <v>0</v>
      </c>
      <c r="CN427" s="495"/>
      <c r="CO427" s="495"/>
      <c r="CP427" s="495"/>
      <c r="CT427" s="495"/>
      <c r="CU427" s="495"/>
      <c r="CV427" s="495"/>
      <c r="CW427" s="495"/>
      <c r="CX427" s="495"/>
    </row>
    <row r="428" s="425" customFormat="1" ht="31" customHeight="1" spans="1:102">
      <c r="A428" s="455">
        <v>45827</v>
      </c>
      <c r="B428" s="456" t="s">
        <v>489</v>
      </c>
      <c r="C428" s="457" t="s">
        <v>139</v>
      </c>
      <c r="D428" s="425">
        <v>4500170600</v>
      </c>
      <c r="E428" s="457" t="s">
        <v>4246</v>
      </c>
      <c r="F428" s="425" t="s">
        <v>4247</v>
      </c>
      <c r="G428" s="458" t="s">
        <v>3464</v>
      </c>
      <c r="H428" s="458" t="s">
        <v>3237</v>
      </c>
      <c r="I428" s="458">
        <v>492</v>
      </c>
      <c r="J428" s="458">
        <v>0</v>
      </c>
      <c r="K428" s="458">
        <v>12</v>
      </c>
      <c r="L428" s="462">
        <f t="shared" si="116"/>
        <v>41</v>
      </c>
      <c r="M428" s="463">
        <v>45868</v>
      </c>
      <c r="N428" s="463">
        <v>45864</v>
      </c>
      <c r="O428" s="464"/>
      <c r="P428" s="464" t="s">
        <v>103</v>
      </c>
      <c r="Q428" s="458"/>
      <c r="R428" s="472" t="s">
        <v>411</v>
      </c>
      <c r="S428" s="472" t="s">
        <v>96</v>
      </c>
      <c r="T428" s="472">
        <v>45846</v>
      </c>
      <c r="U428" s="472"/>
      <c r="V428" s="473" t="s">
        <v>4245</v>
      </c>
      <c r="W428" s="473" t="s">
        <v>414</v>
      </c>
      <c r="X428" s="473">
        <v>2.1629</v>
      </c>
      <c r="Y428" s="480">
        <f t="shared" si="118"/>
        <v>1064.1468</v>
      </c>
      <c r="Z428" s="458"/>
      <c r="AA428" s="458" t="s">
        <v>3464</v>
      </c>
      <c r="AB428" s="458" t="s">
        <v>76</v>
      </c>
      <c r="AC428" s="458"/>
      <c r="AD428" s="458"/>
      <c r="AE428" s="458"/>
      <c r="AF428" s="458">
        <v>492</v>
      </c>
      <c r="AG428" s="458">
        <f t="shared" si="117"/>
        <v>0</v>
      </c>
      <c r="AH428" s="489"/>
      <c r="AI428" s="458"/>
      <c r="AJ428" s="458"/>
      <c r="AK428" s="458"/>
      <c r="AL428" s="425">
        <f>I428*2</f>
        <v>984</v>
      </c>
      <c r="AO428" s="495"/>
      <c r="AQ428" s="425">
        <f>I428*2</f>
        <v>984</v>
      </c>
      <c r="AS428" s="425">
        <f>I428*2</f>
        <v>984</v>
      </c>
      <c r="AT428" s="495"/>
      <c r="AY428" s="498">
        <f>I428/24*2</f>
        <v>41</v>
      </c>
      <c r="BT428" s="495"/>
      <c r="BV428" s="495"/>
      <c r="CH428" s="425">
        <f>I428</f>
        <v>492</v>
      </c>
      <c r="CI428" s="425">
        <f>I428</f>
        <v>492</v>
      </c>
      <c r="CJ428" s="425">
        <f>I428</f>
        <v>492</v>
      </c>
      <c r="CK428" s="425">
        <f t="shared" si="113"/>
        <v>0</v>
      </c>
      <c r="CL428" s="425">
        <f t="shared" si="114"/>
        <v>0</v>
      </c>
      <c r="CM428" s="425">
        <f t="shared" si="115"/>
        <v>0</v>
      </c>
      <c r="CN428" s="495"/>
      <c r="CO428" s="495"/>
      <c r="CP428" s="495"/>
      <c r="CT428" s="495"/>
      <c r="CU428" s="495"/>
      <c r="CV428" s="495"/>
      <c r="CW428" s="495"/>
      <c r="CX428" s="495"/>
    </row>
    <row r="429" s="425" customFormat="1" ht="31" customHeight="1" spans="1:102">
      <c r="A429" s="455">
        <v>45827</v>
      </c>
      <c r="B429" s="456" t="s">
        <v>489</v>
      </c>
      <c r="C429" s="457" t="s">
        <v>139</v>
      </c>
      <c r="D429" s="425">
        <v>4500170600</v>
      </c>
      <c r="E429" s="457" t="s">
        <v>1272</v>
      </c>
      <c r="F429" s="425" t="s">
        <v>4248</v>
      </c>
      <c r="G429" s="458" t="s">
        <v>3464</v>
      </c>
      <c r="H429" s="458" t="s">
        <v>3237</v>
      </c>
      <c r="I429" s="458">
        <v>492</v>
      </c>
      <c r="J429" s="458">
        <v>0</v>
      </c>
      <c r="K429" s="458">
        <v>12</v>
      </c>
      <c r="L429" s="462">
        <f t="shared" si="116"/>
        <v>41</v>
      </c>
      <c r="M429" s="463">
        <v>45868</v>
      </c>
      <c r="N429" s="463">
        <v>45864</v>
      </c>
      <c r="O429" s="464"/>
      <c r="P429" s="464" t="s">
        <v>103</v>
      </c>
      <c r="Q429" s="458"/>
      <c r="R429" s="472" t="s">
        <v>411</v>
      </c>
      <c r="S429" s="472" t="s">
        <v>96</v>
      </c>
      <c r="T429" s="472">
        <v>45846</v>
      </c>
      <c r="U429" s="472"/>
      <c r="V429" s="473" t="s">
        <v>4245</v>
      </c>
      <c r="W429" s="473" t="s">
        <v>414</v>
      </c>
      <c r="X429" s="473">
        <v>2.1629</v>
      </c>
      <c r="Y429" s="480">
        <f t="shared" si="118"/>
        <v>1064.1468</v>
      </c>
      <c r="Z429" s="458"/>
      <c r="AA429" s="458" t="s">
        <v>3464</v>
      </c>
      <c r="AB429" s="458" t="s">
        <v>76</v>
      </c>
      <c r="AC429" s="458"/>
      <c r="AD429" s="458"/>
      <c r="AE429" s="458"/>
      <c r="AF429" s="458">
        <v>492</v>
      </c>
      <c r="AG429" s="458">
        <f t="shared" si="117"/>
        <v>0</v>
      </c>
      <c r="AH429" s="489"/>
      <c r="AI429" s="458"/>
      <c r="AJ429" s="458"/>
      <c r="AK429" s="458"/>
      <c r="AL429" s="425">
        <f>I429*2</f>
        <v>984</v>
      </c>
      <c r="AO429" s="495"/>
      <c r="AQ429" s="425">
        <f>I429*2</f>
        <v>984</v>
      </c>
      <c r="AS429" s="425">
        <f>I429*2</f>
        <v>984</v>
      </c>
      <c r="AT429" s="495"/>
      <c r="AY429" s="498">
        <f>I429/24*2</f>
        <v>41</v>
      </c>
      <c r="BT429" s="495"/>
      <c r="BV429" s="495"/>
      <c r="CH429" s="425">
        <f>I429</f>
        <v>492</v>
      </c>
      <c r="CI429" s="425">
        <f>I429</f>
        <v>492</v>
      </c>
      <c r="CJ429" s="425">
        <f>I429</f>
        <v>492</v>
      </c>
      <c r="CK429" s="425">
        <f t="shared" si="113"/>
        <v>0</v>
      </c>
      <c r="CL429" s="425">
        <f t="shared" si="114"/>
        <v>0</v>
      </c>
      <c r="CM429" s="425">
        <f t="shared" si="115"/>
        <v>0</v>
      </c>
      <c r="CN429" s="495"/>
      <c r="CO429" s="495"/>
      <c r="CP429" s="495"/>
      <c r="CT429" s="495"/>
      <c r="CU429" s="495"/>
      <c r="CV429" s="495"/>
      <c r="CW429" s="495"/>
      <c r="CX429" s="495"/>
    </row>
    <row r="430" s="425" customFormat="1" ht="31" customHeight="1" spans="1:102">
      <c r="A430" s="455">
        <v>45833</v>
      </c>
      <c r="B430" s="456" t="s">
        <v>845</v>
      </c>
      <c r="C430" s="457" t="s">
        <v>271</v>
      </c>
      <c r="D430" s="425">
        <v>4500171129</v>
      </c>
      <c r="E430" s="457" t="s">
        <v>4249</v>
      </c>
      <c r="F430" s="425" t="s">
        <v>4250</v>
      </c>
      <c r="G430" s="458" t="s">
        <v>3165</v>
      </c>
      <c r="H430" s="458" t="s">
        <v>3303</v>
      </c>
      <c r="I430" s="458">
        <v>2500</v>
      </c>
      <c r="J430" s="458">
        <v>0</v>
      </c>
      <c r="K430" s="458">
        <v>25</v>
      </c>
      <c r="L430" s="462">
        <f t="shared" si="116"/>
        <v>100</v>
      </c>
      <c r="M430" s="463">
        <v>45874</v>
      </c>
      <c r="N430" s="463">
        <v>45870</v>
      </c>
      <c r="O430" s="464"/>
      <c r="P430" s="464" t="s">
        <v>103</v>
      </c>
      <c r="Q430" s="458"/>
      <c r="R430" s="472">
        <v>45833</v>
      </c>
      <c r="S430" s="472" t="s">
        <v>66</v>
      </c>
      <c r="T430" s="472" t="s">
        <v>4251</v>
      </c>
      <c r="U430" s="472"/>
      <c r="V430" s="473" t="s">
        <v>4252</v>
      </c>
      <c r="W430" s="473" t="s">
        <v>849</v>
      </c>
      <c r="X430" s="473">
        <v>0.9417</v>
      </c>
      <c r="Y430" s="480">
        <f t="shared" si="118"/>
        <v>2354.25</v>
      </c>
      <c r="Z430" s="458"/>
      <c r="AA430" s="458" t="s">
        <v>3188</v>
      </c>
      <c r="AB430" s="458" t="s">
        <v>76</v>
      </c>
      <c r="AC430" s="458"/>
      <c r="AD430" s="458"/>
      <c r="AE430" s="458"/>
      <c r="AF430" s="458">
        <v>2500</v>
      </c>
      <c r="AG430" s="458">
        <f t="shared" si="117"/>
        <v>0</v>
      </c>
      <c r="AH430" s="489"/>
      <c r="AI430" s="458"/>
      <c r="AJ430" s="458"/>
      <c r="AK430" s="458"/>
      <c r="AL430" s="426">
        <f>I430</f>
        <v>2500</v>
      </c>
      <c r="AO430" s="495"/>
      <c r="AS430" s="425">
        <f>I430</f>
        <v>2500</v>
      </c>
      <c r="AT430" s="495"/>
      <c r="AY430" s="498">
        <f>I430/24*2</f>
        <v>208.333333333333</v>
      </c>
      <c r="BB430" s="425">
        <f>I430</f>
        <v>2500</v>
      </c>
      <c r="BL430" s="425">
        <f>I430/25</f>
        <v>100</v>
      </c>
      <c r="BT430" s="495"/>
      <c r="BV430" s="495"/>
      <c r="CK430" s="425">
        <f t="shared" si="113"/>
        <v>100</v>
      </c>
      <c r="CL430" s="425">
        <f t="shared" si="114"/>
        <v>0</v>
      </c>
      <c r="CM430" s="425">
        <f t="shared" si="115"/>
        <v>0</v>
      </c>
      <c r="CN430" s="495"/>
      <c r="CO430" s="495"/>
      <c r="CP430" s="495"/>
      <c r="CT430" s="495"/>
      <c r="CU430" s="495"/>
      <c r="CV430" s="495"/>
      <c r="CW430" s="495"/>
      <c r="CX430" s="495"/>
    </row>
    <row r="431" s="425" customFormat="1" ht="31" customHeight="1" spans="1:102">
      <c r="A431" s="455">
        <v>45839</v>
      </c>
      <c r="B431" s="456" t="s">
        <v>2332</v>
      </c>
      <c r="C431" s="457" t="s">
        <v>2118</v>
      </c>
      <c r="D431" s="425">
        <v>4500172286</v>
      </c>
      <c r="E431" s="457" t="s">
        <v>4253</v>
      </c>
      <c r="F431" s="425" t="s">
        <v>4254</v>
      </c>
      <c r="G431" s="458" t="s">
        <v>3161</v>
      </c>
      <c r="H431" s="458" t="s">
        <v>3221</v>
      </c>
      <c r="I431" s="458">
        <v>3500</v>
      </c>
      <c r="J431" s="458">
        <v>0</v>
      </c>
      <c r="K431" s="458">
        <v>50</v>
      </c>
      <c r="L431" s="462">
        <f t="shared" si="116"/>
        <v>70</v>
      </c>
      <c r="M431" s="463">
        <v>45874</v>
      </c>
      <c r="N431" s="463">
        <v>45870</v>
      </c>
      <c r="O431" s="464"/>
      <c r="P431" s="464" t="s">
        <v>103</v>
      </c>
      <c r="Q431" s="458"/>
      <c r="R431" s="472">
        <v>45839</v>
      </c>
      <c r="S431" s="472" t="s">
        <v>66</v>
      </c>
      <c r="T431" s="472" t="s">
        <v>4255</v>
      </c>
      <c r="U431" s="472" t="s">
        <v>4043</v>
      </c>
      <c r="V431" s="473" t="s">
        <v>4256</v>
      </c>
      <c r="W431" s="473" t="s">
        <v>473</v>
      </c>
      <c r="X431" s="473">
        <v>0.941</v>
      </c>
      <c r="Y431" s="480">
        <f t="shared" si="118"/>
        <v>3293.5</v>
      </c>
      <c r="Z431" s="458"/>
      <c r="AA431" s="458" t="s">
        <v>3161</v>
      </c>
      <c r="AB431" s="458" t="s">
        <v>76</v>
      </c>
      <c r="AC431" s="458"/>
      <c r="AD431" s="458"/>
      <c r="AE431" s="458"/>
      <c r="AF431" s="458">
        <v>3500</v>
      </c>
      <c r="AG431" s="458">
        <f t="shared" si="117"/>
        <v>0</v>
      </c>
      <c r="AH431" s="489"/>
      <c r="AI431" s="458"/>
      <c r="AJ431" s="458"/>
      <c r="AK431" s="458"/>
      <c r="AL431" s="426">
        <f>I431</f>
        <v>3500</v>
      </c>
      <c r="AO431" s="495"/>
      <c r="AQ431" s="425">
        <f>I431</f>
        <v>3500</v>
      </c>
      <c r="AS431" s="425">
        <f>I431</f>
        <v>3500</v>
      </c>
      <c r="AT431" s="495"/>
      <c r="AY431" s="498">
        <f>I431/24</f>
        <v>145.833333333333</v>
      </c>
      <c r="BL431" s="425">
        <f>I431/25</f>
        <v>140</v>
      </c>
      <c r="BT431" s="495"/>
      <c r="BV431" s="495"/>
      <c r="CK431" s="425">
        <f t="shared" si="113"/>
        <v>140</v>
      </c>
      <c r="CL431" s="425">
        <f t="shared" si="114"/>
        <v>0</v>
      </c>
      <c r="CM431" s="425">
        <f t="shared" si="115"/>
        <v>0</v>
      </c>
      <c r="CN431" s="495"/>
      <c r="CO431" s="495"/>
      <c r="CP431" s="495"/>
      <c r="CT431" s="495"/>
      <c r="CU431" s="495"/>
      <c r="CV431" s="495"/>
      <c r="CW431" s="495"/>
      <c r="CX431" s="495"/>
    </row>
    <row r="432" s="425" customFormat="1" ht="31" customHeight="1" spans="1:102">
      <c r="A432" s="455">
        <v>45839</v>
      </c>
      <c r="B432" s="456" t="s">
        <v>1151</v>
      </c>
      <c r="C432" s="457" t="s">
        <v>1152</v>
      </c>
      <c r="D432" s="425">
        <v>4500172288</v>
      </c>
      <c r="E432" s="457" t="s">
        <v>4257</v>
      </c>
      <c r="F432" s="425" t="s">
        <v>4258</v>
      </c>
      <c r="G432" s="458" t="s">
        <v>3378</v>
      </c>
      <c r="H432" s="458" t="s">
        <v>3379</v>
      </c>
      <c r="I432" s="458">
        <v>500</v>
      </c>
      <c r="J432" s="458">
        <v>0</v>
      </c>
      <c r="K432" s="458">
        <v>50</v>
      </c>
      <c r="L432" s="462">
        <f t="shared" si="116"/>
        <v>10</v>
      </c>
      <c r="M432" s="463">
        <v>45874</v>
      </c>
      <c r="N432" s="463">
        <v>45870</v>
      </c>
      <c r="O432" s="464"/>
      <c r="P432" s="464" t="s">
        <v>103</v>
      </c>
      <c r="Q432" s="458"/>
      <c r="R432" s="472">
        <v>45839</v>
      </c>
      <c r="S432" s="472" t="s">
        <v>66</v>
      </c>
      <c r="T432" s="472" t="s">
        <v>4259</v>
      </c>
      <c r="U432" s="472" t="s">
        <v>4043</v>
      </c>
      <c r="V432" s="473" t="s">
        <v>4260</v>
      </c>
      <c r="W432" s="473" t="s">
        <v>473</v>
      </c>
      <c r="X432" s="473">
        <v>0.9113</v>
      </c>
      <c r="Y432" s="480">
        <f t="shared" si="118"/>
        <v>455.65</v>
      </c>
      <c r="Z432" s="458"/>
      <c r="AA432" s="458" t="s">
        <v>3378</v>
      </c>
      <c r="AB432" s="458" t="s">
        <v>76</v>
      </c>
      <c r="AC432" s="458"/>
      <c r="AD432" s="458"/>
      <c r="AE432" s="458"/>
      <c r="AF432" s="458">
        <v>500</v>
      </c>
      <c r="AG432" s="458">
        <f t="shared" si="117"/>
        <v>0</v>
      </c>
      <c r="AH432" s="489"/>
      <c r="AI432" s="458"/>
      <c r="AJ432" s="458"/>
      <c r="AK432" s="458"/>
      <c r="AL432" s="425">
        <f>I432</f>
        <v>500</v>
      </c>
      <c r="AO432" s="495"/>
      <c r="AT432" s="495"/>
      <c r="AY432" s="498">
        <f>I432/24*2</f>
        <v>41.6666666666667</v>
      </c>
      <c r="BQ432" s="425">
        <f>I432</f>
        <v>500</v>
      </c>
      <c r="BR432" s="425">
        <f>I432</f>
        <v>500</v>
      </c>
      <c r="BS432" s="425">
        <f>I432/25</f>
        <v>20</v>
      </c>
      <c r="BT432" s="495"/>
      <c r="BV432" s="495"/>
      <c r="CK432" s="425">
        <f t="shared" si="113"/>
        <v>20</v>
      </c>
      <c r="CL432" s="425">
        <f t="shared" si="114"/>
        <v>0</v>
      </c>
      <c r="CM432" s="425">
        <f t="shared" si="115"/>
        <v>0</v>
      </c>
      <c r="CN432" s="495"/>
      <c r="CO432" s="495"/>
      <c r="CP432" s="495"/>
      <c r="CT432" s="495"/>
      <c r="CU432" s="495"/>
      <c r="CV432" s="495"/>
      <c r="CW432" s="495"/>
      <c r="CX432" s="495"/>
    </row>
    <row r="433" s="425" customFormat="1" ht="31" customHeight="1" spans="1:102">
      <c r="A433" s="455">
        <v>45853</v>
      </c>
      <c r="B433" s="456"/>
      <c r="C433" s="457"/>
      <c r="D433" s="425" t="s">
        <v>4261</v>
      </c>
      <c r="E433" s="457"/>
      <c r="G433" s="458" t="s">
        <v>3150</v>
      </c>
      <c r="H433" s="458" t="s">
        <v>1317</v>
      </c>
      <c r="I433" s="458" t="s">
        <v>4262</v>
      </c>
      <c r="J433" s="458">
        <v>0</v>
      </c>
      <c r="K433" s="458">
        <v>52</v>
      </c>
      <c r="L433" s="462" t="e">
        <f t="shared" si="116"/>
        <v>#VALUE!</v>
      </c>
      <c r="M433" s="463">
        <v>45866</v>
      </c>
      <c r="N433" s="463">
        <v>45862</v>
      </c>
      <c r="O433" s="464"/>
      <c r="P433" s="464" t="s">
        <v>68</v>
      </c>
      <c r="Q433" s="458"/>
      <c r="R433" s="472" t="s">
        <v>1144</v>
      </c>
      <c r="S433" s="472" t="s">
        <v>66</v>
      </c>
      <c r="T433" s="472" t="s">
        <v>66</v>
      </c>
      <c r="U433" s="472"/>
      <c r="V433" s="473" t="s">
        <v>4263</v>
      </c>
      <c r="W433" s="473" t="s">
        <v>79</v>
      </c>
      <c r="X433" s="473"/>
      <c r="Y433" s="480"/>
      <c r="Z433" s="458" t="s">
        <v>4264</v>
      </c>
      <c r="AA433" s="458" t="s">
        <v>68</v>
      </c>
      <c r="AB433" s="458" t="s">
        <v>68</v>
      </c>
      <c r="AC433" s="458"/>
      <c r="AD433" s="458"/>
      <c r="AE433" s="458"/>
      <c r="AF433" s="458" t="s">
        <v>114</v>
      </c>
      <c r="AG433" s="458"/>
      <c r="AH433" s="489"/>
      <c r="AI433" s="458"/>
      <c r="AJ433" s="458"/>
      <c r="AK433" s="458"/>
      <c r="AO433" s="495"/>
      <c r="AT433" s="495"/>
      <c r="AY433" s="498"/>
      <c r="BG433" s="425">
        <v>30</v>
      </c>
      <c r="BT433" s="495"/>
      <c r="BV433" s="495"/>
      <c r="CK433" s="425">
        <f t="shared" si="113"/>
        <v>0</v>
      </c>
      <c r="CL433" s="425">
        <f t="shared" si="114"/>
        <v>0</v>
      </c>
      <c r="CM433" s="425">
        <f t="shared" si="115"/>
        <v>0</v>
      </c>
      <c r="CN433" s="495"/>
      <c r="CO433" s="495"/>
      <c r="CP433" s="495"/>
      <c r="CT433" s="495"/>
      <c r="CU433" s="495"/>
      <c r="CV433" s="495"/>
      <c r="CW433" s="495"/>
      <c r="CX433" s="495"/>
    </row>
    <row r="434" s="425" customFormat="1" ht="31" customHeight="1" spans="1:102">
      <c r="A434" s="455">
        <v>45853</v>
      </c>
      <c r="B434" s="456"/>
      <c r="C434" s="457"/>
      <c r="D434" s="425" t="s">
        <v>4261</v>
      </c>
      <c r="E434" s="457"/>
      <c r="G434" s="458" t="s">
        <v>3154</v>
      </c>
      <c r="H434" s="458" t="s">
        <v>1317</v>
      </c>
      <c r="I434" s="458" t="s">
        <v>4265</v>
      </c>
      <c r="J434" s="458">
        <v>0</v>
      </c>
      <c r="K434" s="458">
        <v>50</v>
      </c>
      <c r="L434" s="462" t="e">
        <f t="shared" si="116"/>
        <v>#VALUE!</v>
      </c>
      <c r="M434" s="463">
        <v>45866</v>
      </c>
      <c r="N434" s="463">
        <v>45862</v>
      </c>
      <c r="O434" s="464"/>
      <c r="P434" s="464" t="s">
        <v>68</v>
      </c>
      <c r="Q434" s="458"/>
      <c r="R434" s="472" t="s">
        <v>1144</v>
      </c>
      <c r="S434" s="472" t="s">
        <v>66</v>
      </c>
      <c r="T434" s="472" t="s">
        <v>66</v>
      </c>
      <c r="U434" s="472"/>
      <c r="V434" s="473" t="s">
        <v>4263</v>
      </c>
      <c r="W434" s="473" t="s">
        <v>79</v>
      </c>
      <c r="X434" s="473"/>
      <c r="Y434" s="480"/>
      <c r="Z434" s="458" t="s">
        <v>4264</v>
      </c>
      <c r="AA434" s="458" t="s">
        <v>68</v>
      </c>
      <c r="AB434" s="458" t="s">
        <v>68</v>
      </c>
      <c r="AC434" s="458"/>
      <c r="AD434" s="458"/>
      <c r="AE434" s="458"/>
      <c r="AF434" s="458" t="s">
        <v>114</v>
      </c>
      <c r="AG434" s="458"/>
      <c r="AH434" s="489"/>
      <c r="AI434" s="458"/>
      <c r="AJ434" s="458"/>
      <c r="AK434" s="458"/>
      <c r="AO434" s="495"/>
      <c r="AT434" s="495"/>
      <c r="AY434" s="498"/>
      <c r="BJ434" s="425">
        <v>50</v>
      </c>
      <c r="BT434" s="495"/>
      <c r="BV434" s="495"/>
      <c r="CK434" s="425">
        <f t="shared" si="113"/>
        <v>50</v>
      </c>
      <c r="CL434" s="425">
        <f t="shared" si="114"/>
        <v>0</v>
      </c>
      <c r="CM434" s="425">
        <f t="shared" si="115"/>
        <v>0</v>
      </c>
      <c r="CN434" s="495"/>
      <c r="CO434" s="495"/>
      <c r="CP434" s="495"/>
      <c r="CT434" s="495"/>
      <c r="CU434" s="495"/>
      <c r="CV434" s="495"/>
      <c r="CW434" s="495"/>
      <c r="CX434" s="495"/>
    </row>
    <row r="435" s="425" customFormat="1" ht="31" customHeight="1" spans="1:102">
      <c r="A435" s="455">
        <v>45853</v>
      </c>
      <c r="B435" s="456"/>
      <c r="C435" s="457"/>
      <c r="D435" s="425" t="s">
        <v>4261</v>
      </c>
      <c r="E435" s="457"/>
      <c r="G435" s="458" t="s">
        <v>3158</v>
      </c>
      <c r="H435" s="458" t="s">
        <v>1317</v>
      </c>
      <c r="I435" s="458" t="s">
        <v>4262</v>
      </c>
      <c r="J435" s="458">
        <v>0</v>
      </c>
      <c r="K435" s="458">
        <v>52</v>
      </c>
      <c r="L435" s="462" t="e">
        <f t="shared" si="116"/>
        <v>#VALUE!</v>
      </c>
      <c r="M435" s="463">
        <v>45866</v>
      </c>
      <c r="N435" s="463">
        <v>45862</v>
      </c>
      <c r="O435" s="464"/>
      <c r="P435" s="464" t="s">
        <v>68</v>
      </c>
      <c r="Q435" s="458"/>
      <c r="R435" s="472" t="s">
        <v>1144</v>
      </c>
      <c r="S435" s="472" t="s">
        <v>66</v>
      </c>
      <c r="T435" s="472" t="s">
        <v>66</v>
      </c>
      <c r="U435" s="472"/>
      <c r="V435" s="473" t="s">
        <v>4263</v>
      </c>
      <c r="W435" s="473" t="s">
        <v>79</v>
      </c>
      <c r="X435" s="473"/>
      <c r="Y435" s="480"/>
      <c r="Z435" s="458" t="s">
        <v>4264</v>
      </c>
      <c r="AA435" s="458" t="s">
        <v>68</v>
      </c>
      <c r="AB435" s="458" t="s">
        <v>68</v>
      </c>
      <c r="AC435" s="458"/>
      <c r="AD435" s="458"/>
      <c r="AE435" s="458"/>
      <c r="AF435" s="458" t="s">
        <v>114</v>
      </c>
      <c r="AG435" s="458"/>
      <c r="AH435" s="489"/>
      <c r="AI435" s="458"/>
      <c r="AJ435" s="458"/>
      <c r="AK435" s="458"/>
      <c r="AO435" s="495"/>
      <c r="AT435" s="495"/>
      <c r="AY435" s="498"/>
      <c r="BI435" s="425">
        <v>30</v>
      </c>
      <c r="BT435" s="495"/>
      <c r="BV435" s="495"/>
      <c r="CK435" s="425">
        <f t="shared" si="113"/>
        <v>0</v>
      </c>
      <c r="CL435" s="425">
        <f t="shared" si="114"/>
        <v>0</v>
      </c>
      <c r="CM435" s="425">
        <f t="shared" si="115"/>
        <v>0</v>
      </c>
      <c r="CN435" s="495"/>
      <c r="CO435" s="495"/>
      <c r="CP435" s="495"/>
      <c r="CT435" s="495"/>
      <c r="CU435" s="495"/>
      <c r="CV435" s="495"/>
      <c r="CW435" s="495"/>
      <c r="CX435" s="495"/>
    </row>
    <row r="436" s="425" customFormat="1" ht="31" customHeight="1" spans="1:102">
      <c r="A436" s="455">
        <v>45853</v>
      </c>
      <c r="B436" s="456"/>
      <c r="C436" s="457"/>
      <c r="D436" s="425" t="s">
        <v>4261</v>
      </c>
      <c r="E436" s="457"/>
      <c r="G436" s="458" t="s">
        <v>3161</v>
      </c>
      <c r="H436" s="458" t="s">
        <v>1317</v>
      </c>
      <c r="I436" s="458" t="s">
        <v>4265</v>
      </c>
      <c r="J436" s="458">
        <v>0</v>
      </c>
      <c r="K436" s="458">
        <v>50</v>
      </c>
      <c r="L436" s="462" t="e">
        <f t="shared" si="116"/>
        <v>#VALUE!</v>
      </c>
      <c r="M436" s="463">
        <v>45866</v>
      </c>
      <c r="N436" s="463">
        <v>45862</v>
      </c>
      <c r="O436" s="464"/>
      <c r="P436" s="464" t="s">
        <v>68</v>
      </c>
      <c r="Q436" s="458"/>
      <c r="R436" s="472" t="s">
        <v>1144</v>
      </c>
      <c r="S436" s="472" t="s">
        <v>66</v>
      </c>
      <c r="T436" s="472" t="s">
        <v>66</v>
      </c>
      <c r="U436" s="472"/>
      <c r="V436" s="473" t="s">
        <v>4263</v>
      </c>
      <c r="W436" s="473" t="s">
        <v>79</v>
      </c>
      <c r="X436" s="473"/>
      <c r="Y436" s="480"/>
      <c r="Z436" s="458" t="s">
        <v>4264</v>
      </c>
      <c r="AA436" s="458" t="s">
        <v>68</v>
      </c>
      <c r="AB436" s="458" t="s">
        <v>68</v>
      </c>
      <c r="AC436" s="458"/>
      <c r="AD436" s="458"/>
      <c r="AE436" s="458"/>
      <c r="AF436" s="458" t="s">
        <v>114</v>
      </c>
      <c r="AG436" s="458"/>
      <c r="AH436" s="489"/>
      <c r="AI436" s="458"/>
      <c r="AJ436" s="458"/>
      <c r="AK436" s="458"/>
      <c r="AO436" s="495"/>
      <c r="AT436" s="495"/>
      <c r="AY436" s="498"/>
      <c r="BL436" s="425">
        <v>50</v>
      </c>
      <c r="BT436" s="495"/>
      <c r="BV436" s="495"/>
      <c r="CK436" s="425">
        <f t="shared" si="113"/>
        <v>50</v>
      </c>
      <c r="CL436" s="425">
        <f t="shared" si="114"/>
        <v>0</v>
      </c>
      <c r="CM436" s="425">
        <f t="shared" si="115"/>
        <v>0</v>
      </c>
      <c r="CN436" s="495"/>
      <c r="CO436" s="495"/>
      <c r="CP436" s="495"/>
      <c r="CT436" s="495"/>
      <c r="CU436" s="495"/>
      <c r="CV436" s="495"/>
      <c r="CW436" s="495"/>
      <c r="CX436" s="495"/>
    </row>
    <row r="437" s="425" customFormat="1" ht="31" customHeight="1" spans="1:102">
      <c r="A437" s="455">
        <v>45820</v>
      </c>
      <c r="B437" s="456" t="s">
        <v>489</v>
      </c>
      <c r="C437" s="457" t="s">
        <v>249</v>
      </c>
      <c r="D437" s="425">
        <v>4500169785</v>
      </c>
      <c r="E437" s="457" t="s">
        <v>4266</v>
      </c>
      <c r="F437" s="425" t="s">
        <v>4267</v>
      </c>
      <c r="G437" s="458" t="s">
        <v>3464</v>
      </c>
      <c r="H437" s="458" t="s">
        <v>3237</v>
      </c>
      <c r="I437" s="458">
        <v>492</v>
      </c>
      <c r="J437" s="458">
        <v>0</v>
      </c>
      <c r="K437" s="458">
        <v>12</v>
      </c>
      <c r="L437" s="462">
        <f t="shared" si="116"/>
        <v>41</v>
      </c>
      <c r="M437" s="463">
        <v>45876</v>
      </c>
      <c r="N437" s="463">
        <v>45873</v>
      </c>
      <c r="O437" s="464"/>
      <c r="P437" s="464" t="s">
        <v>103</v>
      </c>
      <c r="Q437" s="458"/>
      <c r="R437" s="472" t="s">
        <v>411</v>
      </c>
      <c r="S437" s="472" t="s">
        <v>96</v>
      </c>
      <c r="T437" s="472">
        <v>45854</v>
      </c>
      <c r="U437" s="472"/>
      <c r="V437" s="473" t="s">
        <v>4268</v>
      </c>
      <c r="W437" s="473" t="s">
        <v>414</v>
      </c>
      <c r="X437" s="473">
        <v>2.1629</v>
      </c>
      <c r="Y437" s="480">
        <f t="shared" ref="Y437:Y447" si="124">X437*I437</f>
        <v>1064.1468</v>
      </c>
      <c r="Z437" s="458"/>
      <c r="AA437" s="458" t="s">
        <v>3464</v>
      </c>
      <c r="AB437" s="458" t="s">
        <v>76</v>
      </c>
      <c r="AC437" s="458"/>
      <c r="AD437" s="458"/>
      <c r="AE437" s="458"/>
      <c r="AF437" s="458">
        <v>492</v>
      </c>
      <c r="AG437" s="458">
        <f t="shared" ref="AG437:AG447" si="125">AF437-I437</f>
        <v>0</v>
      </c>
      <c r="AH437" s="489"/>
      <c r="AI437" s="458"/>
      <c r="AJ437" s="458"/>
      <c r="AK437" s="458"/>
      <c r="AL437" s="425">
        <f>I437*2</f>
        <v>984</v>
      </c>
      <c r="AO437" s="495"/>
      <c r="AQ437" s="425">
        <f>I437*2</f>
        <v>984</v>
      </c>
      <c r="AS437" s="425">
        <f>I437*2</f>
        <v>984</v>
      </c>
      <c r="AT437" s="495"/>
      <c r="AY437" s="498">
        <f>I437/24*2</f>
        <v>41</v>
      </c>
      <c r="BT437" s="495"/>
      <c r="BV437" s="495"/>
      <c r="CH437" s="425">
        <f>I437</f>
        <v>492</v>
      </c>
      <c r="CI437" s="425">
        <f>I437</f>
        <v>492</v>
      </c>
      <c r="CJ437" s="425">
        <f>I437</f>
        <v>492</v>
      </c>
      <c r="CK437" s="425">
        <f t="shared" si="113"/>
        <v>0</v>
      </c>
      <c r="CL437" s="425">
        <f t="shared" si="114"/>
        <v>0</v>
      </c>
      <c r="CM437" s="425">
        <f t="shared" si="115"/>
        <v>0</v>
      </c>
      <c r="CN437" s="495"/>
      <c r="CO437" s="495"/>
      <c r="CP437" s="495"/>
      <c r="CT437" s="495"/>
      <c r="CU437" s="495"/>
      <c r="CV437" s="495"/>
      <c r="CW437" s="495"/>
      <c r="CX437" s="495"/>
    </row>
    <row r="438" s="425" customFormat="1" ht="31" customHeight="1" spans="1:102">
      <c r="A438" s="455">
        <v>45740</v>
      </c>
      <c r="B438" s="456" t="s">
        <v>152</v>
      </c>
      <c r="C438" s="457" t="s">
        <v>153</v>
      </c>
      <c r="D438" s="425">
        <v>4500160891</v>
      </c>
      <c r="E438" s="457">
        <v>9900924257</v>
      </c>
      <c r="F438" s="425" t="s">
        <v>4269</v>
      </c>
      <c r="G438" s="458" t="s">
        <v>3198</v>
      </c>
      <c r="H438" s="458" t="s">
        <v>3303</v>
      </c>
      <c r="I438" s="458">
        <v>3375</v>
      </c>
      <c r="J438" s="458">
        <v>0</v>
      </c>
      <c r="K438" s="458">
        <v>25</v>
      </c>
      <c r="L438" s="462">
        <f t="shared" si="116"/>
        <v>135</v>
      </c>
      <c r="M438" s="463">
        <v>45877</v>
      </c>
      <c r="N438" s="463">
        <v>45873</v>
      </c>
      <c r="O438" s="464" t="s">
        <v>1292</v>
      </c>
      <c r="P438" s="464" t="s">
        <v>103</v>
      </c>
      <c r="Q438" s="458"/>
      <c r="R438" s="472">
        <v>45784</v>
      </c>
      <c r="S438" s="472" t="s">
        <v>66</v>
      </c>
      <c r="T438" s="472">
        <v>45784</v>
      </c>
      <c r="U438" s="472"/>
      <c r="V438" s="473" t="s">
        <v>4270</v>
      </c>
      <c r="W438" s="473" t="s">
        <v>158</v>
      </c>
      <c r="X438" s="473">
        <v>0.95</v>
      </c>
      <c r="Y438" s="480">
        <f t="shared" si="124"/>
        <v>3206.25</v>
      </c>
      <c r="Z438" s="458"/>
      <c r="AA438" s="458" t="s">
        <v>3202</v>
      </c>
      <c r="AB438" s="458" t="s">
        <v>76</v>
      </c>
      <c r="AC438" s="458"/>
      <c r="AD438" s="458"/>
      <c r="AE438" s="458"/>
      <c r="AF438" s="458">
        <v>3375</v>
      </c>
      <c r="AG438" s="458">
        <f t="shared" si="125"/>
        <v>0</v>
      </c>
      <c r="AH438" s="489"/>
      <c r="AI438" s="458"/>
      <c r="AJ438" s="458"/>
      <c r="AK438" s="458">
        <f>I438</f>
        <v>3375</v>
      </c>
      <c r="AO438" s="495"/>
      <c r="AP438" s="425">
        <f>I438</f>
        <v>3375</v>
      </c>
      <c r="AR438" s="425">
        <f>I438</f>
        <v>3375</v>
      </c>
      <c r="AT438" s="495"/>
      <c r="AY438" s="498">
        <f>I438/24</f>
        <v>140.625</v>
      </c>
      <c r="BK438" s="425">
        <f>I438/25</f>
        <v>135</v>
      </c>
      <c r="BT438" s="495"/>
      <c r="BV438" s="495"/>
      <c r="CK438" s="425">
        <f t="shared" si="113"/>
        <v>135</v>
      </c>
      <c r="CL438" s="425">
        <f t="shared" si="114"/>
        <v>0</v>
      </c>
      <c r="CM438" s="425">
        <f t="shared" si="115"/>
        <v>0</v>
      </c>
      <c r="CN438" s="495"/>
      <c r="CO438" s="495"/>
      <c r="CP438" s="495"/>
      <c r="CT438" s="495"/>
      <c r="CU438" s="495"/>
      <c r="CV438" s="495"/>
      <c r="CW438" s="495"/>
      <c r="CX438" s="495"/>
    </row>
    <row r="439" s="425" customFormat="1" ht="31" customHeight="1" spans="1:102">
      <c r="A439" s="455">
        <v>45828</v>
      </c>
      <c r="B439" s="456" t="s">
        <v>1294</v>
      </c>
      <c r="C439" s="457" t="s">
        <v>468</v>
      </c>
      <c r="D439" s="425">
        <v>4500170750</v>
      </c>
      <c r="E439" s="457"/>
      <c r="F439" s="425" t="s">
        <v>4271</v>
      </c>
      <c r="G439" s="458" t="s">
        <v>3161</v>
      </c>
      <c r="H439" s="458" t="s">
        <v>3221</v>
      </c>
      <c r="I439" s="458">
        <v>1500</v>
      </c>
      <c r="J439" s="458">
        <v>0</v>
      </c>
      <c r="K439" s="458">
        <v>50</v>
      </c>
      <c r="L439" s="462">
        <f t="shared" si="116"/>
        <v>30</v>
      </c>
      <c r="M439" s="463">
        <v>45877</v>
      </c>
      <c r="N439" s="463">
        <v>45874</v>
      </c>
      <c r="O439" s="464"/>
      <c r="P439" s="464" t="s">
        <v>103</v>
      </c>
      <c r="Q439" s="458" t="s">
        <v>1296</v>
      </c>
      <c r="R439" s="472">
        <v>45841</v>
      </c>
      <c r="S439" s="472" t="s">
        <v>66</v>
      </c>
      <c r="T439" s="472">
        <v>45849</v>
      </c>
      <c r="U439" s="472"/>
      <c r="V439" s="473" t="s">
        <v>4272</v>
      </c>
      <c r="W439" s="473" t="s">
        <v>304</v>
      </c>
      <c r="X439" s="473">
        <v>0.941</v>
      </c>
      <c r="Y439" s="480">
        <f t="shared" si="124"/>
        <v>1411.5</v>
      </c>
      <c r="Z439" s="458" t="s">
        <v>4273</v>
      </c>
      <c r="AA439" s="458" t="s">
        <v>3161</v>
      </c>
      <c r="AB439" s="458" t="s">
        <v>76</v>
      </c>
      <c r="AC439" s="458"/>
      <c r="AD439" s="458"/>
      <c r="AE439" s="458"/>
      <c r="AF439" s="458">
        <v>1500</v>
      </c>
      <c r="AG439" s="458">
        <f t="shared" si="125"/>
        <v>0</v>
      </c>
      <c r="AH439" s="489"/>
      <c r="AI439" s="458"/>
      <c r="AJ439" s="458"/>
      <c r="AK439" s="458"/>
      <c r="AL439" s="426">
        <f>I439</f>
        <v>1500</v>
      </c>
      <c r="AO439" s="495"/>
      <c r="AQ439" s="425">
        <f>I439</f>
        <v>1500</v>
      </c>
      <c r="AS439" s="425">
        <f>I439</f>
        <v>1500</v>
      </c>
      <c r="AT439" s="495"/>
      <c r="AY439" s="498">
        <f>I439/24</f>
        <v>62.5</v>
      </c>
      <c r="BL439" s="425">
        <f>I439/25</f>
        <v>60</v>
      </c>
      <c r="BT439" s="495"/>
      <c r="BV439" s="495"/>
      <c r="CK439" s="425">
        <f t="shared" si="113"/>
        <v>60</v>
      </c>
      <c r="CL439" s="425">
        <f t="shared" si="114"/>
        <v>0</v>
      </c>
      <c r="CM439" s="425">
        <f t="shared" si="115"/>
        <v>0</v>
      </c>
      <c r="CN439" s="495"/>
      <c r="CO439" s="495"/>
      <c r="CP439" s="495"/>
      <c r="CT439" s="495"/>
      <c r="CU439" s="495"/>
      <c r="CV439" s="495"/>
      <c r="CW439" s="495"/>
      <c r="CX439" s="495"/>
    </row>
    <row r="440" s="425" customFormat="1" ht="31" customHeight="1" spans="1:102">
      <c r="A440" s="455">
        <v>45834</v>
      </c>
      <c r="B440" s="456" t="s">
        <v>2466</v>
      </c>
      <c r="C440" s="457" t="s">
        <v>153</v>
      </c>
      <c r="D440" s="425">
        <v>4500171342</v>
      </c>
      <c r="E440" s="457" t="s">
        <v>4274</v>
      </c>
      <c r="F440" s="425" t="s">
        <v>4275</v>
      </c>
      <c r="G440" s="458" t="s">
        <v>3272</v>
      </c>
      <c r="H440" s="458" t="s">
        <v>3207</v>
      </c>
      <c r="I440" s="458">
        <v>897</v>
      </c>
      <c r="J440" s="458">
        <v>0</v>
      </c>
      <c r="K440" s="458">
        <v>13</v>
      </c>
      <c r="L440" s="462">
        <f t="shared" si="116"/>
        <v>69</v>
      </c>
      <c r="M440" s="463">
        <v>45877</v>
      </c>
      <c r="N440" s="463">
        <f t="shared" ref="N440:N447" si="126">M440-4</f>
        <v>45873</v>
      </c>
      <c r="O440" s="464"/>
      <c r="P440" s="464" t="s">
        <v>103</v>
      </c>
      <c r="Q440" s="458"/>
      <c r="R440" s="472">
        <v>45835</v>
      </c>
      <c r="S440" s="472" t="s">
        <v>66</v>
      </c>
      <c r="T440" s="472" t="s">
        <v>403</v>
      </c>
      <c r="U440" s="472" t="s">
        <v>2493</v>
      </c>
      <c r="V440" s="473" t="s">
        <v>4276</v>
      </c>
      <c r="W440" s="473" t="s">
        <v>1213</v>
      </c>
      <c r="X440" s="473">
        <v>0.9213</v>
      </c>
      <c r="Y440" s="480">
        <f t="shared" si="124"/>
        <v>826.4061</v>
      </c>
      <c r="Z440" s="458"/>
      <c r="AA440" s="458" t="s">
        <v>3272</v>
      </c>
      <c r="AB440" s="458" t="s">
        <v>76</v>
      </c>
      <c r="AC440" s="458"/>
      <c r="AD440" s="458"/>
      <c r="AE440" s="458"/>
      <c r="AF440" s="458">
        <v>897</v>
      </c>
      <c r="AG440" s="458">
        <f t="shared" si="125"/>
        <v>0</v>
      </c>
      <c r="AH440" s="489"/>
      <c r="AI440" s="458"/>
      <c r="AJ440" s="458"/>
      <c r="AK440" s="458">
        <f t="shared" ref="AK440:AK447" si="127">I440</f>
        <v>897</v>
      </c>
      <c r="AO440" s="495"/>
      <c r="AP440" s="425">
        <f t="shared" ref="AP440:AP447" si="128">I440</f>
        <v>897</v>
      </c>
      <c r="AR440" s="425">
        <f t="shared" ref="AR440:AR447" si="129">I440</f>
        <v>897</v>
      </c>
      <c r="AT440" s="495"/>
      <c r="AY440" s="498">
        <f t="shared" ref="AY440:AY447" si="130">I440/24</f>
        <v>37.375</v>
      </c>
      <c r="BH440" s="425">
        <f t="shared" ref="BH440:BH447" si="131">I440/13</f>
        <v>69</v>
      </c>
      <c r="BT440" s="495"/>
      <c r="BV440" s="495"/>
      <c r="CK440" s="425">
        <f t="shared" si="113"/>
        <v>0</v>
      </c>
      <c r="CL440" s="425">
        <f t="shared" si="114"/>
        <v>0</v>
      </c>
      <c r="CM440" s="425">
        <f t="shared" si="115"/>
        <v>0</v>
      </c>
      <c r="CN440" s="495"/>
      <c r="CO440" s="495"/>
      <c r="CP440" s="495"/>
      <c r="CT440" s="495"/>
      <c r="CU440" s="495"/>
      <c r="CV440" s="495"/>
      <c r="CW440" s="495"/>
      <c r="CX440" s="495"/>
    </row>
    <row r="441" s="425" customFormat="1" ht="31" customHeight="1" spans="1:102">
      <c r="A441" s="455">
        <v>45834</v>
      </c>
      <c r="B441" s="456" t="s">
        <v>2466</v>
      </c>
      <c r="C441" s="457" t="s">
        <v>153</v>
      </c>
      <c r="D441" s="425">
        <v>4500171342</v>
      </c>
      <c r="E441" s="457" t="s">
        <v>4274</v>
      </c>
      <c r="F441" s="425" t="s">
        <v>4277</v>
      </c>
      <c r="G441" s="458" t="s">
        <v>3272</v>
      </c>
      <c r="H441" s="458" t="s">
        <v>3207</v>
      </c>
      <c r="I441" s="458">
        <v>286</v>
      </c>
      <c r="J441" s="458">
        <v>0</v>
      </c>
      <c r="K441" s="458">
        <v>13</v>
      </c>
      <c r="L441" s="462">
        <f t="shared" si="116"/>
        <v>22</v>
      </c>
      <c r="M441" s="463">
        <v>45877</v>
      </c>
      <c r="N441" s="463">
        <f t="shared" si="126"/>
        <v>45873</v>
      </c>
      <c r="O441" s="464"/>
      <c r="P441" s="464" t="s">
        <v>103</v>
      </c>
      <c r="Q441" s="458"/>
      <c r="R441" s="472">
        <v>45835</v>
      </c>
      <c r="S441" s="472" t="s">
        <v>66</v>
      </c>
      <c r="T441" s="472" t="s">
        <v>403</v>
      </c>
      <c r="U441" s="472" t="s">
        <v>2493</v>
      </c>
      <c r="V441" s="473" t="s">
        <v>4276</v>
      </c>
      <c r="W441" s="473" t="s">
        <v>1213</v>
      </c>
      <c r="X441" s="473">
        <v>0.9213</v>
      </c>
      <c r="Y441" s="480">
        <f t="shared" si="124"/>
        <v>263.4918</v>
      </c>
      <c r="Z441" s="458"/>
      <c r="AA441" s="458" t="s">
        <v>3272</v>
      </c>
      <c r="AB441" s="458" t="s">
        <v>76</v>
      </c>
      <c r="AC441" s="458"/>
      <c r="AD441" s="458"/>
      <c r="AE441" s="458"/>
      <c r="AF441" s="458">
        <v>286</v>
      </c>
      <c r="AG441" s="458">
        <f t="shared" si="125"/>
        <v>0</v>
      </c>
      <c r="AH441" s="489"/>
      <c r="AI441" s="458"/>
      <c r="AJ441" s="458"/>
      <c r="AK441" s="458">
        <f t="shared" si="127"/>
        <v>286</v>
      </c>
      <c r="AO441" s="495"/>
      <c r="AP441" s="425">
        <f t="shared" si="128"/>
        <v>286</v>
      </c>
      <c r="AR441" s="425">
        <f t="shared" si="129"/>
        <v>286</v>
      </c>
      <c r="AT441" s="495"/>
      <c r="AY441" s="498">
        <f t="shared" si="130"/>
        <v>11.9166666666667</v>
      </c>
      <c r="BH441" s="425">
        <f t="shared" si="131"/>
        <v>22</v>
      </c>
      <c r="BT441" s="495"/>
      <c r="BV441" s="495"/>
      <c r="CK441" s="425">
        <f t="shared" si="113"/>
        <v>0</v>
      </c>
      <c r="CL441" s="425">
        <f t="shared" si="114"/>
        <v>0</v>
      </c>
      <c r="CM441" s="425">
        <f t="shared" si="115"/>
        <v>0</v>
      </c>
      <c r="CN441" s="495"/>
      <c r="CO441" s="495"/>
      <c r="CP441" s="495"/>
      <c r="CT441" s="495"/>
      <c r="CU441" s="495"/>
      <c r="CV441" s="495"/>
      <c r="CW441" s="495"/>
      <c r="CX441" s="495"/>
    </row>
    <row r="442" s="425" customFormat="1" ht="31" customHeight="1" spans="1:102">
      <c r="A442" s="455">
        <v>45834</v>
      </c>
      <c r="B442" s="456" t="s">
        <v>2466</v>
      </c>
      <c r="C442" s="457" t="s">
        <v>153</v>
      </c>
      <c r="D442" s="425">
        <v>4500171342</v>
      </c>
      <c r="E442" s="457" t="s">
        <v>4274</v>
      </c>
      <c r="F442" s="425" t="s">
        <v>4278</v>
      </c>
      <c r="G442" s="458" t="s">
        <v>3272</v>
      </c>
      <c r="H442" s="458" t="s">
        <v>3207</v>
      </c>
      <c r="I442" s="458">
        <v>1092</v>
      </c>
      <c r="J442" s="458">
        <v>0</v>
      </c>
      <c r="K442" s="458">
        <v>13</v>
      </c>
      <c r="L442" s="462">
        <f t="shared" si="116"/>
        <v>84</v>
      </c>
      <c r="M442" s="463">
        <v>45877</v>
      </c>
      <c r="N442" s="463">
        <f t="shared" si="126"/>
        <v>45873</v>
      </c>
      <c r="O442" s="464"/>
      <c r="P442" s="464" t="s">
        <v>103</v>
      </c>
      <c r="Q442" s="458"/>
      <c r="R442" s="472">
        <v>45835</v>
      </c>
      <c r="S442" s="472" t="s">
        <v>66</v>
      </c>
      <c r="T442" s="472" t="s">
        <v>403</v>
      </c>
      <c r="U442" s="472" t="s">
        <v>2493</v>
      </c>
      <c r="V442" s="473" t="s">
        <v>4276</v>
      </c>
      <c r="W442" s="473" t="s">
        <v>1213</v>
      </c>
      <c r="X442" s="473">
        <v>0.9213</v>
      </c>
      <c r="Y442" s="480">
        <f t="shared" si="124"/>
        <v>1006.0596</v>
      </c>
      <c r="Z442" s="458"/>
      <c r="AA442" s="458" t="s">
        <v>3272</v>
      </c>
      <c r="AB442" s="458" t="s">
        <v>76</v>
      </c>
      <c r="AC442" s="458"/>
      <c r="AD442" s="458"/>
      <c r="AE442" s="458"/>
      <c r="AF442" s="458">
        <f>1092</f>
        <v>1092</v>
      </c>
      <c r="AG442" s="458">
        <f t="shared" si="125"/>
        <v>0</v>
      </c>
      <c r="AH442" s="489"/>
      <c r="AI442" s="458"/>
      <c r="AJ442" s="458"/>
      <c r="AK442" s="458">
        <f t="shared" si="127"/>
        <v>1092</v>
      </c>
      <c r="AO442" s="495"/>
      <c r="AP442" s="425">
        <f t="shared" si="128"/>
        <v>1092</v>
      </c>
      <c r="AR442" s="425">
        <f t="shared" si="129"/>
        <v>1092</v>
      </c>
      <c r="AT442" s="495"/>
      <c r="AY442" s="498">
        <f t="shared" si="130"/>
        <v>45.5</v>
      </c>
      <c r="BH442" s="425">
        <f t="shared" si="131"/>
        <v>84</v>
      </c>
      <c r="BT442" s="495"/>
      <c r="BV442" s="495"/>
      <c r="CK442" s="425">
        <f t="shared" si="113"/>
        <v>0</v>
      </c>
      <c r="CL442" s="425">
        <f t="shared" si="114"/>
        <v>0</v>
      </c>
      <c r="CM442" s="425">
        <f t="shared" si="115"/>
        <v>0</v>
      </c>
      <c r="CN442" s="495"/>
      <c r="CO442" s="495"/>
      <c r="CP442" s="495"/>
      <c r="CT442" s="495"/>
      <c r="CU442" s="495"/>
      <c r="CV442" s="495"/>
      <c r="CW442" s="495"/>
      <c r="CX442" s="495"/>
    </row>
    <row r="443" s="425" customFormat="1" ht="31" customHeight="1" spans="1:102">
      <c r="A443" s="455">
        <v>45834</v>
      </c>
      <c r="B443" s="456" t="s">
        <v>2466</v>
      </c>
      <c r="C443" s="457" t="s">
        <v>153</v>
      </c>
      <c r="D443" s="425">
        <v>4500171342</v>
      </c>
      <c r="E443" s="457" t="s">
        <v>4274</v>
      </c>
      <c r="F443" s="425" t="s">
        <v>4279</v>
      </c>
      <c r="G443" s="458" t="s">
        <v>3272</v>
      </c>
      <c r="H443" s="458" t="s">
        <v>3207</v>
      </c>
      <c r="I443" s="458">
        <v>390</v>
      </c>
      <c r="J443" s="458">
        <v>0</v>
      </c>
      <c r="K443" s="458">
        <v>13</v>
      </c>
      <c r="L443" s="462">
        <f t="shared" si="116"/>
        <v>30</v>
      </c>
      <c r="M443" s="463">
        <v>45877</v>
      </c>
      <c r="N443" s="463">
        <f t="shared" si="126"/>
        <v>45873</v>
      </c>
      <c r="O443" s="464"/>
      <c r="P443" s="464" t="s">
        <v>103</v>
      </c>
      <c r="Q443" s="458"/>
      <c r="R443" s="472">
        <v>45835</v>
      </c>
      <c r="S443" s="472" t="s">
        <v>66</v>
      </c>
      <c r="T443" s="472" t="s">
        <v>403</v>
      </c>
      <c r="U443" s="472" t="s">
        <v>2493</v>
      </c>
      <c r="V443" s="473" t="s">
        <v>4276</v>
      </c>
      <c r="W443" s="473" t="s">
        <v>1213</v>
      </c>
      <c r="X443" s="473">
        <v>0.9213</v>
      </c>
      <c r="Y443" s="480">
        <f t="shared" si="124"/>
        <v>359.307</v>
      </c>
      <c r="Z443" s="458"/>
      <c r="AA443" s="458" t="s">
        <v>3272</v>
      </c>
      <c r="AB443" s="458" t="s">
        <v>76</v>
      </c>
      <c r="AC443" s="458"/>
      <c r="AD443" s="458"/>
      <c r="AE443" s="458"/>
      <c r="AF443" s="458">
        <v>390</v>
      </c>
      <c r="AG443" s="458">
        <f t="shared" si="125"/>
        <v>0</v>
      </c>
      <c r="AH443" s="489"/>
      <c r="AI443" s="458"/>
      <c r="AJ443" s="458"/>
      <c r="AK443" s="458">
        <f t="shared" si="127"/>
        <v>390</v>
      </c>
      <c r="AO443" s="495"/>
      <c r="AP443" s="425">
        <f t="shared" si="128"/>
        <v>390</v>
      </c>
      <c r="AR443" s="425">
        <f t="shared" si="129"/>
        <v>390</v>
      </c>
      <c r="AT443" s="495"/>
      <c r="AY443" s="498">
        <f t="shared" si="130"/>
        <v>16.25</v>
      </c>
      <c r="BH443" s="425">
        <f t="shared" si="131"/>
        <v>30</v>
      </c>
      <c r="BT443" s="495"/>
      <c r="BV443" s="495"/>
      <c r="CK443" s="425">
        <f t="shared" si="113"/>
        <v>0</v>
      </c>
      <c r="CL443" s="425">
        <f t="shared" si="114"/>
        <v>0</v>
      </c>
      <c r="CM443" s="425">
        <f t="shared" si="115"/>
        <v>0</v>
      </c>
      <c r="CN443" s="495"/>
      <c r="CO443" s="495"/>
      <c r="CP443" s="495"/>
      <c r="CT443" s="495"/>
      <c r="CU443" s="495"/>
      <c r="CV443" s="495"/>
      <c r="CW443" s="495"/>
      <c r="CX443" s="495"/>
    </row>
    <row r="444" s="425" customFormat="1" ht="31" customHeight="1" spans="1:102">
      <c r="A444" s="455">
        <v>45834</v>
      </c>
      <c r="B444" s="456" t="s">
        <v>2466</v>
      </c>
      <c r="C444" s="457" t="s">
        <v>153</v>
      </c>
      <c r="D444" s="425">
        <v>4500171342</v>
      </c>
      <c r="E444" s="457" t="s">
        <v>4274</v>
      </c>
      <c r="F444" s="425" t="s">
        <v>4280</v>
      </c>
      <c r="G444" s="458" t="s">
        <v>3272</v>
      </c>
      <c r="H444" s="458" t="s">
        <v>3207</v>
      </c>
      <c r="I444" s="458">
        <v>390</v>
      </c>
      <c r="J444" s="458">
        <v>0</v>
      </c>
      <c r="K444" s="458">
        <v>13</v>
      </c>
      <c r="L444" s="462">
        <f t="shared" si="116"/>
        <v>30</v>
      </c>
      <c r="M444" s="463">
        <v>45877</v>
      </c>
      <c r="N444" s="463">
        <f t="shared" si="126"/>
        <v>45873</v>
      </c>
      <c r="O444" s="464"/>
      <c r="P444" s="464" t="s">
        <v>103</v>
      </c>
      <c r="Q444" s="458"/>
      <c r="R444" s="472">
        <v>45835</v>
      </c>
      <c r="S444" s="472" t="s">
        <v>66</v>
      </c>
      <c r="T444" s="472" t="s">
        <v>403</v>
      </c>
      <c r="U444" s="472" t="s">
        <v>2493</v>
      </c>
      <c r="V444" s="473" t="s">
        <v>4276</v>
      </c>
      <c r="W444" s="473" t="s">
        <v>1213</v>
      </c>
      <c r="X444" s="473">
        <v>0.9213</v>
      </c>
      <c r="Y444" s="480">
        <f t="shared" si="124"/>
        <v>359.307</v>
      </c>
      <c r="Z444" s="458"/>
      <c r="AA444" s="458" t="s">
        <v>3272</v>
      </c>
      <c r="AB444" s="458" t="s">
        <v>76</v>
      </c>
      <c r="AC444" s="458"/>
      <c r="AD444" s="458"/>
      <c r="AE444" s="458"/>
      <c r="AF444" s="458">
        <v>390</v>
      </c>
      <c r="AG444" s="458">
        <f t="shared" si="125"/>
        <v>0</v>
      </c>
      <c r="AH444" s="489"/>
      <c r="AI444" s="458"/>
      <c r="AJ444" s="458"/>
      <c r="AK444" s="458">
        <f t="shared" si="127"/>
        <v>390</v>
      </c>
      <c r="AO444" s="495"/>
      <c r="AP444" s="425">
        <f t="shared" si="128"/>
        <v>390</v>
      </c>
      <c r="AR444" s="425">
        <f t="shared" si="129"/>
        <v>390</v>
      </c>
      <c r="AT444" s="495"/>
      <c r="AY444" s="498">
        <f t="shared" si="130"/>
        <v>16.25</v>
      </c>
      <c r="BH444" s="425">
        <f t="shared" si="131"/>
        <v>30</v>
      </c>
      <c r="BT444" s="495"/>
      <c r="BV444" s="495"/>
      <c r="CK444" s="425">
        <f t="shared" si="113"/>
        <v>0</v>
      </c>
      <c r="CL444" s="425">
        <f t="shared" si="114"/>
        <v>0</v>
      </c>
      <c r="CM444" s="425">
        <f t="shared" si="115"/>
        <v>0</v>
      </c>
      <c r="CN444" s="495"/>
      <c r="CO444" s="495"/>
      <c r="CP444" s="495"/>
      <c r="CT444" s="495"/>
      <c r="CU444" s="495"/>
      <c r="CV444" s="495"/>
      <c r="CW444" s="495"/>
      <c r="CX444" s="495"/>
    </row>
    <row r="445" s="425" customFormat="1" ht="31" customHeight="1" spans="1:102">
      <c r="A445" s="455">
        <v>45834</v>
      </c>
      <c r="B445" s="456" t="s">
        <v>2466</v>
      </c>
      <c r="C445" s="457" t="s">
        <v>153</v>
      </c>
      <c r="D445" s="425">
        <v>4500171342</v>
      </c>
      <c r="E445" s="457" t="s">
        <v>4274</v>
      </c>
      <c r="F445" s="425" t="s">
        <v>4281</v>
      </c>
      <c r="G445" s="458" t="s">
        <v>3272</v>
      </c>
      <c r="H445" s="458" t="s">
        <v>3207</v>
      </c>
      <c r="I445" s="458">
        <v>143</v>
      </c>
      <c r="J445" s="458">
        <v>0</v>
      </c>
      <c r="K445" s="458">
        <v>13</v>
      </c>
      <c r="L445" s="462">
        <f t="shared" si="116"/>
        <v>11</v>
      </c>
      <c r="M445" s="463">
        <v>45877</v>
      </c>
      <c r="N445" s="463">
        <f t="shared" si="126"/>
        <v>45873</v>
      </c>
      <c r="O445" s="464"/>
      <c r="P445" s="464" t="s">
        <v>103</v>
      </c>
      <c r="Q445" s="458"/>
      <c r="R445" s="472">
        <v>45835</v>
      </c>
      <c r="S445" s="472" t="s">
        <v>66</v>
      </c>
      <c r="T445" s="472" t="s">
        <v>403</v>
      </c>
      <c r="U445" s="472" t="s">
        <v>2493</v>
      </c>
      <c r="V445" s="473" t="s">
        <v>4276</v>
      </c>
      <c r="W445" s="473" t="s">
        <v>1213</v>
      </c>
      <c r="X445" s="473">
        <v>0.9213</v>
      </c>
      <c r="Y445" s="480">
        <f t="shared" si="124"/>
        <v>131.7459</v>
      </c>
      <c r="Z445" s="458"/>
      <c r="AA445" s="458" t="s">
        <v>3272</v>
      </c>
      <c r="AB445" s="458" t="s">
        <v>76</v>
      </c>
      <c r="AC445" s="458"/>
      <c r="AD445" s="458"/>
      <c r="AE445" s="458"/>
      <c r="AF445" s="458">
        <v>143</v>
      </c>
      <c r="AG445" s="458">
        <f t="shared" si="125"/>
        <v>0</v>
      </c>
      <c r="AH445" s="489"/>
      <c r="AI445" s="458"/>
      <c r="AJ445" s="458"/>
      <c r="AK445" s="458">
        <f t="shared" si="127"/>
        <v>143</v>
      </c>
      <c r="AO445" s="495"/>
      <c r="AP445" s="425">
        <f t="shared" si="128"/>
        <v>143</v>
      </c>
      <c r="AR445" s="425">
        <f t="shared" si="129"/>
        <v>143</v>
      </c>
      <c r="AT445" s="495"/>
      <c r="AY445" s="498">
        <f t="shared" si="130"/>
        <v>5.95833333333333</v>
      </c>
      <c r="BH445" s="425">
        <f t="shared" si="131"/>
        <v>11</v>
      </c>
      <c r="BT445" s="495"/>
      <c r="BV445" s="495"/>
      <c r="CK445" s="425">
        <f t="shared" si="113"/>
        <v>0</v>
      </c>
      <c r="CL445" s="425">
        <f t="shared" si="114"/>
        <v>0</v>
      </c>
      <c r="CM445" s="425">
        <f t="shared" si="115"/>
        <v>0</v>
      </c>
      <c r="CN445" s="495"/>
      <c r="CO445" s="495"/>
      <c r="CP445" s="495"/>
      <c r="CT445" s="495"/>
      <c r="CU445" s="495"/>
      <c r="CV445" s="495"/>
      <c r="CW445" s="495"/>
      <c r="CX445" s="495"/>
    </row>
    <row r="446" s="425" customFormat="1" ht="31" customHeight="1" spans="1:102">
      <c r="A446" s="455">
        <v>45834</v>
      </c>
      <c r="B446" s="456" t="s">
        <v>2466</v>
      </c>
      <c r="C446" s="457" t="s">
        <v>153</v>
      </c>
      <c r="D446" s="425">
        <v>4500171342</v>
      </c>
      <c r="E446" s="457" t="s">
        <v>4274</v>
      </c>
      <c r="F446" s="425" t="s">
        <v>4282</v>
      </c>
      <c r="G446" s="458" t="s">
        <v>3272</v>
      </c>
      <c r="H446" s="458" t="s">
        <v>3207</v>
      </c>
      <c r="I446" s="458">
        <v>182</v>
      </c>
      <c r="J446" s="458">
        <v>0</v>
      </c>
      <c r="K446" s="458">
        <v>13</v>
      </c>
      <c r="L446" s="462">
        <f t="shared" si="116"/>
        <v>14</v>
      </c>
      <c r="M446" s="463">
        <v>45877</v>
      </c>
      <c r="N446" s="463">
        <f t="shared" si="126"/>
        <v>45873</v>
      </c>
      <c r="O446" s="464"/>
      <c r="P446" s="464" t="s">
        <v>103</v>
      </c>
      <c r="Q446" s="458"/>
      <c r="R446" s="472">
        <v>45835</v>
      </c>
      <c r="S446" s="472" t="s">
        <v>66</v>
      </c>
      <c r="T446" s="472" t="s">
        <v>403</v>
      </c>
      <c r="U446" s="472" t="s">
        <v>2493</v>
      </c>
      <c r="V446" s="473" t="s">
        <v>4276</v>
      </c>
      <c r="W446" s="473" t="s">
        <v>1213</v>
      </c>
      <c r="X446" s="473">
        <v>0.9213</v>
      </c>
      <c r="Y446" s="480">
        <f t="shared" si="124"/>
        <v>167.6766</v>
      </c>
      <c r="Z446" s="458"/>
      <c r="AA446" s="458" t="s">
        <v>3272</v>
      </c>
      <c r="AB446" s="458" t="s">
        <v>76</v>
      </c>
      <c r="AC446" s="458"/>
      <c r="AD446" s="458"/>
      <c r="AE446" s="458"/>
      <c r="AF446" s="458">
        <v>182</v>
      </c>
      <c r="AG446" s="458">
        <f t="shared" si="125"/>
        <v>0</v>
      </c>
      <c r="AH446" s="489"/>
      <c r="AI446" s="458"/>
      <c r="AJ446" s="458"/>
      <c r="AK446" s="458">
        <f t="shared" si="127"/>
        <v>182</v>
      </c>
      <c r="AO446" s="495"/>
      <c r="AP446" s="425">
        <f t="shared" si="128"/>
        <v>182</v>
      </c>
      <c r="AR446" s="425">
        <f t="shared" si="129"/>
        <v>182</v>
      </c>
      <c r="AT446" s="495"/>
      <c r="AY446" s="498">
        <f t="shared" si="130"/>
        <v>7.58333333333333</v>
      </c>
      <c r="BH446" s="425">
        <f t="shared" si="131"/>
        <v>14</v>
      </c>
      <c r="BT446" s="495"/>
      <c r="BV446" s="495"/>
      <c r="CK446" s="425">
        <f t="shared" si="113"/>
        <v>0</v>
      </c>
      <c r="CL446" s="425">
        <f t="shared" si="114"/>
        <v>0</v>
      </c>
      <c r="CM446" s="425">
        <f t="shared" si="115"/>
        <v>0</v>
      </c>
      <c r="CN446" s="495"/>
      <c r="CO446" s="495"/>
      <c r="CP446" s="495"/>
      <c r="CT446" s="495"/>
      <c r="CU446" s="495"/>
      <c r="CV446" s="495"/>
      <c r="CW446" s="495"/>
      <c r="CX446" s="495"/>
    </row>
    <row r="447" s="425" customFormat="1" ht="31" customHeight="1" spans="1:102">
      <c r="A447" s="455">
        <v>45834</v>
      </c>
      <c r="B447" s="456" t="s">
        <v>2466</v>
      </c>
      <c r="C447" s="457" t="s">
        <v>153</v>
      </c>
      <c r="D447" s="425">
        <v>4500171342</v>
      </c>
      <c r="E447" s="457" t="s">
        <v>4274</v>
      </c>
      <c r="F447" s="425" t="s">
        <v>4283</v>
      </c>
      <c r="G447" s="458" t="s">
        <v>3272</v>
      </c>
      <c r="H447" s="458" t="s">
        <v>3207</v>
      </c>
      <c r="I447" s="458">
        <v>130</v>
      </c>
      <c r="J447" s="458">
        <v>0</v>
      </c>
      <c r="K447" s="458">
        <v>13</v>
      </c>
      <c r="L447" s="462">
        <f t="shared" si="116"/>
        <v>10</v>
      </c>
      <c r="M447" s="463">
        <v>45877</v>
      </c>
      <c r="N447" s="463">
        <f t="shared" si="126"/>
        <v>45873</v>
      </c>
      <c r="O447" s="464"/>
      <c r="P447" s="464" t="s">
        <v>103</v>
      </c>
      <c r="Q447" s="458"/>
      <c r="R447" s="472">
        <v>45835</v>
      </c>
      <c r="S447" s="472" t="s">
        <v>66</v>
      </c>
      <c r="T447" s="472" t="s">
        <v>403</v>
      </c>
      <c r="U447" s="472" t="s">
        <v>2493</v>
      </c>
      <c r="V447" s="473" t="s">
        <v>4276</v>
      </c>
      <c r="W447" s="473" t="s">
        <v>1213</v>
      </c>
      <c r="X447" s="473">
        <v>0.9213</v>
      </c>
      <c r="Y447" s="480">
        <f t="shared" si="124"/>
        <v>119.769</v>
      </c>
      <c r="Z447" s="458"/>
      <c r="AA447" s="458" t="s">
        <v>3272</v>
      </c>
      <c r="AB447" s="458" t="s">
        <v>76</v>
      </c>
      <c r="AC447" s="458"/>
      <c r="AD447" s="458"/>
      <c r="AE447" s="458"/>
      <c r="AF447" s="458">
        <v>130</v>
      </c>
      <c r="AG447" s="458">
        <f t="shared" si="125"/>
        <v>0</v>
      </c>
      <c r="AH447" s="489"/>
      <c r="AI447" s="458"/>
      <c r="AJ447" s="458"/>
      <c r="AK447" s="458">
        <f t="shared" si="127"/>
        <v>130</v>
      </c>
      <c r="AO447" s="495"/>
      <c r="AP447" s="425">
        <f t="shared" si="128"/>
        <v>130</v>
      </c>
      <c r="AR447" s="425">
        <f t="shared" si="129"/>
        <v>130</v>
      </c>
      <c r="AT447" s="495"/>
      <c r="AY447" s="498">
        <f t="shared" si="130"/>
        <v>5.41666666666667</v>
      </c>
      <c r="BH447" s="425">
        <f t="shared" si="131"/>
        <v>10</v>
      </c>
      <c r="BT447" s="495"/>
      <c r="BV447" s="495"/>
      <c r="CK447" s="425">
        <f t="shared" si="113"/>
        <v>0</v>
      </c>
      <c r="CL447" s="425">
        <f t="shared" si="114"/>
        <v>0</v>
      </c>
      <c r="CM447" s="425">
        <f t="shared" si="115"/>
        <v>0</v>
      </c>
      <c r="CN447" s="495"/>
      <c r="CO447" s="495"/>
      <c r="CP447" s="495"/>
      <c r="CT447" s="495"/>
      <c r="CU447" s="495"/>
      <c r="CV447" s="495"/>
      <c r="CW447" s="495"/>
      <c r="CX447" s="495"/>
    </row>
    <row r="448" s="425" customFormat="1" ht="31" customHeight="1" spans="1:102">
      <c r="A448" s="455">
        <v>45769</v>
      </c>
      <c r="B448" s="456" t="s">
        <v>857</v>
      </c>
      <c r="C448" s="457" t="s">
        <v>249</v>
      </c>
      <c r="D448" s="425">
        <v>4500164549</v>
      </c>
      <c r="E448" s="457" t="s">
        <v>1266</v>
      </c>
      <c r="F448" s="425" t="s">
        <v>1267</v>
      </c>
      <c r="G448" s="458" t="s">
        <v>743</v>
      </c>
      <c r="H448" s="458" t="s">
        <v>744</v>
      </c>
      <c r="I448" s="458">
        <v>24</v>
      </c>
      <c r="J448" s="458">
        <v>0</v>
      </c>
      <c r="K448" s="458">
        <v>1</v>
      </c>
      <c r="L448" s="462">
        <f>I448*K448</f>
        <v>24</v>
      </c>
      <c r="M448" s="463">
        <v>45868</v>
      </c>
      <c r="N448" s="463">
        <v>45864</v>
      </c>
      <c r="O448" s="464"/>
      <c r="P448" s="464" t="s">
        <v>103</v>
      </c>
      <c r="Q448" s="458"/>
      <c r="R448" s="472">
        <v>45834</v>
      </c>
      <c r="S448" s="472" t="s">
        <v>66</v>
      </c>
      <c r="T448" s="472" t="s">
        <v>66</v>
      </c>
      <c r="U448" s="472"/>
      <c r="V448" s="473" t="s">
        <v>1268</v>
      </c>
      <c r="W448" s="473" t="s">
        <v>219</v>
      </c>
      <c r="X448" s="473">
        <v>0</v>
      </c>
      <c r="Y448" s="480">
        <v>0</v>
      </c>
      <c r="Z448" s="458"/>
      <c r="AA448" s="458" t="s">
        <v>743</v>
      </c>
      <c r="AB448" s="458" t="s">
        <v>76</v>
      </c>
      <c r="AC448" s="458"/>
      <c r="AD448" s="458"/>
      <c r="AE448" s="458"/>
      <c r="AF448" s="458">
        <v>0</v>
      </c>
      <c r="AG448" s="458">
        <v>0</v>
      </c>
      <c r="AH448" s="489"/>
      <c r="AI448" s="458"/>
      <c r="AJ448" s="458"/>
      <c r="AK448" s="458"/>
      <c r="AO448" s="495"/>
      <c r="AT448" s="495"/>
      <c r="AY448" s="498"/>
      <c r="BT448" s="495"/>
      <c r="BV448" s="495"/>
      <c r="CK448" s="425">
        <f t="shared" si="113"/>
        <v>0</v>
      </c>
      <c r="CL448" s="425">
        <f t="shared" si="114"/>
        <v>0</v>
      </c>
      <c r="CM448" s="425">
        <f t="shared" si="115"/>
        <v>0</v>
      </c>
      <c r="CN448" s="495"/>
      <c r="CO448" s="495"/>
      <c r="CP448" s="495"/>
      <c r="CT448" s="495"/>
      <c r="CU448" s="495"/>
      <c r="CV448" s="495"/>
      <c r="CW448" s="495"/>
      <c r="CX448" s="495"/>
    </row>
    <row r="449" s="425" customFormat="1" ht="31" customHeight="1" spans="1:102">
      <c r="A449" s="455">
        <v>45813</v>
      </c>
      <c r="B449" s="456" t="s">
        <v>1172</v>
      </c>
      <c r="C449" s="457" t="s">
        <v>90</v>
      </c>
      <c r="D449" s="425">
        <v>4500169101</v>
      </c>
      <c r="E449" s="457">
        <v>15777186</v>
      </c>
      <c r="F449" s="425" t="s">
        <v>4284</v>
      </c>
      <c r="G449" s="458" t="s">
        <v>4285</v>
      </c>
      <c r="H449" s="458" t="s">
        <v>3151</v>
      </c>
      <c r="I449" s="458">
        <v>312</v>
      </c>
      <c r="J449" s="458">
        <v>0</v>
      </c>
      <c r="K449" s="458">
        <v>13</v>
      </c>
      <c r="L449" s="462">
        <f t="shared" ref="L449:L467" si="132">I449/K449</f>
        <v>24</v>
      </c>
      <c r="M449" s="463">
        <v>45863</v>
      </c>
      <c r="N449" s="463">
        <v>45859</v>
      </c>
      <c r="O449" s="464"/>
      <c r="P449" s="464" t="s">
        <v>103</v>
      </c>
      <c r="Q449" s="458"/>
      <c r="R449" s="472" t="s">
        <v>1176</v>
      </c>
      <c r="S449" s="472" t="s">
        <v>96</v>
      </c>
      <c r="T449" s="472" t="s">
        <v>403</v>
      </c>
      <c r="U449" s="472"/>
      <c r="V449" s="473" t="s">
        <v>1255</v>
      </c>
      <c r="W449" s="473" t="s">
        <v>1178</v>
      </c>
      <c r="X449" s="473">
        <v>0.8804</v>
      </c>
      <c r="Y449" s="480">
        <f t="shared" ref="Y449:Y476" si="133">X449*I449</f>
        <v>274.6848</v>
      </c>
      <c r="Z449" s="458" t="s">
        <v>1256</v>
      </c>
      <c r="AA449" s="458" t="s">
        <v>4285</v>
      </c>
      <c r="AB449" s="458" t="s">
        <v>76</v>
      </c>
      <c r="AC449" s="458"/>
      <c r="AD449" s="458"/>
      <c r="AE449" s="458"/>
      <c r="AF449" s="458">
        <v>312</v>
      </c>
      <c r="AG449" s="458">
        <v>0</v>
      </c>
      <c r="AH449" s="489"/>
      <c r="AI449" s="458"/>
      <c r="AJ449" s="458"/>
      <c r="AK449" s="458">
        <f>I449</f>
        <v>312</v>
      </c>
      <c r="AM449" s="425">
        <f>I449</f>
        <v>312</v>
      </c>
      <c r="AO449" s="495"/>
      <c r="AR449" s="425">
        <f>I449</f>
        <v>312</v>
      </c>
      <c r="AT449" s="495"/>
      <c r="AY449" s="498">
        <f>I449/24</f>
        <v>13</v>
      </c>
      <c r="BT449" s="495"/>
      <c r="BV449" s="495"/>
      <c r="CK449" s="425">
        <f t="shared" si="113"/>
        <v>0</v>
      </c>
      <c r="CL449" s="425">
        <f t="shared" si="114"/>
        <v>0</v>
      </c>
      <c r="CM449" s="425">
        <f t="shared" si="115"/>
        <v>0</v>
      </c>
      <c r="CN449" s="495"/>
      <c r="CO449" s="495"/>
      <c r="CP449" s="495"/>
      <c r="CT449" s="495"/>
      <c r="CU449" s="495"/>
      <c r="CV449" s="495"/>
      <c r="CW449" s="495"/>
      <c r="CX449" s="495"/>
    </row>
    <row r="450" s="425" customFormat="1" ht="31" customHeight="1" spans="1:102">
      <c r="A450" s="455">
        <v>45840</v>
      </c>
      <c r="B450" s="456" t="s">
        <v>1383</v>
      </c>
      <c r="C450" s="457" t="s">
        <v>90</v>
      </c>
      <c r="D450" s="425">
        <v>4500172430</v>
      </c>
      <c r="E450" s="457" t="s">
        <v>4286</v>
      </c>
      <c r="F450" s="425" t="s">
        <v>4287</v>
      </c>
      <c r="G450" s="458" t="s">
        <v>3900</v>
      </c>
      <c r="H450" s="458" t="s">
        <v>3237</v>
      </c>
      <c r="I450" s="458">
        <v>3924</v>
      </c>
      <c r="J450" s="458">
        <v>0</v>
      </c>
      <c r="K450" s="458">
        <v>12</v>
      </c>
      <c r="L450" s="462">
        <f t="shared" si="132"/>
        <v>327</v>
      </c>
      <c r="M450" s="463">
        <v>45875</v>
      </c>
      <c r="N450" s="463">
        <v>45871</v>
      </c>
      <c r="O450" s="464"/>
      <c r="P450" s="464" t="s">
        <v>103</v>
      </c>
      <c r="Q450" s="458"/>
      <c r="R450" s="472">
        <v>45840</v>
      </c>
      <c r="S450" s="472" t="s">
        <v>96</v>
      </c>
      <c r="T450" s="472" t="s">
        <v>403</v>
      </c>
      <c r="U450" s="472"/>
      <c r="V450" s="473" t="s">
        <v>4288</v>
      </c>
      <c r="W450" s="473" t="s">
        <v>113</v>
      </c>
      <c r="X450" s="473">
        <v>1.2808</v>
      </c>
      <c r="Y450" s="480">
        <f t="shared" si="133"/>
        <v>5025.8592</v>
      </c>
      <c r="Z450" s="458" t="s">
        <v>4289</v>
      </c>
      <c r="AA450" s="458" t="s">
        <v>3236</v>
      </c>
      <c r="AB450" s="458" t="s">
        <v>76</v>
      </c>
      <c r="AC450" s="458"/>
      <c r="AD450" s="458"/>
      <c r="AE450" s="458"/>
      <c r="AF450" s="458">
        <v>3924</v>
      </c>
      <c r="AG450" s="458">
        <f t="shared" ref="AG450:AG462" si="134">AF450-I450</f>
        <v>0</v>
      </c>
      <c r="AH450" s="489"/>
      <c r="AI450" s="458"/>
      <c r="AJ450" s="458"/>
      <c r="AK450" s="458">
        <f>I450*2</f>
        <v>7848</v>
      </c>
      <c r="AN450" s="425">
        <f>I450*2</f>
        <v>7848</v>
      </c>
      <c r="AO450" s="495"/>
      <c r="AR450" s="425">
        <f>I450*2</f>
        <v>7848</v>
      </c>
      <c r="AT450" s="495"/>
      <c r="AY450" s="498">
        <f>I450/24*2</f>
        <v>327</v>
      </c>
      <c r="BT450" s="495"/>
      <c r="BV450" s="495"/>
      <c r="CH450" s="425">
        <f>I450</f>
        <v>3924</v>
      </c>
      <c r="CI450" s="425">
        <f>I450</f>
        <v>3924</v>
      </c>
      <c r="CJ450" s="425">
        <f>I450</f>
        <v>3924</v>
      </c>
      <c r="CK450" s="425">
        <f t="shared" si="113"/>
        <v>0</v>
      </c>
      <c r="CL450" s="425">
        <f t="shared" ref="CL450:CL489" si="135">CA450+CB450+CC450+CD450+CE450+CG450+CF450</f>
        <v>0</v>
      </c>
      <c r="CM450" s="425">
        <f t="shared" ref="CM450:CM513" si="136">BY450+BZ450</f>
        <v>0</v>
      </c>
      <c r="CN450" s="495"/>
      <c r="CO450" s="495"/>
      <c r="CP450" s="495"/>
      <c r="CT450" s="495"/>
      <c r="CU450" s="495"/>
      <c r="CV450" s="495"/>
      <c r="CW450" s="495"/>
      <c r="CX450" s="495"/>
    </row>
    <row r="451" s="425" customFormat="1" ht="31" customHeight="1" spans="1:102">
      <c r="A451" s="455">
        <v>45840</v>
      </c>
      <c r="B451" s="456" t="s">
        <v>1383</v>
      </c>
      <c r="C451" s="457" t="s">
        <v>90</v>
      </c>
      <c r="D451" s="425">
        <v>4500172422</v>
      </c>
      <c r="E451" s="457" t="s">
        <v>4290</v>
      </c>
      <c r="F451" s="425" t="s">
        <v>4291</v>
      </c>
      <c r="G451" s="458" t="s">
        <v>3900</v>
      </c>
      <c r="H451" s="458" t="s">
        <v>3237</v>
      </c>
      <c r="I451" s="458">
        <v>4272</v>
      </c>
      <c r="J451" s="458">
        <v>0</v>
      </c>
      <c r="K451" s="458">
        <v>12</v>
      </c>
      <c r="L451" s="462">
        <f t="shared" si="132"/>
        <v>356</v>
      </c>
      <c r="M451" s="463">
        <v>45875</v>
      </c>
      <c r="N451" s="463">
        <v>45871</v>
      </c>
      <c r="O451" s="464"/>
      <c r="P451" s="464" t="s">
        <v>103</v>
      </c>
      <c r="Q451" s="458"/>
      <c r="R451" s="472">
        <v>45840</v>
      </c>
      <c r="S451" s="472" t="s">
        <v>96</v>
      </c>
      <c r="T451" s="472" t="s">
        <v>403</v>
      </c>
      <c r="U451" s="472"/>
      <c r="V451" s="473" t="s">
        <v>4288</v>
      </c>
      <c r="W451" s="473" t="s">
        <v>113</v>
      </c>
      <c r="X451" s="473">
        <v>1.2808</v>
      </c>
      <c r="Y451" s="480">
        <f t="shared" si="133"/>
        <v>5471.5776</v>
      </c>
      <c r="Z451" s="458" t="s">
        <v>4292</v>
      </c>
      <c r="AA451" s="458" t="s">
        <v>3236</v>
      </c>
      <c r="AB451" s="458" t="s">
        <v>76</v>
      </c>
      <c r="AC451" s="458"/>
      <c r="AD451" s="458"/>
      <c r="AE451" s="458"/>
      <c r="AF451" s="458">
        <v>4272</v>
      </c>
      <c r="AG451" s="458">
        <f t="shared" si="134"/>
        <v>0</v>
      </c>
      <c r="AH451" s="489"/>
      <c r="AI451" s="458"/>
      <c r="AJ451" s="458"/>
      <c r="AK451" s="458">
        <f>I451*2</f>
        <v>8544</v>
      </c>
      <c r="AN451" s="425">
        <f>I451*2</f>
        <v>8544</v>
      </c>
      <c r="AO451" s="495"/>
      <c r="AR451" s="425">
        <f>I451*2</f>
        <v>8544</v>
      </c>
      <c r="AT451" s="495"/>
      <c r="AY451" s="498">
        <f>I451/24*2</f>
        <v>356</v>
      </c>
      <c r="BT451" s="495"/>
      <c r="BV451" s="495"/>
      <c r="CH451" s="425">
        <f>I451</f>
        <v>4272</v>
      </c>
      <c r="CI451" s="425">
        <f>I451</f>
        <v>4272</v>
      </c>
      <c r="CJ451" s="425">
        <f>I451</f>
        <v>4272</v>
      </c>
      <c r="CK451" s="425">
        <f t="shared" ref="CK451:CK514" si="137">BM451+BL451+BK451+BJ451+BS451</f>
        <v>0</v>
      </c>
      <c r="CL451" s="425">
        <f t="shared" si="135"/>
        <v>0</v>
      </c>
      <c r="CM451" s="425">
        <f t="shared" si="136"/>
        <v>0</v>
      </c>
      <c r="CN451" s="495"/>
      <c r="CO451" s="495"/>
      <c r="CP451" s="495"/>
      <c r="CT451" s="495"/>
      <c r="CU451" s="495"/>
      <c r="CV451" s="495"/>
      <c r="CW451" s="495"/>
      <c r="CX451" s="495"/>
    </row>
    <row r="452" s="425" customFormat="1" ht="31" customHeight="1" spans="1:102">
      <c r="A452" s="455">
        <v>45848</v>
      </c>
      <c r="B452" s="456" t="s">
        <v>1228</v>
      </c>
      <c r="C452" s="457" t="s">
        <v>841</v>
      </c>
      <c r="D452" s="425">
        <v>4500173381</v>
      </c>
      <c r="E452" s="457"/>
      <c r="F452" s="425" t="s">
        <v>4293</v>
      </c>
      <c r="G452" s="458" t="s">
        <v>3378</v>
      </c>
      <c r="H452" s="458" t="s">
        <v>3379</v>
      </c>
      <c r="I452" s="458">
        <v>1600</v>
      </c>
      <c r="J452" s="458">
        <v>0</v>
      </c>
      <c r="K452" s="458">
        <v>50</v>
      </c>
      <c r="L452" s="462">
        <f t="shared" si="132"/>
        <v>32</v>
      </c>
      <c r="M452" s="463">
        <v>45876</v>
      </c>
      <c r="N452" s="463">
        <v>45873</v>
      </c>
      <c r="O452" s="464"/>
      <c r="P452" s="464" t="s">
        <v>103</v>
      </c>
      <c r="Q452" s="458"/>
      <c r="R452" s="472">
        <v>45863</v>
      </c>
      <c r="S452" s="472" t="s">
        <v>66</v>
      </c>
      <c r="T452" s="472" t="s">
        <v>66</v>
      </c>
      <c r="U452" s="472"/>
      <c r="V452" s="473" t="s">
        <v>4294</v>
      </c>
      <c r="W452" s="473" t="s">
        <v>853</v>
      </c>
      <c r="X452" s="473">
        <v>0.924</v>
      </c>
      <c r="Y452" s="480">
        <f t="shared" si="133"/>
        <v>1478.4</v>
      </c>
      <c r="Z452" s="458" t="s">
        <v>4295</v>
      </c>
      <c r="AA452" s="458" t="s">
        <v>3378</v>
      </c>
      <c r="AB452" s="458" t="s">
        <v>76</v>
      </c>
      <c r="AC452" s="458"/>
      <c r="AD452" s="458"/>
      <c r="AE452" s="458"/>
      <c r="AF452" s="458">
        <v>1600</v>
      </c>
      <c r="AG452" s="458">
        <f t="shared" si="134"/>
        <v>0</v>
      </c>
      <c r="AH452" s="489"/>
      <c r="AI452" s="458"/>
      <c r="AJ452" s="458"/>
      <c r="AK452" s="458"/>
      <c r="AL452" s="425">
        <f t="shared" ref="AL452:AL457" si="138">I452</f>
        <v>1600</v>
      </c>
      <c r="AO452" s="495"/>
      <c r="AT452" s="495"/>
      <c r="AY452" s="498">
        <f>I452/24*2</f>
        <v>133.333333333333</v>
      </c>
      <c r="BQ452" s="425">
        <f>I452</f>
        <v>1600</v>
      </c>
      <c r="BR452" s="425">
        <f>I452</f>
        <v>1600</v>
      </c>
      <c r="BS452" s="425">
        <f>I452/25</f>
        <v>64</v>
      </c>
      <c r="BT452" s="495"/>
      <c r="BV452" s="495"/>
      <c r="CK452" s="425">
        <f t="shared" si="137"/>
        <v>64</v>
      </c>
      <c r="CL452" s="425">
        <f t="shared" si="135"/>
        <v>0</v>
      </c>
      <c r="CM452" s="425">
        <f t="shared" si="136"/>
        <v>0</v>
      </c>
      <c r="CN452" s="495"/>
      <c r="CO452" s="495"/>
      <c r="CP452" s="495"/>
      <c r="CT452" s="495"/>
      <c r="CU452" s="495"/>
      <c r="CV452" s="495"/>
      <c r="CW452" s="495"/>
      <c r="CX452" s="495"/>
    </row>
    <row r="453" s="425" customFormat="1" ht="31" customHeight="1" spans="1:102">
      <c r="A453" s="455">
        <v>45828</v>
      </c>
      <c r="B453" s="456" t="s">
        <v>1287</v>
      </c>
      <c r="C453" s="457" t="s">
        <v>366</v>
      </c>
      <c r="D453" s="425">
        <v>4500170761</v>
      </c>
      <c r="E453" s="457"/>
      <c r="F453" s="425" t="s">
        <v>4296</v>
      </c>
      <c r="G453" s="458" t="s">
        <v>3206</v>
      </c>
      <c r="H453" s="458" t="s">
        <v>3207</v>
      </c>
      <c r="I453" s="458">
        <v>1300</v>
      </c>
      <c r="J453" s="458">
        <v>0</v>
      </c>
      <c r="K453" s="458">
        <v>13</v>
      </c>
      <c r="L453" s="462">
        <f t="shared" si="132"/>
        <v>100</v>
      </c>
      <c r="M453" s="463">
        <v>45877</v>
      </c>
      <c r="N453" s="463">
        <v>45873</v>
      </c>
      <c r="O453" s="464"/>
      <c r="P453" s="464" t="s">
        <v>103</v>
      </c>
      <c r="Q453" s="458"/>
      <c r="R453" s="472">
        <v>45828</v>
      </c>
      <c r="S453" s="472" t="s">
        <v>66</v>
      </c>
      <c r="T453" s="472" t="s">
        <v>4297</v>
      </c>
      <c r="U453" s="472"/>
      <c r="V453" s="473" t="s">
        <v>4298</v>
      </c>
      <c r="W453" s="473" t="s">
        <v>370</v>
      </c>
      <c r="X453" s="473">
        <v>0.8947</v>
      </c>
      <c r="Y453" s="480">
        <f t="shared" si="133"/>
        <v>1163.11</v>
      </c>
      <c r="Z453" s="458"/>
      <c r="AA453" s="458" t="s">
        <v>3206</v>
      </c>
      <c r="AB453" s="458" t="s">
        <v>76</v>
      </c>
      <c r="AC453" s="458"/>
      <c r="AD453" s="458"/>
      <c r="AE453" s="458"/>
      <c r="AF453" s="458">
        <v>1300</v>
      </c>
      <c r="AG453" s="458">
        <f t="shared" si="134"/>
        <v>0</v>
      </c>
      <c r="AH453" s="489"/>
      <c r="AI453" s="458"/>
      <c r="AJ453" s="458"/>
      <c r="AK453" s="458"/>
      <c r="AL453" s="425">
        <f t="shared" si="138"/>
        <v>1300</v>
      </c>
      <c r="AO453" s="495"/>
      <c r="AQ453" s="425">
        <f>I453</f>
        <v>1300</v>
      </c>
      <c r="AS453" s="425">
        <f>I453</f>
        <v>1300</v>
      </c>
      <c r="AT453" s="495"/>
      <c r="AY453" s="498">
        <f t="shared" ref="AY453:AY461" si="139">I453/24</f>
        <v>54.1666666666667</v>
      </c>
      <c r="BI453" s="425">
        <f>I453/13</f>
        <v>100</v>
      </c>
      <c r="BT453" s="495"/>
      <c r="BV453" s="495"/>
      <c r="CK453" s="425">
        <f t="shared" si="137"/>
        <v>0</v>
      </c>
      <c r="CL453" s="425">
        <f t="shared" si="135"/>
        <v>0</v>
      </c>
      <c r="CM453" s="425">
        <f t="shared" si="136"/>
        <v>0</v>
      </c>
      <c r="CN453" s="495"/>
      <c r="CO453" s="495"/>
      <c r="CP453" s="495"/>
      <c r="CT453" s="495"/>
      <c r="CU453" s="495"/>
      <c r="CV453" s="495"/>
      <c r="CW453" s="495"/>
      <c r="CX453" s="495"/>
    </row>
    <row r="454" s="425" customFormat="1" ht="31" customHeight="1" spans="1:102">
      <c r="A454" s="455">
        <v>45846</v>
      </c>
      <c r="B454" s="456" t="s">
        <v>1419</v>
      </c>
      <c r="C454" s="457" t="s">
        <v>231</v>
      </c>
      <c r="D454" s="425">
        <v>4500172998</v>
      </c>
      <c r="E454" s="457" t="s">
        <v>4299</v>
      </c>
      <c r="F454" s="425" t="s">
        <v>4300</v>
      </c>
      <c r="G454" s="458" t="s">
        <v>3165</v>
      </c>
      <c r="H454" s="458" t="s">
        <v>3303</v>
      </c>
      <c r="I454" s="458">
        <v>5500</v>
      </c>
      <c r="J454" s="458">
        <v>0</v>
      </c>
      <c r="K454" s="458">
        <v>25</v>
      </c>
      <c r="L454" s="462">
        <f t="shared" si="132"/>
        <v>220</v>
      </c>
      <c r="M454" s="463">
        <v>45877</v>
      </c>
      <c r="N454" s="463">
        <f>M454-4</f>
        <v>45873</v>
      </c>
      <c r="O454" s="464"/>
      <c r="P454" s="464" t="s">
        <v>103</v>
      </c>
      <c r="Q454" s="458"/>
      <c r="R454" s="472">
        <v>45848</v>
      </c>
      <c r="S454" s="472" t="s">
        <v>66</v>
      </c>
      <c r="T454" s="472" t="s">
        <v>66</v>
      </c>
      <c r="U454" s="472"/>
      <c r="V454" s="473" t="s">
        <v>4301</v>
      </c>
      <c r="W454" s="473" t="s">
        <v>1424</v>
      </c>
      <c r="X454" s="473">
        <v>0.9365</v>
      </c>
      <c r="Y454" s="480">
        <f t="shared" si="133"/>
        <v>5150.75</v>
      </c>
      <c r="Z454" s="458"/>
      <c r="AA454" s="458" t="s">
        <v>3165</v>
      </c>
      <c r="AB454" s="458" t="s">
        <v>76</v>
      </c>
      <c r="AC454" s="458"/>
      <c r="AD454" s="458"/>
      <c r="AE454" s="458"/>
      <c r="AF454" s="458">
        <v>5500</v>
      </c>
      <c r="AG454" s="458">
        <f t="shared" si="134"/>
        <v>0</v>
      </c>
      <c r="AH454" s="489"/>
      <c r="AI454" s="458"/>
      <c r="AJ454" s="458"/>
      <c r="AK454" s="458"/>
      <c r="AL454" s="425">
        <f t="shared" si="138"/>
        <v>5500</v>
      </c>
      <c r="AO454" s="495"/>
      <c r="AQ454" s="425">
        <f>I454</f>
        <v>5500</v>
      </c>
      <c r="AS454" s="425">
        <f>I454</f>
        <v>5500</v>
      </c>
      <c r="AT454" s="495"/>
      <c r="AY454" s="498">
        <f t="shared" si="139"/>
        <v>229.166666666667</v>
      </c>
      <c r="BL454" s="425">
        <f>I454/25</f>
        <v>220</v>
      </c>
      <c r="BT454" s="495"/>
      <c r="BV454" s="495"/>
      <c r="CK454" s="425">
        <f t="shared" si="137"/>
        <v>220</v>
      </c>
      <c r="CL454" s="425">
        <f t="shared" si="135"/>
        <v>0</v>
      </c>
      <c r="CM454" s="425">
        <f t="shared" si="136"/>
        <v>0</v>
      </c>
      <c r="CN454" s="495"/>
      <c r="CO454" s="495"/>
      <c r="CP454" s="495"/>
      <c r="CT454" s="495"/>
      <c r="CU454" s="495"/>
      <c r="CV454" s="495"/>
      <c r="CW454" s="495"/>
      <c r="CX454" s="495"/>
    </row>
    <row r="455" s="425" customFormat="1" ht="31" customHeight="1" spans="1:102">
      <c r="A455" s="455">
        <v>45861</v>
      </c>
      <c r="B455" s="456" t="s">
        <v>1492</v>
      </c>
      <c r="C455" s="457" t="s">
        <v>249</v>
      </c>
      <c r="D455" s="425">
        <v>4500174786</v>
      </c>
      <c r="E455" s="457">
        <v>4400500357</v>
      </c>
      <c r="F455" s="425" t="s">
        <v>4302</v>
      </c>
      <c r="G455" s="458" t="s">
        <v>3165</v>
      </c>
      <c r="H455" s="458" t="s">
        <v>3303</v>
      </c>
      <c r="I455" s="458">
        <v>5000</v>
      </c>
      <c r="J455" s="458">
        <v>0</v>
      </c>
      <c r="K455" s="458">
        <v>25</v>
      </c>
      <c r="L455" s="462">
        <f t="shared" si="132"/>
        <v>200</v>
      </c>
      <c r="M455" s="463">
        <v>45877</v>
      </c>
      <c r="N455" s="463">
        <f>M455-4</f>
        <v>45873</v>
      </c>
      <c r="O455" s="464" t="s">
        <v>4303</v>
      </c>
      <c r="P455" s="464" t="s">
        <v>103</v>
      </c>
      <c r="Q455" s="458" t="s">
        <v>4304</v>
      </c>
      <c r="R455" s="472">
        <v>45848</v>
      </c>
      <c r="S455" s="472" t="s">
        <v>66</v>
      </c>
      <c r="T455" s="472" t="s">
        <v>66</v>
      </c>
      <c r="U455" s="472"/>
      <c r="V455" s="473" t="s">
        <v>4305</v>
      </c>
      <c r="W455" s="473" t="s">
        <v>1424</v>
      </c>
      <c r="X455" s="473">
        <v>0.9193</v>
      </c>
      <c r="Y455" s="480">
        <f t="shared" si="133"/>
        <v>4596.5</v>
      </c>
      <c r="Z455" s="458"/>
      <c r="AA455" s="458" t="s">
        <v>3165</v>
      </c>
      <c r="AB455" s="458" t="s">
        <v>76</v>
      </c>
      <c r="AC455" s="458"/>
      <c r="AD455" s="458"/>
      <c r="AE455" s="458"/>
      <c r="AF455" s="458">
        <v>5000</v>
      </c>
      <c r="AG455" s="458">
        <f t="shared" si="134"/>
        <v>0</v>
      </c>
      <c r="AH455" s="489"/>
      <c r="AI455" s="458"/>
      <c r="AJ455" s="458"/>
      <c r="AK455" s="458"/>
      <c r="AL455" s="425">
        <f t="shared" si="138"/>
        <v>5000</v>
      </c>
      <c r="AO455" s="495"/>
      <c r="AQ455" s="425">
        <f>I455</f>
        <v>5000</v>
      </c>
      <c r="AS455" s="425">
        <f>I455</f>
        <v>5000</v>
      </c>
      <c r="AT455" s="495"/>
      <c r="AY455" s="498">
        <f t="shared" si="139"/>
        <v>208.333333333333</v>
      </c>
      <c r="BL455" s="425">
        <f>I455/25</f>
        <v>200</v>
      </c>
      <c r="BT455" s="495"/>
      <c r="BV455" s="495"/>
      <c r="CK455" s="425">
        <f t="shared" si="137"/>
        <v>200</v>
      </c>
      <c r="CL455" s="425">
        <f t="shared" si="135"/>
        <v>0</v>
      </c>
      <c r="CM455" s="425">
        <f t="shared" si="136"/>
        <v>0</v>
      </c>
      <c r="CN455" s="495"/>
      <c r="CO455" s="495"/>
      <c r="CP455" s="495"/>
      <c r="CT455" s="495"/>
      <c r="CU455" s="495"/>
      <c r="CV455" s="495"/>
      <c r="CW455" s="495"/>
      <c r="CX455" s="495"/>
    </row>
    <row r="456" s="425" customFormat="1" ht="31" customHeight="1" spans="1:102">
      <c r="A456" s="455">
        <v>45861</v>
      </c>
      <c r="B456" s="456" t="s">
        <v>1419</v>
      </c>
      <c r="C456" s="457" t="s">
        <v>231</v>
      </c>
      <c r="D456" s="425">
        <v>4500174782</v>
      </c>
      <c r="E456" s="457">
        <v>4400500356</v>
      </c>
      <c r="F456" s="425" t="s">
        <v>4306</v>
      </c>
      <c r="G456" s="458" t="s">
        <v>3165</v>
      </c>
      <c r="H456" s="458" t="s">
        <v>3303</v>
      </c>
      <c r="I456" s="458">
        <v>2500</v>
      </c>
      <c r="J456" s="458">
        <v>0</v>
      </c>
      <c r="K456" s="458">
        <v>25</v>
      </c>
      <c r="L456" s="462">
        <f t="shared" si="132"/>
        <v>100</v>
      </c>
      <c r="M456" s="463">
        <v>45877</v>
      </c>
      <c r="N456" s="463">
        <f>M456-4</f>
        <v>45873</v>
      </c>
      <c r="O456" s="464" t="s">
        <v>4307</v>
      </c>
      <c r="P456" s="464" t="s">
        <v>103</v>
      </c>
      <c r="Q456" s="458" t="s">
        <v>4304</v>
      </c>
      <c r="R456" s="472">
        <v>45848</v>
      </c>
      <c r="S456" s="472" t="s">
        <v>66</v>
      </c>
      <c r="T456" s="472" t="s">
        <v>66</v>
      </c>
      <c r="U456" s="472"/>
      <c r="V456" s="473" t="s">
        <v>4308</v>
      </c>
      <c r="W456" s="473" t="s">
        <v>1424</v>
      </c>
      <c r="X456" s="473">
        <v>0.9417</v>
      </c>
      <c r="Y456" s="480">
        <f t="shared" si="133"/>
        <v>2354.25</v>
      </c>
      <c r="Z456" s="458"/>
      <c r="AA456" s="458" t="s">
        <v>3165</v>
      </c>
      <c r="AB456" s="458" t="s">
        <v>76</v>
      </c>
      <c r="AC456" s="458"/>
      <c r="AD456" s="458"/>
      <c r="AE456" s="458"/>
      <c r="AF456" s="458">
        <f>2200+300</f>
        <v>2500</v>
      </c>
      <c r="AG456" s="458">
        <f t="shared" si="134"/>
        <v>0</v>
      </c>
      <c r="AH456" s="489"/>
      <c r="AI456" s="458"/>
      <c r="AJ456" s="458"/>
      <c r="AK456" s="458"/>
      <c r="AL456" s="425">
        <f t="shared" si="138"/>
        <v>2500</v>
      </c>
      <c r="AO456" s="495"/>
      <c r="AQ456" s="425">
        <f>I456</f>
        <v>2500</v>
      </c>
      <c r="AS456" s="425">
        <f>I456</f>
        <v>2500</v>
      </c>
      <c r="AT456" s="495"/>
      <c r="AY456" s="498">
        <f t="shared" si="139"/>
        <v>104.166666666667</v>
      </c>
      <c r="BL456" s="425">
        <f>I456/25</f>
        <v>100</v>
      </c>
      <c r="BT456" s="495"/>
      <c r="BV456" s="495"/>
      <c r="CK456" s="425">
        <f t="shared" si="137"/>
        <v>100</v>
      </c>
      <c r="CL456" s="425">
        <f t="shared" si="135"/>
        <v>0</v>
      </c>
      <c r="CM456" s="425">
        <f t="shared" si="136"/>
        <v>0</v>
      </c>
      <c r="CN456" s="495"/>
      <c r="CO456" s="495"/>
      <c r="CP456" s="495"/>
      <c r="CT456" s="495"/>
      <c r="CU456" s="495"/>
      <c r="CV456" s="495"/>
      <c r="CW456" s="495"/>
      <c r="CX456" s="495"/>
    </row>
    <row r="457" s="425" customFormat="1" ht="31" customHeight="1" spans="1:102">
      <c r="A457" s="455">
        <v>45846</v>
      </c>
      <c r="B457" s="456" t="s">
        <v>1492</v>
      </c>
      <c r="C457" s="457" t="s">
        <v>249</v>
      </c>
      <c r="D457" s="425">
        <v>4500173000</v>
      </c>
      <c r="E457" s="457" t="s">
        <v>4309</v>
      </c>
      <c r="F457" s="425" t="s">
        <v>4310</v>
      </c>
      <c r="G457" s="458" t="s">
        <v>3165</v>
      </c>
      <c r="H457" s="458" t="s">
        <v>3303</v>
      </c>
      <c r="I457" s="458">
        <v>7000</v>
      </c>
      <c r="J457" s="458">
        <v>0</v>
      </c>
      <c r="K457" s="458">
        <v>25</v>
      </c>
      <c r="L457" s="462">
        <f t="shared" si="132"/>
        <v>280</v>
      </c>
      <c r="M457" s="463">
        <v>45877</v>
      </c>
      <c r="N457" s="463">
        <f>M457-4</f>
        <v>45873</v>
      </c>
      <c r="O457" s="464"/>
      <c r="P457" s="464" t="s">
        <v>103</v>
      </c>
      <c r="Q457" s="458"/>
      <c r="R457" s="472">
        <v>45848</v>
      </c>
      <c r="S457" s="472" t="s">
        <v>66</v>
      </c>
      <c r="T457" s="472" t="s">
        <v>66</v>
      </c>
      <c r="U457" s="472"/>
      <c r="V457" s="473" t="s">
        <v>4311</v>
      </c>
      <c r="W457" s="473" t="s">
        <v>1424</v>
      </c>
      <c r="X457" s="473">
        <v>0.9313</v>
      </c>
      <c r="Y457" s="480">
        <f t="shared" si="133"/>
        <v>6519.1</v>
      </c>
      <c r="Z457" s="458"/>
      <c r="AA457" s="458" t="s">
        <v>3165</v>
      </c>
      <c r="AB457" s="458" t="s">
        <v>76</v>
      </c>
      <c r="AC457" s="458"/>
      <c r="AD457" s="458"/>
      <c r="AE457" s="458"/>
      <c r="AF457" s="458">
        <v>7000</v>
      </c>
      <c r="AG457" s="458">
        <f t="shared" si="134"/>
        <v>0</v>
      </c>
      <c r="AH457" s="489"/>
      <c r="AI457" s="458"/>
      <c r="AJ457" s="458"/>
      <c r="AK457" s="458"/>
      <c r="AL457" s="425">
        <f t="shared" si="138"/>
        <v>7000</v>
      </c>
      <c r="AO457" s="495"/>
      <c r="AQ457" s="425">
        <f>I457</f>
        <v>7000</v>
      </c>
      <c r="AS457" s="425">
        <f>I457</f>
        <v>7000</v>
      </c>
      <c r="AT457" s="495"/>
      <c r="AY457" s="498">
        <f t="shared" si="139"/>
        <v>291.666666666667</v>
      </c>
      <c r="BL457" s="425">
        <f>I457/25</f>
        <v>280</v>
      </c>
      <c r="BT457" s="495"/>
      <c r="BV457" s="495"/>
      <c r="CK457" s="425">
        <f t="shared" si="137"/>
        <v>280</v>
      </c>
      <c r="CL457" s="425">
        <f t="shared" si="135"/>
        <v>0</v>
      </c>
      <c r="CM457" s="425">
        <f t="shared" si="136"/>
        <v>0</v>
      </c>
      <c r="CN457" s="495"/>
      <c r="CO457" s="495"/>
      <c r="CP457" s="495"/>
      <c r="CT457" s="495"/>
      <c r="CU457" s="495"/>
      <c r="CV457" s="495"/>
      <c r="CW457" s="495"/>
      <c r="CX457" s="495"/>
    </row>
    <row r="458" s="425" customFormat="1" ht="31" customHeight="1" spans="1:102">
      <c r="A458" s="455">
        <v>45828</v>
      </c>
      <c r="B458" s="456" t="s">
        <v>220</v>
      </c>
      <c r="C458" s="457" t="s">
        <v>90</v>
      </c>
      <c r="D458" s="425">
        <v>4500170741</v>
      </c>
      <c r="E458" s="457" t="s">
        <v>4312</v>
      </c>
      <c r="F458" s="425" t="s">
        <v>4313</v>
      </c>
      <c r="G458" s="458" t="s">
        <v>3198</v>
      </c>
      <c r="H458" s="458" t="s">
        <v>3303</v>
      </c>
      <c r="I458" s="458">
        <v>16825</v>
      </c>
      <c r="J458" s="458">
        <v>0</v>
      </c>
      <c r="K458" s="458">
        <v>25</v>
      </c>
      <c r="L458" s="462">
        <f t="shared" si="132"/>
        <v>673</v>
      </c>
      <c r="M458" s="463">
        <v>45880</v>
      </c>
      <c r="N458" s="463">
        <v>45876</v>
      </c>
      <c r="O458" s="464"/>
      <c r="P458" s="464" t="s">
        <v>103</v>
      </c>
      <c r="Q458" s="458"/>
      <c r="R458" s="472">
        <v>45841</v>
      </c>
      <c r="S458" s="472" t="s">
        <v>96</v>
      </c>
      <c r="T458" s="472" t="s">
        <v>4314</v>
      </c>
      <c r="U458" s="472"/>
      <c r="V458" s="473" t="s">
        <v>4315</v>
      </c>
      <c r="W458" s="473" t="s">
        <v>226</v>
      </c>
      <c r="X458" s="473">
        <v>0.5543</v>
      </c>
      <c r="Y458" s="480">
        <f t="shared" si="133"/>
        <v>9326.0975</v>
      </c>
      <c r="Z458" s="458" t="s">
        <v>4316</v>
      </c>
      <c r="AA458" s="458" t="s">
        <v>3198</v>
      </c>
      <c r="AB458" s="458" t="s">
        <v>76</v>
      </c>
      <c r="AC458" s="458"/>
      <c r="AD458" s="458"/>
      <c r="AE458" s="458"/>
      <c r="AF458" s="458">
        <v>16825</v>
      </c>
      <c r="AG458" s="458">
        <f t="shared" si="134"/>
        <v>0</v>
      </c>
      <c r="AH458" s="489"/>
      <c r="AI458" s="458"/>
      <c r="AJ458" s="458"/>
      <c r="AK458" s="458">
        <f>I458</f>
        <v>16825</v>
      </c>
      <c r="AM458" s="425">
        <f>I458</f>
        <v>16825</v>
      </c>
      <c r="AO458" s="495"/>
      <c r="AR458" s="425">
        <f>I458</f>
        <v>16825</v>
      </c>
      <c r="AT458" s="495"/>
      <c r="AY458" s="498">
        <f t="shared" si="139"/>
        <v>701.041666666667</v>
      </c>
      <c r="BJ458" s="425">
        <f>I458/25</f>
        <v>673</v>
      </c>
      <c r="BT458" s="495"/>
      <c r="BV458" s="495"/>
      <c r="CK458" s="425">
        <f t="shared" si="137"/>
        <v>673</v>
      </c>
      <c r="CL458" s="425">
        <f t="shared" si="135"/>
        <v>0</v>
      </c>
      <c r="CM458" s="425">
        <f t="shared" si="136"/>
        <v>0</v>
      </c>
      <c r="CN458" s="495"/>
      <c r="CO458" s="495"/>
      <c r="CP458" s="495"/>
      <c r="CT458" s="495"/>
      <c r="CU458" s="495"/>
      <c r="CV458" s="495"/>
      <c r="CW458" s="495"/>
      <c r="CX458" s="495"/>
    </row>
    <row r="459" s="425" customFormat="1" ht="31" customHeight="1" spans="1:102">
      <c r="A459" s="455">
        <v>45842</v>
      </c>
      <c r="B459" s="456" t="s">
        <v>125</v>
      </c>
      <c r="C459" s="457" t="s">
        <v>71</v>
      </c>
      <c r="D459" s="425">
        <v>4500172600</v>
      </c>
      <c r="E459" s="457">
        <v>20959662</v>
      </c>
      <c r="F459" s="425" t="s">
        <v>4317</v>
      </c>
      <c r="G459" s="458" t="s">
        <v>3206</v>
      </c>
      <c r="H459" s="458" t="s">
        <v>3207</v>
      </c>
      <c r="I459" s="458">
        <v>169</v>
      </c>
      <c r="J459" s="458">
        <v>0</v>
      </c>
      <c r="K459" s="458">
        <v>13</v>
      </c>
      <c r="L459" s="462">
        <f t="shared" si="132"/>
        <v>13</v>
      </c>
      <c r="M459" s="463">
        <v>45880</v>
      </c>
      <c r="N459" s="463">
        <v>45876</v>
      </c>
      <c r="O459" s="464"/>
      <c r="P459" s="464" t="s">
        <v>103</v>
      </c>
      <c r="Q459" s="458"/>
      <c r="R459" s="472">
        <v>45849</v>
      </c>
      <c r="S459" s="472" t="s">
        <v>96</v>
      </c>
      <c r="T459" s="472">
        <v>45859</v>
      </c>
      <c r="U459" s="472"/>
      <c r="V459" s="473" t="s">
        <v>4143</v>
      </c>
      <c r="W459" s="473" t="s">
        <v>121</v>
      </c>
      <c r="X459" s="473">
        <v>0.9526</v>
      </c>
      <c r="Y459" s="480">
        <f t="shared" si="133"/>
        <v>160.9894</v>
      </c>
      <c r="Z459" s="458"/>
      <c r="AA459" s="458" t="s">
        <v>3206</v>
      </c>
      <c r="AB459" s="458" t="s">
        <v>76</v>
      </c>
      <c r="AC459" s="458"/>
      <c r="AD459" s="458"/>
      <c r="AE459" s="458"/>
      <c r="AF459" s="458">
        <v>169</v>
      </c>
      <c r="AG459" s="458">
        <f t="shared" si="134"/>
        <v>0</v>
      </c>
      <c r="AH459" s="489"/>
      <c r="AI459" s="458"/>
      <c r="AJ459" s="458"/>
      <c r="AK459" s="458"/>
      <c r="AL459" s="425">
        <f>I459</f>
        <v>169</v>
      </c>
      <c r="AO459" s="495"/>
      <c r="AQ459" s="425">
        <f>I459</f>
        <v>169</v>
      </c>
      <c r="AS459" s="425">
        <f>I459</f>
        <v>169</v>
      </c>
      <c r="AT459" s="495"/>
      <c r="AY459" s="498">
        <f t="shared" si="139"/>
        <v>7.04166666666667</v>
      </c>
      <c r="BI459" s="425">
        <f>I459/13</f>
        <v>13</v>
      </c>
      <c r="BT459" s="495"/>
      <c r="BV459" s="495"/>
      <c r="CK459" s="425">
        <f t="shared" si="137"/>
        <v>0</v>
      </c>
      <c r="CL459" s="425">
        <f t="shared" si="135"/>
        <v>0</v>
      </c>
      <c r="CM459" s="425">
        <f t="shared" si="136"/>
        <v>0</v>
      </c>
      <c r="CN459" s="495"/>
      <c r="CO459" s="495"/>
      <c r="CP459" s="495"/>
      <c r="CT459" s="495"/>
      <c r="CU459" s="495"/>
      <c r="CV459" s="495"/>
      <c r="CW459" s="495"/>
      <c r="CX459" s="495"/>
    </row>
    <row r="460" s="425" customFormat="1" ht="31" customHeight="1" spans="1:102">
      <c r="A460" s="455">
        <v>45842</v>
      </c>
      <c r="B460" s="456" t="s">
        <v>122</v>
      </c>
      <c r="C460" s="457" t="s">
        <v>116</v>
      </c>
      <c r="D460" s="425">
        <v>4500172597</v>
      </c>
      <c r="E460" s="457">
        <v>20959661</v>
      </c>
      <c r="F460" s="425" t="s">
        <v>4318</v>
      </c>
      <c r="G460" s="458" t="s">
        <v>3206</v>
      </c>
      <c r="H460" s="458" t="s">
        <v>3207</v>
      </c>
      <c r="I460" s="458">
        <v>1339</v>
      </c>
      <c r="J460" s="458">
        <v>0</v>
      </c>
      <c r="K460" s="458">
        <v>13</v>
      </c>
      <c r="L460" s="462">
        <f t="shared" si="132"/>
        <v>103</v>
      </c>
      <c r="M460" s="463">
        <v>45880</v>
      </c>
      <c r="N460" s="463">
        <v>45876</v>
      </c>
      <c r="O460" s="464"/>
      <c r="P460" s="464" t="s">
        <v>103</v>
      </c>
      <c r="Q460" s="458"/>
      <c r="R460" s="472">
        <v>45849</v>
      </c>
      <c r="S460" s="472" t="s">
        <v>96</v>
      </c>
      <c r="T460" s="472">
        <v>45859</v>
      </c>
      <c r="U460" s="472"/>
      <c r="V460" s="473" t="s">
        <v>3390</v>
      </c>
      <c r="W460" s="473" t="s">
        <v>121</v>
      </c>
      <c r="X460" s="473">
        <v>0.9475</v>
      </c>
      <c r="Y460" s="480">
        <f t="shared" si="133"/>
        <v>1268.7025</v>
      </c>
      <c r="Z460" s="458"/>
      <c r="AA460" s="458" t="s">
        <v>3206</v>
      </c>
      <c r="AB460" s="458" t="s">
        <v>76</v>
      </c>
      <c r="AC460" s="458"/>
      <c r="AD460" s="458"/>
      <c r="AE460" s="458"/>
      <c r="AF460" s="458">
        <v>1339</v>
      </c>
      <c r="AG460" s="458">
        <f t="shared" si="134"/>
        <v>0</v>
      </c>
      <c r="AH460" s="489"/>
      <c r="AI460" s="458"/>
      <c r="AJ460" s="458"/>
      <c r="AK460" s="458"/>
      <c r="AL460" s="425">
        <f>I460</f>
        <v>1339</v>
      </c>
      <c r="AO460" s="495"/>
      <c r="AQ460" s="425">
        <f>I460</f>
        <v>1339</v>
      </c>
      <c r="AS460" s="425">
        <f>I460</f>
        <v>1339</v>
      </c>
      <c r="AT460" s="495"/>
      <c r="AY460" s="498">
        <f t="shared" si="139"/>
        <v>55.7916666666667</v>
      </c>
      <c r="BI460" s="425">
        <f>I460/13</f>
        <v>103</v>
      </c>
      <c r="BT460" s="495"/>
      <c r="BV460" s="495"/>
      <c r="CK460" s="425">
        <f t="shared" si="137"/>
        <v>0</v>
      </c>
      <c r="CL460" s="425">
        <f t="shared" si="135"/>
        <v>0</v>
      </c>
      <c r="CM460" s="425">
        <f t="shared" si="136"/>
        <v>0</v>
      </c>
      <c r="CN460" s="495"/>
      <c r="CO460" s="495"/>
      <c r="CP460" s="495"/>
      <c r="CT460" s="495"/>
      <c r="CU460" s="495"/>
      <c r="CV460" s="495"/>
      <c r="CW460" s="495"/>
      <c r="CX460" s="495"/>
    </row>
    <row r="461" s="425" customFormat="1" ht="31" customHeight="1" spans="1:102">
      <c r="A461" s="455">
        <v>45870</v>
      </c>
      <c r="B461" s="456" t="s">
        <v>1492</v>
      </c>
      <c r="C461" s="457" t="s">
        <v>249</v>
      </c>
      <c r="D461" s="425">
        <v>4500175782</v>
      </c>
      <c r="E461" s="457" t="s">
        <v>4319</v>
      </c>
      <c r="F461" s="425" t="s">
        <v>4320</v>
      </c>
      <c r="G461" s="458" t="s">
        <v>3165</v>
      </c>
      <c r="H461" s="458" t="s">
        <v>3303</v>
      </c>
      <c r="I461" s="458">
        <v>6000</v>
      </c>
      <c r="J461" s="458">
        <v>0</v>
      </c>
      <c r="K461" s="458">
        <v>25</v>
      </c>
      <c r="L461" s="462">
        <f t="shared" si="132"/>
        <v>240</v>
      </c>
      <c r="M461" s="463">
        <v>45877</v>
      </c>
      <c r="N461" s="463">
        <f>M461-4</f>
        <v>45873</v>
      </c>
      <c r="O461" s="464" t="s">
        <v>4303</v>
      </c>
      <c r="P461" s="464" t="s">
        <v>103</v>
      </c>
      <c r="Q461" s="458" t="s">
        <v>4304</v>
      </c>
      <c r="R461" s="472">
        <v>45848</v>
      </c>
      <c r="S461" s="472" t="s">
        <v>66</v>
      </c>
      <c r="T461" s="472" t="s">
        <v>66</v>
      </c>
      <c r="U461" s="472"/>
      <c r="V461" s="473" t="s">
        <v>4321</v>
      </c>
      <c r="W461" s="473" t="s">
        <v>1424</v>
      </c>
      <c r="X461" s="473">
        <v>0.9193</v>
      </c>
      <c r="Y461" s="480">
        <f t="shared" si="133"/>
        <v>5515.8</v>
      </c>
      <c r="Z461" s="458"/>
      <c r="AA461" s="458" t="s">
        <v>3165</v>
      </c>
      <c r="AB461" s="458" t="s">
        <v>76</v>
      </c>
      <c r="AC461" s="458"/>
      <c r="AD461" s="458"/>
      <c r="AE461" s="458"/>
      <c r="AF461" s="458">
        <v>6000</v>
      </c>
      <c r="AG461" s="458">
        <f t="shared" si="134"/>
        <v>0</v>
      </c>
      <c r="AH461" s="489"/>
      <c r="AI461" s="458"/>
      <c r="AJ461" s="458"/>
      <c r="AK461" s="458"/>
      <c r="AL461" s="425">
        <f>I461</f>
        <v>6000</v>
      </c>
      <c r="AO461" s="495"/>
      <c r="AQ461" s="425">
        <f>I461</f>
        <v>6000</v>
      </c>
      <c r="AS461" s="425">
        <f>I461</f>
        <v>6000</v>
      </c>
      <c r="AT461" s="495"/>
      <c r="AY461" s="498">
        <f t="shared" si="139"/>
        <v>250</v>
      </c>
      <c r="BL461" s="425">
        <f>I461/25</f>
        <v>240</v>
      </c>
      <c r="BT461" s="495"/>
      <c r="BV461" s="495"/>
      <c r="CK461" s="425">
        <f t="shared" si="137"/>
        <v>240</v>
      </c>
      <c r="CL461" s="425">
        <f t="shared" si="135"/>
        <v>0</v>
      </c>
      <c r="CM461" s="425">
        <f t="shared" si="136"/>
        <v>0</v>
      </c>
      <c r="CN461" s="495"/>
      <c r="CO461" s="495"/>
      <c r="CP461" s="495"/>
      <c r="CT461" s="495"/>
      <c r="CU461" s="495"/>
      <c r="CV461" s="495"/>
      <c r="CW461" s="495"/>
      <c r="CX461" s="495"/>
    </row>
    <row r="462" s="425" customFormat="1" ht="31" customHeight="1" spans="1:102">
      <c r="A462" s="455">
        <v>45840</v>
      </c>
      <c r="B462" s="456" t="s">
        <v>1383</v>
      </c>
      <c r="C462" s="457" t="s">
        <v>90</v>
      </c>
      <c r="D462" s="425">
        <v>4500172435</v>
      </c>
      <c r="E462" s="457" t="s">
        <v>4322</v>
      </c>
      <c r="F462" s="425" t="s">
        <v>4323</v>
      </c>
      <c r="G462" s="458" t="s">
        <v>3900</v>
      </c>
      <c r="H462" s="458" t="s">
        <v>3237</v>
      </c>
      <c r="I462" s="458">
        <v>2844</v>
      </c>
      <c r="J462" s="458">
        <v>0</v>
      </c>
      <c r="K462" s="458">
        <v>12</v>
      </c>
      <c r="L462" s="462">
        <f t="shared" si="132"/>
        <v>237</v>
      </c>
      <c r="M462" s="463">
        <v>45880</v>
      </c>
      <c r="N462" s="463">
        <v>45876</v>
      </c>
      <c r="O462" s="464"/>
      <c r="P462" s="464" t="s">
        <v>103</v>
      </c>
      <c r="Q462" s="458"/>
      <c r="R462" s="472">
        <v>45840</v>
      </c>
      <c r="S462" s="472" t="s">
        <v>96</v>
      </c>
      <c r="T462" s="472" t="s">
        <v>403</v>
      </c>
      <c r="U462" s="472"/>
      <c r="V462" s="473" t="s">
        <v>4138</v>
      </c>
      <c r="W462" s="473" t="s">
        <v>113</v>
      </c>
      <c r="X462" s="473">
        <v>1.3094</v>
      </c>
      <c r="Y462" s="480">
        <f t="shared" si="133"/>
        <v>3723.9336</v>
      </c>
      <c r="Z462" s="458" t="s">
        <v>4324</v>
      </c>
      <c r="AA462" s="458" t="s">
        <v>3236</v>
      </c>
      <c r="AB462" s="458" t="s">
        <v>76</v>
      </c>
      <c r="AC462" s="458"/>
      <c r="AD462" s="458"/>
      <c r="AE462" s="458"/>
      <c r="AF462" s="458">
        <v>2844</v>
      </c>
      <c r="AG462" s="458">
        <f t="shared" si="134"/>
        <v>0</v>
      </c>
      <c r="AH462" s="489"/>
      <c r="AI462" s="458"/>
      <c r="AJ462" s="458"/>
      <c r="AK462" s="458">
        <f>I462*2</f>
        <v>5688</v>
      </c>
      <c r="AN462" s="425">
        <f>I462*2</f>
        <v>5688</v>
      </c>
      <c r="AO462" s="495"/>
      <c r="AR462" s="425">
        <f>I462*2</f>
        <v>5688</v>
      </c>
      <c r="AT462" s="495"/>
      <c r="AY462" s="498">
        <f>I462/24*2</f>
        <v>237</v>
      </c>
      <c r="BT462" s="495"/>
      <c r="BV462" s="495"/>
      <c r="CH462" s="425">
        <f>I462</f>
        <v>2844</v>
      </c>
      <c r="CI462" s="425">
        <f>I462</f>
        <v>2844</v>
      </c>
      <c r="CJ462" s="425">
        <f>I462</f>
        <v>2844</v>
      </c>
      <c r="CK462" s="425">
        <f t="shared" si="137"/>
        <v>0</v>
      </c>
      <c r="CL462" s="425">
        <f t="shared" si="135"/>
        <v>0</v>
      </c>
      <c r="CM462" s="425">
        <f t="shared" si="136"/>
        <v>0</v>
      </c>
      <c r="CN462" s="495"/>
      <c r="CO462" s="495"/>
      <c r="CP462" s="495"/>
      <c r="CT462" s="495"/>
      <c r="CU462" s="495"/>
      <c r="CV462" s="495"/>
      <c r="CW462" s="495"/>
      <c r="CX462" s="495"/>
    </row>
    <row r="463" s="425" customFormat="1" ht="31" customHeight="1" spans="1:102">
      <c r="A463" s="455">
        <v>45827</v>
      </c>
      <c r="B463" s="456" t="s">
        <v>128</v>
      </c>
      <c r="C463" s="457" t="s">
        <v>90</v>
      </c>
      <c r="D463" s="425">
        <v>4500170593</v>
      </c>
      <c r="E463" s="895" t="s">
        <v>4325</v>
      </c>
      <c r="F463" s="425" t="s">
        <v>4326</v>
      </c>
      <c r="G463" s="458" t="s">
        <v>3180</v>
      </c>
      <c r="H463" s="458" t="s">
        <v>3181</v>
      </c>
      <c r="I463" s="458">
        <v>2832</v>
      </c>
      <c r="J463" s="458">
        <v>0</v>
      </c>
      <c r="K463" s="458">
        <v>16</v>
      </c>
      <c r="L463" s="462">
        <f t="shared" ref="L463:L488" si="140">I463/K463</f>
        <v>177</v>
      </c>
      <c r="M463" s="463">
        <v>45881</v>
      </c>
      <c r="N463" s="463">
        <v>45877</v>
      </c>
      <c r="O463" s="464" t="s">
        <v>4327</v>
      </c>
      <c r="P463" s="464" t="s">
        <v>103</v>
      </c>
      <c r="Q463" s="458"/>
      <c r="R463" s="472" t="s">
        <v>4194</v>
      </c>
      <c r="S463" s="472" t="s">
        <v>66</v>
      </c>
      <c r="T463" s="472" t="s">
        <v>133</v>
      </c>
      <c r="U463" s="472"/>
      <c r="V463" s="473" t="s">
        <v>4328</v>
      </c>
      <c r="W463" s="473" t="s">
        <v>98</v>
      </c>
      <c r="X463" s="473">
        <v>0.5936</v>
      </c>
      <c r="Y463" s="480">
        <f t="shared" si="133"/>
        <v>1681.0752</v>
      </c>
      <c r="Z463" s="458" t="s">
        <v>4329</v>
      </c>
      <c r="AA463" s="458" t="s">
        <v>3180</v>
      </c>
      <c r="AB463" s="458" t="s">
        <v>76</v>
      </c>
      <c r="AC463" s="458"/>
      <c r="AD463" s="458"/>
      <c r="AE463" s="458"/>
      <c r="AF463" s="458">
        <v>2832</v>
      </c>
      <c r="AG463" s="458">
        <f t="shared" ref="AG463:AG471" si="141">AF463-I463</f>
        <v>0</v>
      </c>
      <c r="AH463" s="489"/>
      <c r="AI463" s="458"/>
      <c r="AJ463" s="458"/>
      <c r="AK463" s="458">
        <f t="shared" ref="AK463:AK471" si="142">I463</f>
        <v>2832</v>
      </c>
      <c r="AM463" s="425">
        <f t="shared" ref="AM463:AM470" si="143">I463</f>
        <v>2832</v>
      </c>
      <c r="AO463" s="495"/>
      <c r="AR463" s="425">
        <f t="shared" ref="AR463:AR471" si="144">I463</f>
        <v>2832</v>
      </c>
      <c r="AT463" s="495"/>
      <c r="AY463" s="498">
        <f t="shared" ref="AY463:AY473" si="145">I463/24</f>
        <v>118</v>
      </c>
      <c r="BM463" s="425">
        <f t="shared" ref="BM463:BM469" si="146">I463/16</f>
        <v>177</v>
      </c>
      <c r="BT463" s="495"/>
      <c r="BV463" s="495"/>
      <c r="CK463" s="425">
        <f t="shared" si="137"/>
        <v>177</v>
      </c>
      <c r="CL463" s="425">
        <f t="shared" si="135"/>
        <v>0</v>
      </c>
      <c r="CM463" s="425">
        <f t="shared" si="136"/>
        <v>0</v>
      </c>
      <c r="CN463" s="495"/>
      <c r="CO463" s="495"/>
      <c r="CP463" s="495"/>
      <c r="CT463" s="495"/>
      <c r="CU463" s="495"/>
      <c r="CV463" s="495"/>
      <c r="CW463" s="495"/>
      <c r="CX463" s="495"/>
    </row>
    <row r="464" s="425" customFormat="1" ht="31" customHeight="1" spans="1:102">
      <c r="A464" s="455">
        <v>45827</v>
      </c>
      <c r="B464" s="456" t="s">
        <v>128</v>
      </c>
      <c r="C464" s="457" t="s">
        <v>90</v>
      </c>
      <c r="D464" s="425">
        <v>4500170593</v>
      </c>
      <c r="E464" s="895" t="s">
        <v>4330</v>
      </c>
      <c r="F464" s="425" t="s">
        <v>4331</v>
      </c>
      <c r="G464" s="458" t="s">
        <v>3180</v>
      </c>
      <c r="H464" s="458" t="s">
        <v>3181</v>
      </c>
      <c r="I464" s="458">
        <v>4048</v>
      </c>
      <c r="J464" s="458">
        <v>0</v>
      </c>
      <c r="K464" s="458">
        <v>16</v>
      </c>
      <c r="L464" s="462">
        <f t="shared" si="140"/>
        <v>253</v>
      </c>
      <c r="M464" s="463">
        <v>45881</v>
      </c>
      <c r="N464" s="463">
        <v>45877</v>
      </c>
      <c r="O464" s="464" t="s">
        <v>4327</v>
      </c>
      <c r="P464" s="464" t="s">
        <v>103</v>
      </c>
      <c r="Q464" s="458"/>
      <c r="R464" s="472" t="s">
        <v>4194</v>
      </c>
      <c r="S464" s="472" t="s">
        <v>66</v>
      </c>
      <c r="T464" s="472" t="s">
        <v>133</v>
      </c>
      <c r="U464" s="472"/>
      <c r="V464" s="473" t="s">
        <v>4328</v>
      </c>
      <c r="W464" s="473" t="s">
        <v>98</v>
      </c>
      <c r="X464" s="473">
        <v>0.5936</v>
      </c>
      <c r="Y464" s="480">
        <f t="shared" si="133"/>
        <v>2402.8928</v>
      </c>
      <c r="Z464" s="458" t="s">
        <v>4332</v>
      </c>
      <c r="AA464" s="458" t="s">
        <v>3180</v>
      </c>
      <c r="AB464" s="458" t="s">
        <v>76</v>
      </c>
      <c r="AC464" s="458"/>
      <c r="AD464" s="458"/>
      <c r="AE464" s="458"/>
      <c r="AF464" s="458">
        <v>4048</v>
      </c>
      <c r="AG464" s="458">
        <f t="shared" si="141"/>
        <v>0</v>
      </c>
      <c r="AH464" s="489"/>
      <c r="AI464" s="458"/>
      <c r="AJ464" s="458"/>
      <c r="AK464" s="458">
        <f t="shared" si="142"/>
        <v>4048</v>
      </c>
      <c r="AM464" s="425">
        <f t="shared" si="143"/>
        <v>4048</v>
      </c>
      <c r="AO464" s="495"/>
      <c r="AR464" s="425">
        <f t="shared" si="144"/>
        <v>4048</v>
      </c>
      <c r="AT464" s="495"/>
      <c r="AY464" s="498">
        <f t="shared" si="145"/>
        <v>168.666666666667</v>
      </c>
      <c r="BM464" s="425">
        <f t="shared" si="146"/>
        <v>253</v>
      </c>
      <c r="BT464" s="495"/>
      <c r="BV464" s="495"/>
      <c r="CK464" s="425">
        <f t="shared" si="137"/>
        <v>253</v>
      </c>
      <c r="CL464" s="425">
        <f t="shared" si="135"/>
        <v>0</v>
      </c>
      <c r="CM464" s="425">
        <f t="shared" si="136"/>
        <v>0</v>
      </c>
      <c r="CN464" s="495"/>
      <c r="CO464" s="495"/>
      <c r="CP464" s="495"/>
      <c r="CT464" s="495"/>
      <c r="CU464" s="495"/>
      <c r="CV464" s="495"/>
      <c r="CW464" s="495"/>
      <c r="CX464" s="495"/>
    </row>
    <row r="465" s="425" customFormat="1" ht="31" customHeight="1" spans="1:102">
      <c r="A465" s="455">
        <v>45827</v>
      </c>
      <c r="B465" s="456" t="s">
        <v>128</v>
      </c>
      <c r="C465" s="457" t="s">
        <v>90</v>
      </c>
      <c r="D465" s="425">
        <v>4500170593</v>
      </c>
      <c r="E465" s="895" t="s">
        <v>4333</v>
      </c>
      <c r="F465" s="425" t="s">
        <v>4334</v>
      </c>
      <c r="G465" s="458" t="s">
        <v>3180</v>
      </c>
      <c r="H465" s="458" t="s">
        <v>3181</v>
      </c>
      <c r="I465" s="458">
        <v>2736</v>
      </c>
      <c r="J465" s="458">
        <v>0</v>
      </c>
      <c r="K465" s="458">
        <v>16</v>
      </c>
      <c r="L465" s="462">
        <f t="shared" si="140"/>
        <v>171</v>
      </c>
      <c r="M465" s="463">
        <v>45881</v>
      </c>
      <c r="N465" s="463">
        <v>45877</v>
      </c>
      <c r="O465" s="464" t="s">
        <v>4327</v>
      </c>
      <c r="P465" s="464" t="s">
        <v>103</v>
      </c>
      <c r="Q465" s="458"/>
      <c r="R465" s="472" t="s">
        <v>4194</v>
      </c>
      <c r="S465" s="472" t="s">
        <v>66</v>
      </c>
      <c r="T465" s="472" t="s">
        <v>133</v>
      </c>
      <c r="U465" s="472"/>
      <c r="V465" s="473" t="s">
        <v>4328</v>
      </c>
      <c r="W465" s="473" t="s">
        <v>98</v>
      </c>
      <c r="X465" s="473">
        <v>0.5936</v>
      </c>
      <c r="Y465" s="480">
        <f t="shared" si="133"/>
        <v>1624.0896</v>
      </c>
      <c r="Z465" s="458" t="s">
        <v>4335</v>
      </c>
      <c r="AA465" s="458" t="s">
        <v>3180</v>
      </c>
      <c r="AB465" s="458" t="s">
        <v>76</v>
      </c>
      <c r="AC465" s="458"/>
      <c r="AD465" s="458"/>
      <c r="AE465" s="458"/>
      <c r="AF465" s="458">
        <v>2736</v>
      </c>
      <c r="AG465" s="458">
        <f t="shared" si="141"/>
        <v>0</v>
      </c>
      <c r="AH465" s="489"/>
      <c r="AI465" s="458"/>
      <c r="AJ465" s="458"/>
      <c r="AK465" s="458">
        <f t="shared" si="142"/>
        <v>2736</v>
      </c>
      <c r="AM465" s="425">
        <f t="shared" si="143"/>
        <v>2736</v>
      </c>
      <c r="AO465" s="495"/>
      <c r="AR465" s="425">
        <f t="shared" si="144"/>
        <v>2736</v>
      </c>
      <c r="AT465" s="495"/>
      <c r="AY465" s="498">
        <f t="shared" si="145"/>
        <v>114</v>
      </c>
      <c r="BM465" s="425">
        <f t="shared" si="146"/>
        <v>171</v>
      </c>
      <c r="BT465" s="495"/>
      <c r="BV465" s="495"/>
      <c r="CK465" s="425">
        <f t="shared" si="137"/>
        <v>171</v>
      </c>
      <c r="CL465" s="425">
        <f t="shared" si="135"/>
        <v>0</v>
      </c>
      <c r="CM465" s="425">
        <f t="shared" si="136"/>
        <v>0</v>
      </c>
      <c r="CN465" s="495"/>
      <c r="CO465" s="495"/>
      <c r="CP465" s="495"/>
      <c r="CT465" s="495"/>
      <c r="CU465" s="495"/>
      <c r="CV465" s="495"/>
      <c r="CW465" s="495"/>
      <c r="CX465" s="495"/>
    </row>
    <row r="466" s="425" customFormat="1" ht="31" customHeight="1" spans="1:102">
      <c r="A466" s="455">
        <v>45827</v>
      </c>
      <c r="B466" s="456" t="s">
        <v>128</v>
      </c>
      <c r="C466" s="457" t="s">
        <v>90</v>
      </c>
      <c r="D466" s="425">
        <v>4500170593</v>
      </c>
      <c r="E466" s="895" t="s">
        <v>4336</v>
      </c>
      <c r="F466" s="425" t="s">
        <v>4337</v>
      </c>
      <c r="G466" s="458" t="s">
        <v>3180</v>
      </c>
      <c r="H466" s="458" t="s">
        <v>3181</v>
      </c>
      <c r="I466" s="458">
        <v>3024</v>
      </c>
      <c r="J466" s="458">
        <v>0</v>
      </c>
      <c r="K466" s="458">
        <v>16</v>
      </c>
      <c r="L466" s="462">
        <f t="shared" si="140"/>
        <v>189</v>
      </c>
      <c r="M466" s="463">
        <v>45881</v>
      </c>
      <c r="N466" s="463">
        <v>45877</v>
      </c>
      <c r="O466" s="464" t="s">
        <v>4327</v>
      </c>
      <c r="P466" s="464" t="s">
        <v>103</v>
      </c>
      <c r="Q466" s="458"/>
      <c r="R466" s="472" t="s">
        <v>4194</v>
      </c>
      <c r="S466" s="472" t="s">
        <v>66</v>
      </c>
      <c r="T466" s="472" t="s">
        <v>133</v>
      </c>
      <c r="U466" s="472"/>
      <c r="V466" s="473" t="s">
        <v>4328</v>
      </c>
      <c r="W466" s="473" t="s">
        <v>98</v>
      </c>
      <c r="X466" s="473">
        <v>0.5936</v>
      </c>
      <c r="Y466" s="480">
        <f t="shared" si="133"/>
        <v>1795.0464</v>
      </c>
      <c r="Z466" s="458" t="s">
        <v>4338</v>
      </c>
      <c r="AA466" s="458" t="s">
        <v>3180</v>
      </c>
      <c r="AB466" s="458" t="s">
        <v>76</v>
      </c>
      <c r="AC466" s="458"/>
      <c r="AD466" s="458"/>
      <c r="AE466" s="458"/>
      <c r="AF466" s="458">
        <v>3024</v>
      </c>
      <c r="AG466" s="458">
        <f t="shared" si="141"/>
        <v>0</v>
      </c>
      <c r="AH466" s="489"/>
      <c r="AI466" s="458"/>
      <c r="AJ466" s="458"/>
      <c r="AK466" s="458">
        <f t="shared" si="142"/>
        <v>3024</v>
      </c>
      <c r="AM466" s="425">
        <f t="shared" si="143"/>
        <v>3024</v>
      </c>
      <c r="AO466" s="495"/>
      <c r="AR466" s="425">
        <f t="shared" si="144"/>
        <v>3024</v>
      </c>
      <c r="AT466" s="495"/>
      <c r="AY466" s="498">
        <f t="shared" si="145"/>
        <v>126</v>
      </c>
      <c r="BM466" s="425">
        <f t="shared" si="146"/>
        <v>189</v>
      </c>
      <c r="BT466" s="495"/>
      <c r="BV466" s="495"/>
      <c r="CK466" s="425">
        <f t="shared" si="137"/>
        <v>189</v>
      </c>
      <c r="CL466" s="425">
        <f t="shared" si="135"/>
        <v>0</v>
      </c>
      <c r="CM466" s="425">
        <f t="shared" si="136"/>
        <v>0</v>
      </c>
      <c r="CN466" s="495"/>
      <c r="CO466" s="495"/>
      <c r="CP466" s="495"/>
      <c r="CT466" s="495"/>
      <c r="CU466" s="495"/>
      <c r="CV466" s="495"/>
      <c r="CW466" s="495"/>
      <c r="CX466" s="495"/>
    </row>
    <row r="467" s="425" customFormat="1" ht="31" customHeight="1" spans="1:102">
      <c r="A467" s="455">
        <v>45827</v>
      </c>
      <c r="B467" s="456" t="s">
        <v>128</v>
      </c>
      <c r="C467" s="457" t="s">
        <v>90</v>
      </c>
      <c r="D467" s="425">
        <v>4500170593</v>
      </c>
      <c r="E467" s="895" t="s">
        <v>4339</v>
      </c>
      <c r="F467" s="425" t="s">
        <v>4340</v>
      </c>
      <c r="G467" s="458" t="s">
        <v>3180</v>
      </c>
      <c r="H467" s="458" t="s">
        <v>3181</v>
      </c>
      <c r="I467" s="458">
        <v>3488</v>
      </c>
      <c r="J467" s="458">
        <v>0</v>
      </c>
      <c r="K467" s="458">
        <v>16</v>
      </c>
      <c r="L467" s="462">
        <f t="shared" si="140"/>
        <v>218</v>
      </c>
      <c r="M467" s="463">
        <v>45881</v>
      </c>
      <c r="N467" s="463">
        <v>45877</v>
      </c>
      <c r="O467" s="464" t="s">
        <v>4327</v>
      </c>
      <c r="P467" s="464" t="s">
        <v>103</v>
      </c>
      <c r="Q467" s="458"/>
      <c r="R467" s="472" t="s">
        <v>4194</v>
      </c>
      <c r="S467" s="472" t="s">
        <v>66</v>
      </c>
      <c r="T467" s="472" t="s">
        <v>133</v>
      </c>
      <c r="U467" s="472"/>
      <c r="V467" s="473" t="s">
        <v>4328</v>
      </c>
      <c r="W467" s="473" t="s">
        <v>98</v>
      </c>
      <c r="X467" s="473">
        <v>0.5936</v>
      </c>
      <c r="Y467" s="480">
        <f t="shared" si="133"/>
        <v>2070.4768</v>
      </c>
      <c r="Z467" s="458" t="s">
        <v>4341</v>
      </c>
      <c r="AA467" s="458" t="s">
        <v>3180</v>
      </c>
      <c r="AB467" s="458" t="s">
        <v>76</v>
      </c>
      <c r="AC467" s="458"/>
      <c r="AD467" s="458"/>
      <c r="AE467" s="458"/>
      <c r="AF467" s="458">
        <v>3488</v>
      </c>
      <c r="AG467" s="458">
        <f t="shared" si="141"/>
        <v>0</v>
      </c>
      <c r="AH467" s="489"/>
      <c r="AI467" s="458"/>
      <c r="AJ467" s="458"/>
      <c r="AK467" s="458">
        <f t="shared" si="142"/>
        <v>3488</v>
      </c>
      <c r="AM467" s="425">
        <f t="shared" si="143"/>
        <v>3488</v>
      </c>
      <c r="AO467" s="495"/>
      <c r="AR467" s="425">
        <f t="shared" si="144"/>
        <v>3488</v>
      </c>
      <c r="AT467" s="495"/>
      <c r="AY467" s="498">
        <f t="shared" si="145"/>
        <v>145.333333333333</v>
      </c>
      <c r="BM467" s="425">
        <f t="shared" si="146"/>
        <v>218</v>
      </c>
      <c r="BT467" s="495"/>
      <c r="BV467" s="495"/>
      <c r="CK467" s="425">
        <f t="shared" si="137"/>
        <v>218</v>
      </c>
      <c r="CL467" s="425">
        <f t="shared" si="135"/>
        <v>0</v>
      </c>
      <c r="CM467" s="425">
        <f t="shared" si="136"/>
        <v>0</v>
      </c>
      <c r="CN467" s="495"/>
      <c r="CO467" s="495"/>
      <c r="CP467" s="495"/>
      <c r="CT467" s="495"/>
      <c r="CU467" s="495"/>
      <c r="CV467" s="495"/>
      <c r="CW467" s="495"/>
      <c r="CX467" s="495"/>
    </row>
    <row r="468" s="425" customFormat="1" ht="31" customHeight="1" spans="1:102">
      <c r="A468" s="455">
        <v>45827</v>
      </c>
      <c r="B468" s="456" t="s">
        <v>128</v>
      </c>
      <c r="C468" s="457" t="s">
        <v>90</v>
      </c>
      <c r="D468" s="425">
        <v>4500170593</v>
      </c>
      <c r="E468" s="895" t="s">
        <v>4342</v>
      </c>
      <c r="F468" s="425" t="s">
        <v>4343</v>
      </c>
      <c r="G468" s="458" t="s">
        <v>3180</v>
      </c>
      <c r="H468" s="458" t="s">
        <v>3181</v>
      </c>
      <c r="I468" s="458">
        <v>2688</v>
      </c>
      <c r="J468" s="458">
        <v>0</v>
      </c>
      <c r="K468" s="458">
        <v>16</v>
      </c>
      <c r="L468" s="462">
        <f t="shared" si="140"/>
        <v>168</v>
      </c>
      <c r="M468" s="463">
        <v>45881</v>
      </c>
      <c r="N468" s="463">
        <v>45877</v>
      </c>
      <c r="O468" s="464" t="s">
        <v>4327</v>
      </c>
      <c r="P468" s="464" t="s">
        <v>103</v>
      </c>
      <c r="Q468" s="458"/>
      <c r="R468" s="472" t="s">
        <v>4194</v>
      </c>
      <c r="S468" s="472" t="s">
        <v>66</v>
      </c>
      <c r="T468" s="472" t="s">
        <v>133</v>
      </c>
      <c r="U468" s="472"/>
      <c r="V468" s="473" t="s">
        <v>4328</v>
      </c>
      <c r="W468" s="473" t="s">
        <v>98</v>
      </c>
      <c r="X468" s="473">
        <v>0.5936</v>
      </c>
      <c r="Y468" s="480">
        <f t="shared" si="133"/>
        <v>1595.5968</v>
      </c>
      <c r="Z468" s="458" t="s">
        <v>4344</v>
      </c>
      <c r="AA468" s="458" t="s">
        <v>3180</v>
      </c>
      <c r="AB468" s="458" t="s">
        <v>76</v>
      </c>
      <c r="AC468" s="458"/>
      <c r="AD468" s="458"/>
      <c r="AE468" s="458"/>
      <c r="AF468" s="458">
        <v>2688</v>
      </c>
      <c r="AG468" s="458">
        <f t="shared" si="141"/>
        <v>0</v>
      </c>
      <c r="AH468" s="489"/>
      <c r="AI468" s="458"/>
      <c r="AJ468" s="458"/>
      <c r="AK468" s="458">
        <f t="shared" si="142"/>
        <v>2688</v>
      </c>
      <c r="AM468" s="425">
        <f t="shared" si="143"/>
        <v>2688</v>
      </c>
      <c r="AO468" s="495"/>
      <c r="AR468" s="425">
        <f t="shared" si="144"/>
        <v>2688</v>
      </c>
      <c r="AT468" s="495"/>
      <c r="AY468" s="498">
        <f t="shared" si="145"/>
        <v>112</v>
      </c>
      <c r="BM468" s="425">
        <f t="shared" si="146"/>
        <v>168</v>
      </c>
      <c r="BT468" s="495"/>
      <c r="BV468" s="495"/>
      <c r="CK468" s="425">
        <f t="shared" si="137"/>
        <v>168</v>
      </c>
      <c r="CL468" s="425">
        <f t="shared" si="135"/>
        <v>0</v>
      </c>
      <c r="CM468" s="425">
        <f t="shared" si="136"/>
        <v>0</v>
      </c>
      <c r="CN468" s="495"/>
      <c r="CO468" s="495"/>
      <c r="CP468" s="495"/>
      <c r="CT468" s="495"/>
      <c r="CU468" s="495"/>
      <c r="CV468" s="495"/>
      <c r="CW468" s="495"/>
      <c r="CX468" s="495"/>
    </row>
    <row r="469" s="425" customFormat="1" ht="31" customHeight="1" spans="1:102">
      <c r="A469" s="455">
        <v>45827</v>
      </c>
      <c r="B469" s="456" t="s">
        <v>128</v>
      </c>
      <c r="C469" s="457" t="s">
        <v>90</v>
      </c>
      <c r="D469" s="425">
        <v>4500170593</v>
      </c>
      <c r="E469" s="895" t="s">
        <v>4345</v>
      </c>
      <c r="F469" s="425" t="s">
        <v>4346</v>
      </c>
      <c r="G469" s="458" t="s">
        <v>3180</v>
      </c>
      <c r="H469" s="458" t="s">
        <v>3181</v>
      </c>
      <c r="I469" s="458">
        <v>2272</v>
      </c>
      <c r="J469" s="458">
        <v>0</v>
      </c>
      <c r="K469" s="458">
        <v>16</v>
      </c>
      <c r="L469" s="462">
        <f t="shared" si="140"/>
        <v>142</v>
      </c>
      <c r="M469" s="463">
        <v>45881</v>
      </c>
      <c r="N469" s="463">
        <v>45877</v>
      </c>
      <c r="O469" s="464" t="s">
        <v>4327</v>
      </c>
      <c r="P469" s="464" t="s">
        <v>103</v>
      </c>
      <c r="Q469" s="458"/>
      <c r="R469" s="472" t="s">
        <v>4194</v>
      </c>
      <c r="S469" s="472" t="s">
        <v>66</v>
      </c>
      <c r="T469" s="472" t="s">
        <v>133</v>
      </c>
      <c r="U469" s="472"/>
      <c r="V469" s="473" t="s">
        <v>4328</v>
      </c>
      <c r="W469" s="473" t="s">
        <v>98</v>
      </c>
      <c r="X469" s="473">
        <v>0.5936</v>
      </c>
      <c r="Y469" s="480">
        <f t="shared" si="133"/>
        <v>1348.6592</v>
      </c>
      <c r="Z469" s="458" t="s">
        <v>4347</v>
      </c>
      <c r="AA469" s="458" t="s">
        <v>3180</v>
      </c>
      <c r="AB469" s="458" t="s">
        <v>76</v>
      </c>
      <c r="AC469" s="458"/>
      <c r="AD469" s="458"/>
      <c r="AE469" s="458"/>
      <c r="AF469" s="458">
        <f>2256+16</f>
        <v>2272</v>
      </c>
      <c r="AG469" s="458">
        <f t="shared" si="141"/>
        <v>0</v>
      </c>
      <c r="AH469" s="489"/>
      <c r="AI469" s="458"/>
      <c r="AJ469" s="458"/>
      <c r="AK469" s="458">
        <f t="shared" si="142"/>
        <v>2272</v>
      </c>
      <c r="AM469" s="425">
        <f t="shared" si="143"/>
        <v>2272</v>
      </c>
      <c r="AO469" s="495"/>
      <c r="AR469" s="425">
        <f t="shared" si="144"/>
        <v>2272</v>
      </c>
      <c r="AT469" s="495"/>
      <c r="AY469" s="498">
        <f t="shared" si="145"/>
        <v>94.6666666666667</v>
      </c>
      <c r="BM469" s="425">
        <f t="shared" si="146"/>
        <v>142</v>
      </c>
      <c r="BT469" s="495"/>
      <c r="BV469" s="495"/>
      <c r="CK469" s="425">
        <f t="shared" si="137"/>
        <v>142</v>
      </c>
      <c r="CL469" s="425">
        <f t="shared" si="135"/>
        <v>0</v>
      </c>
      <c r="CM469" s="425">
        <f t="shared" si="136"/>
        <v>0</v>
      </c>
      <c r="CN469" s="495"/>
      <c r="CO469" s="495"/>
      <c r="CP469" s="495"/>
      <c r="CT469" s="495"/>
      <c r="CU469" s="495"/>
      <c r="CV469" s="495"/>
      <c r="CW469" s="495"/>
      <c r="CX469" s="495"/>
    </row>
    <row r="470" s="425" customFormat="1" ht="31" customHeight="1" spans="1:102">
      <c r="A470" s="455">
        <v>45832</v>
      </c>
      <c r="B470" s="456" t="s">
        <v>788</v>
      </c>
      <c r="C470" s="457" t="s">
        <v>90</v>
      </c>
      <c r="D470" s="425">
        <v>4500169184</v>
      </c>
      <c r="E470" s="457" t="s">
        <v>1325</v>
      </c>
      <c r="F470" s="425" t="s">
        <v>4348</v>
      </c>
      <c r="G470" s="458" t="s">
        <v>3272</v>
      </c>
      <c r="H470" s="458" t="s">
        <v>3207</v>
      </c>
      <c r="I470" s="458">
        <v>1612</v>
      </c>
      <c r="J470" s="458">
        <v>0</v>
      </c>
      <c r="K470" s="458">
        <v>13</v>
      </c>
      <c r="L470" s="462">
        <f t="shared" si="140"/>
        <v>124</v>
      </c>
      <c r="M470" s="463">
        <v>45881</v>
      </c>
      <c r="N470" s="463">
        <v>45877</v>
      </c>
      <c r="O470" s="464" t="s">
        <v>1327</v>
      </c>
      <c r="P470" s="464" t="s">
        <v>103</v>
      </c>
      <c r="Q470" s="458"/>
      <c r="R470" s="472">
        <v>45832</v>
      </c>
      <c r="S470" s="472" t="s">
        <v>66</v>
      </c>
      <c r="T470" s="472" t="s">
        <v>66</v>
      </c>
      <c r="U470" s="472"/>
      <c r="V470" s="473" t="s">
        <v>4349</v>
      </c>
      <c r="W470" s="473" t="s">
        <v>1329</v>
      </c>
      <c r="X470" s="473">
        <v>0.5528</v>
      </c>
      <c r="Y470" s="480">
        <f t="shared" si="133"/>
        <v>891.1136</v>
      </c>
      <c r="Z470" s="458" t="s">
        <v>1330</v>
      </c>
      <c r="AA470" s="458" t="s">
        <v>3359</v>
      </c>
      <c r="AB470" s="458" t="s">
        <v>76</v>
      </c>
      <c r="AC470" s="458"/>
      <c r="AD470" s="458"/>
      <c r="AE470" s="458"/>
      <c r="AF470" s="458">
        <v>1612</v>
      </c>
      <c r="AG470" s="458">
        <f t="shared" si="141"/>
        <v>0</v>
      </c>
      <c r="AH470" s="489"/>
      <c r="AI470" s="458"/>
      <c r="AJ470" s="458"/>
      <c r="AK470" s="458">
        <f t="shared" si="142"/>
        <v>1612</v>
      </c>
      <c r="AM470" s="425">
        <f t="shared" si="143"/>
        <v>1612</v>
      </c>
      <c r="AO470" s="495"/>
      <c r="AR470" s="425">
        <f t="shared" si="144"/>
        <v>1612</v>
      </c>
      <c r="AT470" s="495"/>
      <c r="AY470" s="498">
        <f t="shared" si="145"/>
        <v>67.1666666666667</v>
      </c>
      <c r="BG470" s="425">
        <f>I470/13</f>
        <v>124</v>
      </c>
      <c r="BT470" s="495"/>
      <c r="BV470" s="495"/>
      <c r="CK470" s="425">
        <f t="shared" si="137"/>
        <v>0</v>
      </c>
      <c r="CL470" s="425">
        <f t="shared" si="135"/>
        <v>0</v>
      </c>
      <c r="CM470" s="425">
        <f t="shared" si="136"/>
        <v>0</v>
      </c>
      <c r="CN470" s="495"/>
      <c r="CO470" s="495"/>
      <c r="CP470" s="495"/>
      <c r="CT470" s="495"/>
      <c r="CU470" s="495"/>
      <c r="CV470" s="495"/>
      <c r="CW470" s="495"/>
      <c r="CX470" s="495"/>
    </row>
    <row r="471" s="425" customFormat="1" ht="31" customHeight="1" spans="1:102">
      <c r="A471" s="455">
        <v>45835</v>
      </c>
      <c r="B471" s="456" t="s">
        <v>4350</v>
      </c>
      <c r="C471" s="457" t="s">
        <v>153</v>
      </c>
      <c r="D471" s="425" t="s">
        <v>4351</v>
      </c>
      <c r="E471" s="457"/>
      <c r="G471" s="458" t="s">
        <v>3138</v>
      </c>
      <c r="H471" s="458" t="s">
        <v>3139</v>
      </c>
      <c r="I471" s="458">
        <v>12168</v>
      </c>
      <c r="J471" s="458">
        <v>0</v>
      </c>
      <c r="K471" s="458">
        <v>36</v>
      </c>
      <c r="L471" s="462">
        <f t="shared" si="140"/>
        <v>338</v>
      </c>
      <c r="M471" s="463">
        <v>45881</v>
      </c>
      <c r="N471" s="463">
        <v>45877</v>
      </c>
      <c r="O471" s="464"/>
      <c r="P471" s="464" t="s">
        <v>103</v>
      </c>
      <c r="Q471" s="458" t="s">
        <v>4352</v>
      </c>
      <c r="R471" s="472" t="s">
        <v>1144</v>
      </c>
      <c r="S471" s="472" t="s">
        <v>66</v>
      </c>
      <c r="T471" s="472" t="s">
        <v>66</v>
      </c>
      <c r="U471" s="472" t="s">
        <v>4353</v>
      </c>
      <c r="V471" s="473" t="s">
        <v>4354</v>
      </c>
      <c r="W471" s="473" t="s">
        <v>4355</v>
      </c>
      <c r="X471" s="473">
        <v>0.8519</v>
      </c>
      <c r="Y471" s="480">
        <f t="shared" si="133"/>
        <v>10365.9192</v>
      </c>
      <c r="Z471" s="458" t="s">
        <v>4356</v>
      </c>
      <c r="AA471" s="458" t="s">
        <v>4357</v>
      </c>
      <c r="AB471" s="458" t="s">
        <v>76</v>
      </c>
      <c r="AC471" s="458"/>
      <c r="AD471" s="458"/>
      <c r="AE471" s="458"/>
      <c r="AF471" s="458">
        <v>12168</v>
      </c>
      <c r="AG471" s="458">
        <f t="shared" ref="AG471:AG482" si="147">AF471-I471</f>
        <v>0</v>
      </c>
      <c r="AH471" s="489"/>
      <c r="AI471" s="458"/>
      <c r="AJ471" s="458"/>
      <c r="AK471" s="458">
        <f t="shared" si="142"/>
        <v>12168</v>
      </c>
      <c r="AO471" s="495"/>
      <c r="AP471" s="425">
        <f>I471</f>
        <v>12168</v>
      </c>
      <c r="AR471" s="425">
        <f t="shared" si="144"/>
        <v>12168</v>
      </c>
      <c r="AT471" s="495"/>
      <c r="AY471" s="498">
        <f t="shared" si="145"/>
        <v>507</v>
      </c>
      <c r="BT471" s="495"/>
      <c r="BV471" s="495"/>
      <c r="CK471" s="425">
        <f t="shared" si="137"/>
        <v>0</v>
      </c>
      <c r="CL471" s="425">
        <f t="shared" si="135"/>
        <v>0</v>
      </c>
      <c r="CM471" s="425">
        <f t="shared" si="136"/>
        <v>0</v>
      </c>
      <c r="CN471" s="495"/>
      <c r="CO471" s="495"/>
      <c r="CP471" s="495"/>
      <c r="CT471" s="495"/>
      <c r="CU471" s="495"/>
      <c r="CV471" s="495"/>
      <c r="CW471" s="495"/>
      <c r="CX471" s="495"/>
    </row>
    <row r="472" s="425" customFormat="1" ht="31" customHeight="1" spans="1:102">
      <c r="A472" s="455">
        <v>45842</v>
      </c>
      <c r="B472" s="456" t="s">
        <v>190</v>
      </c>
      <c r="C472" s="457" t="s">
        <v>191</v>
      </c>
      <c r="D472" s="425">
        <v>4500172706</v>
      </c>
      <c r="E472" s="457" t="s">
        <v>4358</v>
      </c>
      <c r="F472" s="425" t="s">
        <v>4359</v>
      </c>
      <c r="G472" s="458" t="s">
        <v>3158</v>
      </c>
      <c r="H472" s="458" t="s">
        <v>3159</v>
      </c>
      <c r="I472" s="458">
        <v>1040</v>
      </c>
      <c r="J472" s="458">
        <v>0</v>
      </c>
      <c r="K472" s="458">
        <v>52</v>
      </c>
      <c r="L472" s="462">
        <f t="shared" si="140"/>
        <v>20</v>
      </c>
      <c r="M472" s="463">
        <v>45881</v>
      </c>
      <c r="N472" s="463">
        <v>45877</v>
      </c>
      <c r="O472" s="464"/>
      <c r="P472" s="464" t="s">
        <v>103</v>
      </c>
      <c r="Q472" s="458"/>
      <c r="R472" s="472">
        <v>45842</v>
      </c>
      <c r="S472" s="472" t="s">
        <v>66</v>
      </c>
      <c r="T472" s="472">
        <v>45856</v>
      </c>
      <c r="U472" s="472" t="s">
        <v>1718</v>
      </c>
      <c r="V472" s="473" t="s">
        <v>4360</v>
      </c>
      <c r="W472" s="473" t="s">
        <v>1663</v>
      </c>
      <c r="X472" s="473">
        <v>0.8951</v>
      </c>
      <c r="Y472" s="480">
        <f t="shared" si="133"/>
        <v>930.904</v>
      </c>
      <c r="Z472" s="458"/>
      <c r="AA472" s="458" t="s">
        <v>3158</v>
      </c>
      <c r="AB472" s="458" t="s">
        <v>76</v>
      </c>
      <c r="AC472" s="458"/>
      <c r="AD472" s="458"/>
      <c r="AE472" s="458"/>
      <c r="AF472" s="458">
        <v>1040</v>
      </c>
      <c r="AG472" s="458">
        <f t="shared" si="147"/>
        <v>0</v>
      </c>
      <c r="AH472" s="489"/>
      <c r="AI472" s="458"/>
      <c r="AJ472" s="458"/>
      <c r="AK472" s="458"/>
      <c r="AL472" s="425">
        <f>I472</f>
        <v>1040</v>
      </c>
      <c r="AO472" s="495"/>
      <c r="AQ472" s="425">
        <f>I472</f>
        <v>1040</v>
      </c>
      <c r="AS472" s="425">
        <f>I472</f>
        <v>1040</v>
      </c>
      <c r="AT472" s="495"/>
      <c r="AY472" s="498">
        <f t="shared" si="145"/>
        <v>43.3333333333333</v>
      </c>
      <c r="BI472" s="425">
        <f>I472/13</f>
        <v>80</v>
      </c>
      <c r="BT472" s="495"/>
      <c r="BV472" s="495"/>
      <c r="CK472" s="425">
        <f t="shared" si="137"/>
        <v>0</v>
      </c>
      <c r="CL472" s="425">
        <f t="shared" si="135"/>
        <v>0</v>
      </c>
      <c r="CM472" s="425">
        <f t="shared" si="136"/>
        <v>0</v>
      </c>
      <c r="CN472" s="495"/>
      <c r="CO472" s="495"/>
      <c r="CP472" s="495"/>
      <c r="CT472" s="495"/>
      <c r="CU472" s="495"/>
      <c r="CV472" s="495"/>
      <c r="CW472" s="495"/>
      <c r="CX472" s="495"/>
    </row>
    <row r="473" s="425" customFormat="1" ht="31" customHeight="1" spans="1:102">
      <c r="A473" s="455">
        <v>45826</v>
      </c>
      <c r="B473" s="456" t="s">
        <v>152</v>
      </c>
      <c r="C473" s="457" t="s">
        <v>153</v>
      </c>
      <c r="D473" s="425">
        <v>4500170454</v>
      </c>
      <c r="E473" s="457">
        <v>2700951508</v>
      </c>
      <c r="F473" s="425" t="s">
        <v>4361</v>
      </c>
      <c r="G473" s="458" t="s">
        <v>3198</v>
      </c>
      <c r="H473" s="458" t="s">
        <v>3303</v>
      </c>
      <c r="I473" s="458">
        <v>3300</v>
      </c>
      <c r="J473" s="458">
        <v>0</v>
      </c>
      <c r="K473" s="458">
        <v>25</v>
      </c>
      <c r="L473" s="462">
        <f t="shared" si="140"/>
        <v>132</v>
      </c>
      <c r="M473" s="463">
        <v>45882</v>
      </c>
      <c r="N473" s="463">
        <v>45878</v>
      </c>
      <c r="O473" s="464" t="s">
        <v>1390</v>
      </c>
      <c r="P473" s="464" t="s">
        <v>103</v>
      </c>
      <c r="Q473" s="458"/>
      <c r="R473" s="472">
        <v>45845</v>
      </c>
      <c r="S473" s="472" t="s">
        <v>66</v>
      </c>
      <c r="T473" s="472" t="s">
        <v>66</v>
      </c>
      <c r="U473" s="472"/>
      <c r="V473" s="473" t="s">
        <v>4362</v>
      </c>
      <c r="W473" s="473" t="s">
        <v>158</v>
      </c>
      <c r="X473" s="473">
        <v>0.9514</v>
      </c>
      <c r="Y473" s="480">
        <f t="shared" si="133"/>
        <v>3139.62</v>
      </c>
      <c r="Z473" s="458" t="s">
        <v>4363</v>
      </c>
      <c r="AA473" s="458" t="s">
        <v>3202</v>
      </c>
      <c r="AB473" s="458" t="s">
        <v>76</v>
      </c>
      <c r="AC473" s="458"/>
      <c r="AD473" s="458"/>
      <c r="AE473" s="458"/>
      <c r="AF473" s="458">
        <v>3300</v>
      </c>
      <c r="AG473" s="458">
        <f t="shared" si="147"/>
        <v>0</v>
      </c>
      <c r="AH473" s="489"/>
      <c r="AI473" s="458"/>
      <c r="AJ473" s="458"/>
      <c r="AK473" s="458">
        <f>I473</f>
        <v>3300</v>
      </c>
      <c r="AO473" s="495"/>
      <c r="AP473" s="425">
        <f>I473</f>
        <v>3300</v>
      </c>
      <c r="AR473" s="425">
        <f>I473</f>
        <v>3300</v>
      </c>
      <c r="AT473" s="495"/>
      <c r="AY473" s="498">
        <f t="shared" si="145"/>
        <v>137.5</v>
      </c>
      <c r="BK473" s="425">
        <f>I473/25</f>
        <v>132</v>
      </c>
      <c r="BT473" s="495"/>
      <c r="BV473" s="495"/>
      <c r="CK473" s="425">
        <f t="shared" si="137"/>
        <v>132</v>
      </c>
      <c r="CL473" s="425">
        <f t="shared" si="135"/>
        <v>0</v>
      </c>
      <c r="CM473" s="425">
        <f t="shared" si="136"/>
        <v>0</v>
      </c>
      <c r="CN473" s="495"/>
      <c r="CO473" s="495"/>
      <c r="CP473" s="495"/>
      <c r="CT473" s="495"/>
      <c r="CU473" s="495"/>
      <c r="CV473" s="495"/>
      <c r="CW473" s="495"/>
      <c r="CX473" s="495"/>
    </row>
    <row r="474" s="425" customFormat="1" ht="31" customHeight="1" spans="1:102">
      <c r="A474" s="455">
        <v>45840</v>
      </c>
      <c r="B474" s="456" t="s">
        <v>1383</v>
      </c>
      <c r="C474" s="457" t="s">
        <v>90</v>
      </c>
      <c r="D474" s="425">
        <v>4500172492</v>
      </c>
      <c r="E474" s="457" t="s">
        <v>4364</v>
      </c>
      <c r="F474" s="425" t="s">
        <v>4365</v>
      </c>
      <c r="G474" s="458" t="s">
        <v>3900</v>
      </c>
      <c r="H474" s="458" t="s">
        <v>3237</v>
      </c>
      <c r="I474" s="458">
        <v>5772</v>
      </c>
      <c r="J474" s="458">
        <v>0</v>
      </c>
      <c r="K474" s="458">
        <v>12</v>
      </c>
      <c r="L474" s="462">
        <f t="shared" si="140"/>
        <v>481</v>
      </c>
      <c r="M474" s="463">
        <v>45882</v>
      </c>
      <c r="N474" s="463">
        <v>45878</v>
      </c>
      <c r="O474" s="464"/>
      <c r="P474" s="464" t="s">
        <v>103</v>
      </c>
      <c r="Q474" s="458"/>
      <c r="R474" s="472">
        <v>45840</v>
      </c>
      <c r="S474" s="472" t="s">
        <v>96</v>
      </c>
      <c r="T474" s="472">
        <v>45859</v>
      </c>
      <c r="U474" s="472"/>
      <c r="V474" s="473" t="s">
        <v>4138</v>
      </c>
      <c r="W474" s="473" t="s">
        <v>113</v>
      </c>
      <c r="X474" s="473">
        <v>1.2746</v>
      </c>
      <c r="Y474" s="480">
        <f t="shared" si="133"/>
        <v>7356.9912</v>
      </c>
      <c r="Z474" s="458" t="s">
        <v>4366</v>
      </c>
      <c r="AA474" s="458" t="s">
        <v>3236</v>
      </c>
      <c r="AB474" s="458" t="s">
        <v>76</v>
      </c>
      <c r="AC474" s="458"/>
      <c r="AD474" s="458"/>
      <c r="AE474" s="458"/>
      <c r="AF474" s="458">
        <v>5772</v>
      </c>
      <c r="AG474" s="458">
        <f t="shared" si="147"/>
        <v>0</v>
      </c>
      <c r="AH474" s="489"/>
      <c r="AI474" s="458"/>
      <c r="AJ474" s="458"/>
      <c r="AK474" s="458">
        <f>I474*2</f>
        <v>11544</v>
      </c>
      <c r="AN474" s="425">
        <f>I474*2</f>
        <v>11544</v>
      </c>
      <c r="AO474" s="495"/>
      <c r="AR474" s="425">
        <f>I474*2</f>
        <v>11544</v>
      </c>
      <c r="AT474" s="495"/>
      <c r="AY474" s="498">
        <f>I474/24*2</f>
        <v>481</v>
      </c>
      <c r="BT474" s="495"/>
      <c r="BV474" s="495"/>
      <c r="CH474" s="425">
        <f>I474</f>
        <v>5772</v>
      </c>
      <c r="CI474" s="425">
        <f>I474</f>
        <v>5772</v>
      </c>
      <c r="CJ474" s="425">
        <f>I474</f>
        <v>5772</v>
      </c>
      <c r="CK474" s="425">
        <f t="shared" si="137"/>
        <v>0</v>
      </c>
      <c r="CL474" s="425">
        <f t="shared" si="135"/>
        <v>0</v>
      </c>
      <c r="CM474" s="425">
        <f t="shared" si="136"/>
        <v>0</v>
      </c>
      <c r="CN474" s="495"/>
      <c r="CO474" s="495"/>
      <c r="CP474" s="495"/>
      <c r="CT474" s="495"/>
      <c r="CU474" s="495"/>
      <c r="CV474" s="495"/>
      <c r="CW474" s="495"/>
      <c r="CX474" s="495"/>
    </row>
    <row r="475" s="425" customFormat="1" ht="31" customHeight="1" spans="1:102">
      <c r="A475" s="455">
        <v>45840</v>
      </c>
      <c r="B475" s="456" t="s">
        <v>1383</v>
      </c>
      <c r="C475" s="457" t="s">
        <v>90</v>
      </c>
      <c r="D475" s="425">
        <v>4500172492</v>
      </c>
      <c r="E475" s="457" t="s">
        <v>4367</v>
      </c>
      <c r="F475" s="425" t="s">
        <v>4368</v>
      </c>
      <c r="G475" s="458" t="s">
        <v>3900</v>
      </c>
      <c r="H475" s="458" t="s">
        <v>3237</v>
      </c>
      <c r="I475" s="458">
        <v>936</v>
      </c>
      <c r="J475" s="458">
        <v>0</v>
      </c>
      <c r="K475" s="458">
        <v>12</v>
      </c>
      <c r="L475" s="462">
        <f t="shared" si="140"/>
        <v>78</v>
      </c>
      <c r="M475" s="463">
        <v>45882</v>
      </c>
      <c r="N475" s="463">
        <v>45878</v>
      </c>
      <c r="O475" s="464"/>
      <c r="P475" s="464" t="s">
        <v>103</v>
      </c>
      <c r="Q475" s="458"/>
      <c r="R475" s="472">
        <v>45840</v>
      </c>
      <c r="S475" s="472" t="s">
        <v>96</v>
      </c>
      <c r="T475" s="472">
        <v>45859</v>
      </c>
      <c r="U475" s="472"/>
      <c r="V475" s="473" t="s">
        <v>4138</v>
      </c>
      <c r="W475" s="473" t="s">
        <v>113</v>
      </c>
      <c r="X475" s="473">
        <v>1.2969</v>
      </c>
      <c r="Y475" s="480">
        <f t="shared" si="133"/>
        <v>1213.8984</v>
      </c>
      <c r="Z475" s="458" t="s">
        <v>4369</v>
      </c>
      <c r="AA475" s="458" t="s">
        <v>3236</v>
      </c>
      <c r="AB475" s="458" t="s">
        <v>76</v>
      </c>
      <c r="AC475" s="458"/>
      <c r="AD475" s="458"/>
      <c r="AE475" s="458"/>
      <c r="AF475" s="458">
        <v>936</v>
      </c>
      <c r="AG475" s="458">
        <f t="shared" si="147"/>
        <v>0</v>
      </c>
      <c r="AH475" s="489"/>
      <c r="AI475" s="458"/>
      <c r="AJ475" s="458"/>
      <c r="AK475" s="458">
        <f>I475*2</f>
        <v>1872</v>
      </c>
      <c r="AN475" s="425">
        <f>I475*2</f>
        <v>1872</v>
      </c>
      <c r="AO475" s="495"/>
      <c r="AR475" s="425">
        <f>I475*2</f>
        <v>1872</v>
      </c>
      <c r="AT475" s="495"/>
      <c r="AY475" s="498">
        <f>I475/24*2</f>
        <v>78</v>
      </c>
      <c r="BT475" s="495"/>
      <c r="BV475" s="495"/>
      <c r="CH475" s="425">
        <f>I475</f>
        <v>936</v>
      </c>
      <c r="CI475" s="425">
        <f>I475</f>
        <v>936</v>
      </c>
      <c r="CJ475" s="425">
        <f>I475</f>
        <v>936</v>
      </c>
      <c r="CK475" s="425">
        <f t="shared" si="137"/>
        <v>0</v>
      </c>
      <c r="CL475" s="425">
        <f t="shared" si="135"/>
        <v>0</v>
      </c>
      <c r="CM475" s="425">
        <f t="shared" si="136"/>
        <v>0</v>
      </c>
      <c r="CN475" s="495"/>
      <c r="CO475" s="495"/>
      <c r="CP475" s="495"/>
      <c r="CT475" s="495"/>
      <c r="CU475" s="495"/>
      <c r="CV475" s="495"/>
      <c r="CW475" s="495"/>
      <c r="CX475" s="495"/>
    </row>
    <row r="476" s="425" customFormat="1" ht="31" customHeight="1" spans="1:102">
      <c r="A476" s="455">
        <v>45827</v>
      </c>
      <c r="B476" s="456" t="s">
        <v>220</v>
      </c>
      <c r="C476" s="457" t="s">
        <v>90</v>
      </c>
      <c r="D476" s="425">
        <v>4500170533</v>
      </c>
      <c r="E476" s="457" t="s">
        <v>1351</v>
      </c>
      <c r="F476" s="425" t="s">
        <v>4370</v>
      </c>
      <c r="G476" s="458" t="s">
        <v>3198</v>
      </c>
      <c r="H476" s="458" t="s">
        <v>3303</v>
      </c>
      <c r="I476" s="458">
        <v>24675</v>
      </c>
      <c r="J476" s="458">
        <v>0</v>
      </c>
      <c r="K476" s="458">
        <v>25</v>
      </c>
      <c r="L476" s="462">
        <f t="shared" si="140"/>
        <v>987</v>
      </c>
      <c r="M476" s="463">
        <v>45883</v>
      </c>
      <c r="N476" s="463">
        <v>45880</v>
      </c>
      <c r="O476" s="464"/>
      <c r="P476" s="464" t="s">
        <v>103</v>
      </c>
      <c r="Q476" s="458"/>
      <c r="R476" s="472">
        <v>45838</v>
      </c>
      <c r="S476" s="472" t="s">
        <v>96</v>
      </c>
      <c r="T476" s="472">
        <v>45862</v>
      </c>
      <c r="U476" s="472"/>
      <c r="V476" s="473" t="s">
        <v>4371</v>
      </c>
      <c r="W476" s="473" t="s">
        <v>226</v>
      </c>
      <c r="X476" s="473">
        <v>0.5486</v>
      </c>
      <c r="Y476" s="480">
        <f t="shared" si="133"/>
        <v>13536.705</v>
      </c>
      <c r="Z476" s="458" t="s">
        <v>1354</v>
      </c>
      <c r="AA476" s="458" t="s">
        <v>3198</v>
      </c>
      <c r="AB476" s="458" t="s">
        <v>76</v>
      </c>
      <c r="AC476" s="458"/>
      <c r="AD476" s="458"/>
      <c r="AE476" s="458"/>
      <c r="AF476" s="458">
        <f>24675</f>
        <v>24675</v>
      </c>
      <c r="AG476" s="458">
        <f t="shared" si="147"/>
        <v>0</v>
      </c>
      <c r="AH476" s="489"/>
      <c r="AI476" s="458"/>
      <c r="AJ476" s="458"/>
      <c r="AK476" s="458">
        <f>I476</f>
        <v>24675</v>
      </c>
      <c r="AM476" s="425">
        <f>I476</f>
        <v>24675</v>
      </c>
      <c r="AO476" s="495"/>
      <c r="AR476" s="425">
        <f>I476</f>
        <v>24675</v>
      </c>
      <c r="AT476" s="495"/>
      <c r="AY476" s="498">
        <f>I476/24</f>
        <v>1028.125</v>
      </c>
      <c r="BJ476" s="425">
        <f>I476/25</f>
        <v>987</v>
      </c>
      <c r="BT476" s="495"/>
      <c r="BV476" s="495"/>
      <c r="CK476" s="425">
        <f t="shared" si="137"/>
        <v>987</v>
      </c>
      <c r="CL476" s="425">
        <f t="shared" si="135"/>
        <v>0</v>
      </c>
      <c r="CM476" s="425">
        <f t="shared" si="136"/>
        <v>0</v>
      </c>
      <c r="CN476" s="495"/>
      <c r="CO476" s="495"/>
      <c r="CP476" s="495"/>
      <c r="CT476" s="495"/>
      <c r="CU476" s="495"/>
      <c r="CV476" s="495"/>
      <c r="CW476" s="495"/>
      <c r="CX476" s="495"/>
    </row>
    <row r="477" s="425" customFormat="1" ht="29" customHeight="1" spans="1:102">
      <c r="A477" s="455">
        <v>45841</v>
      </c>
      <c r="B477" s="456" t="s">
        <v>1787</v>
      </c>
      <c r="C477" s="457" t="s">
        <v>377</v>
      </c>
      <c r="D477" s="425">
        <v>4500172551</v>
      </c>
      <c r="E477" s="457"/>
      <c r="F477" s="425" t="s">
        <v>4372</v>
      </c>
      <c r="G477" s="458" t="s">
        <v>3328</v>
      </c>
      <c r="H477" s="458" t="s">
        <v>3194</v>
      </c>
      <c r="I477" s="458">
        <v>300</v>
      </c>
      <c r="J477" s="458">
        <v>0</v>
      </c>
      <c r="K477" s="458">
        <v>30</v>
      </c>
      <c r="L477" s="462">
        <f t="shared" si="140"/>
        <v>10</v>
      </c>
      <c r="M477" s="463">
        <v>45883</v>
      </c>
      <c r="N477" s="463">
        <v>45880</v>
      </c>
      <c r="O477" s="464"/>
      <c r="P477" s="464" t="s">
        <v>103</v>
      </c>
      <c r="Q477" s="458"/>
      <c r="R477" s="472">
        <v>45849</v>
      </c>
      <c r="S477" s="472" t="s">
        <v>66</v>
      </c>
      <c r="T477" s="472" t="s">
        <v>4373</v>
      </c>
      <c r="U477" s="472"/>
      <c r="V477" s="473" t="s">
        <v>4374</v>
      </c>
      <c r="W477" s="473" t="s">
        <v>381</v>
      </c>
      <c r="X477" s="473">
        <v>40.8317</v>
      </c>
      <c r="Y477" s="480">
        <f>X477*L477</f>
        <v>408.317</v>
      </c>
      <c r="Z477" s="458"/>
      <c r="AA477" s="458" t="s">
        <v>3328</v>
      </c>
      <c r="AB477" s="458" t="s">
        <v>76</v>
      </c>
      <c r="AC477" s="458"/>
      <c r="AD477" s="458"/>
      <c r="AE477" s="458"/>
      <c r="AF477" s="458">
        <v>300</v>
      </c>
      <c r="AG477" s="458">
        <f t="shared" si="147"/>
        <v>0</v>
      </c>
      <c r="AH477" s="489"/>
      <c r="AI477" s="458"/>
      <c r="AJ477" s="458"/>
      <c r="AK477" s="458"/>
      <c r="AL477" s="425">
        <f>I477</f>
        <v>300</v>
      </c>
      <c r="AO477" s="495"/>
      <c r="AQ477" s="425">
        <f>I477</f>
        <v>300</v>
      </c>
      <c r="AS477" s="425">
        <f>I477</f>
        <v>300</v>
      </c>
      <c r="AT477" s="495"/>
      <c r="AY477" s="498">
        <f>I477/24</f>
        <v>12.5</v>
      </c>
      <c r="BT477" s="495"/>
      <c r="BV477" s="495"/>
      <c r="CF477" s="425">
        <f>I477/30</f>
        <v>10</v>
      </c>
      <c r="CK477" s="425">
        <f t="shared" si="137"/>
        <v>0</v>
      </c>
      <c r="CL477" s="425">
        <f t="shared" si="135"/>
        <v>10</v>
      </c>
      <c r="CM477" s="425">
        <f t="shared" si="136"/>
        <v>0</v>
      </c>
      <c r="CN477" s="495"/>
      <c r="CO477" s="495"/>
      <c r="CP477" s="495"/>
      <c r="CT477" s="495"/>
      <c r="CU477" s="495"/>
      <c r="CV477" s="495"/>
      <c r="CW477" s="495"/>
      <c r="CX477" s="495"/>
    </row>
    <row r="478" s="425" customFormat="1" ht="31" customHeight="1" spans="1:102">
      <c r="A478" s="455">
        <v>45762</v>
      </c>
      <c r="B478" s="456" t="s">
        <v>1361</v>
      </c>
      <c r="C478" s="457" t="s">
        <v>366</v>
      </c>
      <c r="D478" s="425">
        <v>4500163718</v>
      </c>
      <c r="E478" s="457"/>
      <c r="F478" s="425" t="s">
        <v>4375</v>
      </c>
      <c r="G478" s="458" t="s">
        <v>3193</v>
      </c>
      <c r="H478" s="458" t="s">
        <v>3194</v>
      </c>
      <c r="I478" s="458">
        <v>1440</v>
      </c>
      <c r="J478" s="458">
        <v>0</v>
      </c>
      <c r="K478" s="458">
        <v>60</v>
      </c>
      <c r="L478" s="462">
        <f t="shared" si="140"/>
        <v>24</v>
      </c>
      <c r="M478" s="463">
        <v>45884</v>
      </c>
      <c r="N478" s="463">
        <v>45880</v>
      </c>
      <c r="O478" s="464"/>
      <c r="P478" s="464" t="s">
        <v>103</v>
      </c>
      <c r="Q478" s="458"/>
      <c r="R478" s="472">
        <v>45828</v>
      </c>
      <c r="S478" s="472" t="s">
        <v>66</v>
      </c>
      <c r="T478" s="472" t="s">
        <v>4376</v>
      </c>
      <c r="U478" s="472" t="s">
        <v>1365</v>
      </c>
      <c r="V478" s="473" t="s">
        <v>4377</v>
      </c>
      <c r="W478" s="473" t="s">
        <v>458</v>
      </c>
      <c r="X478" s="473">
        <v>70.6047</v>
      </c>
      <c r="Y478" s="480">
        <f>X478*L478</f>
        <v>1694.5128</v>
      </c>
      <c r="Z478" s="458"/>
      <c r="AA478" s="458" t="s">
        <v>3193</v>
      </c>
      <c r="AB478" s="458" t="s">
        <v>76</v>
      </c>
      <c r="AC478" s="458"/>
      <c r="AD478" s="458"/>
      <c r="AE478" s="458"/>
      <c r="AF478" s="458">
        <v>1440</v>
      </c>
      <c r="AG478" s="458">
        <f t="shared" si="147"/>
        <v>0</v>
      </c>
      <c r="AH478" s="489"/>
      <c r="AI478" s="458"/>
      <c r="AJ478" s="458"/>
      <c r="AK478" s="458"/>
      <c r="AL478" s="425">
        <f>I478</f>
        <v>1440</v>
      </c>
      <c r="AO478" s="495"/>
      <c r="AQ478" s="425">
        <f>I478</f>
        <v>1440</v>
      </c>
      <c r="AS478" s="425">
        <f>I478</f>
        <v>1440</v>
      </c>
      <c r="AT478" s="495"/>
      <c r="AY478" s="498">
        <f>I478/24</f>
        <v>60</v>
      </c>
      <c r="BT478" s="495"/>
      <c r="BV478" s="495"/>
      <c r="CC478" s="425">
        <f>L478</f>
        <v>24</v>
      </c>
      <c r="CK478" s="425">
        <f t="shared" si="137"/>
        <v>0</v>
      </c>
      <c r="CL478" s="425">
        <f t="shared" si="135"/>
        <v>24</v>
      </c>
      <c r="CM478" s="425">
        <f t="shared" si="136"/>
        <v>0</v>
      </c>
      <c r="CN478" s="495"/>
      <c r="CO478" s="495"/>
      <c r="CP478" s="495"/>
      <c r="CT478" s="495"/>
      <c r="CU478" s="495"/>
      <c r="CV478" s="495"/>
      <c r="CW478" s="495"/>
      <c r="CX478" s="495"/>
    </row>
    <row r="479" s="425" customFormat="1" ht="31" customHeight="1" spans="1:102">
      <c r="A479" s="455">
        <v>45762</v>
      </c>
      <c r="B479" s="456" t="s">
        <v>1361</v>
      </c>
      <c r="C479" s="457" t="s">
        <v>366</v>
      </c>
      <c r="D479" s="425">
        <v>4500163683</v>
      </c>
      <c r="E479" s="457"/>
      <c r="F479" s="425" t="s">
        <v>4378</v>
      </c>
      <c r="G479" s="458" t="s">
        <v>3193</v>
      </c>
      <c r="H479" s="458" t="s">
        <v>3194</v>
      </c>
      <c r="I479" s="458">
        <v>960</v>
      </c>
      <c r="J479" s="458">
        <v>0</v>
      </c>
      <c r="K479" s="458">
        <v>60</v>
      </c>
      <c r="L479" s="462">
        <f t="shared" si="140"/>
        <v>16</v>
      </c>
      <c r="M479" s="463">
        <v>45884</v>
      </c>
      <c r="N479" s="463">
        <v>45880</v>
      </c>
      <c r="O479" s="464"/>
      <c r="P479" s="464" t="s">
        <v>103</v>
      </c>
      <c r="Q479" s="458"/>
      <c r="R479" s="472">
        <v>45828</v>
      </c>
      <c r="S479" s="472" t="s">
        <v>66</v>
      </c>
      <c r="T479" s="472">
        <v>45863</v>
      </c>
      <c r="U479" s="472" t="s">
        <v>1365</v>
      </c>
      <c r="V479" s="473" t="s">
        <v>4379</v>
      </c>
      <c r="W479" s="473" t="s">
        <v>458</v>
      </c>
      <c r="X479" s="473">
        <v>70.6047</v>
      </c>
      <c r="Y479" s="480">
        <f>X479*L479</f>
        <v>1129.6752</v>
      </c>
      <c r="Z479" s="458"/>
      <c r="AA479" s="458" t="s">
        <v>3193</v>
      </c>
      <c r="AB479" s="458" t="s">
        <v>76</v>
      </c>
      <c r="AC479" s="458"/>
      <c r="AD479" s="458"/>
      <c r="AE479" s="458"/>
      <c r="AF479" s="458">
        <v>960</v>
      </c>
      <c r="AG479" s="458">
        <f t="shared" si="147"/>
        <v>0</v>
      </c>
      <c r="AH479" s="489"/>
      <c r="AI479" s="458"/>
      <c r="AJ479" s="458"/>
      <c r="AK479" s="458"/>
      <c r="AL479" s="425">
        <f>I479</f>
        <v>960</v>
      </c>
      <c r="AO479" s="495"/>
      <c r="AQ479" s="425">
        <f>I479</f>
        <v>960</v>
      </c>
      <c r="AS479" s="425">
        <f>I479</f>
        <v>960</v>
      </c>
      <c r="AT479" s="495"/>
      <c r="AY479" s="498">
        <f>I479/24</f>
        <v>40</v>
      </c>
      <c r="BT479" s="495"/>
      <c r="BV479" s="495"/>
      <c r="CC479" s="425">
        <f>L479</f>
        <v>16</v>
      </c>
      <c r="CK479" s="425">
        <f t="shared" si="137"/>
        <v>0</v>
      </c>
      <c r="CL479" s="425">
        <f t="shared" si="135"/>
        <v>16</v>
      </c>
      <c r="CM479" s="425">
        <f t="shared" si="136"/>
        <v>0</v>
      </c>
      <c r="CN479" s="495"/>
      <c r="CO479" s="495"/>
      <c r="CP479" s="495"/>
      <c r="CT479" s="495"/>
      <c r="CU479" s="495"/>
      <c r="CV479" s="495"/>
      <c r="CW479" s="495"/>
      <c r="CX479" s="495"/>
    </row>
    <row r="480" s="425" customFormat="1" ht="31" customHeight="1" spans="1:102">
      <c r="A480" s="455">
        <v>45840</v>
      </c>
      <c r="B480" s="456" t="s">
        <v>1769</v>
      </c>
      <c r="C480" s="457" t="s">
        <v>139</v>
      </c>
      <c r="D480" s="425">
        <v>4500172400</v>
      </c>
      <c r="E480" s="457">
        <v>5200007029</v>
      </c>
      <c r="F480" s="425" t="s">
        <v>4380</v>
      </c>
      <c r="G480" s="458" t="s">
        <v>4381</v>
      </c>
      <c r="H480" s="458" t="s">
        <v>3237</v>
      </c>
      <c r="I480" s="458">
        <v>504</v>
      </c>
      <c r="J480" s="458">
        <v>0</v>
      </c>
      <c r="K480" s="458">
        <v>12</v>
      </c>
      <c r="L480" s="462">
        <f t="shared" si="140"/>
        <v>42</v>
      </c>
      <c r="M480" s="463">
        <v>45884</v>
      </c>
      <c r="N480" s="463">
        <v>45880</v>
      </c>
      <c r="O480" s="464"/>
      <c r="P480" s="464" t="s">
        <v>103</v>
      </c>
      <c r="Q480" s="458"/>
      <c r="R480" s="472">
        <v>45840</v>
      </c>
      <c r="S480" s="472" t="s">
        <v>66</v>
      </c>
      <c r="T480" s="472">
        <v>45869</v>
      </c>
      <c r="U480" s="472"/>
      <c r="V480" s="473" t="s">
        <v>4382</v>
      </c>
      <c r="W480" s="473" t="s">
        <v>3317</v>
      </c>
      <c r="X480" s="473">
        <v>2.1257</v>
      </c>
      <c r="Y480" s="480">
        <f>X480*I480</f>
        <v>1071.3528</v>
      </c>
      <c r="Z480" s="458"/>
      <c r="AA480" s="458" t="s">
        <v>3464</v>
      </c>
      <c r="AB480" s="458" t="s">
        <v>76</v>
      </c>
      <c r="AC480" s="458"/>
      <c r="AD480" s="458"/>
      <c r="AE480" s="458"/>
      <c r="AF480" s="458">
        <v>504</v>
      </c>
      <c r="AG480" s="458">
        <f t="shared" si="147"/>
        <v>0</v>
      </c>
      <c r="AH480" s="489"/>
      <c r="AI480" s="458"/>
      <c r="AJ480" s="458"/>
      <c r="AK480" s="458"/>
      <c r="AL480" s="425">
        <f>I480*2</f>
        <v>1008</v>
      </c>
      <c r="AO480" s="495"/>
      <c r="AQ480" s="425">
        <f>I480*2</f>
        <v>1008</v>
      </c>
      <c r="AS480" s="425">
        <f>I480*2</f>
        <v>1008</v>
      </c>
      <c r="AT480" s="495"/>
      <c r="AY480" s="498">
        <f>I480/24*2</f>
        <v>42</v>
      </c>
      <c r="BT480" s="495"/>
      <c r="BV480" s="495"/>
      <c r="CH480" s="425">
        <f>I480</f>
        <v>504</v>
      </c>
      <c r="CI480" s="425">
        <f>I480</f>
        <v>504</v>
      </c>
      <c r="CJ480" s="425">
        <f>I480</f>
        <v>504</v>
      </c>
      <c r="CK480" s="425">
        <f t="shared" si="137"/>
        <v>0</v>
      </c>
      <c r="CL480" s="425">
        <f t="shared" si="135"/>
        <v>0</v>
      </c>
      <c r="CM480" s="425">
        <f t="shared" si="136"/>
        <v>0</v>
      </c>
      <c r="CN480" s="495"/>
      <c r="CO480" s="495"/>
      <c r="CP480" s="495"/>
      <c r="CT480" s="495"/>
      <c r="CU480" s="495"/>
      <c r="CV480" s="495"/>
      <c r="CW480" s="495"/>
      <c r="CX480" s="495"/>
    </row>
    <row r="481" s="425" customFormat="1" ht="31" customHeight="1" spans="1:102">
      <c r="A481" s="455">
        <v>45845</v>
      </c>
      <c r="B481" s="456" t="s">
        <v>122</v>
      </c>
      <c r="C481" s="457" t="s">
        <v>116</v>
      </c>
      <c r="D481" s="425">
        <v>4500172944</v>
      </c>
      <c r="E481" s="457">
        <v>20977417</v>
      </c>
      <c r="F481" s="425" t="s">
        <v>4383</v>
      </c>
      <c r="G481" s="458" t="s">
        <v>3206</v>
      </c>
      <c r="H481" s="458" t="s">
        <v>3207</v>
      </c>
      <c r="I481" s="458">
        <v>1950</v>
      </c>
      <c r="J481" s="458">
        <v>0</v>
      </c>
      <c r="K481" s="458">
        <v>13</v>
      </c>
      <c r="L481" s="462">
        <f t="shared" si="140"/>
        <v>150</v>
      </c>
      <c r="M481" s="463">
        <v>45887</v>
      </c>
      <c r="N481" s="463">
        <v>45883</v>
      </c>
      <c r="O481" s="464"/>
      <c r="P481" s="464" t="s">
        <v>103</v>
      </c>
      <c r="Q481" s="458"/>
      <c r="R481" s="472">
        <v>45856</v>
      </c>
      <c r="S481" s="472" t="s">
        <v>96</v>
      </c>
      <c r="T481" s="472">
        <v>45866</v>
      </c>
      <c r="U481" s="472"/>
      <c r="V481" s="473" t="s">
        <v>3930</v>
      </c>
      <c r="W481" s="473" t="s">
        <v>121</v>
      </c>
      <c r="X481" s="473">
        <v>0.9475</v>
      </c>
      <c r="Y481" s="480">
        <f>X481*I481</f>
        <v>1847.625</v>
      </c>
      <c r="Z481" s="458"/>
      <c r="AA481" s="458" t="s">
        <v>3206</v>
      </c>
      <c r="AB481" s="458" t="s">
        <v>76</v>
      </c>
      <c r="AC481" s="458"/>
      <c r="AD481" s="458"/>
      <c r="AE481" s="458"/>
      <c r="AF481" s="458">
        <v>1950</v>
      </c>
      <c r="AG481" s="458">
        <f t="shared" si="147"/>
        <v>0</v>
      </c>
      <c r="AH481" s="489"/>
      <c r="AI481" s="458"/>
      <c r="AJ481" s="458"/>
      <c r="AK481" s="458"/>
      <c r="AL481" s="425">
        <f>I481</f>
        <v>1950</v>
      </c>
      <c r="AO481" s="495"/>
      <c r="AQ481" s="425">
        <f>I481</f>
        <v>1950</v>
      </c>
      <c r="AS481" s="425">
        <f>I481</f>
        <v>1950</v>
      </c>
      <c r="AT481" s="495"/>
      <c r="AY481" s="498">
        <f>I481/24</f>
        <v>81.25</v>
      </c>
      <c r="BI481" s="425">
        <f>I481/13</f>
        <v>150</v>
      </c>
      <c r="BT481" s="495"/>
      <c r="BV481" s="495"/>
      <c r="CK481" s="425">
        <f t="shared" si="137"/>
        <v>0</v>
      </c>
      <c r="CL481" s="425">
        <f t="shared" si="135"/>
        <v>0</v>
      </c>
      <c r="CM481" s="425">
        <f t="shared" si="136"/>
        <v>0</v>
      </c>
      <c r="CN481" s="495"/>
      <c r="CO481" s="495"/>
      <c r="CP481" s="495"/>
      <c r="CT481" s="495"/>
      <c r="CU481" s="495"/>
      <c r="CV481" s="495"/>
      <c r="CW481" s="495"/>
      <c r="CX481" s="495"/>
    </row>
    <row r="482" s="425" customFormat="1" ht="31" customHeight="1" spans="1:102">
      <c r="A482" s="455">
        <v>45845</v>
      </c>
      <c r="B482" s="456" t="s">
        <v>125</v>
      </c>
      <c r="C482" s="457" t="s">
        <v>71</v>
      </c>
      <c r="D482" s="425">
        <v>4500172946</v>
      </c>
      <c r="E482" s="457">
        <v>20977420</v>
      </c>
      <c r="F482" s="425" t="s">
        <v>4384</v>
      </c>
      <c r="G482" s="458" t="s">
        <v>3206</v>
      </c>
      <c r="H482" s="458" t="s">
        <v>3207</v>
      </c>
      <c r="I482" s="458">
        <v>143</v>
      </c>
      <c r="J482" s="458">
        <v>0</v>
      </c>
      <c r="K482" s="458">
        <v>13</v>
      </c>
      <c r="L482" s="462">
        <f t="shared" si="140"/>
        <v>11</v>
      </c>
      <c r="M482" s="463">
        <v>45887</v>
      </c>
      <c r="N482" s="463">
        <v>45883</v>
      </c>
      <c r="O482" s="464"/>
      <c r="P482" s="464" t="s">
        <v>103</v>
      </c>
      <c r="Q482" s="458"/>
      <c r="R482" s="472">
        <v>45856</v>
      </c>
      <c r="S482" s="472" t="s">
        <v>96</v>
      </c>
      <c r="T482" s="472">
        <v>45866</v>
      </c>
      <c r="U482" s="472"/>
      <c r="V482" s="473" t="s">
        <v>4143</v>
      </c>
      <c r="W482" s="473" t="s">
        <v>121</v>
      </c>
      <c r="X482" s="473">
        <v>0.9526</v>
      </c>
      <c r="Y482" s="480">
        <f>X482*I482</f>
        <v>136.2218</v>
      </c>
      <c r="Z482" s="458"/>
      <c r="AA482" s="458" t="s">
        <v>3206</v>
      </c>
      <c r="AB482" s="458" t="s">
        <v>76</v>
      </c>
      <c r="AC482" s="458"/>
      <c r="AD482" s="458"/>
      <c r="AE482" s="458"/>
      <c r="AF482" s="458">
        <v>143</v>
      </c>
      <c r="AG482" s="458">
        <f t="shared" si="147"/>
        <v>0</v>
      </c>
      <c r="AH482" s="489"/>
      <c r="AI482" s="458"/>
      <c r="AJ482" s="458"/>
      <c r="AK482" s="458"/>
      <c r="AL482" s="425">
        <f>I482</f>
        <v>143</v>
      </c>
      <c r="AO482" s="495"/>
      <c r="AQ482" s="425">
        <f>I482</f>
        <v>143</v>
      </c>
      <c r="AS482" s="425">
        <f>I482</f>
        <v>143</v>
      </c>
      <c r="AT482" s="495"/>
      <c r="AY482" s="498">
        <f>I482/24</f>
        <v>5.95833333333333</v>
      </c>
      <c r="BI482" s="425">
        <f>I482/13</f>
        <v>11</v>
      </c>
      <c r="BT482" s="495"/>
      <c r="BV482" s="495"/>
      <c r="CK482" s="425">
        <f t="shared" si="137"/>
        <v>0</v>
      </c>
      <c r="CL482" s="425">
        <f t="shared" si="135"/>
        <v>0</v>
      </c>
      <c r="CM482" s="425">
        <f t="shared" si="136"/>
        <v>0</v>
      </c>
      <c r="CN482" s="495"/>
      <c r="CO482" s="495"/>
      <c r="CP482" s="495"/>
      <c r="CT482" s="495"/>
      <c r="CU482" s="495"/>
      <c r="CV482" s="495"/>
      <c r="CW482" s="495"/>
      <c r="CX482" s="495"/>
    </row>
    <row r="483" s="425" customFormat="1" ht="31" customHeight="1" spans="1:102">
      <c r="A483" s="455">
        <v>45769</v>
      </c>
      <c r="B483" s="456" t="s">
        <v>857</v>
      </c>
      <c r="C483" s="457" t="s">
        <v>249</v>
      </c>
      <c r="D483" s="425">
        <v>4500164549</v>
      </c>
      <c r="E483" s="457" t="s">
        <v>1266</v>
      </c>
      <c r="F483" s="425" t="s">
        <v>1267</v>
      </c>
      <c r="G483" s="458">
        <v>77711</v>
      </c>
      <c r="H483" s="458" t="s">
        <v>3151</v>
      </c>
      <c r="I483" s="458">
        <v>1800</v>
      </c>
      <c r="J483" s="458">
        <v>0</v>
      </c>
      <c r="K483" s="458">
        <v>75</v>
      </c>
      <c r="L483" s="462">
        <f t="shared" si="140"/>
        <v>24</v>
      </c>
      <c r="M483" s="463">
        <v>45868</v>
      </c>
      <c r="N483" s="463">
        <v>45864</v>
      </c>
      <c r="O483" s="464"/>
      <c r="P483" s="464" t="s">
        <v>103</v>
      </c>
      <c r="Q483" s="458"/>
      <c r="R483" s="472">
        <v>45834</v>
      </c>
      <c r="S483" s="472" t="s">
        <v>66</v>
      </c>
      <c r="T483" s="472" t="s">
        <v>66</v>
      </c>
      <c r="U483" s="472"/>
      <c r="V483" s="473" t="s">
        <v>1268</v>
      </c>
      <c r="W483" s="473" t="s">
        <v>219</v>
      </c>
      <c r="X483" s="473">
        <v>762.5</v>
      </c>
      <c r="Y483" s="480">
        <f>X483*L483</f>
        <v>18300</v>
      </c>
      <c r="Z483" s="458"/>
      <c r="AA483" s="458" t="s">
        <v>743</v>
      </c>
      <c r="AB483" s="458" t="s">
        <v>76</v>
      </c>
      <c r="AC483" s="458"/>
      <c r="AD483" s="458"/>
      <c r="AE483" s="458"/>
      <c r="AF483" s="458">
        <v>0</v>
      </c>
      <c r="AG483" s="458">
        <v>0</v>
      </c>
      <c r="AH483" s="489"/>
      <c r="AI483" s="458"/>
      <c r="AJ483" s="458"/>
      <c r="AK483" s="458"/>
      <c r="AL483" s="425">
        <f>I483*3</f>
        <v>5400</v>
      </c>
      <c r="AO483" s="495"/>
      <c r="AT483" s="495"/>
      <c r="AY483" s="498">
        <f>I483/24*3</f>
        <v>225</v>
      </c>
      <c r="BC483" s="425">
        <f>I483*3</f>
        <v>5400</v>
      </c>
      <c r="BD483" s="425">
        <f>I483*3</f>
        <v>5400</v>
      </c>
      <c r="BE483" s="425">
        <f>I483/3</f>
        <v>600</v>
      </c>
      <c r="BF483" s="425">
        <f>I483/5</f>
        <v>360</v>
      </c>
      <c r="BT483" s="495"/>
      <c r="BV483" s="495"/>
      <c r="CK483" s="425">
        <f t="shared" si="137"/>
        <v>0</v>
      </c>
      <c r="CL483" s="425">
        <f t="shared" si="135"/>
        <v>0</v>
      </c>
      <c r="CM483" s="425">
        <f t="shared" si="136"/>
        <v>0</v>
      </c>
      <c r="CN483" s="495"/>
      <c r="CO483" s="495"/>
      <c r="CP483" s="495"/>
      <c r="CT483" s="495"/>
      <c r="CU483" s="495"/>
      <c r="CV483" s="495"/>
      <c r="CW483" s="495"/>
      <c r="CX483" s="495"/>
    </row>
    <row r="484" s="425" customFormat="1" ht="31" customHeight="1" spans="1:102">
      <c r="A484" s="455">
        <v>45869</v>
      </c>
      <c r="B484" s="456" t="s">
        <v>1314</v>
      </c>
      <c r="C484" s="457" t="s">
        <v>366</v>
      </c>
      <c r="D484" s="425">
        <v>4500175657</v>
      </c>
      <c r="E484" s="457">
        <v>5200007336</v>
      </c>
      <c r="F484" s="425" t="s">
        <v>4385</v>
      </c>
      <c r="G484" s="458" t="s">
        <v>4386</v>
      </c>
      <c r="H484" s="458" t="s">
        <v>1317</v>
      </c>
      <c r="I484" s="458">
        <v>100</v>
      </c>
      <c r="J484" s="458">
        <v>0</v>
      </c>
      <c r="K484" s="458">
        <v>50</v>
      </c>
      <c r="L484" s="462">
        <f t="shared" si="140"/>
        <v>2</v>
      </c>
      <c r="M484" s="463">
        <v>45871</v>
      </c>
      <c r="N484" s="463">
        <f>M484-4</f>
        <v>45867</v>
      </c>
      <c r="O484" s="464"/>
      <c r="P484" s="464" t="s">
        <v>103</v>
      </c>
      <c r="Q484" s="458"/>
      <c r="R484" s="472">
        <v>45869</v>
      </c>
      <c r="S484" s="472" t="s">
        <v>66</v>
      </c>
      <c r="T484" s="472" t="s">
        <v>66</v>
      </c>
      <c r="U484" s="472"/>
      <c r="V484" s="473" t="s">
        <v>1318</v>
      </c>
      <c r="W484" s="473" t="s">
        <v>370</v>
      </c>
      <c r="X484" s="473">
        <v>0.0662</v>
      </c>
      <c r="Y484" s="480">
        <f>X484*I484</f>
        <v>6.62</v>
      </c>
      <c r="Z484" s="458"/>
      <c r="AA484" s="458" t="s">
        <v>68</v>
      </c>
      <c r="AB484" s="458" t="s">
        <v>68</v>
      </c>
      <c r="AC484" s="458"/>
      <c r="AD484" s="458"/>
      <c r="AE484" s="458"/>
      <c r="AF484" s="458"/>
      <c r="AG484" s="458">
        <v>0</v>
      </c>
      <c r="AH484" s="489"/>
      <c r="AI484" s="458"/>
      <c r="AJ484" s="458"/>
      <c r="AK484" s="458"/>
      <c r="AO484" s="495"/>
      <c r="AT484" s="495"/>
      <c r="AY484" s="498"/>
      <c r="BI484" s="425">
        <v>100</v>
      </c>
      <c r="BT484" s="495"/>
      <c r="BV484" s="495"/>
      <c r="CK484" s="425">
        <f t="shared" si="137"/>
        <v>0</v>
      </c>
      <c r="CL484" s="425">
        <f t="shared" si="135"/>
        <v>0</v>
      </c>
      <c r="CM484" s="425">
        <f t="shared" si="136"/>
        <v>0</v>
      </c>
      <c r="CN484" s="495"/>
      <c r="CO484" s="495"/>
      <c r="CP484" s="495"/>
      <c r="CT484" s="495"/>
      <c r="CU484" s="495"/>
      <c r="CV484" s="495"/>
      <c r="CW484" s="495"/>
      <c r="CX484" s="495"/>
    </row>
    <row r="485" s="425" customFormat="1" ht="31" customHeight="1" spans="1:102">
      <c r="A485" s="455">
        <v>45762</v>
      </c>
      <c r="B485" s="456" t="s">
        <v>1361</v>
      </c>
      <c r="C485" s="457" t="s">
        <v>366</v>
      </c>
      <c r="D485" s="425">
        <v>4500163718</v>
      </c>
      <c r="E485" s="457"/>
      <c r="F485" s="425" t="s">
        <v>1362</v>
      </c>
      <c r="G485" s="458" t="s">
        <v>3506</v>
      </c>
      <c r="H485" s="458" t="s">
        <v>455</v>
      </c>
      <c r="I485" s="458">
        <v>720</v>
      </c>
      <c r="J485" s="458">
        <v>0</v>
      </c>
      <c r="K485" s="458">
        <v>90</v>
      </c>
      <c r="L485" s="462">
        <f t="shared" si="140"/>
        <v>8</v>
      </c>
      <c r="M485" s="463">
        <v>45884</v>
      </c>
      <c r="N485" s="463">
        <v>45880</v>
      </c>
      <c r="O485" s="464"/>
      <c r="P485" s="464" t="s">
        <v>103</v>
      </c>
      <c r="Q485" s="458"/>
      <c r="R485" s="472">
        <v>45828</v>
      </c>
      <c r="S485" s="472" t="s">
        <v>66</v>
      </c>
      <c r="T485" s="472" t="s">
        <v>1364</v>
      </c>
      <c r="U485" s="472" t="s">
        <v>1365</v>
      </c>
      <c r="V485" s="473" t="s">
        <v>1366</v>
      </c>
      <c r="W485" s="473" t="s">
        <v>458</v>
      </c>
      <c r="X485" s="473">
        <v>179.8535</v>
      </c>
      <c r="Y485" s="480">
        <f>X485*L485</f>
        <v>1438.828</v>
      </c>
      <c r="Z485" s="458"/>
      <c r="AA485" s="458" t="s">
        <v>3506</v>
      </c>
      <c r="AB485" s="458" t="s">
        <v>76</v>
      </c>
      <c r="AC485" s="458"/>
      <c r="AD485" s="458"/>
      <c r="AE485" s="458"/>
      <c r="AF485" s="458">
        <v>720</v>
      </c>
      <c r="AG485" s="458">
        <f>AF485-I485</f>
        <v>0</v>
      </c>
      <c r="AH485" s="489"/>
      <c r="AI485" s="458"/>
      <c r="AJ485" s="458"/>
      <c r="AK485" s="458"/>
      <c r="AL485" s="425">
        <f>I485</f>
        <v>720</v>
      </c>
      <c r="AO485" s="495"/>
      <c r="AQ485" s="425">
        <f>I485</f>
        <v>720</v>
      </c>
      <c r="AS485" s="425">
        <f>I485</f>
        <v>720</v>
      </c>
      <c r="AT485" s="495"/>
      <c r="AY485" s="498">
        <f>I485/24</f>
        <v>30</v>
      </c>
      <c r="BT485" s="495"/>
      <c r="BV485" s="495"/>
      <c r="BZ485" s="425">
        <f>L485</f>
        <v>8</v>
      </c>
      <c r="CK485" s="425">
        <f t="shared" si="137"/>
        <v>0</v>
      </c>
      <c r="CL485" s="425">
        <f t="shared" si="135"/>
        <v>0</v>
      </c>
      <c r="CM485" s="425">
        <f t="shared" si="136"/>
        <v>8</v>
      </c>
      <c r="CN485" s="495"/>
      <c r="CO485" s="495"/>
      <c r="CP485" s="495"/>
      <c r="CT485" s="495"/>
      <c r="CU485" s="495"/>
      <c r="CV485" s="495"/>
      <c r="CW485" s="495"/>
      <c r="CX485" s="495"/>
    </row>
    <row r="486" s="425" customFormat="1" ht="31" customHeight="1" spans="1:102">
      <c r="A486" s="455">
        <v>45870</v>
      </c>
      <c r="B486" s="456"/>
      <c r="C486" s="457"/>
      <c r="D486" s="425" t="s">
        <v>4387</v>
      </c>
      <c r="E486" s="457"/>
      <c r="G486" s="458" t="s">
        <v>4388</v>
      </c>
      <c r="H486" s="458" t="s">
        <v>4389</v>
      </c>
      <c r="I486" s="458" t="s">
        <v>4390</v>
      </c>
      <c r="J486" s="458"/>
      <c r="K486" s="458"/>
      <c r="L486" s="462"/>
      <c r="M486" s="463">
        <v>45880</v>
      </c>
      <c r="N486" s="463">
        <v>45876</v>
      </c>
      <c r="O486" s="464"/>
      <c r="P486" s="464"/>
      <c r="Q486" s="458"/>
      <c r="R486" s="472" t="s">
        <v>1144</v>
      </c>
      <c r="S486" s="472" t="s">
        <v>66</v>
      </c>
      <c r="T486" s="472" t="s">
        <v>66</v>
      </c>
      <c r="U486" s="472"/>
      <c r="V486" s="473" t="s">
        <v>4391</v>
      </c>
      <c r="W486" s="473" t="s">
        <v>79</v>
      </c>
      <c r="X486" s="473"/>
      <c r="Y486" s="480"/>
      <c r="Z486" s="458"/>
      <c r="AA486" s="458" t="s">
        <v>68</v>
      </c>
      <c r="AB486" s="458" t="s">
        <v>68</v>
      </c>
      <c r="AC486" s="458"/>
      <c r="AD486" s="458"/>
      <c r="AE486" s="458"/>
      <c r="AF486" s="458">
        <v>15</v>
      </c>
      <c r="AG486" s="458">
        <v>0</v>
      </c>
      <c r="AH486" s="489"/>
      <c r="AI486" s="458"/>
      <c r="AJ486" s="458"/>
      <c r="AK486" s="458"/>
      <c r="AO486" s="495"/>
      <c r="AT486" s="495"/>
      <c r="AY486" s="498"/>
      <c r="BT486" s="495"/>
      <c r="BV486" s="495"/>
      <c r="CK486" s="425">
        <f t="shared" si="137"/>
        <v>0</v>
      </c>
      <c r="CL486" s="425">
        <f t="shared" si="135"/>
        <v>0</v>
      </c>
      <c r="CM486" s="425">
        <f t="shared" si="136"/>
        <v>0</v>
      </c>
      <c r="CN486" s="495"/>
      <c r="CO486" s="495"/>
      <c r="CP486" s="495"/>
      <c r="CT486" s="495"/>
      <c r="CU486" s="495"/>
      <c r="CV486" s="495"/>
      <c r="CW486" s="495"/>
      <c r="CX486" s="495"/>
    </row>
    <row r="487" s="425" customFormat="1" ht="31" customHeight="1" spans="1:102">
      <c r="A487" s="455">
        <v>45870</v>
      </c>
      <c r="B487" s="456"/>
      <c r="C487" s="457"/>
      <c r="D487" s="425" t="s">
        <v>4387</v>
      </c>
      <c r="E487" s="457"/>
      <c r="G487" s="458" t="s">
        <v>3652</v>
      </c>
      <c r="H487" s="458" t="s">
        <v>4389</v>
      </c>
      <c r="I487" s="458" t="s">
        <v>4390</v>
      </c>
      <c r="J487" s="458"/>
      <c r="K487" s="458"/>
      <c r="L487" s="462"/>
      <c r="M487" s="463">
        <v>45880</v>
      </c>
      <c r="N487" s="463">
        <v>45876</v>
      </c>
      <c r="O487" s="464"/>
      <c r="P487" s="464"/>
      <c r="Q487" s="458"/>
      <c r="R487" s="472" t="s">
        <v>1144</v>
      </c>
      <c r="S487" s="472" t="s">
        <v>66</v>
      </c>
      <c r="T487" s="472" t="s">
        <v>66</v>
      </c>
      <c r="U487" s="472"/>
      <c r="V487" s="473" t="s">
        <v>4391</v>
      </c>
      <c r="W487" s="473" t="s">
        <v>79</v>
      </c>
      <c r="X487" s="473"/>
      <c r="Y487" s="480"/>
      <c r="Z487" s="458"/>
      <c r="AA487" s="458" t="s">
        <v>68</v>
      </c>
      <c r="AB487" s="458" t="s">
        <v>68</v>
      </c>
      <c r="AC487" s="458"/>
      <c r="AD487" s="458"/>
      <c r="AE487" s="458"/>
      <c r="AF487" s="458">
        <v>15</v>
      </c>
      <c r="AG487" s="458">
        <v>0</v>
      </c>
      <c r="AH487" s="489"/>
      <c r="AI487" s="458"/>
      <c r="AJ487" s="458"/>
      <c r="AK487" s="458"/>
      <c r="AO487" s="495"/>
      <c r="AT487" s="495"/>
      <c r="AY487" s="498"/>
      <c r="BT487" s="495"/>
      <c r="BV487" s="495"/>
      <c r="CA487" s="425">
        <v>15</v>
      </c>
      <c r="CK487" s="425">
        <f t="shared" si="137"/>
        <v>0</v>
      </c>
      <c r="CL487" s="425">
        <f>15</f>
        <v>15</v>
      </c>
      <c r="CM487" s="425">
        <f t="shared" si="136"/>
        <v>0</v>
      </c>
      <c r="CN487" s="495"/>
      <c r="CO487" s="495"/>
      <c r="CP487" s="495"/>
      <c r="CT487" s="495"/>
      <c r="CU487" s="495"/>
      <c r="CV487" s="495"/>
      <c r="CW487" s="495"/>
      <c r="CX487" s="495"/>
    </row>
    <row r="488" s="425" customFormat="1" ht="31" customHeight="1" spans="1:102">
      <c r="A488" s="455">
        <v>45762</v>
      </c>
      <c r="B488" s="456" t="s">
        <v>1361</v>
      </c>
      <c r="C488" s="457" t="s">
        <v>366</v>
      </c>
      <c r="D488" s="425">
        <v>4500163648</v>
      </c>
      <c r="E488" s="457"/>
      <c r="F488" s="425" t="s">
        <v>1367</v>
      </c>
      <c r="G488" s="458" t="s">
        <v>3506</v>
      </c>
      <c r="H488" s="458" t="s">
        <v>455</v>
      </c>
      <c r="I488" s="458">
        <v>2700</v>
      </c>
      <c r="J488" s="458">
        <v>0</v>
      </c>
      <c r="K488" s="458">
        <v>90</v>
      </c>
      <c r="L488" s="462">
        <f t="shared" ref="L488:L549" si="148">I488/K488</f>
        <v>30</v>
      </c>
      <c r="M488" s="463">
        <v>45884</v>
      </c>
      <c r="N488" s="463">
        <v>45880</v>
      </c>
      <c r="O488" s="464"/>
      <c r="P488" s="464" t="s">
        <v>103</v>
      </c>
      <c r="Q488" s="458"/>
      <c r="R488" s="472">
        <v>45828</v>
      </c>
      <c r="S488" s="472" t="s">
        <v>66</v>
      </c>
      <c r="T488" s="472">
        <v>45860</v>
      </c>
      <c r="U488" s="472" t="s">
        <v>1365</v>
      </c>
      <c r="V488" s="473" t="s">
        <v>4392</v>
      </c>
      <c r="W488" s="473" t="s">
        <v>458</v>
      </c>
      <c r="X488" s="473">
        <v>171.3</v>
      </c>
      <c r="Y488" s="480">
        <f>X488*L488</f>
        <v>5139</v>
      </c>
      <c r="Z488" s="458"/>
      <c r="AA488" s="458" t="s">
        <v>3506</v>
      </c>
      <c r="AB488" s="458" t="s">
        <v>76</v>
      </c>
      <c r="AC488" s="458"/>
      <c r="AD488" s="458"/>
      <c r="AE488" s="458"/>
      <c r="AF488" s="458">
        <v>2700</v>
      </c>
      <c r="AG488" s="458">
        <f>AF488-I488</f>
        <v>0</v>
      </c>
      <c r="AH488" s="489"/>
      <c r="AI488" s="458"/>
      <c r="AJ488" s="458"/>
      <c r="AK488" s="458"/>
      <c r="AL488" s="425">
        <f>I488</f>
        <v>2700</v>
      </c>
      <c r="AO488" s="495"/>
      <c r="AQ488" s="425">
        <f>I488</f>
        <v>2700</v>
      </c>
      <c r="AS488" s="425">
        <f>I488</f>
        <v>2700</v>
      </c>
      <c r="AT488" s="495"/>
      <c r="AY488" s="498">
        <f>I488/24</f>
        <v>112.5</v>
      </c>
      <c r="BT488" s="495"/>
      <c r="BV488" s="495"/>
      <c r="BZ488" s="425">
        <f>L488</f>
        <v>30</v>
      </c>
      <c r="CK488" s="425">
        <f t="shared" si="137"/>
        <v>0</v>
      </c>
      <c r="CL488" s="425">
        <f t="shared" ref="CL488:CL545" si="149">CA488+CB488+CC488+CD488+CE488+CG488+CF488</f>
        <v>0</v>
      </c>
      <c r="CM488" s="425">
        <f t="shared" si="136"/>
        <v>30</v>
      </c>
      <c r="CN488" s="495"/>
      <c r="CO488" s="495"/>
      <c r="CP488" s="495"/>
      <c r="CT488" s="495"/>
      <c r="CU488" s="495"/>
      <c r="CV488" s="495"/>
      <c r="CW488" s="495"/>
      <c r="CX488" s="495"/>
    </row>
    <row r="489" s="425" customFormat="1" ht="31" customHeight="1" spans="1:102">
      <c r="A489" s="455">
        <v>45678</v>
      </c>
      <c r="B489" s="456" t="s">
        <v>1372</v>
      </c>
      <c r="C489" s="457" t="s">
        <v>90</v>
      </c>
      <c r="D489" s="425">
        <v>4500156322</v>
      </c>
      <c r="E489" s="895" t="s">
        <v>1373</v>
      </c>
      <c r="F489" s="425" t="s">
        <v>1374</v>
      </c>
      <c r="G489" s="458" t="s">
        <v>819</v>
      </c>
      <c r="H489" s="458" t="s">
        <v>744</v>
      </c>
      <c r="I489" s="458">
        <v>72</v>
      </c>
      <c r="J489" s="458">
        <v>0</v>
      </c>
      <c r="K489" s="458">
        <v>1</v>
      </c>
      <c r="L489" s="462">
        <f t="shared" si="148"/>
        <v>72</v>
      </c>
      <c r="M489" s="463">
        <v>45888</v>
      </c>
      <c r="N489" s="463">
        <v>45884</v>
      </c>
      <c r="O489" s="464" t="s">
        <v>1375</v>
      </c>
      <c r="P489" s="464" t="s">
        <v>103</v>
      </c>
      <c r="Q489" s="458"/>
      <c r="R489" s="472">
        <v>45832</v>
      </c>
      <c r="S489" s="472" t="s">
        <v>66</v>
      </c>
      <c r="T489" s="472" t="s">
        <v>66</v>
      </c>
      <c r="U489" s="472"/>
      <c r="V489" s="473" t="s">
        <v>1376</v>
      </c>
      <c r="W489" s="473" t="s">
        <v>821</v>
      </c>
      <c r="X489" s="473">
        <v>0</v>
      </c>
      <c r="Y489" s="480">
        <f>X489*L489</f>
        <v>0</v>
      </c>
      <c r="Z489" s="509" t="s">
        <v>1377</v>
      </c>
      <c r="AA489" s="458" t="s">
        <v>1378</v>
      </c>
      <c r="AB489" s="458" t="s">
        <v>76</v>
      </c>
      <c r="AC489" s="458"/>
      <c r="AD489" s="458"/>
      <c r="AE489" s="458"/>
      <c r="AF489" s="458">
        <v>0</v>
      </c>
      <c r="AG489" s="458">
        <v>0</v>
      </c>
      <c r="AH489" s="489"/>
      <c r="AI489" s="458"/>
      <c r="AJ489" s="458"/>
      <c r="AK489" s="458"/>
      <c r="AO489" s="495"/>
      <c r="AT489" s="495"/>
      <c r="AY489" s="498"/>
      <c r="BT489" s="495"/>
      <c r="BV489" s="495"/>
      <c r="CK489" s="425">
        <f t="shared" si="137"/>
        <v>0</v>
      </c>
      <c r="CL489" s="425">
        <f t="shared" si="149"/>
        <v>0</v>
      </c>
      <c r="CM489" s="425">
        <f t="shared" si="136"/>
        <v>0</v>
      </c>
      <c r="CN489" s="495"/>
      <c r="CO489" s="495"/>
      <c r="CP489" s="495"/>
      <c r="CT489" s="495"/>
      <c r="CU489" s="495"/>
      <c r="CV489" s="495"/>
      <c r="CW489" s="495"/>
      <c r="CX489" s="495"/>
    </row>
    <row r="490" s="425" customFormat="1" ht="31" customHeight="1" spans="1:102">
      <c r="A490" s="455">
        <v>45678</v>
      </c>
      <c r="B490" s="456" t="s">
        <v>1372</v>
      </c>
      <c r="C490" s="457" t="s">
        <v>90</v>
      </c>
      <c r="D490" s="425">
        <v>4500156322</v>
      </c>
      <c r="E490" s="895" t="s">
        <v>1373</v>
      </c>
      <c r="F490" s="425" t="s">
        <v>1374</v>
      </c>
      <c r="G490" s="458">
        <v>77711</v>
      </c>
      <c r="H490" s="458" t="s">
        <v>3151</v>
      </c>
      <c r="I490" s="458">
        <v>5400</v>
      </c>
      <c r="J490" s="458">
        <v>0</v>
      </c>
      <c r="K490" s="458">
        <v>75</v>
      </c>
      <c r="L490" s="462">
        <f t="shared" si="148"/>
        <v>72</v>
      </c>
      <c r="M490" s="463">
        <v>45888</v>
      </c>
      <c r="N490" s="463">
        <v>45884</v>
      </c>
      <c r="O490" s="464" t="s">
        <v>1375</v>
      </c>
      <c r="P490" s="464" t="s">
        <v>103</v>
      </c>
      <c r="Q490" s="458"/>
      <c r="R490" s="472">
        <v>45832</v>
      </c>
      <c r="S490" s="472" t="s">
        <v>66</v>
      </c>
      <c r="T490" s="472" t="s">
        <v>66</v>
      </c>
      <c r="U490" s="472"/>
      <c r="V490" s="473"/>
      <c r="W490" s="473" t="s">
        <v>821</v>
      </c>
      <c r="X490" s="473">
        <v>762.5</v>
      </c>
      <c r="Y490" s="480">
        <f>X490*L490</f>
        <v>54900</v>
      </c>
      <c r="Z490" s="509" t="s">
        <v>1377</v>
      </c>
      <c r="AA490" s="458" t="s">
        <v>1378</v>
      </c>
      <c r="AB490" s="458" t="s">
        <v>76</v>
      </c>
      <c r="AC490" s="458"/>
      <c r="AD490" s="458"/>
      <c r="AE490" s="458"/>
      <c r="AF490" s="458">
        <v>0</v>
      </c>
      <c r="AG490" s="458">
        <v>0</v>
      </c>
      <c r="AH490" s="489"/>
      <c r="AI490" s="458"/>
      <c r="AJ490" s="458"/>
      <c r="AK490" s="458">
        <f>I490*3</f>
        <v>16200</v>
      </c>
      <c r="AO490" s="495"/>
      <c r="AT490" s="495"/>
      <c r="AY490" s="498">
        <f>I490/24*3</f>
        <v>675</v>
      </c>
      <c r="BC490" s="425">
        <f>AK490</f>
        <v>16200</v>
      </c>
      <c r="BD490" s="425">
        <f>AK490</f>
        <v>16200</v>
      </c>
      <c r="BE490" s="425">
        <f>I490</f>
        <v>5400</v>
      </c>
      <c r="BF490" s="425">
        <f>I490/5</f>
        <v>1080</v>
      </c>
      <c r="BT490" s="495"/>
      <c r="BV490" s="495"/>
      <c r="CK490" s="425">
        <f t="shared" si="137"/>
        <v>0</v>
      </c>
      <c r="CL490" s="425">
        <f t="shared" si="149"/>
        <v>0</v>
      </c>
      <c r="CM490" s="425">
        <f t="shared" si="136"/>
        <v>0</v>
      </c>
      <c r="CN490" s="495"/>
      <c r="CO490" s="495"/>
      <c r="CP490" s="495"/>
      <c r="CT490" s="495"/>
      <c r="CU490" s="495"/>
      <c r="CV490" s="495"/>
      <c r="CW490" s="495"/>
      <c r="CX490" s="495"/>
    </row>
    <row r="491" s="425" customFormat="1" ht="31" customHeight="1" spans="1:102">
      <c r="A491" s="455">
        <v>45853</v>
      </c>
      <c r="B491" s="456" t="s">
        <v>1419</v>
      </c>
      <c r="C491" s="457" t="s">
        <v>231</v>
      </c>
      <c r="D491" s="425">
        <v>4500173864</v>
      </c>
      <c r="E491" s="457">
        <v>4400494423</v>
      </c>
      <c r="F491" s="425" t="s">
        <v>4393</v>
      </c>
      <c r="G491" s="458" t="s">
        <v>3165</v>
      </c>
      <c r="H491" s="458" t="s">
        <v>3303</v>
      </c>
      <c r="I491" s="458">
        <v>4000</v>
      </c>
      <c r="J491" s="458">
        <v>0</v>
      </c>
      <c r="K491" s="458">
        <v>25</v>
      </c>
      <c r="L491" s="462">
        <f t="shared" si="148"/>
        <v>160</v>
      </c>
      <c r="M491" s="463">
        <v>45888</v>
      </c>
      <c r="N491" s="463">
        <v>45884</v>
      </c>
      <c r="O491" s="464"/>
      <c r="P491" s="464" t="s">
        <v>103</v>
      </c>
      <c r="Q491" s="458"/>
      <c r="R491" s="472">
        <v>45866</v>
      </c>
      <c r="S491" s="472" t="s">
        <v>66</v>
      </c>
      <c r="T491" s="472" t="s">
        <v>66</v>
      </c>
      <c r="U491" s="472"/>
      <c r="V491" s="473" t="s">
        <v>4394</v>
      </c>
      <c r="W491" s="473" t="s">
        <v>1424</v>
      </c>
      <c r="X491" s="473">
        <v>0.9245</v>
      </c>
      <c r="Y491" s="480">
        <f t="shared" ref="Y491:Y499" si="150">X491*I491</f>
        <v>3698</v>
      </c>
      <c r="Z491" s="458"/>
      <c r="AA491" s="458" t="s">
        <v>3188</v>
      </c>
      <c r="AB491" s="458" t="s">
        <v>76</v>
      </c>
      <c r="AC491" s="458"/>
      <c r="AD491" s="458"/>
      <c r="AE491" s="458"/>
      <c r="AF491" s="458">
        <f>3975+25</f>
        <v>4000</v>
      </c>
      <c r="AG491" s="458">
        <f>AF491-I491</f>
        <v>0</v>
      </c>
      <c r="AH491" s="489"/>
      <c r="AI491" s="458"/>
      <c r="AJ491" s="458"/>
      <c r="AK491" s="458"/>
      <c r="AL491" s="425">
        <f>I491</f>
        <v>4000</v>
      </c>
      <c r="AO491" s="495"/>
      <c r="AS491" s="425">
        <f>I491</f>
        <v>4000</v>
      </c>
      <c r="AT491" s="495"/>
      <c r="AY491" s="498">
        <f>I491/24</f>
        <v>166.666666666667</v>
      </c>
      <c r="BB491" s="425">
        <f>I491</f>
        <v>4000</v>
      </c>
      <c r="BL491" s="425">
        <f>I491/25</f>
        <v>160</v>
      </c>
      <c r="BT491" s="495"/>
      <c r="BV491" s="495"/>
      <c r="CK491" s="425">
        <f t="shared" si="137"/>
        <v>160</v>
      </c>
      <c r="CL491" s="425">
        <f t="shared" si="149"/>
        <v>0</v>
      </c>
      <c r="CM491" s="425">
        <f t="shared" si="136"/>
        <v>0</v>
      </c>
      <c r="CN491" s="495"/>
      <c r="CO491" s="495"/>
      <c r="CP491" s="495"/>
      <c r="CT491" s="495"/>
      <c r="CU491" s="495"/>
      <c r="CV491" s="495"/>
      <c r="CW491" s="495"/>
      <c r="CX491" s="495"/>
    </row>
    <row r="492" s="425" customFormat="1" ht="31" customHeight="1" spans="1:102">
      <c r="A492" s="455">
        <v>45828</v>
      </c>
      <c r="B492" s="456" t="s">
        <v>220</v>
      </c>
      <c r="C492" s="457" t="s">
        <v>90</v>
      </c>
      <c r="D492" s="425">
        <v>4500170737</v>
      </c>
      <c r="E492" s="457" t="s">
        <v>4395</v>
      </c>
      <c r="F492" s="425" t="s">
        <v>4396</v>
      </c>
      <c r="G492" s="458" t="s">
        <v>3198</v>
      </c>
      <c r="H492" s="458" t="s">
        <v>3303</v>
      </c>
      <c r="I492" s="458">
        <v>23175</v>
      </c>
      <c r="J492" s="458">
        <v>0</v>
      </c>
      <c r="K492" s="458">
        <v>25</v>
      </c>
      <c r="L492" s="462">
        <f t="shared" si="148"/>
        <v>927</v>
      </c>
      <c r="M492" s="463">
        <v>45891</v>
      </c>
      <c r="N492" s="463">
        <v>45887</v>
      </c>
      <c r="O492" s="464"/>
      <c r="P492" s="464" t="s">
        <v>103</v>
      </c>
      <c r="Q492" s="458"/>
      <c r="R492" s="472">
        <v>45845</v>
      </c>
      <c r="S492" s="472" t="s">
        <v>96</v>
      </c>
      <c r="T492" s="472">
        <v>45862</v>
      </c>
      <c r="U492" s="472"/>
      <c r="V492" s="473" t="s">
        <v>4397</v>
      </c>
      <c r="W492" s="473" t="s">
        <v>226</v>
      </c>
      <c r="X492" s="473">
        <v>0.5488</v>
      </c>
      <c r="Y492" s="480">
        <f t="shared" si="150"/>
        <v>12718.44</v>
      </c>
      <c r="Z492" s="458" t="s">
        <v>4398</v>
      </c>
      <c r="AA492" s="458" t="s">
        <v>3198</v>
      </c>
      <c r="AB492" s="458" t="s">
        <v>76</v>
      </c>
      <c r="AC492" s="458"/>
      <c r="AD492" s="458"/>
      <c r="AE492" s="458"/>
      <c r="AF492" s="458">
        <v>23175</v>
      </c>
      <c r="AG492" s="458">
        <f>AF492-I492</f>
        <v>0</v>
      </c>
      <c r="AH492" s="489"/>
      <c r="AI492" s="458"/>
      <c r="AJ492" s="458"/>
      <c r="AK492" s="458">
        <f>I492</f>
        <v>23175</v>
      </c>
      <c r="AM492" s="425">
        <f>I492</f>
        <v>23175</v>
      </c>
      <c r="AO492" s="495"/>
      <c r="AR492" s="425">
        <f>I492</f>
        <v>23175</v>
      </c>
      <c r="AT492" s="495"/>
      <c r="AY492" s="498">
        <f>I492/24</f>
        <v>965.625</v>
      </c>
      <c r="BJ492" s="425">
        <f>I492/25</f>
        <v>927</v>
      </c>
      <c r="BT492" s="495"/>
      <c r="BV492" s="495"/>
      <c r="CK492" s="425">
        <f t="shared" si="137"/>
        <v>927</v>
      </c>
      <c r="CL492" s="425">
        <f t="shared" si="149"/>
        <v>0</v>
      </c>
      <c r="CM492" s="425">
        <f t="shared" si="136"/>
        <v>0</v>
      </c>
      <c r="CN492" s="495"/>
      <c r="CO492" s="495"/>
      <c r="CP492" s="495"/>
      <c r="CT492" s="495"/>
      <c r="CU492" s="495"/>
      <c r="CV492" s="495"/>
      <c r="CW492" s="495"/>
      <c r="CX492" s="495"/>
    </row>
    <row r="493" s="425" customFormat="1" ht="31" customHeight="1" spans="1:102">
      <c r="A493" s="455">
        <v>45831</v>
      </c>
      <c r="B493" s="456" t="s">
        <v>122</v>
      </c>
      <c r="C493" s="457" t="s">
        <v>116</v>
      </c>
      <c r="D493" s="425">
        <v>4500170993</v>
      </c>
      <c r="E493" s="457">
        <v>20862334</v>
      </c>
      <c r="F493" s="425" t="s">
        <v>1406</v>
      </c>
      <c r="G493" s="458" t="s">
        <v>3436</v>
      </c>
      <c r="H493" s="458" t="s">
        <v>424</v>
      </c>
      <c r="I493" s="458">
        <v>1350</v>
      </c>
      <c r="J493" s="458">
        <v>0</v>
      </c>
      <c r="K493" s="458">
        <v>6</v>
      </c>
      <c r="L493" s="462">
        <f t="shared" si="148"/>
        <v>225</v>
      </c>
      <c r="M493" s="463">
        <v>45891</v>
      </c>
      <c r="N493" s="463">
        <v>45887</v>
      </c>
      <c r="O493" s="464"/>
      <c r="P493" s="464" t="s">
        <v>103</v>
      </c>
      <c r="Q493" s="458"/>
      <c r="R493" s="472">
        <v>45848</v>
      </c>
      <c r="S493" s="472" t="s">
        <v>96</v>
      </c>
      <c r="T493" s="472">
        <v>45866</v>
      </c>
      <c r="U493" s="472"/>
      <c r="V493" s="473" t="s">
        <v>4399</v>
      </c>
      <c r="W493" s="473" t="s">
        <v>121</v>
      </c>
      <c r="X493" s="473">
        <v>7.0773</v>
      </c>
      <c r="Y493" s="480">
        <f t="shared" si="150"/>
        <v>9554.355</v>
      </c>
      <c r="Z493" s="458"/>
      <c r="AA493" s="458" t="s">
        <v>1203</v>
      </c>
      <c r="AB493" s="458" t="s">
        <v>76</v>
      </c>
      <c r="AC493" s="458"/>
      <c r="AD493" s="458"/>
      <c r="AE493" s="458"/>
      <c r="AF493" s="458">
        <v>0</v>
      </c>
      <c r="AG493" s="458">
        <v>0</v>
      </c>
      <c r="AH493" s="489"/>
      <c r="AI493" s="458"/>
      <c r="AJ493" s="458"/>
      <c r="AK493" s="458"/>
      <c r="AL493" s="425">
        <f>I493*2</f>
        <v>2700</v>
      </c>
      <c r="AO493" s="495">
        <f>$I493*2</f>
        <v>2700</v>
      </c>
      <c r="AS493" s="425">
        <f>I493*2</f>
        <v>2700</v>
      </c>
      <c r="AT493" s="495"/>
      <c r="AY493" s="498">
        <f>I493/24*2</f>
        <v>112.5</v>
      </c>
      <c r="BT493" s="495"/>
      <c r="BU493" s="425">
        <f>I493</f>
        <v>1350</v>
      </c>
      <c r="BV493" s="495"/>
      <c r="CK493" s="425">
        <f t="shared" si="137"/>
        <v>0</v>
      </c>
      <c r="CL493" s="425">
        <f t="shared" si="149"/>
        <v>0</v>
      </c>
      <c r="CM493" s="425">
        <f t="shared" si="136"/>
        <v>0</v>
      </c>
      <c r="CN493" s="495"/>
      <c r="CO493" s="495"/>
      <c r="CP493" s="495"/>
      <c r="CT493" s="495"/>
      <c r="CU493" s="495"/>
      <c r="CV493" s="495"/>
      <c r="CW493" s="495"/>
      <c r="CX493" s="495"/>
    </row>
    <row r="494" s="425" customFormat="1" ht="31" customHeight="1" spans="1:102">
      <c r="A494" s="455">
        <v>45831</v>
      </c>
      <c r="B494" s="456" t="s">
        <v>122</v>
      </c>
      <c r="C494" s="457" t="s">
        <v>116</v>
      </c>
      <c r="D494" s="425">
        <v>4500170993</v>
      </c>
      <c r="E494" s="457">
        <v>20862335</v>
      </c>
      <c r="F494" s="425" t="s">
        <v>1408</v>
      </c>
      <c r="G494" s="458" t="s">
        <v>3436</v>
      </c>
      <c r="H494" s="458" t="s">
        <v>424</v>
      </c>
      <c r="I494" s="458">
        <v>1350</v>
      </c>
      <c r="J494" s="458">
        <v>0</v>
      </c>
      <c r="K494" s="458">
        <v>6</v>
      </c>
      <c r="L494" s="462">
        <f t="shared" si="148"/>
        <v>225</v>
      </c>
      <c r="M494" s="463">
        <v>45891</v>
      </c>
      <c r="N494" s="463">
        <v>45887</v>
      </c>
      <c r="O494" s="464"/>
      <c r="P494" s="464" t="s">
        <v>103</v>
      </c>
      <c r="Q494" s="458"/>
      <c r="R494" s="472">
        <v>45848</v>
      </c>
      <c r="S494" s="472" t="s">
        <v>96</v>
      </c>
      <c r="T494" s="472">
        <v>45866</v>
      </c>
      <c r="U494" s="472"/>
      <c r="V494" s="473" t="s">
        <v>4399</v>
      </c>
      <c r="W494" s="473" t="s">
        <v>121</v>
      </c>
      <c r="X494" s="473">
        <v>7.0773</v>
      </c>
      <c r="Y494" s="480">
        <f t="shared" si="150"/>
        <v>9554.355</v>
      </c>
      <c r="Z494" s="458"/>
      <c r="AA494" s="458" t="s">
        <v>1203</v>
      </c>
      <c r="AB494" s="458" t="s">
        <v>76</v>
      </c>
      <c r="AC494" s="458"/>
      <c r="AD494" s="458"/>
      <c r="AE494" s="458"/>
      <c r="AF494" s="458">
        <v>0</v>
      </c>
      <c r="AG494" s="458">
        <v>0</v>
      </c>
      <c r="AH494" s="489"/>
      <c r="AI494" s="458"/>
      <c r="AJ494" s="458"/>
      <c r="AK494" s="458"/>
      <c r="AL494" s="425">
        <f>I494*2</f>
        <v>2700</v>
      </c>
      <c r="AO494" s="495">
        <f>$I494*2</f>
        <v>2700</v>
      </c>
      <c r="AS494" s="425">
        <f>I494*2</f>
        <v>2700</v>
      </c>
      <c r="AT494" s="495"/>
      <c r="AY494" s="498">
        <f>I494/24*2</f>
        <v>112.5</v>
      </c>
      <c r="BT494" s="495"/>
      <c r="BU494" s="425">
        <f>I494</f>
        <v>1350</v>
      </c>
      <c r="BV494" s="495"/>
      <c r="CK494" s="425">
        <f t="shared" si="137"/>
        <v>0</v>
      </c>
      <c r="CL494" s="425">
        <f t="shared" si="149"/>
        <v>0</v>
      </c>
      <c r="CM494" s="425">
        <f t="shared" si="136"/>
        <v>0</v>
      </c>
      <c r="CN494" s="495"/>
      <c r="CO494" s="495"/>
      <c r="CP494" s="495"/>
      <c r="CT494" s="495"/>
      <c r="CU494" s="495"/>
      <c r="CV494" s="495"/>
      <c r="CW494" s="495"/>
      <c r="CX494" s="495"/>
    </row>
    <row r="495" s="425" customFormat="1" ht="31" customHeight="1" spans="1:102">
      <c r="A495" s="455">
        <v>45831</v>
      </c>
      <c r="B495" s="456" t="s">
        <v>125</v>
      </c>
      <c r="C495" s="457" t="s">
        <v>71</v>
      </c>
      <c r="D495" s="425">
        <v>4500170994</v>
      </c>
      <c r="E495" s="457">
        <v>20862340</v>
      </c>
      <c r="F495" s="425" t="s">
        <v>1409</v>
      </c>
      <c r="G495" s="458" t="s">
        <v>3436</v>
      </c>
      <c r="H495" s="458" t="s">
        <v>424</v>
      </c>
      <c r="I495" s="458">
        <v>150</v>
      </c>
      <c r="J495" s="458">
        <v>0</v>
      </c>
      <c r="K495" s="458">
        <v>6</v>
      </c>
      <c r="L495" s="462">
        <f t="shared" si="148"/>
        <v>25</v>
      </c>
      <c r="M495" s="463">
        <v>45891</v>
      </c>
      <c r="N495" s="463">
        <v>45887</v>
      </c>
      <c r="O495" s="464"/>
      <c r="P495" s="464" t="s">
        <v>103</v>
      </c>
      <c r="Q495" s="458"/>
      <c r="R495" s="472">
        <v>45848</v>
      </c>
      <c r="S495" s="472" t="s">
        <v>96</v>
      </c>
      <c r="T495" s="472">
        <v>45866</v>
      </c>
      <c r="U495" s="472"/>
      <c r="V495" s="473" t="s">
        <v>4400</v>
      </c>
      <c r="W495" s="473" t="s">
        <v>121</v>
      </c>
      <c r="X495" s="473">
        <v>7.4117</v>
      </c>
      <c r="Y495" s="480">
        <f t="shared" si="150"/>
        <v>1111.755</v>
      </c>
      <c r="Z495" s="458"/>
      <c r="AA495" s="458" t="s">
        <v>1203</v>
      </c>
      <c r="AB495" s="458" t="s">
        <v>76</v>
      </c>
      <c r="AC495" s="458"/>
      <c r="AD495" s="458"/>
      <c r="AE495" s="458"/>
      <c r="AF495" s="458">
        <v>0</v>
      </c>
      <c r="AG495" s="458">
        <v>0</v>
      </c>
      <c r="AH495" s="489"/>
      <c r="AI495" s="458"/>
      <c r="AJ495" s="458"/>
      <c r="AK495" s="458"/>
      <c r="AL495" s="425">
        <f>I495*2</f>
        <v>300</v>
      </c>
      <c r="AO495" s="495">
        <f>$I495*2</f>
        <v>300</v>
      </c>
      <c r="AS495" s="425">
        <f>I495*2</f>
        <v>300</v>
      </c>
      <c r="AT495" s="495"/>
      <c r="AY495" s="498">
        <f>I495/24*2</f>
        <v>12.5</v>
      </c>
      <c r="BT495" s="495"/>
      <c r="BU495" s="425">
        <f>I495</f>
        <v>150</v>
      </c>
      <c r="BV495" s="495"/>
      <c r="CK495" s="425">
        <f t="shared" si="137"/>
        <v>0</v>
      </c>
      <c r="CL495" s="425">
        <f t="shared" si="149"/>
        <v>0</v>
      </c>
      <c r="CM495" s="425">
        <f t="shared" si="136"/>
        <v>0</v>
      </c>
      <c r="CN495" s="495"/>
      <c r="CO495" s="495"/>
      <c r="CP495" s="495"/>
      <c r="CT495" s="495"/>
      <c r="CU495" s="495"/>
      <c r="CV495" s="495"/>
      <c r="CW495" s="495"/>
      <c r="CX495" s="495"/>
    </row>
    <row r="496" s="425" customFormat="1" ht="31" customHeight="1" spans="1:102">
      <c r="A496" s="455">
        <v>45831</v>
      </c>
      <c r="B496" s="456" t="s">
        <v>125</v>
      </c>
      <c r="C496" s="457" t="s">
        <v>71</v>
      </c>
      <c r="D496" s="425">
        <v>4500170994</v>
      </c>
      <c r="E496" s="457">
        <v>20862341</v>
      </c>
      <c r="F496" s="425" t="s">
        <v>1410</v>
      </c>
      <c r="G496" s="458" t="s">
        <v>3436</v>
      </c>
      <c r="H496" s="458" t="s">
        <v>424</v>
      </c>
      <c r="I496" s="458">
        <v>150</v>
      </c>
      <c r="J496" s="458">
        <v>0</v>
      </c>
      <c r="K496" s="458">
        <v>6</v>
      </c>
      <c r="L496" s="462">
        <f t="shared" si="148"/>
        <v>25</v>
      </c>
      <c r="M496" s="463">
        <v>45891</v>
      </c>
      <c r="N496" s="463">
        <v>45887</v>
      </c>
      <c r="O496" s="464"/>
      <c r="P496" s="464" t="s">
        <v>103</v>
      </c>
      <c r="Q496" s="458"/>
      <c r="R496" s="472">
        <v>45848</v>
      </c>
      <c r="S496" s="472" t="s">
        <v>96</v>
      </c>
      <c r="T496" s="472">
        <v>45866</v>
      </c>
      <c r="U496" s="472"/>
      <c r="V496" s="473" t="s">
        <v>4400</v>
      </c>
      <c r="W496" s="473" t="s">
        <v>121</v>
      </c>
      <c r="X496" s="473">
        <v>7.4117</v>
      </c>
      <c r="Y496" s="480">
        <f t="shared" si="150"/>
        <v>1111.755</v>
      </c>
      <c r="Z496" s="458"/>
      <c r="AA496" s="458" t="s">
        <v>1203</v>
      </c>
      <c r="AB496" s="458" t="s">
        <v>76</v>
      </c>
      <c r="AC496" s="458"/>
      <c r="AD496" s="458"/>
      <c r="AE496" s="458"/>
      <c r="AF496" s="458">
        <v>0</v>
      </c>
      <c r="AG496" s="458">
        <v>0</v>
      </c>
      <c r="AH496" s="489"/>
      <c r="AI496" s="458"/>
      <c r="AJ496" s="458"/>
      <c r="AK496" s="458"/>
      <c r="AL496" s="425">
        <f>I496*2</f>
        <v>300</v>
      </c>
      <c r="AO496" s="495">
        <f>$I496*2</f>
        <v>300</v>
      </c>
      <c r="AS496" s="425">
        <f>I496*2</f>
        <v>300</v>
      </c>
      <c r="AT496" s="495"/>
      <c r="AY496" s="498">
        <f>I496/24*2</f>
        <v>12.5</v>
      </c>
      <c r="BT496" s="495"/>
      <c r="BU496" s="425">
        <f>I496</f>
        <v>150</v>
      </c>
      <c r="BV496" s="495"/>
      <c r="CK496" s="425">
        <f t="shared" si="137"/>
        <v>0</v>
      </c>
      <c r="CL496" s="425">
        <f t="shared" si="149"/>
        <v>0</v>
      </c>
      <c r="CM496" s="425">
        <f t="shared" si="136"/>
        <v>0</v>
      </c>
      <c r="CN496" s="495"/>
      <c r="CO496" s="495"/>
      <c r="CP496" s="495"/>
      <c r="CT496" s="495"/>
      <c r="CU496" s="495"/>
      <c r="CV496" s="495"/>
      <c r="CW496" s="495"/>
      <c r="CX496" s="495"/>
    </row>
    <row r="497" s="425" customFormat="1" ht="31" customHeight="1" spans="1:102">
      <c r="A497" s="455">
        <v>45828</v>
      </c>
      <c r="B497" s="456" t="s">
        <v>220</v>
      </c>
      <c r="C497" s="457" t="s">
        <v>90</v>
      </c>
      <c r="D497" s="425">
        <v>4500170678</v>
      </c>
      <c r="E497" s="457" t="s">
        <v>1440</v>
      </c>
      <c r="F497" s="425" t="s">
        <v>4401</v>
      </c>
      <c r="G497" s="458" t="s">
        <v>3198</v>
      </c>
      <c r="H497" s="458" t="s">
        <v>3303</v>
      </c>
      <c r="I497" s="458">
        <v>14975</v>
      </c>
      <c r="J497" s="458">
        <v>0</v>
      </c>
      <c r="K497" s="458">
        <v>25</v>
      </c>
      <c r="L497" s="462">
        <f t="shared" si="148"/>
        <v>599</v>
      </c>
      <c r="M497" s="463">
        <v>45894</v>
      </c>
      <c r="N497" s="463">
        <v>45890</v>
      </c>
      <c r="O497" s="464"/>
      <c r="P497" s="464" t="s">
        <v>103</v>
      </c>
      <c r="Q497" s="458"/>
      <c r="R497" s="472">
        <v>45853</v>
      </c>
      <c r="S497" s="472" t="s">
        <v>96</v>
      </c>
      <c r="T497" s="472">
        <v>45853</v>
      </c>
      <c r="U497" s="472"/>
      <c r="V497" s="473" t="s">
        <v>4402</v>
      </c>
      <c r="W497" s="473" t="s">
        <v>226</v>
      </c>
      <c r="X497" s="473">
        <v>0.5543</v>
      </c>
      <c r="Y497" s="480">
        <f t="shared" si="150"/>
        <v>8300.6425</v>
      </c>
      <c r="Z497" s="458" t="s">
        <v>1443</v>
      </c>
      <c r="AA497" s="458" t="s">
        <v>3198</v>
      </c>
      <c r="AB497" s="458" t="s">
        <v>76</v>
      </c>
      <c r="AC497" s="458"/>
      <c r="AD497" s="458"/>
      <c r="AE497" s="458"/>
      <c r="AF497" s="458">
        <v>14975</v>
      </c>
      <c r="AG497" s="458">
        <f t="shared" ref="AG497:AG504" si="151">AF497-I497</f>
        <v>0</v>
      </c>
      <c r="AH497" s="489"/>
      <c r="AI497" s="458"/>
      <c r="AJ497" s="458"/>
      <c r="AK497" s="458">
        <f>I497</f>
        <v>14975</v>
      </c>
      <c r="AM497" s="425">
        <f>I497</f>
        <v>14975</v>
      </c>
      <c r="AO497" s="495"/>
      <c r="AR497" s="425">
        <f>I497</f>
        <v>14975</v>
      </c>
      <c r="AT497" s="495"/>
      <c r="AY497" s="498">
        <f>I497/24</f>
        <v>623.958333333333</v>
      </c>
      <c r="BJ497" s="425">
        <f>I497/25</f>
        <v>599</v>
      </c>
      <c r="BT497" s="495"/>
      <c r="BV497" s="495"/>
      <c r="CK497" s="425">
        <f t="shared" si="137"/>
        <v>599</v>
      </c>
      <c r="CL497" s="425">
        <f t="shared" si="149"/>
        <v>0</v>
      </c>
      <c r="CM497" s="425">
        <f t="shared" si="136"/>
        <v>0</v>
      </c>
      <c r="CN497" s="495"/>
      <c r="CO497" s="495"/>
      <c r="CP497" s="495"/>
      <c r="CT497" s="495"/>
      <c r="CU497" s="495"/>
      <c r="CV497" s="495"/>
      <c r="CW497" s="495"/>
      <c r="CX497" s="495"/>
    </row>
    <row r="498" s="425" customFormat="1" ht="31" customHeight="1" spans="1:102">
      <c r="A498" s="455">
        <v>45840</v>
      </c>
      <c r="B498" s="456" t="s">
        <v>1383</v>
      </c>
      <c r="C498" s="457" t="s">
        <v>90</v>
      </c>
      <c r="D498" s="425">
        <v>4500172507</v>
      </c>
      <c r="E498" s="457" t="s">
        <v>4290</v>
      </c>
      <c r="F498" s="425" t="s">
        <v>4403</v>
      </c>
      <c r="G498" s="458" t="s">
        <v>3900</v>
      </c>
      <c r="H498" s="458" t="s">
        <v>3237</v>
      </c>
      <c r="I498" s="458">
        <v>5160</v>
      </c>
      <c r="J498" s="458">
        <v>0</v>
      </c>
      <c r="K498" s="458">
        <v>12</v>
      </c>
      <c r="L498" s="462">
        <f t="shared" si="148"/>
        <v>430</v>
      </c>
      <c r="M498" s="463">
        <v>45891</v>
      </c>
      <c r="N498" s="463">
        <v>45887</v>
      </c>
      <c r="O498" s="464"/>
      <c r="P498" s="464" t="s">
        <v>103</v>
      </c>
      <c r="Q498" s="458"/>
      <c r="R498" s="472">
        <v>45840</v>
      </c>
      <c r="S498" s="472" t="s">
        <v>96</v>
      </c>
      <c r="T498" s="472">
        <v>45868</v>
      </c>
      <c r="U498" s="472"/>
      <c r="V498" s="473" t="s">
        <v>4138</v>
      </c>
      <c r="W498" s="473" t="s">
        <v>113</v>
      </c>
      <c r="X498" s="473">
        <v>1.2969</v>
      </c>
      <c r="Y498" s="480">
        <f t="shared" si="150"/>
        <v>6692.004</v>
      </c>
      <c r="Z498" s="458" t="s">
        <v>4404</v>
      </c>
      <c r="AA498" s="458" t="s">
        <v>3236</v>
      </c>
      <c r="AB498" s="458" t="s">
        <v>76</v>
      </c>
      <c r="AC498" s="458"/>
      <c r="AD498" s="458"/>
      <c r="AE498" s="458"/>
      <c r="AF498" s="458">
        <f>1560+3600</f>
        <v>5160</v>
      </c>
      <c r="AG498" s="458">
        <f t="shared" si="151"/>
        <v>0</v>
      </c>
      <c r="AH498" s="489"/>
      <c r="AI498" s="458"/>
      <c r="AJ498" s="458"/>
      <c r="AK498" s="458">
        <f>I498*2</f>
        <v>10320</v>
      </c>
      <c r="AN498" s="425">
        <f>I498*2</f>
        <v>10320</v>
      </c>
      <c r="AO498" s="495"/>
      <c r="AR498" s="425">
        <f>I498*2</f>
        <v>10320</v>
      </c>
      <c r="AT498" s="495"/>
      <c r="AY498" s="498">
        <f>I498/24*2</f>
        <v>430</v>
      </c>
      <c r="BT498" s="495"/>
      <c r="BV498" s="495"/>
      <c r="CH498" s="425">
        <f>I498</f>
        <v>5160</v>
      </c>
      <c r="CI498" s="425">
        <f>I498</f>
        <v>5160</v>
      </c>
      <c r="CJ498" s="425">
        <f>I498</f>
        <v>5160</v>
      </c>
      <c r="CK498" s="425">
        <f t="shared" si="137"/>
        <v>0</v>
      </c>
      <c r="CL498" s="425">
        <f t="shared" si="149"/>
        <v>0</v>
      </c>
      <c r="CM498" s="425">
        <f t="shared" si="136"/>
        <v>0</v>
      </c>
      <c r="CN498" s="495"/>
      <c r="CO498" s="495"/>
      <c r="CP498" s="495"/>
      <c r="CT498" s="495"/>
      <c r="CU498" s="495"/>
      <c r="CV498" s="495"/>
      <c r="CW498" s="495"/>
      <c r="CX498" s="495"/>
    </row>
    <row r="499" s="425" customFormat="1" ht="31" customHeight="1" spans="1:102">
      <c r="A499" s="455">
        <v>45849</v>
      </c>
      <c r="B499" s="456" t="s">
        <v>1877</v>
      </c>
      <c r="C499" s="457" t="s">
        <v>356</v>
      </c>
      <c r="D499" s="425">
        <v>4500173486</v>
      </c>
      <c r="E499" s="457" t="s">
        <v>4405</v>
      </c>
      <c r="F499" s="425" t="s">
        <v>4406</v>
      </c>
      <c r="G499" s="458" t="s">
        <v>3231</v>
      </c>
      <c r="H499" s="458" t="s">
        <v>3207</v>
      </c>
      <c r="I499" s="458">
        <v>1209</v>
      </c>
      <c r="J499" s="458">
        <v>0</v>
      </c>
      <c r="K499" s="458">
        <v>13</v>
      </c>
      <c r="L499" s="462">
        <f t="shared" si="148"/>
        <v>93</v>
      </c>
      <c r="M499" s="463">
        <v>45891</v>
      </c>
      <c r="N499" s="463">
        <f>M499-4</f>
        <v>45887</v>
      </c>
      <c r="O499" s="464"/>
      <c r="P499" s="464" t="s">
        <v>103</v>
      </c>
      <c r="Q499" s="458" t="s">
        <v>4407</v>
      </c>
      <c r="R499" s="472">
        <v>45852</v>
      </c>
      <c r="S499" s="472" t="s">
        <v>66</v>
      </c>
      <c r="T499" s="472" t="s">
        <v>3441</v>
      </c>
      <c r="U499" s="472"/>
      <c r="V499" s="473" t="s">
        <v>4408</v>
      </c>
      <c r="W499" s="473" t="s">
        <v>391</v>
      </c>
      <c r="X499" s="473">
        <v>0.8947</v>
      </c>
      <c r="Y499" s="480">
        <f t="shared" si="150"/>
        <v>1081.6923</v>
      </c>
      <c r="Z499" s="458" t="s">
        <v>4409</v>
      </c>
      <c r="AA499" s="458" t="s">
        <v>3206</v>
      </c>
      <c r="AB499" s="458" t="s">
        <v>76</v>
      </c>
      <c r="AC499" s="458"/>
      <c r="AD499" s="458"/>
      <c r="AE499" s="458"/>
      <c r="AF499" s="458">
        <v>1209</v>
      </c>
      <c r="AG499" s="458">
        <f t="shared" si="151"/>
        <v>0</v>
      </c>
      <c r="AH499" s="489"/>
      <c r="AI499" s="458"/>
      <c r="AJ499" s="458"/>
      <c r="AK499" s="458"/>
      <c r="AL499" s="425">
        <f>I499</f>
        <v>1209</v>
      </c>
      <c r="AO499" s="495"/>
      <c r="AQ499" s="425">
        <f>I499</f>
        <v>1209</v>
      </c>
      <c r="AS499" s="425">
        <f>I499</f>
        <v>1209</v>
      </c>
      <c r="AT499" s="495"/>
      <c r="AY499" s="498">
        <f>I499/24</f>
        <v>50.375</v>
      </c>
      <c r="BI499" s="425">
        <f>I499/13</f>
        <v>93</v>
      </c>
      <c r="BT499" s="495"/>
      <c r="BV499" s="495"/>
      <c r="CK499" s="425">
        <f t="shared" si="137"/>
        <v>0</v>
      </c>
      <c r="CL499" s="425">
        <f t="shared" si="149"/>
        <v>0</v>
      </c>
      <c r="CM499" s="425">
        <f t="shared" si="136"/>
        <v>0</v>
      </c>
      <c r="CN499" s="495"/>
      <c r="CO499" s="495"/>
      <c r="CP499" s="495"/>
      <c r="CT499" s="495"/>
      <c r="CU499" s="495"/>
      <c r="CV499" s="495"/>
      <c r="CW499" s="495"/>
      <c r="CX499" s="495"/>
    </row>
    <row r="500" s="425" customFormat="1" ht="31" customHeight="1" spans="1:102">
      <c r="A500" s="455">
        <v>45789</v>
      </c>
      <c r="B500" s="456" t="s">
        <v>4169</v>
      </c>
      <c r="C500" s="457" t="s">
        <v>90</v>
      </c>
      <c r="D500" s="425">
        <v>4500164261</v>
      </c>
      <c r="E500" s="457" t="s">
        <v>4410</v>
      </c>
      <c r="F500" s="425" t="s">
        <v>4411</v>
      </c>
      <c r="G500" s="458" t="s">
        <v>3518</v>
      </c>
      <c r="H500" s="458" t="s">
        <v>3519</v>
      </c>
      <c r="I500" s="458">
        <v>24960</v>
      </c>
      <c r="J500" s="458">
        <v>0</v>
      </c>
      <c r="K500" s="458">
        <v>48</v>
      </c>
      <c r="L500" s="462">
        <f t="shared" si="148"/>
        <v>520</v>
      </c>
      <c r="M500" s="463">
        <v>45894</v>
      </c>
      <c r="N500" s="463">
        <v>45890</v>
      </c>
      <c r="O500" s="464" t="s">
        <v>4412</v>
      </c>
      <c r="P500" s="464" t="s">
        <v>103</v>
      </c>
      <c r="Q500" s="458"/>
      <c r="R500" s="472" t="s">
        <v>3980</v>
      </c>
      <c r="S500" s="472" t="s">
        <v>66</v>
      </c>
      <c r="T500" s="472" t="s">
        <v>66</v>
      </c>
      <c r="U500" s="472" t="s">
        <v>4413</v>
      </c>
      <c r="V500" s="473" t="s">
        <v>4414</v>
      </c>
      <c r="W500" s="473" t="s">
        <v>3983</v>
      </c>
      <c r="X500" s="473">
        <v>0.97</v>
      </c>
      <c r="Y500" s="480">
        <f>I500*X500</f>
        <v>24211.2</v>
      </c>
      <c r="Z500" s="458" t="s">
        <v>4415</v>
      </c>
      <c r="AA500" s="458" t="s">
        <v>3518</v>
      </c>
      <c r="AB500" s="458" t="s">
        <v>76</v>
      </c>
      <c r="AC500" s="458"/>
      <c r="AD500" s="458"/>
      <c r="AE500" s="458"/>
      <c r="AF500" s="458">
        <v>24960</v>
      </c>
      <c r="AG500" s="458">
        <f t="shared" si="151"/>
        <v>0</v>
      </c>
      <c r="AH500" s="489"/>
      <c r="AI500" s="458"/>
      <c r="AJ500" s="458"/>
      <c r="AK500" s="458">
        <f>I500</f>
        <v>24960</v>
      </c>
      <c r="AO500" s="495"/>
      <c r="AR500" s="425">
        <f>I500</f>
        <v>24960</v>
      </c>
      <c r="AT500" s="495"/>
      <c r="AY500" s="498">
        <f>I500/24</f>
        <v>1040</v>
      </c>
      <c r="AZ500" s="425">
        <f>I500</f>
        <v>24960</v>
      </c>
      <c r="BO500" s="425">
        <f>I500/8</f>
        <v>3120</v>
      </c>
      <c r="BT500" s="495"/>
      <c r="BV500" s="495"/>
      <c r="CK500" s="425">
        <f t="shared" si="137"/>
        <v>0</v>
      </c>
      <c r="CL500" s="425">
        <f t="shared" si="149"/>
        <v>0</v>
      </c>
      <c r="CM500" s="425">
        <f t="shared" si="136"/>
        <v>0</v>
      </c>
      <c r="CN500" s="495"/>
      <c r="CO500" s="495"/>
      <c r="CP500" s="495"/>
      <c r="CT500" s="495"/>
      <c r="CU500" s="495"/>
      <c r="CV500" s="495"/>
      <c r="CW500" s="495"/>
      <c r="CX500" s="495"/>
    </row>
    <row r="501" s="425" customFormat="1" ht="31" customHeight="1" spans="1:102">
      <c r="A501" s="455">
        <v>45762</v>
      </c>
      <c r="B501" s="456" t="s">
        <v>4175</v>
      </c>
      <c r="C501" s="457" t="s">
        <v>249</v>
      </c>
      <c r="D501" s="425">
        <v>4500163740</v>
      </c>
      <c r="E501" s="457">
        <v>2950866796</v>
      </c>
      <c r="F501" s="425" t="s">
        <v>4416</v>
      </c>
      <c r="G501" s="458" t="s">
        <v>4177</v>
      </c>
      <c r="H501" s="458" t="s">
        <v>4178</v>
      </c>
      <c r="I501" s="458">
        <v>3900</v>
      </c>
      <c r="J501" s="458">
        <v>0</v>
      </c>
      <c r="K501" s="458">
        <v>975</v>
      </c>
      <c r="L501" s="462">
        <f t="shared" si="148"/>
        <v>4</v>
      </c>
      <c r="M501" s="463">
        <v>45894</v>
      </c>
      <c r="N501" s="463">
        <v>45890</v>
      </c>
      <c r="O501" s="464"/>
      <c r="P501" s="464" t="s">
        <v>103</v>
      </c>
      <c r="Q501" s="458"/>
      <c r="R501" s="472">
        <v>45811</v>
      </c>
      <c r="S501" s="472" t="s">
        <v>66</v>
      </c>
      <c r="T501" s="472" t="s">
        <v>66</v>
      </c>
      <c r="U501" s="472"/>
      <c r="V501" s="473" t="s">
        <v>4417</v>
      </c>
      <c r="W501" s="473" t="s">
        <v>254</v>
      </c>
      <c r="X501" s="473">
        <v>933.32</v>
      </c>
      <c r="Y501" s="480">
        <f>X501*L501</f>
        <v>3733.28</v>
      </c>
      <c r="Z501" s="458"/>
      <c r="AA501" s="458" t="s">
        <v>4177</v>
      </c>
      <c r="AB501" s="458" t="s">
        <v>76</v>
      </c>
      <c r="AC501" s="458"/>
      <c r="AD501" s="458" t="s">
        <v>69</v>
      </c>
      <c r="AE501" s="458"/>
      <c r="AF501" s="458">
        <v>3900</v>
      </c>
      <c r="AG501" s="458">
        <f t="shared" si="151"/>
        <v>0</v>
      </c>
      <c r="AH501" s="489"/>
      <c r="AI501" s="458"/>
      <c r="AJ501" s="458"/>
      <c r="AK501" s="458"/>
      <c r="AL501" s="425">
        <f>I501</f>
        <v>3900</v>
      </c>
      <c r="AM501" s="425">
        <f>I501</f>
        <v>3900</v>
      </c>
      <c r="AO501" s="495"/>
      <c r="AS501" s="425">
        <f>I501</f>
        <v>3900</v>
      </c>
      <c r="AT501" s="495"/>
      <c r="AY501" s="498">
        <f>I501/24*2</f>
        <v>325</v>
      </c>
      <c r="BI501" s="425">
        <f>I501/13</f>
        <v>300</v>
      </c>
      <c r="BT501" s="495"/>
      <c r="BV501" s="495"/>
      <c r="CK501" s="425">
        <f t="shared" si="137"/>
        <v>0</v>
      </c>
      <c r="CL501" s="425">
        <f t="shared" si="149"/>
        <v>0</v>
      </c>
      <c r="CM501" s="425">
        <f t="shared" si="136"/>
        <v>0</v>
      </c>
      <c r="CN501" s="495"/>
      <c r="CO501" s="495"/>
      <c r="CP501" s="495"/>
      <c r="CT501" s="495"/>
      <c r="CU501" s="495"/>
      <c r="CV501" s="495"/>
      <c r="CW501" s="495"/>
      <c r="CX501" s="495"/>
    </row>
    <row r="502" s="425" customFormat="1" ht="31" customHeight="1" spans="1:102">
      <c r="A502" s="455">
        <v>45852</v>
      </c>
      <c r="B502" s="456" t="s">
        <v>125</v>
      </c>
      <c r="C502" s="457" t="s">
        <v>71</v>
      </c>
      <c r="D502" s="425">
        <v>4500173689</v>
      </c>
      <c r="E502" s="457">
        <v>20977419</v>
      </c>
      <c r="F502" s="425" t="s">
        <v>4418</v>
      </c>
      <c r="G502" s="458" t="s">
        <v>3206</v>
      </c>
      <c r="H502" s="458" t="s">
        <v>3207</v>
      </c>
      <c r="I502" s="458">
        <v>130</v>
      </c>
      <c r="J502" s="458">
        <v>0</v>
      </c>
      <c r="K502" s="458">
        <v>13</v>
      </c>
      <c r="L502" s="462">
        <f t="shared" si="148"/>
        <v>10</v>
      </c>
      <c r="M502" s="463">
        <v>45894</v>
      </c>
      <c r="N502" s="463">
        <v>45890</v>
      </c>
      <c r="O502" s="464"/>
      <c r="P502" s="464" t="s">
        <v>103</v>
      </c>
      <c r="Q502" s="458"/>
      <c r="R502" s="472">
        <v>45866</v>
      </c>
      <c r="S502" s="472" t="s">
        <v>96</v>
      </c>
      <c r="T502" s="472">
        <v>45876</v>
      </c>
      <c r="U502" s="472"/>
      <c r="V502" s="473" t="s">
        <v>4419</v>
      </c>
      <c r="W502" s="473" t="s">
        <v>4420</v>
      </c>
      <c r="X502" s="473">
        <v>0.9526</v>
      </c>
      <c r="Y502" s="480">
        <f>X502*I502</f>
        <v>123.838</v>
      </c>
      <c r="Z502" s="458"/>
      <c r="AA502" s="458" t="s">
        <v>3206</v>
      </c>
      <c r="AB502" s="458" t="s">
        <v>76</v>
      </c>
      <c r="AC502" s="458"/>
      <c r="AD502" s="458"/>
      <c r="AE502" s="458"/>
      <c r="AF502" s="458">
        <v>130</v>
      </c>
      <c r="AG502" s="458">
        <f t="shared" si="151"/>
        <v>0</v>
      </c>
      <c r="AH502" s="489"/>
      <c r="AI502" s="458"/>
      <c r="AJ502" s="458"/>
      <c r="AK502" s="458"/>
      <c r="AL502" s="425">
        <f>I502</f>
        <v>130</v>
      </c>
      <c r="AO502" s="495"/>
      <c r="AQ502" s="425">
        <f>I502</f>
        <v>130</v>
      </c>
      <c r="AS502" s="425">
        <f>I502</f>
        <v>130</v>
      </c>
      <c r="AT502" s="495"/>
      <c r="AY502" s="498">
        <f>I502/24</f>
        <v>5.41666666666667</v>
      </c>
      <c r="BI502" s="425">
        <f>I502/13</f>
        <v>10</v>
      </c>
      <c r="BT502" s="495"/>
      <c r="BV502" s="495"/>
      <c r="CK502" s="425">
        <f t="shared" si="137"/>
        <v>0</v>
      </c>
      <c r="CL502" s="425">
        <f t="shared" si="149"/>
        <v>0</v>
      </c>
      <c r="CM502" s="425">
        <f t="shared" si="136"/>
        <v>0</v>
      </c>
      <c r="CN502" s="495"/>
      <c r="CO502" s="495"/>
      <c r="CP502" s="495"/>
      <c r="CT502" s="495"/>
      <c r="CU502" s="495"/>
      <c r="CV502" s="495"/>
      <c r="CW502" s="495"/>
      <c r="CX502" s="495"/>
    </row>
    <row r="503" s="425" customFormat="1" ht="31" customHeight="1" spans="1:102">
      <c r="A503" s="455">
        <v>45852</v>
      </c>
      <c r="B503" s="456" t="s">
        <v>122</v>
      </c>
      <c r="C503" s="457" t="s">
        <v>116</v>
      </c>
      <c r="D503" s="425">
        <v>4500173688</v>
      </c>
      <c r="E503" s="457">
        <v>20977418</v>
      </c>
      <c r="F503" s="425" t="s">
        <v>4421</v>
      </c>
      <c r="G503" s="458" t="s">
        <v>3206</v>
      </c>
      <c r="H503" s="458" t="s">
        <v>3207</v>
      </c>
      <c r="I503" s="458">
        <v>1404</v>
      </c>
      <c r="J503" s="458">
        <v>0</v>
      </c>
      <c r="K503" s="458">
        <v>13</v>
      </c>
      <c r="L503" s="462">
        <f t="shared" si="148"/>
        <v>108</v>
      </c>
      <c r="M503" s="463">
        <v>45894</v>
      </c>
      <c r="N503" s="463">
        <v>45890</v>
      </c>
      <c r="O503" s="464"/>
      <c r="P503" s="464" t="s">
        <v>103</v>
      </c>
      <c r="Q503" s="458"/>
      <c r="R503" s="472">
        <v>45866</v>
      </c>
      <c r="S503" s="472" t="s">
        <v>96</v>
      </c>
      <c r="T503" s="472">
        <v>45876</v>
      </c>
      <c r="U503" s="472"/>
      <c r="V503" s="473" t="s">
        <v>3313</v>
      </c>
      <c r="W503" s="473" t="s">
        <v>4420</v>
      </c>
      <c r="X503" s="473">
        <v>0.9475</v>
      </c>
      <c r="Y503" s="480">
        <f>X503*I503</f>
        <v>1330.29</v>
      </c>
      <c r="Z503" s="458"/>
      <c r="AA503" s="458" t="s">
        <v>3206</v>
      </c>
      <c r="AB503" s="458" t="s">
        <v>76</v>
      </c>
      <c r="AC503" s="458"/>
      <c r="AD503" s="458"/>
      <c r="AE503" s="458"/>
      <c r="AF503" s="458">
        <f>1404+13</f>
        <v>1417</v>
      </c>
      <c r="AG503" s="458">
        <f t="shared" si="151"/>
        <v>13</v>
      </c>
      <c r="AH503" s="489"/>
      <c r="AI503" s="458"/>
      <c r="AJ503" s="458"/>
      <c r="AK503" s="458"/>
      <c r="AL503" s="425">
        <f>I503</f>
        <v>1404</v>
      </c>
      <c r="AO503" s="495"/>
      <c r="AQ503" s="425">
        <f>I503</f>
        <v>1404</v>
      </c>
      <c r="AS503" s="425">
        <f>I503</f>
        <v>1404</v>
      </c>
      <c r="AT503" s="495"/>
      <c r="AY503" s="498">
        <f>I503/24</f>
        <v>58.5</v>
      </c>
      <c r="BI503" s="425">
        <f>I503/13</f>
        <v>108</v>
      </c>
      <c r="BT503" s="495"/>
      <c r="BV503" s="495"/>
      <c r="CK503" s="425">
        <f t="shared" si="137"/>
        <v>0</v>
      </c>
      <c r="CL503" s="425">
        <f t="shared" si="149"/>
        <v>0</v>
      </c>
      <c r="CM503" s="425">
        <f t="shared" si="136"/>
        <v>0</v>
      </c>
      <c r="CN503" s="495"/>
      <c r="CO503" s="495"/>
      <c r="CP503" s="495"/>
      <c r="CT503" s="495"/>
      <c r="CU503" s="495"/>
      <c r="CV503" s="495"/>
      <c r="CW503" s="495"/>
      <c r="CX503" s="495"/>
    </row>
    <row r="504" s="425" customFormat="1" ht="31" customHeight="1" spans="1:102">
      <c r="A504" s="455">
        <v>45840</v>
      </c>
      <c r="B504" s="456" t="s">
        <v>122</v>
      </c>
      <c r="C504" s="457" t="s">
        <v>116</v>
      </c>
      <c r="D504" s="425">
        <v>4500172403</v>
      </c>
      <c r="E504" s="457">
        <v>20862336</v>
      </c>
      <c r="F504" s="425" t="s">
        <v>1444</v>
      </c>
      <c r="G504" s="458" t="s">
        <v>3436</v>
      </c>
      <c r="H504" s="458" t="s">
        <v>424</v>
      </c>
      <c r="I504" s="458">
        <v>1350</v>
      </c>
      <c r="J504" s="458">
        <v>0</v>
      </c>
      <c r="K504" s="458">
        <v>6</v>
      </c>
      <c r="L504" s="462">
        <f t="shared" si="148"/>
        <v>225</v>
      </c>
      <c r="M504" s="463">
        <v>45901</v>
      </c>
      <c r="N504" s="463">
        <v>45891</v>
      </c>
      <c r="O504" s="464"/>
      <c r="P504" s="464" t="s">
        <v>103</v>
      </c>
      <c r="Q504" s="458" t="s">
        <v>1445</v>
      </c>
      <c r="R504" s="472">
        <v>45869</v>
      </c>
      <c r="S504" s="472" t="s">
        <v>96</v>
      </c>
      <c r="T504" s="472">
        <v>45880</v>
      </c>
      <c r="U504" s="472"/>
      <c r="V504" s="473" t="s">
        <v>4399</v>
      </c>
      <c r="W504" s="473" t="s">
        <v>121</v>
      </c>
      <c r="X504" s="473">
        <v>7.0773</v>
      </c>
      <c r="Y504" s="480">
        <f>X504*I504</f>
        <v>9554.355</v>
      </c>
      <c r="Z504" s="458" t="s">
        <v>4422</v>
      </c>
      <c r="AA504" s="458" t="s">
        <v>1203</v>
      </c>
      <c r="AB504" s="458" t="s">
        <v>76</v>
      </c>
      <c r="AC504" s="458"/>
      <c r="AD504" s="458"/>
      <c r="AE504" s="458"/>
      <c r="AF504" s="458">
        <v>1350</v>
      </c>
      <c r="AG504" s="458">
        <f t="shared" si="151"/>
        <v>0</v>
      </c>
      <c r="AH504" s="489"/>
      <c r="AI504" s="458"/>
      <c r="AJ504" s="458"/>
      <c r="AK504" s="458"/>
      <c r="AL504" s="425">
        <f>I504*2</f>
        <v>2700</v>
      </c>
      <c r="AO504" s="495">
        <f>$I504*2</f>
        <v>2700</v>
      </c>
      <c r="AS504" s="425">
        <f>I504</f>
        <v>1350</v>
      </c>
      <c r="AT504" s="495"/>
      <c r="AY504" s="498">
        <f>I504/24*2</f>
        <v>112.5</v>
      </c>
      <c r="BT504" s="495"/>
      <c r="BU504" s="425">
        <f>I504</f>
        <v>1350</v>
      </c>
      <c r="BV504" s="495"/>
      <c r="CK504" s="425">
        <f t="shared" si="137"/>
        <v>0</v>
      </c>
      <c r="CL504" s="425">
        <f t="shared" si="149"/>
        <v>0</v>
      </c>
      <c r="CM504" s="425">
        <f t="shared" si="136"/>
        <v>0</v>
      </c>
      <c r="CN504" s="495"/>
      <c r="CO504" s="495"/>
      <c r="CP504" s="495"/>
      <c r="CT504" s="495"/>
      <c r="CU504" s="495"/>
      <c r="CV504" s="495"/>
      <c r="CW504" s="495"/>
      <c r="CX504" s="495"/>
    </row>
    <row r="505" s="425" customFormat="1" ht="31" customHeight="1" spans="1:102">
      <c r="A505" s="455">
        <v>45678</v>
      </c>
      <c r="B505" s="456" t="s">
        <v>1372</v>
      </c>
      <c r="C505" s="457" t="s">
        <v>90</v>
      </c>
      <c r="D505" s="425">
        <v>4500156313</v>
      </c>
      <c r="E505" s="895" t="s">
        <v>1447</v>
      </c>
      <c r="F505" s="425" t="s">
        <v>1448</v>
      </c>
      <c r="G505" s="458" t="s">
        <v>819</v>
      </c>
      <c r="H505" s="458" t="s">
        <v>744</v>
      </c>
      <c r="I505" s="458">
        <v>72</v>
      </c>
      <c r="J505" s="458">
        <v>0</v>
      </c>
      <c r="K505" s="458">
        <v>1</v>
      </c>
      <c r="L505" s="462">
        <f t="shared" si="148"/>
        <v>72</v>
      </c>
      <c r="M505" s="463">
        <v>45890</v>
      </c>
      <c r="N505" s="463">
        <v>45887</v>
      </c>
      <c r="O505" s="464"/>
      <c r="P505" s="464" t="s">
        <v>103</v>
      </c>
      <c r="Q505" s="458"/>
      <c r="R505" s="472">
        <v>45832</v>
      </c>
      <c r="S505" s="472" t="s">
        <v>66</v>
      </c>
      <c r="T505" s="472" t="s">
        <v>66</v>
      </c>
      <c r="U505" s="472"/>
      <c r="V505" s="473" t="s">
        <v>4423</v>
      </c>
      <c r="W505" s="473" t="s">
        <v>821</v>
      </c>
      <c r="X505" s="473">
        <v>0</v>
      </c>
      <c r="Y505" s="480">
        <f>X505*L505</f>
        <v>0</v>
      </c>
      <c r="Z505" s="458" t="s">
        <v>1450</v>
      </c>
      <c r="AA505" s="458" t="s">
        <v>1378</v>
      </c>
      <c r="AB505" s="458" t="s">
        <v>76</v>
      </c>
      <c r="AC505" s="458"/>
      <c r="AD505" s="458"/>
      <c r="AE505" s="458"/>
      <c r="AF505" s="458">
        <v>0</v>
      </c>
      <c r="AG505" s="458">
        <v>0</v>
      </c>
      <c r="AH505" s="489"/>
      <c r="AI505" s="458"/>
      <c r="AJ505" s="458"/>
      <c r="AK505" s="458"/>
      <c r="AO505" s="495"/>
      <c r="AT505" s="495"/>
      <c r="AY505" s="498"/>
      <c r="BT505" s="495"/>
      <c r="BV505" s="495"/>
      <c r="CK505" s="425">
        <f t="shared" si="137"/>
        <v>0</v>
      </c>
      <c r="CL505" s="425">
        <f t="shared" si="149"/>
        <v>0</v>
      </c>
      <c r="CM505" s="425">
        <f t="shared" si="136"/>
        <v>0</v>
      </c>
      <c r="CN505" s="495"/>
      <c r="CO505" s="495"/>
      <c r="CP505" s="495"/>
      <c r="CT505" s="495"/>
      <c r="CU505" s="495"/>
      <c r="CV505" s="495"/>
      <c r="CW505" s="495"/>
      <c r="CX505" s="495"/>
    </row>
    <row r="506" s="425" customFormat="1" ht="31" customHeight="1" spans="1:102">
      <c r="A506" s="455">
        <v>45678</v>
      </c>
      <c r="B506" s="456" t="s">
        <v>1372</v>
      </c>
      <c r="C506" s="457" t="s">
        <v>90</v>
      </c>
      <c r="D506" s="425">
        <v>4500156313</v>
      </c>
      <c r="E506" s="895" t="s">
        <v>1447</v>
      </c>
      <c r="F506" s="425" t="s">
        <v>1448</v>
      </c>
      <c r="G506" s="458">
        <v>77711</v>
      </c>
      <c r="H506" s="458" t="s">
        <v>3151</v>
      </c>
      <c r="I506" s="458">
        <v>5400</v>
      </c>
      <c r="J506" s="458">
        <v>0</v>
      </c>
      <c r="K506" s="458">
        <v>75</v>
      </c>
      <c r="L506" s="462">
        <f t="shared" si="148"/>
        <v>72</v>
      </c>
      <c r="M506" s="463">
        <v>45890</v>
      </c>
      <c r="N506" s="463">
        <v>45887</v>
      </c>
      <c r="O506" s="464"/>
      <c r="P506" s="464" t="s">
        <v>103</v>
      </c>
      <c r="Q506" s="458"/>
      <c r="R506" s="472">
        <v>45832</v>
      </c>
      <c r="S506" s="472" t="s">
        <v>66</v>
      </c>
      <c r="T506" s="472" t="s">
        <v>66</v>
      </c>
      <c r="U506" s="472"/>
      <c r="V506" s="473"/>
      <c r="W506" s="473" t="s">
        <v>821</v>
      </c>
      <c r="X506" s="473">
        <v>762.5</v>
      </c>
      <c r="Y506" s="480">
        <f>X506*L506</f>
        <v>54900</v>
      </c>
      <c r="Z506" s="458" t="s">
        <v>1450</v>
      </c>
      <c r="AA506" s="458" t="s">
        <v>1378</v>
      </c>
      <c r="AB506" s="458" t="s">
        <v>76</v>
      </c>
      <c r="AC506" s="458"/>
      <c r="AD506" s="458"/>
      <c r="AE506" s="458"/>
      <c r="AF506" s="458">
        <v>0</v>
      </c>
      <c r="AG506" s="458">
        <v>0</v>
      </c>
      <c r="AH506" s="489"/>
      <c r="AI506" s="458"/>
      <c r="AJ506" s="458"/>
      <c r="AK506" s="458">
        <f>I506*3</f>
        <v>16200</v>
      </c>
      <c r="AO506" s="495"/>
      <c r="AT506" s="495"/>
      <c r="AY506" s="498">
        <f>I506/24*3</f>
        <v>675</v>
      </c>
      <c r="BC506" s="425">
        <f>AK506</f>
        <v>16200</v>
      </c>
      <c r="BD506" s="425">
        <f>AK506</f>
        <v>16200</v>
      </c>
      <c r="BE506" s="425">
        <f>I506</f>
        <v>5400</v>
      </c>
      <c r="BF506" s="425">
        <f>I506/5</f>
        <v>1080</v>
      </c>
      <c r="BT506" s="495"/>
      <c r="BV506" s="495"/>
      <c r="CK506" s="425">
        <f t="shared" si="137"/>
        <v>0</v>
      </c>
      <c r="CL506" s="425">
        <f t="shared" si="149"/>
        <v>0</v>
      </c>
      <c r="CM506" s="425">
        <f t="shared" si="136"/>
        <v>0</v>
      </c>
      <c r="CN506" s="495"/>
      <c r="CO506" s="495"/>
      <c r="CP506" s="495"/>
      <c r="CT506" s="495"/>
      <c r="CU506" s="495"/>
      <c r="CV506" s="495"/>
      <c r="CW506" s="495"/>
      <c r="CX506" s="495"/>
    </row>
    <row r="507" s="425" customFormat="1" ht="31" customHeight="1" spans="1:102">
      <c r="A507" s="455">
        <v>45838</v>
      </c>
      <c r="B507" s="456" t="s">
        <v>360</v>
      </c>
      <c r="C507" s="457" t="s">
        <v>249</v>
      </c>
      <c r="D507" s="425">
        <v>4500164293</v>
      </c>
      <c r="E507" s="457"/>
      <c r="F507" s="425" t="s">
        <v>4424</v>
      </c>
      <c r="G507" s="458" t="s">
        <v>3143</v>
      </c>
      <c r="H507" s="458" t="s">
        <v>3144</v>
      </c>
      <c r="I507" s="458">
        <v>120</v>
      </c>
      <c r="J507" s="458">
        <v>0</v>
      </c>
      <c r="K507" s="458">
        <v>24</v>
      </c>
      <c r="L507" s="462">
        <f t="shared" si="148"/>
        <v>5</v>
      </c>
      <c r="M507" s="463">
        <v>45891</v>
      </c>
      <c r="N507" s="463">
        <v>45887</v>
      </c>
      <c r="O507" s="464"/>
      <c r="P507" s="464" t="s">
        <v>103</v>
      </c>
      <c r="Q507" s="458"/>
      <c r="R507" s="472">
        <v>45838</v>
      </c>
      <c r="S507" s="472" t="s">
        <v>66</v>
      </c>
      <c r="T507" s="472">
        <v>45838</v>
      </c>
      <c r="U507" s="472"/>
      <c r="V507" s="473" t="s">
        <v>4425</v>
      </c>
      <c r="W507" s="473" t="s">
        <v>879</v>
      </c>
      <c r="X507" s="473">
        <v>0.8707</v>
      </c>
      <c r="Y507" s="480">
        <f>X507*I507</f>
        <v>104.484</v>
      </c>
      <c r="Z507" s="458"/>
      <c r="AA507" s="458" t="s">
        <v>3143</v>
      </c>
      <c r="AB507" s="458" t="s">
        <v>76</v>
      </c>
      <c r="AC507" s="458"/>
      <c r="AD507" s="458"/>
      <c r="AE507" s="458"/>
      <c r="AF507" s="458">
        <v>120</v>
      </c>
      <c r="AG507" s="458">
        <f>AF507-I507</f>
        <v>0</v>
      </c>
      <c r="AH507" s="489"/>
      <c r="AI507" s="458"/>
      <c r="AJ507" s="458"/>
      <c r="AK507" s="458"/>
      <c r="AL507" s="425">
        <f>I507</f>
        <v>120</v>
      </c>
      <c r="AO507" s="495"/>
      <c r="AQ507" s="425">
        <f>I507</f>
        <v>120</v>
      </c>
      <c r="AS507" s="425">
        <f>I507</f>
        <v>120</v>
      </c>
      <c r="AT507" s="495"/>
      <c r="AY507" s="498">
        <f>I507/24</f>
        <v>5</v>
      </c>
      <c r="BT507" s="495"/>
      <c r="BV507" s="495"/>
      <c r="CK507" s="425">
        <f t="shared" si="137"/>
        <v>0</v>
      </c>
      <c r="CL507" s="425">
        <f t="shared" si="149"/>
        <v>0</v>
      </c>
      <c r="CM507" s="425">
        <f t="shared" si="136"/>
        <v>0</v>
      </c>
      <c r="CN507" s="495"/>
      <c r="CO507" s="495"/>
      <c r="CP507" s="495"/>
      <c r="CT507" s="495"/>
      <c r="CU507" s="495"/>
      <c r="CV507" s="495"/>
      <c r="CW507" s="495"/>
      <c r="CX507" s="495"/>
    </row>
    <row r="508" s="425" customFormat="1" ht="31" customHeight="1" spans="1:102">
      <c r="A508" s="455">
        <v>45862</v>
      </c>
      <c r="B508" s="456" t="s">
        <v>122</v>
      </c>
      <c r="C508" s="457" t="s">
        <v>116</v>
      </c>
      <c r="D508" s="425">
        <v>4500172403</v>
      </c>
      <c r="E508" s="457">
        <v>21012345</v>
      </c>
      <c r="F508" s="425" t="s">
        <v>4426</v>
      </c>
      <c r="G508" s="458" t="s">
        <v>3206</v>
      </c>
      <c r="H508" s="458" t="s">
        <v>3207</v>
      </c>
      <c r="I508" s="458">
        <v>1690</v>
      </c>
      <c r="J508" s="458">
        <v>0</v>
      </c>
      <c r="K508" s="458">
        <v>13</v>
      </c>
      <c r="L508" s="462">
        <f t="shared" si="148"/>
        <v>130</v>
      </c>
      <c r="M508" s="463">
        <v>45901</v>
      </c>
      <c r="N508" s="463">
        <v>45891</v>
      </c>
      <c r="O508" s="464"/>
      <c r="P508" s="464" t="s">
        <v>103</v>
      </c>
      <c r="Q508" s="458" t="s">
        <v>1445</v>
      </c>
      <c r="R508" s="472">
        <v>45869</v>
      </c>
      <c r="S508" s="472" t="s">
        <v>96</v>
      </c>
      <c r="T508" s="472">
        <v>45880</v>
      </c>
      <c r="U508" s="472"/>
      <c r="V508" s="473" t="s">
        <v>3390</v>
      </c>
      <c r="W508" s="473" t="s">
        <v>121</v>
      </c>
      <c r="X508" s="473">
        <v>0.9475</v>
      </c>
      <c r="Y508" s="480">
        <f>X508*I508</f>
        <v>1601.275</v>
      </c>
      <c r="Z508" s="458" t="s">
        <v>4427</v>
      </c>
      <c r="AA508" s="458" t="s">
        <v>3206</v>
      </c>
      <c r="AB508" s="458" t="s">
        <v>76</v>
      </c>
      <c r="AC508" s="458"/>
      <c r="AD508" s="458"/>
      <c r="AE508" s="458"/>
      <c r="AF508" s="458">
        <f>1677+13</f>
        <v>1690</v>
      </c>
      <c r="AG508" s="458">
        <f>AF508-I508</f>
        <v>0</v>
      </c>
      <c r="AH508" s="489"/>
      <c r="AI508" s="458"/>
      <c r="AJ508" s="458"/>
      <c r="AK508" s="458"/>
      <c r="AL508" s="425">
        <f>I508</f>
        <v>1690</v>
      </c>
      <c r="AO508" s="495"/>
      <c r="AQ508" s="425">
        <f>I508</f>
        <v>1690</v>
      </c>
      <c r="AS508" s="425">
        <f>I508</f>
        <v>1690</v>
      </c>
      <c r="AT508" s="495"/>
      <c r="AY508" s="498">
        <f>I508/24</f>
        <v>70.4166666666667</v>
      </c>
      <c r="BI508" s="425">
        <f>I508/13</f>
        <v>130</v>
      </c>
      <c r="BT508" s="495"/>
      <c r="BV508" s="495"/>
      <c r="CK508" s="425">
        <f t="shared" si="137"/>
        <v>0</v>
      </c>
      <c r="CL508" s="425">
        <f t="shared" si="149"/>
        <v>0</v>
      </c>
      <c r="CM508" s="425">
        <f t="shared" si="136"/>
        <v>0</v>
      </c>
      <c r="CN508" s="495"/>
      <c r="CO508" s="495"/>
      <c r="CP508" s="495"/>
      <c r="CT508" s="495"/>
      <c r="CU508" s="495"/>
      <c r="CV508" s="495"/>
      <c r="CW508" s="495"/>
      <c r="CX508" s="495"/>
    </row>
    <row r="509" s="425" customFormat="1" ht="31" customHeight="1" spans="1:102">
      <c r="A509" s="455">
        <v>45854</v>
      </c>
      <c r="B509" s="456" t="s">
        <v>1172</v>
      </c>
      <c r="C509" s="457" t="s">
        <v>90</v>
      </c>
      <c r="D509" s="425">
        <v>4500174005</v>
      </c>
      <c r="E509" s="457">
        <v>15777184</v>
      </c>
      <c r="F509" s="425" t="s">
        <v>4428</v>
      </c>
      <c r="G509" s="458" t="s">
        <v>3272</v>
      </c>
      <c r="H509" s="458" t="s">
        <v>3207</v>
      </c>
      <c r="I509" s="458">
        <v>3250</v>
      </c>
      <c r="J509" s="458">
        <v>0</v>
      </c>
      <c r="K509" s="458">
        <v>13</v>
      </c>
      <c r="L509" s="462">
        <f t="shared" si="148"/>
        <v>250</v>
      </c>
      <c r="M509" s="463">
        <v>45898</v>
      </c>
      <c r="N509" s="463">
        <v>45894</v>
      </c>
      <c r="O509" s="464"/>
      <c r="P509" s="464" t="s">
        <v>103</v>
      </c>
      <c r="Q509" s="458"/>
      <c r="R509" s="472" t="s">
        <v>1176</v>
      </c>
      <c r="S509" s="472" t="s">
        <v>96</v>
      </c>
      <c r="T509" s="472">
        <v>45862</v>
      </c>
      <c r="U509" s="472"/>
      <c r="V509" s="473" t="s">
        <v>4429</v>
      </c>
      <c r="W509" s="473" t="s">
        <v>1178</v>
      </c>
      <c r="X509" s="473">
        <v>0.5528</v>
      </c>
      <c r="Y509" s="480">
        <f>X509*I509</f>
        <v>1796.6</v>
      </c>
      <c r="Z509" s="458" t="s">
        <v>4430</v>
      </c>
      <c r="AA509" s="458" t="s">
        <v>3359</v>
      </c>
      <c r="AB509" s="458" t="s">
        <v>76</v>
      </c>
      <c r="AC509" s="458"/>
      <c r="AD509" s="458"/>
      <c r="AE509" s="458"/>
      <c r="AF509" s="458">
        <v>3250</v>
      </c>
      <c r="AG509" s="458">
        <f>AF509-I509</f>
        <v>0</v>
      </c>
      <c r="AH509" s="489"/>
      <c r="AI509" s="458"/>
      <c r="AJ509" s="458"/>
      <c r="AK509" s="458">
        <f>I509</f>
        <v>3250</v>
      </c>
      <c r="AM509" s="425">
        <f>I509</f>
        <v>3250</v>
      </c>
      <c r="AO509" s="495"/>
      <c r="AR509" s="425">
        <f>I509</f>
        <v>3250</v>
      </c>
      <c r="AT509" s="495"/>
      <c r="AY509" s="498">
        <f>I509/24</f>
        <v>135.416666666667</v>
      </c>
      <c r="BG509" s="425">
        <f>I509/13</f>
        <v>250</v>
      </c>
      <c r="BT509" s="495"/>
      <c r="BV509" s="495"/>
      <c r="CK509" s="425">
        <f t="shared" si="137"/>
        <v>0</v>
      </c>
      <c r="CL509" s="425">
        <f t="shared" si="149"/>
        <v>0</v>
      </c>
      <c r="CM509" s="425">
        <f t="shared" si="136"/>
        <v>0</v>
      </c>
      <c r="CN509" s="495"/>
      <c r="CO509" s="495"/>
      <c r="CP509" s="495"/>
      <c r="CT509" s="495"/>
      <c r="CU509" s="495"/>
      <c r="CV509" s="495"/>
      <c r="CW509" s="495"/>
      <c r="CX509" s="495"/>
    </row>
    <row r="510" s="425" customFormat="1" ht="31" customHeight="1" spans="1:102">
      <c r="A510" s="455">
        <v>45863</v>
      </c>
      <c r="B510" s="456" t="s">
        <v>1492</v>
      </c>
      <c r="C510" s="457" t="s">
        <v>249</v>
      </c>
      <c r="D510" s="425">
        <v>4500175135</v>
      </c>
      <c r="E510" s="457" t="s">
        <v>4431</v>
      </c>
      <c r="F510" s="425" t="s">
        <v>4432</v>
      </c>
      <c r="G510" s="458" t="s">
        <v>3165</v>
      </c>
      <c r="H510" s="458" t="s">
        <v>3303</v>
      </c>
      <c r="I510" s="458">
        <v>5000</v>
      </c>
      <c r="J510" s="458">
        <v>0</v>
      </c>
      <c r="K510" s="458">
        <v>25</v>
      </c>
      <c r="L510" s="462">
        <f t="shared" si="148"/>
        <v>200</v>
      </c>
      <c r="M510" s="463">
        <v>45898</v>
      </c>
      <c r="N510" s="463">
        <v>45894</v>
      </c>
      <c r="O510" s="464"/>
      <c r="P510" s="464" t="s">
        <v>103</v>
      </c>
      <c r="Q510" s="458"/>
      <c r="R510" s="472">
        <v>45848</v>
      </c>
      <c r="S510" s="472" t="s">
        <v>66</v>
      </c>
      <c r="T510" s="472" t="s">
        <v>66</v>
      </c>
      <c r="U510" s="472"/>
      <c r="V510" s="473" t="s">
        <v>4433</v>
      </c>
      <c r="W510" s="473" t="s">
        <v>1424</v>
      </c>
      <c r="X510" s="473">
        <v>0.9365</v>
      </c>
      <c r="Y510" s="480">
        <f>X510*I510</f>
        <v>4682.5</v>
      </c>
      <c r="Z510" s="458" t="s">
        <v>4434</v>
      </c>
      <c r="AA510" s="458" t="s">
        <v>3188</v>
      </c>
      <c r="AB510" s="458" t="s">
        <v>76</v>
      </c>
      <c r="AC510" s="458"/>
      <c r="AD510" s="458"/>
      <c r="AE510" s="458"/>
      <c r="AF510" s="458">
        <v>5000</v>
      </c>
      <c r="AG510" s="458">
        <f>AF510-I510</f>
        <v>0</v>
      </c>
      <c r="AH510" s="489"/>
      <c r="AI510" s="458"/>
      <c r="AJ510" s="458"/>
      <c r="AK510" s="458"/>
      <c r="AL510" s="425">
        <f>I510</f>
        <v>5000</v>
      </c>
      <c r="AO510" s="495"/>
      <c r="AS510" s="425">
        <f>I510</f>
        <v>5000</v>
      </c>
      <c r="AT510" s="495"/>
      <c r="AY510" s="498">
        <f>I510/24*2</f>
        <v>416.666666666667</v>
      </c>
      <c r="BB510" s="425">
        <f>I510</f>
        <v>5000</v>
      </c>
      <c r="BL510" s="425">
        <f>I510/25</f>
        <v>200</v>
      </c>
      <c r="BT510" s="495"/>
      <c r="BV510" s="495"/>
      <c r="CK510" s="425">
        <f t="shared" si="137"/>
        <v>200</v>
      </c>
      <c r="CL510" s="425">
        <f t="shared" si="149"/>
        <v>0</v>
      </c>
      <c r="CM510" s="425">
        <f t="shared" si="136"/>
        <v>0</v>
      </c>
      <c r="CN510" s="495"/>
      <c r="CO510" s="495"/>
      <c r="CP510" s="495"/>
      <c r="CT510" s="495"/>
      <c r="CU510" s="495"/>
      <c r="CV510" s="495"/>
      <c r="CW510" s="495"/>
      <c r="CX510" s="495"/>
    </row>
    <row r="511" s="425" customFormat="1" ht="31" customHeight="1" spans="1:102">
      <c r="A511" s="455">
        <v>45762</v>
      </c>
      <c r="B511" s="456" t="s">
        <v>1451</v>
      </c>
      <c r="C511" s="457" t="s">
        <v>356</v>
      </c>
      <c r="D511" s="425">
        <v>4500167721</v>
      </c>
      <c r="E511" s="457">
        <v>5510041521</v>
      </c>
      <c r="F511" s="425" t="s">
        <v>1452</v>
      </c>
      <c r="G511" s="458" t="s">
        <v>743</v>
      </c>
      <c r="H511" s="458" t="s">
        <v>744</v>
      </c>
      <c r="I511" s="458">
        <v>18</v>
      </c>
      <c r="J511" s="458">
        <v>0</v>
      </c>
      <c r="K511" s="458">
        <v>1</v>
      </c>
      <c r="L511" s="462">
        <f t="shared" si="148"/>
        <v>18</v>
      </c>
      <c r="M511" s="463">
        <v>45889</v>
      </c>
      <c r="N511" s="463">
        <v>45885</v>
      </c>
      <c r="O511" s="464"/>
      <c r="P511" s="464" t="s">
        <v>103</v>
      </c>
      <c r="Q511" s="458"/>
      <c r="R511" s="472">
        <v>45786</v>
      </c>
      <c r="S511" s="472" t="s">
        <v>66</v>
      </c>
      <c r="T511" s="472" t="s">
        <v>66</v>
      </c>
      <c r="U511" s="472"/>
      <c r="V511" s="473" t="s">
        <v>1454</v>
      </c>
      <c r="W511" s="473" t="s">
        <v>1455</v>
      </c>
      <c r="X511" s="473">
        <v>0</v>
      </c>
      <c r="Y511" s="480">
        <f>X511*L511</f>
        <v>0</v>
      </c>
      <c r="Z511" s="458" t="s">
        <v>1456</v>
      </c>
      <c r="AA511" s="458" t="s">
        <v>743</v>
      </c>
      <c r="AB511" s="458" t="s">
        <v>76</v>
      </c>
      <c r="AC511" s="458"/>
      <c r="AD511" s="458"/>
      <c r="AE511" s="458"/>
      <c r="AF511" s="458">
        <v>0</v>
      </c>
      <c r="AG511" s="458">
        <v>0</v>
      </c>
      <c r="AH511" s="489"/>
      <c r="AI511" s="458"/>
      <c r="AJ511" s="458"/>
      <c r="AK511" s="458"/>
      <c r="AO511" s="495"/>
      <c r="AT511" s="495"/>
      <c r="AY511" s="498"/>
      <c r="BT511" s="495"/>
      <c r="BV511" s="495"/>
      <c r="CK511" s="425">
        <f t="shared" si="137"/>
        <v>0</v>
      </c>
      <c r="CL511" s="425">
        <f t="shared" si="149"/>
        <v>0</v>
      </c>
      <c r="CM511" s="425">
        <f t="shared" si="136"/>
        <v>0</v>
      </c>
      <c r="CN511" s="495"/>
      <c r="CO511" s="495"/>
      <c r="CP511" s="495"/>
      <c r="CT511" s="495"/>
      <c r="CU511" s="495"/>
      <c r="CV511" s="495"/>
      <c r="CW511" s="495"/>
      <c r="CX511" s="495"/>
    </row>
    <row r="512" s="425" customFormat="1" ht="31" customHeight="1" spans="1:102">
      <c r="A512" s="455">
        <v>45762</v>
      </c>
      <c r="B512" s="456" t="s">
        <v>1451</v>
      </c>
      <c r="C512" s="457" t="s">
        <v>356</v>
      </c>
      <c r="D512" s="425">
        <v>4500167721</v>
      </c>
      <c r="E512" s="457">
        <v>5510041521</v>
      </c>
      <c r="F512" s="425" t="s">
        <v>1452</v>
      </c>
      <c r="G512" s="458">
        <v>77711</v>
      </c>
      <c r="H512" s="458" t="s">
        <v>3151</v>
      </c>
      <c r="I512" s="458">
        <v>1350</v>
      </c>
      <c r="J512" s="458">
        <v>0</v>
      </c>
      <c r="K512" s="458">
        <v>75</v>
      </c>
      <c r="L512" s="462">
        <f t="shared" si="148"/>
        <v>18</v>
      </c>
      <c r="M512" s="463">
        <v>45889</v>
      </c>
      <c r="N512" s="463">
        <v>45885</v>
      </c>
      <c r="O512" s="464"/>
      <c r="P512" s="464" t="s">
        <v>103</v>
      </c>
      <c r="Q512" s="458"/>
      <c r="R512" s="472">
        <v>45786</v>
      </c>
      <c r="S512" s="472" t="s">
        <v>66</v>
      </c>
      <c r="T512" s="472" t="s">
        <v>66</v>
      </c>
      <c r="U512" s="472"/>
      <c r="V512" s="473" t="s">
        <v>1454</v>
      </c>
      <c r="W512" s="473" t="s">
        <v>1455</v>
      </c>
      <c r="X512" s="473">
        <v>787.0306</v>
      </c>
      <c r="Y512" s="480">
        <f t="shared" ref="Y511:Y518" si="152">X512*L512</f>
        <v>14166.5508</v>
      </c>
      <c r="Z512" s="458" t="s">
        <v>1456</v>
      </c>
      <c r="AA512" s="458" t="s">
        <v>743</v>
      </c>
      <c r="AB512" s="458" t="s">
        <v>76</v>
      </c>
      <c r="AC512" s="458"/>
      <c r="AD512" s="458"/>
      <c r="AE512" s="458"/>
      <c r="AF512" s="458">
        <v>0</v>
      </c>
      <c r="AG512" s="458">
        <v>0</v>
      </c>
      <c r="AH512" s="489"/>
      <c r="AI512" s="458"/>
      <c r="AJ512" s="458"/>
      <c r="AK512" s="458"/>
      <c r="AL512" s="425">
        <f>I512*3</f>
        <v>4050</v>
      </c>
      <c r="AO512" s="495"/>
      <c r="AT512" s="495"/>
      <c r="AY512" s="498">
        <f>I512/24*3</f>
        <v>168.75</v>
      </c>
      <c r="BC512" s="425">
        <f>I512*3</f>
        <v>4050</v>
      </c>
      <c r="BD512" s="425">
        <f>I512*3</f>
        <v>4050</v>
      </c>
      <c r="BE512" s="425">
        <f>I512/3</f>
        <v>450</v>
      </c>
      <c r="BF512" s="425">
        <f>I512/5</f>
        <v>270</v>
      </c>
      <c r="BT512" s="495"/>
      <c r="BV512" s="495"/>
      <c r="CK512" s="425">
        <f t="shared" si="137"/>
        <v>0</v>
      </c>
      <c r="CL512" s="425">
        <f t="shared" si="149"/>
        <v>0</v>
      </c>
      <c r="CM512" s="425">
        <f t="shared" si="136"/>
        <v>0</v>
      </c>
      <c r="CN512" s="495"/>
      <c r="CO512" s="495"/>
      <c r="CP512" s="495"/>
      <c r="CT512" s="495"/>
      <c r="CU512" s="495"/>
      <c r="CV512" s="495"/>
      <c r="CW512" s="495"/>
      <c r="CX512" s="495"/>
    </row>
    <row r="513" s="425" customFormat="1" ht="31" customHeight="1" spans="1:102">
      <c r="A513" s="455">
        <v>45678</v>
      </c>
      <c r="B513" s="456" t="s">
        <v>1372</v>
      </c>
      <c r="C513" s="457" t="s">
        <v>90</v>
      </c>
      <c r="D513" s="425">
        <v>4500156314</v>
      </c>
      <c r="E513" s="895" t="s">
        <v>1457</v>
      </c>
      <c r="F513" s="425" t="s">
        <v>1458</v>
      </c>
      <c r="G513" s="458" t="s">
        <v>819</v>
      </c>
      <c r="H513" s="458" t="s">
        <v>744</v>
      </c>
      <c r="I513" s="458">
        <v>72</v>
      </c>
      <c r="J513" s="458">
        <v>0</v>
      </c>
      <c r="K513" s="458">
        <v>1</v>
      </c>
      <c r="L513" s="462">
        <f t="shared" si="148"/>
        <v>72</v>
      </c>
      <c r="M513" s="463">
        <v>45891</v>
      </c>
      <c r="N513" s="463">
        <f>M513-4</f>
        <v>45887</v>
      </c>
      <c r="O513" s="464"/>
      <c r="P513" s="464" t="s">
        <v>103</v>
      </c>
      <c r="Q513" s="458"/>
      <c r="R513" s="472">
        <v>45832</v>
      </c>
      <c r="S513" s="472" t="s">
        <v>66</v>
      </c>
      <c r="T513" s="472" t="s">
        <v>66</v>
      </c>
      <c r="U513" s="472"/>
      <c r="V513" s="473" t="s">
        <v>1459</v>
      </c>
      <c r="W513" s="473" t="s">
        <v>821</v>
      </c>
      <c r="X513" s="473">
        <v>0</v>
      </c>
      <c r="Y513" s="480">
        <f t="shared" si="152"/>
        <v>0</v>
      </c>
      <c r="Z513" s="509" t="s">
        <v>1460</v>
      </c>
      <c r="AA513" s="458" t="s">
        <v>1378</v>
      </c>
      <c r="AB513" s="458" t="s">
        <v>76</v>
      </c>
      <c r="AC513" s="458"/>
      <c r="AD513" s="458"/>
      <c r="AE513" s="458"/>
      <c r="AF513" s="458">
        <v>0</v>
      </c>
      <c r="AG513" s="458">
        <v>0</v>
      </c>
      <c r="AH513" s="489"/>
      <c r="AI513" s="458"/>
      <c r="AJ513" s="458"/>
      <c r="AK513" s="458"/>
      <c r="AO513" s="495"/>
      <c r="AT513" s="495"/>
      <c r="AY513" s="498"/>
      <c r="BT513" s="495"/>
      <c r="BV513" s="495"/>
      <c r="CK513" s="425">
        <f t="shared" si="137"/>
        <v>0</v>
      </c>
      <c r="CL513" s="425">
        <f t="shared" si="149"/>
        <v>0</v>
      </c>
      <c r="CM513" s="425">
        <f t="shared" si="136"/>
        <v>0</v>
      </c>
      <c r="CN513" s="495"/>
      <c r="CO513" s="495"/>
      <c r="CP513" s="495"/>
      <c r="CT513" s="495"/>
      <c r="CU513" s="495"/>
      <c r="CV513" s="495"/>
      <c r="CW513" s="495"/>
      <c r="CX513" s="495"/>
    </row>
    <row r="514" s="425" customFormat="1" ht="31" customHeight="1" spans="1:102">
      <c r="A514" s="455">
        <v>45678</v>
      </c>
      <c r="B514" s="456" t="s">
        <v>1372</v>
      </c>
      <c r="C514" s="457" t="s">
        <v>90</v>
      </c>
      <c r="D514" s="425">
        <v>4500156314</v>
      </c>
      <c r="E514" s="895" t="s">
        <v>1457</v>
      </c>
      <c r="F514" s="425" t="s">
        <v>1458</v>
      </c>
      <c r="G514" s="458">
        <v>77711</v>
      </c>
      <c r="H514" s="458" t="s">
        <v>3151</v>
      </c>
      <c r="I514" s="458">
        <v>5400</v>
      </c>
      <c r="J514" s="458">
        <v>0</v>
      </c>
      <c r="K514" s="458">
        <v>75</v>
      </c>
      <c r="L514" s="462">
        <f t="shared" si="148"/>
        <v>72</v>
      </c>
      <c r="M514" s="463">
        <v>45891</v>
      </c>
      <c r="N514" s="463">
        <f>M514-4</f>
        <v>45887</v>
      </c>
      <c r="O514" s="464"/>
      <c r="P514" s="464" t="s">
        <v>103</v>
      </c>
      <c r="Q514" s="458"/>
      <c r="R514" s="472">
        <v>45832</v>
      </c>
      <c r="S514" s="472" t="s">
        <v>66</v>
      </c>
      <c r="T514" s="472" t="s">
        <v>66</v>
      </c>
      <c r="U514" s="472"/>
      <c r="V514" s="473"/>
      <c r="W514" s="473" t="s">
        <v>821</v>
      </c>
      <c r="X514" s="473">
        <v>762.5</v>
      </c>
      <c r="Y514" s="480">
        <f t="shared" si="152"/>
        <v>54900</v>
      </c>
      <c r="Z514" s="509" t="s">
        <v>1460</v>
      </c>
      <c r="AA514" s="458" t="s">
        <v>1378</v>
      </c>
      <c r="AB514" s="458" t="s">
        <v>76</v>
      </c>
      <c r="AC514" s="458"/>
      <c r="AD514" s="458"/>
      <c r="AE514" s="458"/>
      <c r="AF514" s="458">
        <v>0</v>
      </c>
      <c r="AG514" s="458">
        <v>0</v>
      </c>
      <c r="AH514" s="489"/>
      <c r="AI514" s="458"/>
      <c r="AJ514" s="458"/>
      <c r="AK514" s="458">
        <f>I514*3</f>
        <v>16200</v>
      </c>
      <c r="AO514" s="495"/>
      <c r="AT514" s="495"/>
      <c r="AY514" s="498">
        <f>I514/24*3</f>
        <v>675</v>
      </c>
      <c r="BC514" s="425">
        <f>AK514</f>
        <v>16200</v>
      </c>
      <c r="BD514" s="425">
        <f>AK514</f>
        <v>16200</v>
      </c>
      <c r="BE514" s="425">
        <f>I514</f>
        <v>5400</v>
      </c>
      <c r="BF514" s="425">
        <f>I514/5</f>
        <v>1080</v>
      </c>
      <c r="BT514" s="495"/>
      <c r="BV514" s="495"/>
      <c r="CK514" s="425">
        <f t="shared" si="137"/>
        <v>0</v>
      </c>
      <c r="CL514" s="425">
        <f t="shared" si="149"/>
        <v>0</v>
      </c>
      <c r="CM514" s="425">
        <f t="shared" ref="CM514:CM545" si="153">BY514+BZ514</f>
        <v>0</v>
      </c>
      <c r="CN514" s="495"/>
      <c r="CO514" s="495"/>
      <c r="CP514" s="495"/>
      <c r="CT514" s="495"/>
      <c r="CU514" s="495"/>
      <c r="CV514" s="495"/>
      <c r="CW514" s="495"/>
      <c r="CX514" s="495"/>
    </row>
    <row r="515" s="425" customFormat="1" ht="31" customHeight="1" spans="1:102">
      <c r="A515" s="455">
        <v>45678</v>
      </c>
      <c r="B515" s="456" t="s">
        <v>1372</v>
      </c>
      <c r="C515" s="457" t="s">
        <v>90</v>
      </c>
      <c r="D515" s="425">
        <v>4500156323</v>
      </c>
      <c r="E515" s="895" t="s">
        <v>1461</v>
      </c>
      <c r="F515" s="425" t="s">
        <v>1462</v>
      </c>
      <c r="G515" s="458" t="s">
        <v>819</v>
      </c>
      <c r="H515" s="458" t="s">
        <v>744</v>
      </c>
      <c r="I515" s="458">
        <v>72</v>
      </c>
      <c r="J515" s="458">
        <v>0</v>
      </c>
      <c r="K515" s="458">
        <v>1</v>
      </c>
      <c r="L515" s="462">
        <f t="shared" si="148"/>
        <v>72</v>
      </c>
      <c r="M515" s="463">
        <v>45896</v>
      </c>
      <c r="N515" s="463">
        <v>45892</v>
      </c>
      <c r="O515" s="464"/>
      <c r="P515" s="464" t="s">
        <v>103</v>
      </c>
      <c r="Q515" s="458"/>
      <c r="R515" s="472">
        <v>45832</v>
      </c>
      <c r="S515" s="472" t="s">
        <v>66</v>
      </c>
      <c r="T515" s="472" t="s">
        <v>66</v>
      </c>
      <c r="U515" s="472"/>
      <c r="V515" s="473" t="s">
        <v>1463</v>
      </c>
      <c r="W515" s="473" t="s">
        <v>821</v>
      </c>
      <c r="X515" s="473">
        <v>0</v>
      </c>
      <c r="Y515" s="480">
        <f t="shared" si="152"/>
        <v>0</v>
      </c>
      <c r="Z515" s="509" t="s">
        <v>1464</v>
      </c>
      <c r="AA515" s="458" t="s">
        <v>1378</v>
      </c>
      <c r="AB515" s="458" t="s">
        <v>76</v>
      </c>
      <c r="AC515" s="458"/>
      <c r="AD515" s="458"/>
      <c r="AE515" s="458"/>
      <c r="AF515" s="458">
        <v>0</v>
      </c>
      <c r="AG515" s="458">
        <v>0</v>
      </c>
      <c r="AH515" s="489"/>
      <c r="AI515" s="458"/>
      <c r="AJ515" s="458"/>
      <c r="AK515" s="458"/>
      <c r="AO515" s="495"/>
      <c r="AT515" s="495"/>
      <c r="AY515" s="498"/>
      <c r="BT515" s="495"/>
      <c r="BV515" s="495"/>
      <c r="CK515" s="425">
        <f t="shared" ref="CK515:CK578" si="154">BM515+BL515+BK515+BJ515+BS515</f>
        <v>0</v>
      </c>
      <c r="CL515" s="425">
        <f t="shared" si="149"/>
        <v>0</v>
      </c>
      <c r="CM515" s="425">
        <f t="shared" si="153"/>
        <v>0</v>
      </c>
      <c r="CN515" s="495"/>
      <c r="CO515" s="495"/>
      <c r="CP515" s="495"/>
      <c r="CT515" s="495"/>
      <c r="CU515" s="495"/>
      <c r="CV515" s="495"/>
      <c r="CW515" s="495"/>
      <c r="CX515" s="495"/>
    </row>
    <row r="516" s="425" customFormat="1" ht="31" customHeight="1" spans="1:102">
      <c r="A516" s="455">
        <v>45678</v>
      </c>
      <c r="B516" s="456" t="s">
        <v>1372</v>
      </c>
      <c r="C516" s="457" t="s">
        <v>90</v>
      </c>
      <c r="D516" s="425">
        <v>4500156323</v>
      </c>
      <c r="E516" s="895" t="s">
        <v>1461</v>
      </c>
      <c r="F516" s="425" t="s">
        <v>1462</v>
      </c>
      <c r="G516" s="458">
        <v>77711</v>
      </c>
      <c r="H516" s="458" t="s">
        <v>3151</v>
      </c>
      <c r="I516" s="458">
        <v>5400</v>
      </c>
      <c r="J516" s="458">
        <v>0</v>
      </c>
      <c r="K516" s="458">
        <v>75</v>
      </c>
      <c r="L516" s="462">
        <f t="shared" si="148"/>
        <v>72</v>
      </c>
      <c r="M516" s="463">
        <v>45896</v>
      </c>
      <c r="N516" s="463">
        <v>45892</v>
      </c>
      <c r="O516" s="464"/>
      <c r="P516" s="464" t="s">
        <v>103</v>
      </c>
      <c r="Q516" s="458"/>
      <c r="R516" s="472">
        <v>45832</v>
      </c>
      <c r="S516" s="472" t="s">
        <v>66</v>
      </c>
      <c r="T516" s="472" t="s">
        <v>66</v>
      </c>
      <c r="U516" s="472"/>
      <c r="V516" s="473"/>
      <c r="W516" s="473" t="s">
        <v>821</v>
      </c>
      <c r="X516" s="473">
        <v>762.5</v>
      </c>
      <c r="Y516" s="480">
        <f t="shared" si="152"/>
        <v>54900</v>
      </c>
      <c r="Z516" s="509" t="s">
        <v>1464</v>
      </c>
      <c r="AA516" s="458" t="s">
        <v>1378</v>
      </c>
      <c r="AB516" s="458" t="s">
        <v>76</v>
      </c>
      <c r="AC516" s="458"/>
      <c r="AD516" s="458"/>
      <c r="AE516" s="458"/>
      <c r="AF516" s="458">
        <v>0</v>
      </c>
      <c r="AG516" s="458">
        <v>0</v>
      </c>
      <c r="AH516" s="489"/>
      <c r="AI516" s="458"/>
      <c r="AJ516" s="458"/>
      <c r="AK516" s="458">
        <f>I516*3</f>
        <v>16200</v>
      </c>
      <c r="AO516" s="495"/>
      <c r="AT516" s="495"/>
      <c r="AY516" s="498">
        <f>I516/24*3</f>
        <v>675</v>
      </c>
      <c r="BC516" s="425">
        <f>AK516</f>
        <v>16200</v>
      </c>
      <c r="BD516" s="425">
        <f>AK516</f>
        <v>16200</v>
      </c>
      <c r="BE516" s="425">
        <f>I516</f>
        <v>5400</v>
      </c>
      <c r="BF516" s="425">
        <f>I516/5</f>
        <v>1080</v>
      </c>
      <c r="BT516" s="495"/>
      <c r="BV516" s="495"/>
      <c r="CK516" s="425">
        <f t="shared" si="154"/>
        <v>0</v>
      </c>
      <c r="CL516" s="425">
        <f t="shared" si="149"/>
        <v>0</v>
      </c>
      <c r="CM516" s="425">
        <f t="shared" si="153"/>
        <v>0</v>
      </c>
      <c r="CN516" s="495"/>
      <c r="CO516" s="495"/>
      <c r="CP516" s="495"/>
      <c r="CT516" s="495"/>
      <c r="CU516" s="495"/>
      <c r="CV516" s="495"/>
      <c r="CW516" s="495"/>
      <c r="CX516" s="495"/>
    </row>
    <row r="517" s="425" customFormat="1" ht="31" customHeight="1" spans="1:102">
      <c r="A517" s="455">
        <v>45678</v>
      </c>
      <c r="B517" s="456" t="s">
        <v>1372</v>
      </c>
      <c r="C517" s="457" t="s">
        <v>90</v>
      </c>
      <c r="D517" s="425">
        <v>4500156326</v>
      </c>
      <c r="E517" s="895" t="s">
        <v>1465</v>
      </c>
      <c r="F517" s="425" t="s">
        <v>1466</v>
      </c>
      <c r="G517" s="458" t="s">
        <v>819</v>
      </c>
      <c r="H517" s="458" t="s">
        <v>744</v>
      </c>
      <c r="I517" s="458">
        <v>72</v>
      </c>
      <c r="J517" s="458">
        <v>0</v>
      </c>
      <c r="K517" s="458">
        <v>1</v>
      </c>
      <c r="L517" s="462">
        <f t="shared" si="148"/>
        <v>72</v>
      </c>
      <c r="M517" s="463">
        <v>45896</v>
      </c>
      <c r="N517" s="463">
        <v>45894</v>
      </c>
      <c r="O517" s="464"/>
      <c r="P517" s="464" t="s">
        <v>103</v>
      </c>
      <c r="Q517" s="458"/>
      <c r="R517" s="472">
        <v>45832</v>
      </c>
      <c r="S517" s="472" t="s">
        <v>66</v>
      </c>
      <c r="T517" s="472" t="s">
        <v>66</v>
      </c>
      <c r="U517" s="472"/>
      <c r="V517" s="473" t="s">
        <v>1467</v>
      </c>
      <c r="W517" s="473" t="s">
        <v>821</v>
      </c>
      <c r="X517" s="473">
        <v>0</v>
      </c>
      <c r="Y517" s="480">
        <f t="shared" si="152"/>
        <v>0</v>
      </c>
      <c r="Z517" s="458" t="s">
        <v>1468</v>
      </c>
      <c r="AA517" s="458" t="s">
        <v>1378</v>
      </c>
      <c r="AB517" s="458" t="s">
        <v>76</v>
      </c>
      <c r="AC517" s="458"/>
      <c r="AD517" s="458"/>
      <c r="AE517" s="458"/>
      <c r="AF517" s="458">
        <v>0</v>
      </c>
      <c r="AG517" s="458">
        <v>0</v>
      </c>
      <c r="AH517" s="489"/>
      <c r="AI517" s="458"/>
      <c r="AJ517" s="458"/>
      <c r="AK517" s="458"/>
      <c r="AO517" s="495"/>
      <c r="AT517" s="495"/>
      <c r="AY517" s="498"/>
      <c r="BT517" s="495"/>
      <c r="BV517" s="495"/>
      <c r="CK517" s="425">
        <f t="shared" si="154"/>
        <v>0</v>
      </c>
      <c r="CL517" s="425">
        <f t="shared" si="149"/>
        <v>0</v>
      </c>
      <c r="CM517" s="425">
        <f t="shared" si="153"/>
        <v>0</v>
      </c>
      <c r="CN517" s="495"/>
      <c r="CO517" s="495"/>
      <c r="CP517" s="495"/>
      <c r="CT517" s="495"/>
      <c r="CU517" s="495"/>
      <c r="CV517" s="495"/>
      <c r="CW517" s="495"/>
      <c r="CX517" s="495"/>
    </row>
    <row r="518" s="425" customFormat="1" ht="31" customHeight="1" spans="1:102">
      <c r="A518" s="455">
        <v>45678</v>
      </c>
      <c r="B518" s="456" t="s">
        <v>1372</v>
      </c>
      <c r="C518" s="457" t="s">
        <v>90</v>
      </c>
      <c r="D518" s="425">
        <v>4500156326</v>
      </c>
      <c r="E518" s="895" t="s">
        <v>1465</v>
      </c>
      <c r="F518" s="425" t="s">
        <v>1466</v>
      </c>
      <c r="G518" s="458">
        <v>77711</v>
      </c>
      <c r="H518" s="458" t="s">
        <v>3151</v>
      </c>
      <c r="I518" s="458">
        <v>5400</v>
      </c>
      <c r="J518" s="458">
        <v>0</v>
      </c>
      <c r="K518" s="458">
        <v>75</v>
      </c>
      <c r="L518" s="462">
        <f t="shared" si="148"/>
        <v>72</v>
      </c>
      <c r="M518" s="463">
        <v>45896</v>
      </c>
      <c r="N518" s="463">
        <v>45894</v>
      </c>
      <c r="O518" s="464"/>
      <c r="P518" s="464" t="s">
        <v>103</v>
      </c>
      <c r="Q518" s="458"/>
      <c r="R518" s="472">
        <v>45832</v>
      </c>
      <c r="S518" s="472" t="s">
        <v>66</v>
      </c>
      <c r="T518" s="472" t="s">
        <v>66</v>
      </c>
      <c r="U518" s="472"/>
      <c r="V518" s="473"/>
      <c r="W518" s="473" t="s">
        <v>821</v>
      </c>
      <c r="X518" s="473">
        <v>762.5</v>
      </c>
      <c r="Y518" s="480">
        <f t="shared" si="152"/>
        <v>54900</v>
      </c>
      <c r="Z518" s="458" t="s">
        <v>1468</v>
      </c>
      <c r="AA518" s="458" t="s">
        <v>1378</v>
      </c>
      <c r="AB518" s="458" t="s">
        <v>76</v>
      </c>
      <c r="AC518" s="458"/>
      <c r="AD518" s="458"/>
      <c r="AE518" s="458"/>
      <c r="AF518" s="458">
        <v>0</v>
      </c>
      <c r="AG518" s="458">
        <v>0</v>
      </c>
      <c r="AH518" s="489"/>
      <c r="AI518" s="458"/>
      <c r="AJ518" s="458"/>
      <c r="AK518" s="458">
        <f>I518*3</f>
        <v>16200</v>
      </c>
      <c r="AO518" s="495"/>
      <c r="AT518" s="495"/>
      <c r="AY518" s="498">
        <f>I518/24*3</f>
        <v>675</v>
      </c>
      <c r="BC518" s="425">
        <f>AK518</f>
        <v>16200</v>
      </c>
      <c r="BD518" s="425">
        <f>AK518</f>
        <v>16200</v>
      </c>
      <c r="BE518" s="425">
        <f>I518</f>
        <v>5400</v>
      </c>
      <c r="BF518" s="425">
        <f>I518/5</f>
        <v>1080</v>
      </c>
      <c r="BT518" s="495"/>
      <c r="BV518" s="495"/>
      <c r="CK518" s="425">
        <f t="shared" si="154"/>
        <v>0</v>
      </c>
      <c r="CL518" s="425">
        <f t="shared" si="149"/>
        <v>0</v>
      </c>
      <c r="CM518" s="425">
        <f t="shared" si="153"/>
        <v>0</v>
      </c>
      <c r="CN518" s="495"/>
      <c r="CO518" s="495"/>
      <c r="CP518" s="495"/>
      <c r="CT518" s="495"/>
      <c r="CU518" s="495"/>
      <c r="CV518" s="495"/>
      <c r="CW518" s="495"/>
      <c r="CX518" s="495"/>
    </row>
    <row r="519" s="425" customFormat="1" ht="31" customHeight="1" spans="1:102">
      <c r="A519" s="455">
        <v>45720</v>
      </c>
      <c r="B519" s="456" t="s">
        <v>489</v>
      </c>
      <c r="C519" s="457" t="s">
        <v>249</v>
      </c>
      <c r="D519" s="425">
        <v>4500158810</v>
      </c>
      <c r="E519" s="457" t="s">
        <v>4435</v>
      </c>
      <c r="F519" s="425" t="s">
        <v>4436</v>
      </c>
      <c r="G519" s="458" t="s">
        <v>3464</v>
      </c>
      <c r="H519" s="458" t="s">
        <v>3237</v>
      </c>
      <c r="I519" s="458">
        <v>972</v>
      </c>
      <c r="J519" s="458">
        <v>0</v>
      </c>
      <c r="K519" s="458">
        <v>12</v>
      </c>
      <c r="L519" s="462">
        <f t="shared" si="148"/>
        <v>81</v>
      </c>
      <c r="M519" s="463">
        <v>45897</v>
      </c>
      <c r="N519" s="463">
        <v>45894</v>
      </c>
      <c r="O519" s="464"/>
      <c r="P519" s="464" t="s">
        <v>103</v>
      </c>
      <c r="Q519" s="458"/>
      <c r="R519" s="472" t="s">
        <v>411</v>
      </c>
      <c r="S519" s="472" t="s">
        <v>96</v>
      </c>
      <c r="T519" s="472" t="s">
        <v>3465</v>
      </c>
      <c r="U519" s="472"/>
      <c r="V519" s="473" t="s">
        <v>4437</v>
      </c>
      <c r="W519" s="473" t="s">
        <v>414</v>
      </c>
      <c r="X519" s="473">
        <v>2.64</v>
      </c>
      <c r="Y519" s="480">
        <f t="shared" ref="Y519:Y532" si="155">X519*I519</f>
        <v>2566.08</v>
      </c>
      <c r="Z519" s="458" t="s">
        <v>4438</v>
      </c>
      <c r="AA519" s="458" t="s">
        <v>3464</v>
      </c>
      <c r="AB519" s="458" t="s">
        <v>76</v>
      </c>
      <c r="AC519" s="458"/>
      <c r="AD519" s="458"/>
      <c r="AE519" s="458"/>
      <c r="AF519" s="458">
        <v>972</v>
      </c>
      <c r="AG519" s="458">
        <f t="shared" ref="AG515:AG531" si="156">AF519-I519</f>
        <v>0</v>
      </c>
      <c r="AH519" s="489"/>
      <c r="AI519" s="458"/>
      <c r="AJ519" s="458"/>
      <c r="AK519" s="458"/>
      <c r="AL519" s="425">
        <f>I519*2</f>
        <v>1944</v>
      </c>
      <c r="AM519" s="425">
        <f>I519*2</f>
        <v>1944</v>
      </c>
      <c r="AO519" s="495"/>
      <c r="AS519" s="425">
        <f t="shared" ref="AS519:AS524" si="157">I519*2</f>
        <v>1944</v>
      </c>
      <c r="AT519" s="495"/>
      <c r="AY519" s="498">
        <f t="shared" ref="AY519:AY524" si="158">I519/24*2</f>
        <v>81</v>
      </c>
      <c r="BT519" s="495"/>
      <c r="BV519" s="495"/>
      <c r="CH519" s="425">
        <f t="shared" ref="CH519:CH524" si="159">I519</f>
        <v>972</v>
      </c>
      <c r="CI519" s="425">
        <f t="shared" ref="CI519:CI524" si="160">I519</f>
        <v>972</v>
      </c>
      <c r="CJ519" s="425">
        <f t="shared" ref="CJ519:CJ524" si="161">I519</f>
        <v>972</v>
      </c>
      <c r="CK519" s="425">
        <f t="shared" si="154"/>
        <v>0</v>
      </c>
      <c r="CL519" s="425">
        <f t="shared" si="149"/>
        <v>0</v>
      </c>
      <c r="CM519" s="425">
        <f t="shared" si="153"/>
        <v>0</v>
      </c>
      <c r="CN519" s="495"/>
      <c r="CO519" s="495"/>
      <c r="CP519" s="495"/>
      <c r="CT519" s="495"/>
      <c r="CU519" s="495"/>
      <c r="CV519" s="495"/>
      <c r="CW519" s="495"/>
      <c r="CX519" s="495"/>
    </row>
    <row r="520" s="425" customFormat="1" ht="31" customHeight="1" spans="1:102">
      <c r="A520" s="455">
        <v>45720</v>
      </c>
      <c r="B520" s="456" t="s">
        <v>489</v>
      </c>
      <c r="C520" s="457" t="s">
        <v>139</v>
      </c>
      <c r="D520" s="425">
        <v>4500158810</v>
      </c>
      <c r="E520" s="457" t="s">
        <v>4439</v>
      </c>
      <c r="F520" s="425" t="s">
        <v>4440</v>
      </c>
      <c r="G520" s="458" t="s">
        <v>3464</v>
      </c>
      <c r="H520" s="458" t="s">
        <v>3237</v>
      </c>
      <c r="I520" s="458">
        <v>516</v>
      </c>
      <c r="J520" s="458">
        <v>0</v>
      </c>
      <c r="K520" s="458">
        <v>12</v>
      </c>
      <c r="L520" s="462">
        <f t="shared" si="148"/>
        <v>43</v>
      </c>
      <c r="M520" s="463">
        <v>45897</v>
      </c>
      <c r="N520" s="463">
        <v>45894</v>
      </c>
      <c r="O520" s="464"/>
      <c r="P520" s="464" t="s">
        <v>103</v>
      </c>
      <c r="Q520" s="458"/>
      <c r="R520" s="472" t="s">
        <v>411</v>
      </c>
      <c r="S520" s="472" t="s">
        <v>96</v>
      </c>
      <c r="T520" s="472" t="s">
        <v>3465</v>
      </c>
      <c r="U520" s="472"/>
      <c r="V520" s="473" t="s">
        <v>4437</v>
      </c>
      <c r="W520" s="473" t="s">
        <v>414</v>
      </c>
      <c r="X520" s="473">
        <v>2.64</v>
      </c>
      <c r="Y520" s="480">
        <f t="shared" si="155"/>
        <v>1362.24</v>
      </c>
      <c r="Z520" s="458" t="s">
        <v>4438</v>
      </c>
      <c r="AA520" s="458" t="s">
        <v>3464</v>
      </c>
      <c r="AB520" s="458" t="s">
        <v>76</v>
      </c>
      <c r="AC520" s="458"/>
      <c r="AD520" s="458"/>
      <c r="AE520" s="458"/>
      <c r="AF520" s="458">
        <v>516</v>
      </c>
      <c r="AG520" s="458">
        <f t="shared" si="156"/>
        <v>0</v>
      </c>
      <c r="AH520" s="489"/>
      <c r="AI520" s="458"/>
      <c r="AJ520" s="458"/>
      <c r="AK520" s="458"/>
      <c r="AL520" s="425">
        <f>I520*2</f>
        <v>1032</v>
      </c>
      <c r="AM520" s="425">
        <f>I520*2</f>
        <v>1032</v>
      </c>
      <c r="AO520" s="495"/>
      <c r="AS520" s="425">
        <f t="shared" si="157"/>
        <v>1032</v>
      </c>
      <c r="AT520" s="495"/>
      <c r="AY520" s="498">
        <f t="shared" si="158"/>
        <v>43</v>
      </c>
      <c r="BT520" s="495"/>
      <c r="BV520" s="495"/>
      <c r="CH520" s="425">
        <f t="shared" si="159"/>
        <v>516</v>
      </c>
      <c r="CI520" s="425">
        <f t="shared" si="160"/>
        <v>516</v>
      </c>
      <c r="CJ520" s="425">
        <f t="shared" si="161"/>
        <v>516</v>
      </c>
      <c r="CK520" s="425">
        <f t="shared" si="154"/>
        <v>0</v>
      </c>
      <c r="CL520" s="425">
        <f t="shared" si="149"/>
        <v>0</v>
      </c>
      <c r="CM520" s="425">
        <f t="shared" si="153"/>
        <v>0</v>
      </c>
      <c r="CN520" s="495"/>
      <c r="CO520" s="495"/>
      <c r="CP520" s="495"/>
      <c r="CT520" s="495"/>
      <c r="CU520" s="495"/>
      <c r="CV520" s="495"/>
      <c r="CW520" s="495"/>
      <c r="CX520" s="495"/>
    </row>
    <row r="521" s="425" customFormat="1" ht="31" customHeight="1" spans="1:102">
      <c r="A521" s="455">
        <v>45855</v>
      </c>
      <c r="B521" s="456" t="s">
        <v>1782</v>
      </c>
      <c r="C521" s="457" t="s">
        <v>139</v>
      </c>
      <c r="D521" s="425">
        <v>4500174196</v>
      </c>
      <c r="E521" s="457" t="s">
        <v>4441</v>
      </c>
      <c r="F521" s="425" t="s">
        <v>4442</v>
      </c>
      <c r="G521" s="458" t="s">
        <v>3464</v>
      </c>
      <c r="H521" s="458" t="s">
        <v>3237</v>
      </c>
      <c r="I521" s="458">
        <v>804</v>
      </c>
      <c r="J521" s="458">
        <v>0</v>
      </c>
      <c r="K521" s="458">
        <v>12</v>
      </c>
      <c r="L521" s="462">
        <f t="shared" si="148"/>
        <v>67</v>
      </c>
      <c r="M521" s="463">
        <v>45897</v>
      </c>
      <c r="N521" s="463">
        <v>45894</v>
      </c>
      <c r="O521" s="464"/>
      <c r="P521" s="464" t="s">
        <v>103</v>
      </c>
      <c r="Q521" s="458"/>
      <c r="R521" s="472">
        <v>45863</v>
      </c>
      <c r="S521" s="472" t="s">
        <v>96</v>
      </c>
      <c r="T521" s="472">
        <v>45862</v>
      </c>
      <c r="U521" s="472"/>
      <c r="V521" s="473" t="s">
        <v>4443</v>
      </c>
      <c r="W521" s="473" t="s">
        <v>414</v>
      </c>
      <c r="X521" s="473">
        <v>2.1629</v>
      </c>
      <c r="Y521" s="480">
        <f t="shared" si="155"/>
        <v>1738.9716</v>
      </c>
      <c r="Z521" s="458" t="s">
        <v>4444</v>
      </c>
      <c r="AA521" s="458" t="s">
        <v>3464</v>
      </c>
      <c r="AB521" s="458" t="s">
        <v>76</v>
      </c>
      <c r="AC521" s="458"/>
      <c r="AD521" s="458"/>
      <c r="AE521" s="458"/>
      <c r="AF521" s="458">
        <v>804</v>
      </c>
      <c r="AG521" s="458">
        <f t="shared" si="156"/>
        <v>0</v>
      </c>
      <c r="AH521" s="489"/>
      <c r="AI521" s="458"/>
      <c r="AJ521" s="458"/>
      <c r="AK521" s="458"/>
      <c r="AL521" s="425">
        <f t="shared" ref="AL519:AL524" si="162">I521*2</f>
        <v>1608</v>
      </c>
      <c r="AO521" s="495"/>
      <c r="AQ521" s="425">
        <f>I521*2</f>
        <v>1608</v>
      </c>
      <c r="AS521" s="425">
        <f t="shared" si="157"/>
        <v>1608</v>
      </c>
      <c r="AT521" s="495"/>
      <c r="AY521" s="498">
        <f t="shared" si="158"/>
        <v>67</v>
      </c>
      <c r="BT521" s="495"/>
      <c r="BV521" s="495"/>
      <c r="CH521" s="425">
        <f t="shared" si="159"/>
        <v>804</v>
      </c>
      <c r="CI521" s="425">
        <f t="shared" si="160"/>
        <v>804</v>
      </c>
      <c r="CJ521" s="425">
        <f t="shared" si="161"/>
        <v>804</v>
      </c>
      <c r="CK521" s="425">
        <f t="shared" si="154"/>
        <v>0</v>
      </c>
      <c r="CL521" s="425">
        <f t="shared" si="149"/>
        <v>0</v>
      </c>
      <c r="CM521" s="425">
        <f t="shared" si="153"/>
        <v>0</v>
      </c>
      <c r="CN521" s="495"/>
      <c r="CO521" s="495"/>
      <c r="CP521" s="495"/>
      <c r="CT521" s="495"/>
      <c r="CU521" s="495"/>
      <c r="CV521" s="495"/>
      <c r="CW521" s="495"/>
      <c r="CX521" s="495"/>
    </row>
    <row r="522" s="425" customFormat="1" ht="31" customHeight="1" spans="1:102">
      <c r="A522" s="455">
        <v>45855</v>
      </c>
      <c r="B522" s="456" t="s">
        <v>1782</v>
      </c>
      <c r="C522" s="457" t="s">
        <v>271</v>
      </c>
      <c r="D522" s="425">
        <v>4500174196</v>
      </c>
      <c r="E522" s="457" t="s">
        <v>4445</v>
      </c>
      <c r="F522" s="425" t="s">
        <v>4446</v>
      </c>
      <c r="G522" s="458" t="s">
        <v>3464</v>
      </c>
      <c r="H522" s="458" t="s">
        <v>3237</v>
      </c>
      <c r="I522" s="458">
        <v>516</v>
      </c>
      <c r="J522" s="458">
        <v>0</v>
      </c>
      <c r="K522" s="458">
        <v>12</v>
      </c>
      <c r="L522" s="462">
        <f t="shared" si="148"/>
        <v>43</v>
      </c>
      <c r="M522" s="463">
        <v>45897</v>
      </c>
      <c r="N522" s="463">
        <v>45894</v>
      </c>
      <c r="O522" s="464"/>
      <c r="P522" s="464" t="s">
        <v>103</v>
      </c>
      <c r="Q522" s="458"/>
      <c r="R522" s="472">
        <v>45863</v>
      </c>
      <c r="S522" s="472" t="s">
        <v>96</v>
      </c>
      <c r="T522" s="472">
        <v>45862</v>
      </c>
      <c r="U522" s="472"/>
      <c r="V522" s="473" t="s">
        <v>4443</v>
      </c>
      <c r="W522" s="473" t="s">
        <v>414</v>
      </c>
      <c r="X522" s="473">
        <v>2.1629</v>
      </c>
      <c r="Y522" s="480">
        <f t="shared" si="155"/>
        <v>1116.0564</v>
      </c>
      <c r="Z522" s="458" t="s">
        <v>4447</v>
      </c>
      <c r="AA522" s="458" t="s">
        <v>3464</v>
      </c>
      <c r="AB522" s="458" t="s">
        <v>76</v>
      </c>
      <c r="AC522" s="458"/>
      <c r="AD522" s="458"/>
      <c r="AE522" s="458"/>
      <c r="AF522" s="458">
        <v>516</v>
      </c>
      <c r="AG522" s="458">
        <f t="shared" si="156"/>
        <v>0</v>
      </c>
      <c r="AH522" s="489"/>
      <c r="AI522" s="458"/>
      <c r="AJ522" s="458"/>
      <c r="AK522" s="458"/>
      <c r="AL522" s="425">
        <f t="shared" si="162"/>
        <v>1032</v>
      </c>
      <c r="AO522" s="495"/>
      <c r="AQ522" s="425">
        <f>I522*2</f>
        <v>1032</v>
      </c>
      <c r="AS522" s="425">
        <f t="shared" si="157"/>
        <v>1032</v>
      </c>
      <c r="AT522" s="495"/>
      <c r="AY522" s="498">
        <f t="shared" si="158"/>
        <v>43</v>
      </c>
      <c r="BT522" s="495"/>
      <c r="BV522" s="495"/>
      <c r="CH522" s="425">
        <f t="shared" si="159"/>
        <v>516</v>
      </c>
      <c r="CI522" s="425">
        <f t="shared" si="160"/>
        <v>516</v>
      </c>
      <c r="CJ522" s="425">
        <f t="shared" si="161"/>
        <v>516</v>
      </c>
      <c r="CK522" s="425">
        <f t="shared" si="154"/>
        <v>0</v>
      </c>
      <c r="CL522" s="425">
        <f t="shared" si="149"/>
        <v>0</v>
      </c>
      <c r="CM522" s="425">
        <f t="shared" si="153"/>
        <v>0</v>
      </c>
      <c r="CN522" s="495"/>
      <c r="CO522" s="495"/>
      <c r="CP522" s="495"/>
      <c r="CT522" s="495"/>
      <c r="CU522" s="495"/>
      <c r="CV522" s="495"/>
      <c r="CW522" s="495"/>
      <c r="CX522" s="495"/>
    </row>
    <row r="523" s="425" customFormat="1" ht="31" customHeight="1" spans="1:102">
      <c r="A523" s="455">
        <v>45855</v>
      </c>
      <c r="B523" s="456" t="s">
        <v>1782</v>
      </c>
      <c r="C523" s="457" t="s">
        <v>249</v>
      </c>
      <c r="D523" s="425">
        <v>4500174196</v>
      </c>
      <c r="E523" s="457" t="s">
        <v>4448</v>
      </c>
      <c r="F523" s="425" t="s">
        <v>4449</v>
      </c>
      <c r="G523" s="458" t="s">
        <v>3464</v>
      </c>
      <c r="H523" s="458" t="s">
        <v>3237</v>
      </c>
      <c r="I523" s="458">
        <v>792</v>
      </c>
      <c r="J523" s="458">
        <v>0</v>
      </c>
      <c r="K523" s="458">
        <v>12</v>
      </c>
      <c r="L523" s="462">
        <f t="shared" si="148"/>
        <v>66</v>
      </c>
      <c r="M523" s="463">
        <v>45897</v>
      </c>
      <c r="N523" s="463">
        <v>45894</v>
      </c>
      <c r="O523" s="464"/>
      <c r="P523" s="464" t="s">
        <v>103</v>
      </c>
      <c r="Q523" s="458"/>
      <c r="R523" s="472">
        <v>45863</v>
      </c>
      <c r="S523" s="472" t="s">
        <v>96</v>
      </c>
      <c r="T523" s="472">
        <v>45862</v>
      </c>
      <c r="U523" s="472"/>
      <c r="V523" s="473" t="s">
        <v>4443</v>
      </c>
      <c r="W523" s="473" t="s">
        <v>414</v>
      </c>
      <c r="X523" s="473">
        <v>2.1629</v>
      </c>
      <c r="Y523" s="480">
        <f t="shared" si="155"/>
        <v>1713.0168</v>
      </c>
      <c r="Z523" s="458" t="s">
        <v>4450</v>
      </c>
      <c r="AA523" s="458" t="s">
        <v>3464</v>
      </c>
      <c r="AB523" s="458" t="s">
        <v>76</v>
      </c>
      <c r="AC523" s="458"/>
      <c r="AD523" s="458"/>
      <c r="AE523" s="458"/>
      <c r="AF523" s="458">
        <v>792</v>
      </c>
      <c r="AG523" s="458">
        <f t="shared" si="156"/>
        <v>0</v>
      </c>
      <c r="AH523" s="489"/>
      <c r="AI523" s="458"/>
      <c r="AJ523" s="458"/>
      <c r="AK523" s="458"/>
      <c r="AL523" s="425">
        <f t="shared" si="162"/>
        <v>1584</v>
      </c>
      <c r="AO523" s="495"/>
      <c r="AQ523" s="425">
        <f>I523*2</f>
        <v>1584</v>
      </c>
      <c r="AS523" s="425">
        <f t="shared" si="157"/>
        <v>1584</v>
      </c>
      <c r="AT523" s="495"/>
      <c r="AY523" s="498">
        <f t="shared" si="158"/>
        <v>66</v>
      </c>
      <c r="BT523" s="495"/>
      <c r="BV523" s="495"/>
      <c r="CH523" s="425">
        <f t="shared" si="159"/>
        <v>792</v>
      </c>
      <c r="CI523" s="425">
        <f t="shared" si="160"/>
        <v>792</v>
      </c>
      <c r="CJ523" s="425">
        <f t="shared" si="161"/>
        <v>792</v>
      </c>
      <c r="CK523" s="425">
        <f t="shared" si="154"/>
        <v>0</v>
      </c>
      <c r="CL523" s="425">
        <f t="shared" si="149"/>
        <v>0</v>
      </c>
      <c r="CM523" s="425">
        <f t="shared" si="153"/>
        <v>0</v>
      </c>
      <c r="CN523" s="495"/>
      <c r="CO523" s="495"/>
      <c r="CP523" s="495"/>
      <c r="CT523" s="495"/>
      <c r="CU523" s="495"/>
      <c r="CV523" s="495"/>
      <c r="CW523" s="495"/>
      <c r="CX523" s="495"/>
    </row>
    <row r="524" s="425" customFormat="1" ht="31" customHeight="1" spans="1:102">
      <c r="A524" s="455">
        <v>45855</v>
      </c>
      <c r="B524" s="456" t="s">
        <v>1782</v>
      </c>
      <c r="C524" s="457" t="s">
        <v>271</v>
      </c>
      <c r="D524" s="425">
        <v>4500174196</v>
      </c>
      <c r="E524" s="457" t="s">
        <v>4451</v>
      </c>
      <c r="F524" s="425" t="s">
        <v>4452</v>
      </c>
      <c r="G524" s="458" t="s">
        <v>3464</v>
      </c>
      <c r="H524" s="458" t="s">
        <v>3237</v>
      </c>
      <c r="I524" s="458">
        <v>492</v>
      </c>
      <c r="J524" s="458">
        <v>0</v>
      </c>
      <c r="K524" s="458">
        <v>12</v>
      </c>
      <c r="L524" s="462">
        <f t="shared" si="148"/>
        <v>41</v>
      </c>
      <c r="M524" s="463">
        <v>45897</v>
      </c>
      <c r="N524" s="463">
        <v>45894</v>
      </c>
      <c r="O524" s="464"/>
      <c r="P524" s="464" t="s">
        <v>103</v>
      </c>
      <c r="Q524" s="458"/>
      <c r="R524" s="472">
        <v>45863</v>
      </c>
      <c r="S524" s="472" t="s">
        <v>96</v>
      </c>
      <c r="T524" s="472">
        <v>45862</v>
      </c>
      <c r="U524" s="472"/>
      <c r="V524" s="473" t="s">
        <v>4443</v>
      </c>
      <c r="W524" s="473" t="s">
        <v>414</v>
      </c>
      <c r="X524" s="473">
        <v>2.1629</v>
      </c>
      <c r="Y524" s="480">
        <f t="shared" si="155"/>
        <v>1064.1468</v>
      </c>
      <c r="Z524" s="458" t="s">
        <v>4453</v>
      </c>
      <c r="AA524" s="458" t="s">
        <v>3464</v>
      </c>
      <c r="AB524" s="458" t="s">
        <v>76</v>
      </c>
      <c r="AC524" s="458"/>
      <c r="AD524" s="458"/>
      <c r="AE524" s="458"/>
      <c r="AF524" s="458">
        <v>492</v>
      </c>
      <c r="AG524" s="458">
        <f t="shared" si="156"/>
        <v>0</v>
      </c>
      <c r="AH524" s="489"/>
      <c r="AI524" s="458"/>
      <c r="AJ524" s="458"/>
      <c r="AK524" s="458"/>
      <c r="AL524" s="425">
        <f t="shared" si="162"/>
        <v>984</v>
      </c>
      <c r="AO524" s="495"/>
      <c r="AQ524" s="425">
        <f>I524*2</f>
        <v>984</v>
      </c>
      <c r="AS524" s="425">
        <f t="shared" si="157"/>
        <v>984</v>
      </c>
      <c r="AT524" s="495"/>
      <c r="AY524" s="498">
        <f t="shared" si="158"/>
        <v>41</v>
      </c>
      <c r="BT524" s="495"/>
      <c r="BV524" s="495"/>
      <c r="CH524" s="425">
        <f t="shared" si="159"/>
        <v>492</v>
      </c>
      <c r="CI524" s="425">
        <f t="shared" si="160"/>
        <v>492</v>
      </c>
      <c r="CJ524" s="425">
        <f t="shared" si="161"/>
        <v>492</v>
      </c>
      <c r="CK524" s="425">
        <f t="shared" si="154"/>
        <v>0</v>
      </c>
      <c r="CL524" s="425">
        <f t="shared" si="149"/>
        <v>0</v>
      </c>
      <c r="CM524" s="425">
        <f t="shared" si="153"/>
        <v>0</v>
      </c>
      <c r="CN524" s="495"/>
      <c r="CO524" s="495"/>
      <c r="CP524" s="495"/>
      <c r="CT524" s="495"/>
      <c r="CU524" s="495"/>
      <c r="CV524" s="495"/>
      <c r="CW524" s="495"/>
      <c r="CX524" s="495"/>
    </row>
    <row r="525" s="425" customFormat="1" ht="31" customHeight="1" spans="1:102">
      <c r="A525" s="455">
        <v>45869</v>
      </c>
      <c r="B525" s="456" t="s">
        <v>220</v>
      </c>
      <c r="C525" s="457" t="s">
        <v>90</v>
      </c>
      <c r="D525" s="425">
        <v>4500175699</v>
      </c>
      <c r="E525" s="457" t="s">
        <v>4454</v>
      </c>
      <c r="F525" s="425" t="s">
        <v>4455</v>
      </c>
      <c r="G525" s="458" t="s">
        <v>3198</v>
      </c>
      <c r="H525" s="458" t="s">
        <v>3303</v>
      </c>
      <c r="I525" s="458">
        <v>50000</v>
      </c>
      <c r="J525" s="458">
        <v>0</v>
      </c>
      <c r="K525" s="458">
        <v>25</v>
      </c>
      <c r="L525" s="462">
        <f t="shared" si="148"/>
        <v>2000</v>
      </c>
      <c r="M525" s="463">
        <v>45898</v>
      </c>
      <c r="N525" s="463">
        <f t="shared" ref="N525:N533" si="163">M525-4</f>
        <v>45894</v>
      </c>
      <c r="O525" s="464"/>
      <c r="P525" s="464" t="s">
        <v>103</v>
      </c>
      <c r="Q525" s="458"/>
      <c r="R525" s="472">
        <v>45874</v>
      </c>
      <c r="S525" s="472" t="s">
        <v>96</v>
      </c>
      <c r="T525" s="472">
        <v>45882</v>
      </c>
      <c r="U525" s="472"/>
      <c r="V525" s="473" t="s">
        <v>4456</v>
      </c>
      <c r="W525" s="473" t="s">
        <v>226</v>
      </c>
      <c r="X525" s="473">
        <v>0.5455</v>
      </c>
      <c r="Y525" s="480">
        <f t="shared" si="155"/>
        <v>27275</v>
      </c>
      <c r="Z525" s="458" t="s">
        <v>4457</v>
      </c>
      <c r="AA525" s="458" t="s">
        <v>3198</v>
      </c>
      <c r="AB525" s="458" t="s">
        <v>76</v>
      </c>
      <c r="AC525" s="458"/>
      <c r="AD525" s="458"/>
      <c r="AE525" s="458"/>
      <c r="AF525" s="458">
        <f>5500+44500</f>
        <v>50000</v>
      </c>
      <c r="AG525" s="458">
        <f t="shared" si="156"/>
        <v>0</v>
      </c>
      <c r="AH525" s="489"/>
      <c r="AI525" s="458"/>
      <c r="AJ525" s="458"/>
      <c r="AK525" s="458">
        <f>I525</f>
        <v>50000</v>
      </c>
      <c r="AM525" s="425">
        <f>I525</f>
        <v>50000</v>
      </c>
      <c r="AO525" s="495"/>
      <c r="AR525" s="425">
        <f>I525</f>
        <v>50000</v>
      </c>
      <c r="AT525" s="495"/>
      <c r="AY525" s="498">
        <f>I525/24</f>
        <v>2083.33333333333</v>
      </c>
      <c r="BJ525" s="425">
        <f>I525/25</f>
        <v>2000</v>
      </c>
      <c r="BT525" s="495"/>
      <c r="BV525" s="495"/>
      <c r="CK525" s="425">
        <f t="shared" si="154"/>
        <v>2000</v>
      </c>
      <c r="CL525" s="425">
        <f t="shared" si="149"/>
        <v>0</v>
      </c>
      <c r="CM525" s="425">
        <f t="shared" si="153"/>
        <v>0</v>
      </c>
      <c r="CN525" s="495"/>
      <c r="CO525" s="495"/>
      <c r="CP525" s="495"/>
      <c r="CT525" s="495"/>
      <c r="CU525" s="495"/>
      <c r="CV525" s="495"/>
      <c r="CW525" s="495"/>
      <c r="CX525" s="495"/>
    </row>
    <row r="526" s="425" customFormat="1" ht="31" customHeight="1" spans="1:102">
      <c r="A526" s="455">
        <v>45840</v>
      </c>
      <c r="B526" s="456" t="s">
        <v>125</v>
      </c>
      <c r="C526" s="457" t="s">
        <v>71</v>
      </c>
      <c r="D526" s="425">
        <v>4500172405</v>
      </c>
      <c r="E526" s="457">
        <v>20862342</v>
      </c>
      <c r="F526" s="425" t="s">
        <v>1446</v>
      </c>
      <c r="G526" s="458" t="s">
        <v>3436</v>
      </c>
      <c r="H526" s="458" t="s">
        <v>424</v>
      </c>
      <c r="I526" s="458">
        <v>150</v>
      </c>
      <c r="J526" s="458">
        <v>0</v>
      </c>
      <c r="K526" s="458">
        <v>6</v>
      </c>
      <c r="L526" s="462">
        <f t="shared" si="148"/>
        <v>25</v>
      </c>
      <c r="M526" s="463">
        <v>45901</v>
      </c>
      <c r="N526" s="463">
        <f t="shared" si="163"/>
        <v>45897</v>
      </c>
      <c r="O526" s="464"/>
      <c r="P526" s="464" t="s">
        <v>103</v>
      </c>
      <c r="Q526" s="458"/>
      <c r="R526" s="472">
        <v>45869</v>
      </c>
      <c r="S526" s="472" t="s">
        <v>96</v>
      </c>
      <c r="T526" s="472">
        <v>45880</v>
      </c>
      <c r="U526" s="472"/>
      <c r="V526" s="473" t="s">
        <v>4400</v>
      </c>
      <c r="W526" s="473" t="s">
        <v>121</v>
      </c>
      <c r="X526" s="473">
        <v>7.4117</v>
      </c>
      <c r="Y526" s="480">
        <f t="shared" si="155"/>
        <v>1111.755</v>
      </c>
      <c r="Z526" s="458" t="s">
        <v>4458</v>
      </c>
      <c r="AA526" s="458" t="s">
        <v>1203</v>
      </c>
      <c r="AB526" s="458" t="s">
        <v>76</v>
      </c>
      <c r="AC526" s="458"/>
      <c r="AD526" s="458"/>
      <c r="AE526" s="458"/>
      <c r="AF526" s="458">
        <v>150</v>
      </c>
      <c r="AG526" s="458">
        <f t="shared" si="156"/>
        <v>0</v>
      </c>
      <c r="AH526" s="489"/>
      <c r="AI526" s="458"/>
      <c r="AJ526" s="458"/>
      <c r="AK526" s="458"/>
      <c r="AL526" s="425">
        <f>I526*2</f>
        <v>300</v>
      </c>
      <c r="AO526" s="495">
        <f>$I526*2</f>
        <v>300</v>
      </c>
      <c r="AS526" s="425">
        <f t="shared" ref="AS526:AS532" si="164">I526</f>
        <v>150</v>
      </c>
      <c r="AT526" s="495"/>
      <c r="AY526" s="498">
        <f>I526/24*2</f>
        <v>12.5</v>
      </c>
      <c r="BT526" s="495"/>
      <c r="BU526" s="425">
        <f>I526</f>
        <v>150</v>
      </c>
      <c r="BV526" s="495"/>
      <c r="CK526" s="425">
        <f t="shared" si="154"/>
        <v>0</v>
      </c>
      <c r="CL526" s="425">
        <f t="shared" si="149"/>
        <v>0</v>
      </c>
      <c r="CM526" s="425">
        <f t="shared" si="153"/>
        <v>0</v>
      </c>
      <c r="CN526" s="495"/>
      <c r="CO526" s="495"/>
      <c r="CP526" s="495"/>
      <c r="CT526" s="495"/>
      <c r="CU526" s="495"/>
      <c r="CV526" s="495"/>
      <c r="CW526" s="495"/>
      <c r="CX526" s="495"/>
    </row>
    <row r="527" s="425" customFormat="1" ht="31" customHeight="1" spans="1:102">
      <c r="A527" s="455">
        <v>45862</v>
      </c>
      <c r="B527" s="456" t="s">
        <v>125</v>
      </c>
      <c r="C527" s="457" t="s">
        <v>71</v>
      </c>
      <c r="D527" s="425">
        <v>4500172405</v>
      </c>
      <c r="E527" s="457">
        <v>21012326</v>
      </c>
      <c r="F527" s="425" t="s">
        <v>4459</v>
      </c>
      <c r="G527" s="458" t="s">
        <v>3206</v>
      </c>
      <c r="H527" s="458" t="s">
        <v>3207</v>
      </c>
      <c r="I527" s="458">
        <v>234</v>
      </c>
      <c r="J527" s="458">
        <v>0</v>
      </c>
      <c r="K527" s="458">
        <v>13</v>
      </c>
      <c r="L527" s="462">
        <f t="shared" si="148"/>
        <v>18</v>
      </c>
      <c r="M527" s="463">
        <v>45901</v>
      </c>
      <c r="N527" s="463">
        <f t="shared" si="163"/>
        <v>45897</v>
      </c>
      <c r="O527" s="464"/>
      <c r="P527" s="464" t="s">
        <v>103</v>
      </c>
      <c r="Q527" s="458"/>
      <c r="R527" s="472">
        <v>45869</v>
      </c>
      <c r="S527" s="472" t="s">
        <v>96</v>
      </c>
      <c r="T527" s="472">
        <v>45880</v>
      </c>
      <c r="U527" s="472"/>
      <c r="V527" s="473" t="s">
        <v>4460</v>
      </c>
      <c r="W527" s="473" t="s">
        <v>121</v>
      </c>
      <c r="X527" s="473">
        <v>0.9526</v>
      </c>
      <c r="Y527" s="480">
        <f t="shared" si="155"/>
        <v>222.9084</v>
      </c>
      <c r="Z527" s="458" t="s">
        <v>4461</v>
      </c>
      <c r="AA527" s="458" t="s">
        <v>3206</v>
      </c>
      <c r="AB527" s="458" t="s">
        <v>76</v>
      </c>
      <c r="AC527" s="458"/>
      <c r="AD527" s="458"/>
      <c r="AE527" s="458"/>
      <c r="AF527" s="458">
        <v>234</v>
      </c>
      <c r="AG527" s="458">
        <f t="shared" si="156"/>
        <v>0</v>
      </c>
      <c r="AH527" s="489"/>
      <c r="AI527" s="458"/>
      <c r="AJ527" s="458"/>
      <c r="AK527" s="458"/>
      <c r="AL527" s="425">
        <f>I527</f>
        <v>234</v>
      </c>
      <c r="AO527" s="495"/>
      <c r="AQ527" s="425">
        <f>I527</f>
        <v>234</v>
      </c>
      <c r="AS527" s="425">
        <f t="shared" si="164"/>
        <v>234</v>
      </c>
      <c r="AT527" s="495"/>
      <c r="AY527" s="498">
        <f>I527/24</f>
        <v>9.75</v>
      </c>
      <c r="BI527" s="425">
        <f>I527/13</f>
        <v>18</v>
      </c>
      <c r="BT527" s="495"/>
      <c r="BV527" s="495"/>
      <c r="CK527" s="425">
        <f t="shared" si="154"/>
        <v>0</v>
      </c>
      <c r="CL527" s="425">
        <f t="shared" si="149"/>
        <v>0</v>
      </c>
      <c r="CM527" s="425">
        <f t="shared" si="153"/>
        <v>0</v>
      </c>
      <c r="CN527" s="495"/>
      <c r="CO527" s="495"/>
      <c r="CP527" s="495"/>
      <c r="CT527" s="495"/>
      <c r="CU527" s="495"/>
      <c r="CV527" s="495"/>
      <c r="CW527" s="495"/>
      <c r="CX527" s="495"/>
    </row>
    <row r="528" s="425" customFormat="1" ht="31" customHeight="1" spans="1:102">
      <c r="A528" s="455">
        <v>45853</v>
      </c>
      <c r="B528" s="456" t="s">
        <v>1492</v>
      </c>
      <c r="C528" s="457" t="s">
        <v>249</v>
      </c>
      <c r="D528" s="425">
        <v>4500173887</v>
      </c>
      <c r="E528" s="457">
        <v>4400494430</v>
      </c>
      <c r="F528" s="425" t="s">
        <v>4462</v>
      </c>
      <c r="G528" s="458" t="s">
        <v>3165</v>
      </c>
      <c r="H528" s="458" t="s">
        <v>3303</v>
      </c>
      <c r="I528" s="458">
        <v>8000</v>
      </c>
      <c r="J528" s="458">
        <v>0</v>
      </c>
      <c r="K528" s="458">
        <v>25</v>
      </c>
      <c r="L528" s="462">
        <f t="shared" si="148"/>
        <v>320</v>
      </c>
      <c r="M528" s="463">
        <v>45903</v>
      </c>
      <c r="N528" s="463">
        <f t="shared" si="163"/>
        <v>45899</v>
      </c>
      <c r="O528" s="464"/>
      <c r="P528" s="464" t="s">
        <v>103</v>
      </c>
      <c r="Q528" s="458"/>
      <c r="R528" s="472">
        <v>45866</v>
      </c>
      <c r="S528" s="472" t="s">
        <v>66</v>
      </c>
      <c r="T528" s="472" t="s">
        <v>66</v>
      </c>
      <c r="U528" s="472"/>
      <c r="V528" s="473" t="s">
        <v>4463</v>
      </c>
      <c r="W528" s="473" t="s">
        <v>1424</v>
      </c>
      <c r="X528" s="473">
        <v>0.9193</v>
      </c>
      <c r="Y528" s="480">
        <f t="shared" si="155"/>
        <v>7354.4</v>
      </c>
      <c r="Z528" s="458" t="s">
        <v>4464</v>
      </c>
      <c r="AA528" s="458" t="s">
        <v>3188</v>
      </c>
      <c r="AB528" s="458" t="s">
        <v>76</v>
      </c>
      <c r="AC528" s="458"/>
      <c r="AD528" s="458"/>
      <c r="AE528" s="458"/>
      <c r="AF528" s="458">
        <v>8000</v>
      </c>
      <c r="AG528" s="458">
        <f t="shared" si="156"/>
        <v>0</v>
      </c>
      <c r="AH528" s="489"/>
      <c r="AI528" s="458"/>
      <c r="AJ528" s="458"/>
      <c r="AK528" s="458"/>
      <c r="AL528" s="425">
        <f>I528</f>
        <v>8000</v>
      </c>
      <c r="AO528" s="495"/>
      <c r="AS528" s="425">
        <f t="shared" si="164"/>
        <v>8000</v>
      </c>
      <c r="AT528" s="495"/>
      <c r="AY528" s="498">
        <f>I528/24*2</f>
        <v>666.666666666667</v>
      </c>
      <c r="BB528" s="425">
        <f>I528</f>
        <v>8000</v>
      </c>
      <c r="BL528" s="425">
        <f>I528/25</f>
        <v>320</v>
      </c>
      <c r="BT528" s="495"/>
      <c r="BV528" s="495"/>
      <c r="CK528" s="425">
        <f t="shared" si="154"/>
        <v>320</v>
      </c>
      <c r="CL528" s="425">
        <f t="shared" si="149"/>
        <v>0</v>
      </c>
      <c r="CM528" s="425">
        <f t="shared" si="153"/>
        <v>0</v>
      </c>
      <c r="CN528" s="495"/>
      <c r="CO528" s="495"/>
      <c r="CP528" s="495"/>
      <c r="CT528" s="495"/>
      <c r="CU528" s="495"/>
      <c r="CV528" s="495"/>
      <c r="CW528" s="495"/>
      <c r="CX528" s="495"/>
    </row>
    <row r="529" s="425" customFormat="1" ht="31" customHeight="1" spans="1:102">
      <c r="A529" s="455">
        <v>45853</v>
      </c>
      <c r="B529" s="456" t="s">
        <v>1492</v>
      </c>
      <c r="C529" s="457" t="s">
        <v>249</v>
      </c>
      <c r="D529" s="425">
        <v>4500173889</v>
      </c>
      <c r="E529" s="457">
        <v>4400494432</v>
      </c>
      <c r="F529" s="425" t="s">
        <v>4465</v>
      </c>
      <c r="G529" s="458" t="s">
        <v>3165</v>
      </c>
      <c r="H529" s="458" t="s">
        <v>3303</v>
      </c>
      <c r="I529" s="458">
        <v>8000</v>
      </c>
      <c r="J529" s="458">
        <v>0</v>
      </c>
      <c r="K529" s="458">
        <v>25</v>
      </c>
      <c r="L529" s="462">
        <f t="shared" si="148"/>
        <v>320</v>
      </c>
      <c r="M529" s="463">
        <v>45903</v>
      </c>
      <c r="N529" s="463">
        <f t="shared" si="163"/>
        <v>45899</v>
      </c>
      <c r="O529" s="464"/>
      <c r="P529" s="464" t="s">
        <v>103</v>
      </c>
      <c r="Q529" s="458"/>
      <c r="R529" s="472">
        <v>45866</v>
      </c>
      <c r="S529" s="472" t="s">
        <v>66</v>
      </c>
      <c r="T529" s="472" t="s">
        <v>66</v>
      </c>
      <c r="U529" s="472"/>
      <c r="V529" s="473" t="s">
        <v>4463</v>
      </c>
      <c r="W529" s="473" t="s">
        <v>1424</v>
      </c>
      <c r="X529" s="473">
        <v>0.9193</v>
      </c>
      <c r="Y529" s="480">
        <f t="shared" si="155"/>
        <v>7354.4</v>
      </c>
      <c r="Z529" s="458" t="s">
        <v>4466</v>
      </c>
      <c r="AA529" s="458" t="s">
        <v>3188</v>
      </c>
      <c r="AB529" s="458" t="s">
        <v>76</v>
      </c>
      <c r="AC529" s="458"/>
      <c r="AD529" s="458"/>
      <c r="AE529" s="458"/>
      <c r="AF529" s="458">
        <v>8000</v>
      </c>
      <c r="AG529" s="458">
        <f t="shared" si="156"/>
        <v>0</v>
      </c>
      <c r="AH529" s="489"/>
      <c r="AI529" s="458"/>
      <c r="AJ529" s="458"/>
      <c r="AK529" s="458"/>
      <c r="AL529" s="425">
        <f>I529</f>
        <v>8000</v>
      </c>
      <c r="AO529" s="495"/>
      <c r="AS529" s="425">
        <f t="shared" si="164"/>
        <v>8000</v>
      </c>
      <c r="AT529" s="495"/>
      <c r="AY529" s="498">
        <f>I529/24*2</f>
        <v>666.666666666667</v>
      </c>
      <c r="BB529" s="425">
        <f>I529</f>
        <v>8000</v>
      </c>
      <c r="BL529" s="425">
        <f>I529/25</f>
        <v>320</v>
      </c>
      <c r="BT529" s="495"/>
      <c r="BV529" s="495"/>
      <c r="CK529" s="425">
        <f t="shared" si="154"/>
        <v>320</v>
      </c>
      <c r="CL529" s="425">
        <f t="shared" si="149"/>
        <v>0</v>
      </c>
      <c r="CM529" s="425">
        <f t="shared" si="153"/>
        <v>0</v>
      </c>
      <c r="CN529" s="495"/>
      <c r="CO529" s="495"/>
      <c r="CP529" s="495"/>
      <c r="CT529" s="495"/>
      <c r="CU529" s="495"/>
      <c r="CV529" s="495"/>
      <c r="CW529" s="495"/>
      <c r="CX529" s="495"/>
    </row>
    <row r="530" s="425" customFormat="1" ht="31" customHeight="1" spans="1:102">
      <c r="A530" s="455">
        <v>45860</v>
      </c>
      <c r="B530" s="456" t="s">
        <v>70</v>
      </c>
      <c r="C530" s="457" t="s">
        <v>71</v>
      </c>
      <c r="D530" s="425">
        <v>4500174525</v>
      </c>
      <c r="E530" s="457">
        <v>29028749</v>
      </c>
      <c r="F530" s="425" t="s">
        <v>4467</v>
      </c>
      <c r="G530" s="458" t="s">
        <v>3161</v>
      </c>
      <c r="H530" s="458" t="s">
        <v>3221</v>
      </c>
      <c r="I530" s="458">
        <v>2300</v>
      </c>
      <c r="J530" s="458">
        <v>0</v>
      </c>
      <c r="K530" s="458">
        <v>50</v>
      </c>
      <c r="L530" s="462">
        <f t="shared" si="148"/>
        <v>46</v>
      </c>
      <c r="M530" s="463">
        <v>45903</v>
      </c>
      <c r="N530" s="463">
        <f t="shared" si="163"/>
        <v>45899</v>
      </c>
      <c r="O530" s="464"/>
      <c r="P530" s="464" t="s">
        <v>103</v>
      </c>
      <c r="Q530" s="458"/>
      <c r="R530" s="472">
        <v>45868</v>
      </c>
      <c r="S530" s="472" t="s">
        <v>66</v>
      </c>
      <c r="T530" s="472" t="s">
        <v>66</v>
      </c>
      <c r="U530" s="472"/>
      <c r="V530" s="473" t="s">
        <v>4468</v>
      </c>
      <c r="W530" s="473" t="s">
        <v>75</v>
      </c>
      <c r="X530" s="473">
        <v>0.941</v>
      </c>
      <c r="Y530" s="480">
        <f t="shared" si="155"/>
        <v>2164.3</v>
      </c>
      <c r="Z530" s="458" t="s">
        <v>4469</v>
      </c>
      <c r="AA530" s="458" t="s">
        <v>4470</v>
      </c>
      <c r="AB530" s="458" t="s">
        <v>76</v>
      </c>
      <c r="AC530" s="458"/>
      <c r="AD530" s="458"/>
      <c r="AE530" s="458"/>
      <c r="AF530" s="458">
        <v>2300</v>
      </c>
      <c r="AG530" s="458">
        <f t="shared" si="156"/>
        <v>0</v>
      </c>
      <c r="AH530" s="489"/>
      <c r="AI530" s="458"/>
      <c r="AJ530" s="458"/>
      <c r="AK530" s="458"/>
      <c r="AL530" s="425">
        <f>I530</f>
        <v>2300</v>
      </c>
      <c r="AM530" s="425">
        <f>I530</f>
        <v>2300</v>
      </c>
      <c r="AO530" s="495"/>
      <c r="AS530" s="425">
        <f t="shared" si="164"/>
        <v>2300</v>
      </c>
      <c r="AT530" s="495"/>
      <c r="AY530" s="498">
        <f>I530/24*2</f>
        <v>191.666666666667</v>
      </c>
      <c r="BJ530" s="425">
        <f>I530/25</f>
        <v>92</v>
      </c>
      <c r="BT530" s="495"/>
      <c r="BV530" s="495"/>
      <c r="CK530" s="425">
        <f t="shared" si="154"/>
        <v>92</v>
      </c>
      <c r="CL530" s="425">
        <f t="shared" si="149"/>
        <v>0</v>
      </c>
      <c r="CM530" s="425">
        <f t="shared" si="153"/>
        <v>0</v>
      </c>
      <c r="CN530" s="495"/>
      <c r="CO530" s="495"/>
      <c r="CP530" s="495"/>
      <c r="CT530" s="495"/>
      <c r="CU530" s="495"/>
      <c r="CV530" s="495"/>
      <c r="CW530" s="495"/>
      <c r="CX530" s="495"/>
    </row>
    <row r="531" s="425" customFormat="1" ht="31" customHeight="1" spans="1:102">
      <c r="A531" s="455">
        <v>45860</v>
      </c>
      <c r="B531" s="456" t="s">
        <v>70</v>
      </c>
      <c r="C531" s="457" t="s">
        <v>71</v>
      </c>
      <c r="D531" s="425">
        <v>4500174525</v>
      </c>
      <c r="E531" s="457">
        <v>29028754</v>
      </c>
      <c r="F531" s="425" t="s">
        <v>4471</v>
      </c>
      <c r="G531" s="458" t="s">
        <v>3161</v>
      </c>
      <c r="H531" s="458" t="s">
        <v>3221</v>
      </c>
      <c r="I531" s="458">
        <v>750</v>
      </c>
      <c r="J531" s="458">
        <v>0</v>
      </c>
      <c r="K531" s="458">
        <v>50</v>
      </c>
      <c r="L531" s="462">
        <f t="shared" si="148"/>
        <v>15</v>
      </c>
      <c r="M531" s="463">
        <v>45903</v>
      </c>
      <c r="N531" s="463">
        <f t="shared" si="163"/>
        <v>45899</v>
      </c>
      <c r="O531" s="464"/>
      <c r="P531" s="464" t="s">
        <v>103</v>
      </c>
      <c r="Q531" s="458"/>
      <c r="R531" s="472">
        <v>45868</v>
      </c>
      <c r="S531" s="472" t="s">
        <v>66</v>
      </c>
      <c r="T531" s="472" t="s">
        <v>66</v>
      </c>
      <c r="U531" s="472"/>
      <c r="V531" s="473" t="s">
        <v>4468</v>
      </c>
      <c r="W531" s="473" t="s">
        <v>75</v>
      </c>
      <c r="X531" s="473">
        <v>0.9462</v>
      </c>
      <c r="Y531" s="480">
        <f t="shared" si="155"/>
        <v>709.65</v>
      </c>
      <c r="Z531" s="458" t="s">
        <v>4469</v>
      </c>
      <c r="AA531" s="458" t="s">
        <v>4470</v>
      </c>
      <c r="AB531" s="458" t="s">
        <v>76</v>
      </c>
      <c r="AC531" s="458"/>
      <c r="AD531" s="458"/>
      <c r="AE531" s="458"/>
      <c r="AF531" s="458">
        <f>700+50</f>
        <v>750</v>
      </c>
      <c r="AG531" s="458">
        <f t="shared" si="156"/>
        <v>0</v>
      </c>
      <c r="AH531" s="489"/>
      <c r="AI531" s="458"/>
      <c r="AJ531" s="458"/>
      <c r="AK531" s="458"/>
      <c r="AL531" s="425">
        <f>I531</f>
        <v>750</v>
      </c>
      <c r="AM531" s="425">
        <f>I531</f>
        <v>750</v>
      </c>
      <c r="AO531" s="495"/>
      <c r="AS531" s="425">
        <f t="shared" si="164"/>
        <v>750</v>
      </c>
      <c r="AT531" s="495"/>
      <c r="AY531" s="498">
        <f>I531/24*2</f>
        <v>62.5</v>
      </c>
      <c r="BJ531" s="425">
        <f>I531/25</f>
        <v>30</v>
      </c>
      <c r="BT531" s="495"/>
      <c r="BV531" s="495"/>
      <c r="CK531" s="425">
        <f t="shared" si="154"/>
        <v>30</v>
      </c>
      <c r="CL531" s="425">
        <f t="shared" si="149"/>
        <v>0</v>
      </c>
      <c r="CM531" s="425">
        <f t="shared" si="153"/>
        <v>0</v>
      </c>
      <c r="CN531" s="495"/>
      <c r="CO531" s="495"/>
      <c r="CP531" s="495"/>
      <c r="CT531" s="495"/>
      <c r="CU531" s="495"/>
      <c r="CV531" s="495"/>
      <c r="CW531" s="495"/>
      <c r="CX531" s="495"/>
    </row>
    <row r="532" s="425" customFormat="1" ht="31" customHeight="1" spans="1:102">
      <c r="A532" s="455">
        <v>45678</v>
      </c>
      <c r="B532" s="456" t="s">
        <v>1372</v>
      </c>
      <c r="C532" s="457" t="s">
        <v>90</v>
      </c>
      <c r="D532" s="425">
        <v>4500156301</v>
      </c>
      <c r="E532" s="895" t="s">
        <v>1469</v>
      </c>
      <c r="F532" s="425" t="s">
        <v>1470</v>
      </c>
      <c r="G532" s="458" t="s">
        <v>819</v>
      </c>
      <c r="H532" s="458" t="s">
        <v>744</v>
      </c>
      <c r="I532" s="458">
        <v>72</v>
      </c>
      <c r="J532" s="458">
        <v>0</v>
      </c>
      <c r="K532" s="458">
        <v>1</v>
      </c>
      <c r="L532" s="462">
        <f t="shared" si="148"/>
        <v>72</v>
      </c>
      <c r="M532" s="463">
        <v>45891</v>
      </c>
      <c r="N532" s="463">
        <f t="shared" si="163"/>
        <v>45887</v>
      </c>
      <c r="O532" s="464"/>
      <c r="P532" s="464" t="s">
        <v>103</v>
      </c>
      <c r="Q532" s="458"/>
      <c r="R532" s="472">
        <v>45832</v>
      </c>
      <c r="S532" s="472" t="s">
        <v>66</v>
      </c>
      <c r="T532" s="472" t="s">
        <v>66</v>
      </c>
      <c r="U532" s="472"/>
      <c r="V532" s="473" t="s">
        <v>1467</v>
      </c>
      <c r="W532" s="473" t="s">
        <v>821</v>
      </c>
      <c r="X532" s="473">
        <v>0</v>
      </c>
      <c r="Y532" s="480">
        <f>X532*L532</f>
        <v>0</v>
      </c>
      <c r="Z532" s="458" t="s">
        <v>1472</v>
      </c>
      <c r="AA532" s="458" t="s">
        <v>1378</v>
      </c>
      <c r="AB532" s="458" t="s">
        <v>76</v>
      </c>
      <c r="AC532" s="458"/>
      <c r="AD532" s="458"/>
      <c r="AE532" s="458"/>
      <c r="AF532" s="458">
        <v>0</v>
      </c>
      <c r="AG532" s="458">
        <v>0</v>
      </c>
      <c r="AH532" s="489"/>
      <c r="AI532" s="458"/>
      <c r="AJ532" s="458"/>
      <c r="AK532" s="458"/>
      <c r="AO532" s="495"/>
      <c r="AT532" s="495"/>
      <c r="AY532" s="498"/>
      <c r="BT532" s="495"/>
      <c r="BV532" s="495"/>
      <c r="CK532" s="425">
        <f t="shared" si="154"/>
        <v>0</v>
      </c>
      <c r="CL532" s="425">
        <f t="shared" si="149"/>
        <v>0</v>
      </c>
      <c r="CM532" s="425">
        <f t="shared" si="153"/>
        <v>0</v>
      </c>
      <c r="CN532" s="495"/>
      <c r="CO532" s="495"/>
      <c r="CP532" s="495"/>
      <c r="CT532" s="495"/>
      <c r="CU532" s="495"/>
      <c r="CV532" s="495"/>
      <c r="CW532" s="495"/>
      <c r="CX532" s="495"/>
    </row>
    <row r="533" s="425" customFormat="1" ht="31" customHeight="1" spans="1:102">
      <c r="A533" s="455">
        <v>45678</v>
      </c>
      <c r="B533" s="456" t="s">
        <v>1372</v>
      </c>
      <c r="C533" s="457" t="s">
        <v>90</v>
      </c>
      <c r="D533" s="425">
        <v>4500156301</v>
      </c>
      <c r="E533" s="895" t="s">
        <v>1469</v>
      </c>
      <c r="F533" s="425" t="s">
        <v>1470</v>
      </c>
      <c r="G533" s="458">
        <v>77711</v>
      </c>
      <c r="H533" s="458" t="s">
        <v>3151</v>
      </c>
      <c r="I533" s="458">
        <v>5400</v>
      </c>
      <c r="J533" s="458">
        <v>0</v>
      </c>
      <c r="K533" s="458">
        <v>75</v>
      </c>
      <c r="L533" s="462">
        <f t="shared" si="148"/>
        <v>72</v>
      </c>
      <c r="M533" s="463">
        <v>45891</v>
      </c>
      <c r="N533" s="463">
        <f t="shared" si="163"/>
        <v>45887</v>
      </c>
      <c r="O533" s="464"/>
      <c r="P533" s="464" t="s">
        <v>103</v>
      </c>
      <c r="Q533" s="458"/>
      <c r="R533" s="472">
        <v>45832</v>
      </c>
      <c r="S533" s="472" t="s">
        <v>66</v>
      </c>
      <c r="T533" s="472" t="s">
        <v>66</v>
      </c>
      <c r="U533" s="472"/>
      <c r="V533" s="473"/>
      <c r="W533" s="473" t="s">
        <v>821</v>
      </c>
      <c r="X533" s="473">
        <v>762.5</v>
      </c>
      <c r="Y533" s="480">
        <f>X533*L533</f>
        <v>54900</v>
      </c>
      <c r="Z533" s="458" t="s">
        <v>1472</v>
      </c>
      <c r="AA533" s="458" t="s">
        <v>1378</v>
      </c>
      <c r="AB533" s="458" t="s">
        <v>76</v>
      </c>
      <c r="AC533" s="458"/>
      <c r="AD533" s="458"/>
      <c r="AE533" s="458"/>
      <c r="AF533" s="458">
        <v>0</v>
      </c>
      <c r="AG533" s="458">
        <v>0</v>
      </c>
      <c r="AH533" s="489"/>
      <c r="AI533" s="458"/>
      <c r="AJ533" s="458"/>
      <c r="AK533" s="458">
        <f>I533*3</f>
        <v>16200</v>
      </c>
      <c r="AO533" s="495"/>
      <c r="AT533" s="495"/>
      <c r="AY533" s="498">
        <f>I533/24*3</f>
        <v>675</v>
      </c>
      <c r="BC533" s="425">
        <f>AK533</f>
        <v>16200</v>
      </c>
      <c r="BD533" s="425">
        <f>AK533</f>
        <v>16200</v>
      </c>
      <c r="BE533" s="425">
        <f>I533</f>
        <v>5400</v>
      </c>
      <c r="BF533" s="425">
        <f>I533/5</f>
        <v>1080</v>
      </c>
      <c r="BT533" s="495"/>
      <c r="BV533" s="495"/>
      <c r="CK533" s="425">
        <f t="shared" si="154"/>
        <v>0</v>
      </c>
      <c r="CL533" s="425">
        <f t="shared" si="149"/>
        <v>0</v>
      </c>
      <c r="CM533" s="425">
        <f t="shared" si="153"/>
        <v>0</v>
      </c>
      <c r="CN533" s="495"/>
      <c r="CO533" s="495"/>
      <c r="CP533" s="495"/>
      <c r="CT533" s="495"/>
      <c r="CU533" s="495"/>
      <c r="CV533" s="495"/>
      <c r="CW533" s="495"/>
      <c r="CX533" s="495"/>
    </row>
    <row r="534" s="425" customFormat="1" ht="31" customHeight="1" spans="1:102">
      <c r="A534" s="455">
        <v>45678</v>
      </c>
      <c r="B534" s="456" t="s">
        <v>1372</v>
      </c>
      <c r="C534" s="457" t="s">
        <v>90</v>
      </c>
      <c r="D534" s="425">
        <v>4500156325</v>
      </c>
      <c r="E534" s="895" t="s">
        <v>1520</v>
      </c>
      <c r="F534" s="425" t="s">
        <v>1521</v>
      </c>
      <c r="G534" s="458" t="s">
        <v>819</v>
      </c>
      <c r="H534" s="458" t="s">
        <v>744</v>
      </c>
      <c r="I534" s="458">
        <v>72</v>
      </c>
      <c r="J534" s="458">
        <v>0</v>
      </c>
      <c r="K534" s="458">
        <v>1</v>
      </c>
      <c r="L534" s="462">
        <f t="shared" si="148"/>
        <v>72</v>
      </c>
      <c r="M534" s="463">
        <v>45897</v>
      </c>
      <c r="N534" s="463">
        <v>45894</v>
      </c>
      <c r="O534" s="464"/>
      <c r="P534" s="464" t="s">
        <v>103</v>
      </c>
      <c r="Q534" s="458"/>
      <c r="R534" s="472">
        <v>45832</v>
      </c>
      <c r="S534" s="472" t="s">
        <v>66</v>
      </c>
      <c r="T534" s="472" t="s">
        <v>66</v>
      </c>
      <c r="U534" s="472"/>
      <c r="V534" s="473" t="s">
        <v>4472</v>
      </c>
      <c r="W534" s="473" t="s">
        <v>821</v>
      </c>
      <c r="X534" s="473">
        <v>0</v>
      </c>
      <c r="Y534" s="480">
        <f>X534*L534</f>
        <v>0</v>
      </c>
      <c r="Z534" s="539" t="s">
        <v>1522</v>
      </c>
      <c r="AA534" s="458" t="s">
        <v>1378</v>
      </c>
      <c r="AB534" s="458" t="s">
        <v>76</v>
      </c>
      <c r="AC534" s="458"/>
      <c r="AD534" s="458"/>
      <c r="AE534" s="458"/>
      <c r="AF534" s="458">
        <v>0</v>
      </c>
      <c r="AG534" s="458">
        <v>0</v>
      </c>
      <c r="AH534" s="489"/>
      <c r="AI534" s="458"/>
      <c r="AJ534" s="458"/>
      <c r="AK534" s="458"/>
      <c r="AO534" s="495"/>
      <c r="AT534" s="495"/>
      <c r="AY534" s="498"/>
      <c r="BT534" s="495"/>
      <c r="BV534" s="495"/>
      <c r="CK534" s="425">
        <f t="shared" si="154"/>
        <v>0</v>
      </c>
      <c r="CL534" s="425">
        <f t="shared" si="149"/>
        <v>0</v>
      </c>
      <c r="CM534" s="425">
        <f t="shared" si="153"/>
        <v>0</v>
      </c>
      <c r="CN534" s="495"/>
      <c r="CO534" s="495"/>
      <c r="CP534" s="495"/>
      <c r="CT534" s="495"/>
      <c r="CU534" s="495"/>
      <c r="CV534" s="495"/>
      <c r="CW534" s="495"/>
      <c r="CX534" s="495"/>
    </row>
    <row r="535" s="425" customFormat="1" ht="31" customHeight="1" spans="1:102">
      <c r="A535" s="455">
        <v>45678</v>
      </c>
      <c r="B535" s="456" t="s">
        <v>1372</v>
      </c>
      <c r="C535" s="457" t="s">
        <v>90</v>
      </c>
      <c r="D535" s="425">
        <v>4500156325</v>
      </c>
      <c r="E535" s="895" t="s">
        <v>1520</v>
      </c>
      <c r="F535" s="425" t="s">
        <v>1521</v>
      </c>
      <c r="G535" s="458">
        <v>77711</v>
      </c>
      <c r="H535" s="458" t="s">
        <v>3151</v>
      </c>
      <c r="I535" s="458">
        <v>5400</v>
      </c>
      <c r="J535" s="458">
        <v>0</v>
      </c>
      <c r="K535" s="458">
        <v>75</v>
      </c>
      <c r="L535" s="462">
        <f t="shared" si="148"/>
        <v>72</v>
      </c>
      <c r="M535" s="463">
        <v>45897</v>
      </c>
      <c r="N535" s="463">
        <v>45894</v>
      </c>
      <c r="O535" s="464"/>
      <c r="P535" s="464" t="s">
        <v>103</v>
      </c>
      <c r="Q535" s="458"/>
      <c r="R535" s="472">
        <v>45832</v>
      </c>
      <c r="S535" s="472" t="s">
        <v>66</v>
      </c>
      <c r="T535" s="472" t="s">
        <v>66</v>
      </c>
      <c r="U535" s="472"/>
      <c r="V535" s="473"/>
      <c r="W535" s="473" t="s">
        <v>821</v>
      </c>
      <c r="X535" s="473">
        <v>762.5</v>
      </c>
      <c r="Y535" s="480">
        <f>X535*L535</f>
        <v>54900</v>
      </c>
      <c r="Z535" s="539" t="s">
        <v>1522</v>
      </c>
      <c r="AA535" s="458" t="s">
        <v>1378</v>
      </c>
      <c r="AB535" s="458" t="s">
        <v>76</v>
      </c>
      <c r="AC535" s="458"/>
      <c r="AD535" s="458"/>
      <c r="AE535" s="458"/>
      <c r="AF535" s="458">
        <v>0</v>
      </c>
      <c r="AG535" s="458">
        <v>0</v>
      </c>
      <c r="AH535" s="489"/>
      <c r="AI535" s="458"/>
      <c r="AJ535" s="458"/>
      <c r="AK535" s="458">
        <f>I535*3</f>
        <v>16200</v>
      </c>
      <c r="AO535" s="495"/>
      <c r="AT535" s="495"/>
      <c r="AY535" s="498">
        <f>I535/24*3</f>
        <v>675</v>
      </c>
      <c r="BC535" s="425">
        <f>AK535</f>
        <v>16200</v>
      </c>
      <c r="BD535" s="425">
        <f>AK535</f>
        <v>16200</v>
      </c>
      <c r="BE535" s="425">
        <f>I535</f>
        <v>5400</v>
      </c>
      <c r="BF535" s="425">
        <f>I535/5</f>
        <v>1080</v>
      </c>
      <c r="BT535" s="495"/>
      <c r="BV535" s="495"/>
      <c r="CK535" s="425">
        <f t="shared" si="154"/>
        <v>0</v>
      </c>
      <c r="CL535" s="425">
        <f t="shared" si="149"/>
        <v>0</v>
      </c>
      <c r="CM535" s="425">
        <f t="shared" si="153"/>
        <v>0</v>
      </c>
      <c r="CN535" s="495"/>
      <c r="CO535" s="495"/>
      <c r="CP535" s="495"/>
      <c r="CT535" s="495"/>
      <c r="CU535" s="495"/>
      <c r="CV535" s="495"/>
      <c r="CW535" s="495"/>
      <c r="CX535" s="495"/>
    </row>
    <row r="536" s="425" customFormat="1" ht="31" customHeight="1" spans="1:102">
      <c r="A536" s="455">
        <v>45869</v>
      </c>
      <c r="B536" s="456" t="s">
        <v>220</v>
      </c>
      <c r="C536" s="457" t="s">
        <v>90</v>
      </c>
      <c r="D536" s="425">
        <v>4500175700</v>
      </c>
      <c r="E536" s="457" t="s">
        <v>4473</v>
      </c>
      <c r="F536" s="425" t="s">
        <v>4474</v>
      </c>
      <c r="G536" s="458" t="s">
        <v>3198</v>
      </c>
      <c r="H536" s="458" t="s">
        <v>3303</v>
      </c>
      <c r="I536" s="458">
        <v>50000</v>
      </c>
      <c r="J536" s="458">
        <v>0</v>
      </c>
      <c r="K536" s="458">
        <v>25</v>
      </c>
      <c r="L536" s="462">
        <f t="shared" si="148"/>
        <v>2000</v>
      </c>
      <c r="M536" s="463">
        <v>45903</v>
      </c>
      <c r="N536" s="463">
        <f>M536-4</f>
        <v>45899</v>
      </c>
      <c r="O536" s="464"/>
      <c r="P536" s="464" t="s">
        <v>103</v>
      </c>
      <c r="Q536" s="458"/>
      <c r="R536" s="472">
        <v>45874</v>
      </c>
      <c r="S536" s="472" t="s">
        <v>96</v>
      </c>
      <c r="T536" s="472">
        <v>45882</v>
      </c>
      <c r="U536" s="472"/>
      <c r="V536" s="473" t="s">
        <v>4475</v>
      </c>
      <c r="W536" s="473" t="s">
        <v>226</v>
      </c>
      <c r="X536" s="473">
        <v>0.5455</v>
      </c>
      <c r="Y536" s="480">
        <f>X536*I536</f>
        <v>27275</v>
      </c>
      <c r="Z536" s="458" t="s">
        <v>4476</v>
      </c>
      <c r="AA536" s="458" t="s">
        <v>3198</v>
      </c>
      <c r="AB536" s="458" t="s">
        <v>76</v>
      </c>
      <c r="AC536" s="458"/>
      <c r="AD536" s="458"/>
      <c r="AE536" s="458"/>
      <c r="AF536" s="458">
        <v>50000</v>
      </c>
      <c r="AG536" s="458">
        <f>AF536-I536</f>
        <v>0</v>
      </c>
      <c r="AH536" s="489"/>
      <c r="AI536" s="458"/>
      <c r="AJ536" s="458"/>
      <c r="AK536" s="458">
        <f>I536</f>
        <v>50000</v>
      </c>
      <c r="AM536" s="425">
        <f>I536</f>
        <v>50000</v>
      </c>
      <c r="AO536" s="495"/>
      <c r="AR536" s="425">
        <f>I536</f>
        <v>50000</v>
      </c>
      <c r="AT536" s="495"/>
      <c r="AY536" s="498">
        <f>I536/24</f>
        <v>2083.33333333333</v>
      </c>
      <c r="BJ536" s="425">
        <f>I536/25</f>
        <v>2000</v>
      </c>
      <c r="BT536" s="495"/>
      <c r="BV536" s="495"/>
      <c r="CK536" s="425">
        <f t="shared" si="154"/>
        <v>2000</v>
      </c>
      <c r="CL536" s="425">
        <f t="shared" si="149"/>
        <v>0</v>
      </c>
      <c r="CM536" s="425">
        <f t="shared" si="153"/>
        <v>0</v>
      </c>
      <c r="CN536" s="495"/>
      <c r="CO536" s="495"/>
      <c r="CP536" s="495"/>
      <c r="CT536" s="495"/>
      <c r="CU536" s="495"/>
      <c r="CV536" s="495"/>
      <c r="CW536" s="495"/>
      <c r="CX536" s="495"/>
    </row>
    <row r="537" s="425" customFormat="1" ht="31" customHeight="1" spans="1:102">
      <c r="A537" s="455">
        <v>45860</v>
      </c>
      <c r="B537" s="456" t="s">
        <v>202</v>
      </c>
      <c r="C537" s="457" t="s">
        <v>203</v>
      </c>
      <c r="D537" s="425">
        <v>4500174635</v>
      </c>
      <c r="E537" s="457" t="s">
        <v>1501</v>
      </c>
      <c r="F537" s="425" t="s">
        <v>4477</v>
      </c>
      <c r="G537" s="458" t="s">
        <v>3158</v>
      </c>
      <c r="H537" s="458" t="s">
        <v>3159</v>
      </c>
      <c r="I537" s="458">
        <v>2600</v>
      </c>
      <c r="J537" s="458">
        <v>0</v>
      </c>
      <c r="K537" s="458">
        <v>52</v>
      </c>
      <c r="L537" s="462">
        <f t="shared" si="148"/>
        <v>50</v>
      </c>
      <c r="M537" s="463">
        <v>45903</v>
      </c>
      <c r="N537" s="463">
        <f>M537-4</f>
        <v>45899</v>
      </c>
      <c r="O537" s="464"/>
      <c r="P537" s="464" t="s">
        <v>103</v>
      </c>
      <c r="Q537" s="458"/>
      <c r="R537" s="472">
        <v>45860</v>
      </c>
      <c r="S537" s="472" t="s">
        <v>66</v>
      </c>
      <c r="T537" s="472">
        <v>45867</v>
      </c>
      <c r="U537" s="472"/>
      <c r="V537" s="473" t="s">
        <v>4478</v>
      </c>
      <c r="W537" s="473" t="s">
        <v>207</v>
      </c>
      <c r="X537" s="473">
        <v>0.9129</v>
      </c>
      <c r="Y537" s="480">
        <f t="shared" ref="Y537:Y545" si="165">X537*I537</f>
        <v>2373.54</v>
      </c>
      <c r="Z537" s="458" t="s">
        <v>1504</v>
      </c>
      <c r="AA537" s="458" t="s">
        <v>3357</v>
      </c>
      <c r="AB537" s="458" t="s">
        <v>76</v>
      </c>
      <c r="AC537" s="458"/>
      <c r="AD537" s="458"/>
      <c r="AE537" s="458"/>
      <c r="AF537" s="458">
        <f>2548+52</f>
        <v>2600</v>
      </c>
      <c r="AG537" s="458">
        <f>AF537-I537</f>
        <v>0</v>
      </c>
      <c r="AH537" s="489"/>
      <c r="AI537" s="458"/>
      <c r="AJ537" s="458"/>
      <c r="AK537" s="458"/>
      <c r="AL537" s="425">
        <f>I537</f>
        <v>2600</v>
      </c>
      <c r="AM537" s="425">
        <f>I537</f>
        <v>2600</v>
      </c>
      <c r="AO537" s="495"/>
      <c r="AS537" s="425">
        <f>I537</f>
        <v>2600</v>
      </c>
      <c r="AT537" s="495"/>
      <c r="AY537" s="498">
        <f>I537/24*2</f>
        <v>216.666666666667</v>
      </c>
      <c r="BI537" s="425">
        <f>I537/13</f>
        <v>200</v>
      </c>
      <c r="BT537" s="495"/>
      <c r="BV537" s="495"/>
      <c r="CK537" s="425">
        <f t="shared" si="154"/>
        <v>0</v>
      </c>
      <c r="CL537" s="425">
        <f t="shared" ref="CL537:CL581" si="166">CA537+CB537+CC537+CD537+CE537+CG537+CF537</f>
        <v>0</v>
      </c>
      <c r="CM537" s="425">
        <f t="shared" ref="CM537:CM581" si="167">BY537+BZ537</f>
        <v>0</v>
      </c>
      <c r="CN537" s="495"/>
      <c r="CO537" s="495"/>
      <c r="CP537" s="495"/>
      <c r="CT537" s="495"/>
      <c r="CU537" s="495"/>
      <c r="CV537" s="495"/>
      <c r="CW537" s="495"/>
      <c r="CX537" s="495"/>
    </row>
    <row r="538" s="425" customFormat="1" ht="31" customHeight="1" spans="1:102">
      <c r="A538" s="455">
        <v>45863</v>
      </c>
      <c r="B538" s="456" t="s">
        <v>1669</v>
      </c>
      <c r="C538" s="457" t="s">
        <v>663</v>
      </c>
      <c r="D538" s="425">
        <v>4500170580</v>
      </c>
      <c r="E538" s="457">
        <v>5000001921</v>
      </c>
      <c r="F538" s="425" t="s">
        <v>4479</v>
      </c>
      <c r="G538" s="458" t="s">
        <v>3206</v>
      </c>
      <c r="H538" s="458" t="s">
        <v>3207</v>
      </c>
      <c r="I538" s="458">
        <v>2600</v>
      </c>
      <c r="J538" s="458">
        <v>0</v>
      </c>
      <c r="K538" s="458">
        <v>13</v>
      </c>
      <c r="L538" s="462">
        <f t="shared" si="148"/>
        <v>200</v>
      </c>
      <c r="M538" s="463">
        <v>45905</v>
      </c>
      <c r="N538" s="463">
        <v>45901</v>
      </c>
      <c r="O538" s="464"/>
      <c r="P538" s="464" t="s">
        <v>103</v>
      </c>
      <c r="Q538" s="458"/>
      <c r="R538" s="472">
        <v>45853</v>
      </c>
      <c r="S538" s="472" t="s">
        <v>66</v>
      </c>
      <c r="T538" s="472" t="s">
        <v>66</v>
      </c>
      <c r="U538" s="472"/>
      <c r="V538" s="473" t="s">
        <v>4480</v>
      </c>
      <c r="W538" s="473" t="s">
        <v>1674</v>
      </c>
      <c r="X538" s="473">
        <v>0.882</v>
      </c>
      <c r="Y538" s="480">
        <f t="shared" si="165"/>
        <v>2293.2</v>
      </c>
      <c r="Z538" s="458" t="s">
        <v>4481</v>
      </c>
      <c r="AA538" s="458" t="s">
        <v>3206</v>
      </c>
      <c r="AB538" s="458" t="s">
        <v>76</v>
      </c>
      <c r="AC538" s="458"/>
      <c r="AD538" s="458"/>
      <c r="AE538" s="458"/>
      <c r="AF538" s="458">
        <v>2600</v>
      </c>
      <c r="AG538" s="458">
        <f>AF538-I538</f>
        <v>0</v>
      </c>
      <c r="AH538" s="489"/>
      <c r="AI538" s="458"/>
      <c r="AJ538" s="458"/>
      <c r="AK538" s="458"/>
      <c r="AL538" s="425">
        <f>I538</f>
        <v>2600</v>
      </c>
      <c r="AO538" s="495"/>
      <c r="AQ538" s="425">
        <f>I538</f>
        <v>2600</v>
      </c>
      <c r="AT538" s="495"/>
      <c r="AU538" s="425">
        <f>I538</f>
        <v>2600</v>
      </c>
      <c r="AX538" s="425">
        <f>I538/24</f>
        <v>108.333333333333</v>
      </c>
      <c r="AY538" s="498"/>
      <c r="BI538" s="425">
        <f>I538/13</f>
        <v>200</v>
      </c>
      <c r="BT538" s="495"/>
      <c r="BV538" s="495"/>
      <c r="CK538" s="425">
        <f t="shared" si="154"/>
        <v>0</v>
      </c>
      <c r="CL538" s="425">
        <f t="shared" si="166"/>
        <v>0</v>
      </c>
      <c r="CM538" s="425">
        <f t="shared" si="167"/>
        <v>0</v>
      </c>
      <c r="CN538" s="495"/>
      <c r="CO538" s="495"/>
      <c r="CP538" s="495"/>
      <c r="CT538" s="495"/>
      <c r="CU538" s="495"/>
      <c r="CV538" s="495"/>
      <c r="CW538" s="495"/>
      <c r="CX538" s="495"/>
    </row>
    <row r="539" s="425" customFormat="1" ht="31" customHeight="1" spans="1:102">
      <c r="A539" s="455">
        <v>45863</v>
      </c>
      <c r="B539" s="456" t="s">
        <v>1669</v>
      </c>
      <c r="C539" s="457" t="s">
        <v>663</v>
      </c>
      <c r="D539" s="425">
        <v>4500170580</v>
      </c>
      <c r="E539" s="457">
        <v>5000001921</v>
      </c>
      <c r="F539" s="425" t="s">
        <v>4482</v>
      </c>
      <c r="G539" s="458" t="s">
        <v>3206</v>
      </c>
      <c r="H539" s="458" t="s">
        <v>3207</v>
      </c>
      <c r="I539" s="458">
        <v>4225</v>
      </c>
      <c r="J539" s="458">
        <v>0</v>
      </c>
      <c r="K539" s="458">
        <v>13</v>
      </c>
      <c r="L539" s="462">
        <f t="shared" si="148"/>
        <v>325</v>
      </c>
      <c r="M539" s="463">
        <v>45905</v>
      </c>
      <c r="N539" s="463">
        <v>45901</v>
      </c>
      <c r="O539" s="464"/>
      <c r="P539" s="464" t="s">
        <v>103</v>
      </c>
      <c r="Q539" s="458"/>
      <c r="R539" s="472">
        <v>45853</v>
      </c>
      <c r="S539" s="472" t="s">
        <v>66</v>
      </c>
      <c r="T539" s="472" t="s">
        <v>66</v>
      </c>
      <c r="U539" s="472"/>
      <c r="V539" s="473" t="s">
        <v>4480</v>
      </c>
      <c r="W539" s="473" t="s">
        <v>1674</v>
      </c>
      <c r="X539" s="473">
        <v>0.882</v>
      </c>
      <c r="Y539" s="480">
        <f t="shared" si="165"/>
        <v>3726.45</v>
      </c>
      <c r="Z539" s="458" t="s">
        <v>4481</v>
      </c>
      <c r="AA539" s="458" t="s">
        <v>3206</v>
      </c>
      <c r="AB539" s="458" t="s">
        <v>76</v>
      </c>
      <c r="AC539" s="458"/>
      <c r="AD539" s="458"/>
      <c r="AE539" s="458"/>
      <c r="AF539" s="458">
        <v>4225</v>
      </c>
      <c r="AG539" s="458">
        <f t="shared" ref="AG538:AG545" si="168">AF539-I539</f>
        <v>0</v>
      </c>
      <c r="AH539" s="489"/>
      <c r="AI539" s="458"/>
      <c r="AJ539" s="458"/>
      <c r="AK539" s="458"/>
      <c r="AL539" s="425">
        <f>I539</f>
        <v>4225</v>
      </c>
      <c r="AO539" s="495"/>
      <c r="AQ539" s="425">
        <f>I539</f>
        <v>4225</v>
      </c>
      <c r="AT539" s="495"/>
      <c r="AU539" s="425">
        <f>I539</f>
        <v>4225</v>
      </c>
      <c r="AX539" s="425">
        <f>I539/24</f>
        <v>176.041666666667</v>
      </c>
      <c r="AY539" s="498"/>
      <c r="BI539" s="425">
        <f>I539/13</f>
        <v>325</v>
      </c>
      <c r="BT539" s="495"/>
      <c r="BV539" s="495"/>
      <c r="CK539" s="425">
        <f t="shared" si="154"/>
        <v>0</v>
      </c>
      <c r="CL539" s="425">
        <f t="shared" si="166"/>
        <v>0</v>
      </c>
      <c r="CM539" s="425">
        <f t="shared" si="167"/>
        <v>0</v>
      </c>
      <c r="CN539" s="495"/>
      <c r="CO539" s="495"/>
      <c r="CP539" s="495"/>
      <c r="CT539" s="495"/>
      <c r="CU539" s="495"/>
      <c r="CV539" s="495"/>
      <c r="CW539" s="495"/>
      <c r="CX539" s="495"/>
    </row>
    <row r="540" s="425" customFormat="1" ht="31" customHeight="1" spans="1:102">
      <c r="A540" s="455">
        <v>45827</v>
      </c>
      <c r="B540" s="456" t="s">
        <v>662</v>
      </c>
      <c r="C540" s="457" t="s">
        <v>663</v>
      </c>
      <c r="D540" s="425">
        <v>4500170580</v>
      </c>
      <c r="E540" s="457">
        <v>5000001921</v>
      </c>
      <c r="F540" s="425" t="s">
        <v>4483</v>
      </c>
      <c r="G540" s="458" t="s">
        <v>3206</v>
      </c>
      <c r="H540" s="458" t="s">
        <v>3207</v>
      </c>
      <c r="I540" s="458">
        <v>8450</v>
      </c>
      <c r="J540" s="458">
        <v>0</v>
      </c>
      <c r="K540" s="458">
        <v>13</v>
      </c>
      <c r="L540" s="462">
        <f t="shared" si="148"/>
        <v>650</v>
      </c>
      <c r="M540" s="463">
        <v>45905</v>
      </c>
      <c r="N540" s="463">
        <v>45901</v>
      </c>
      <c r="O540" s="464"/>
      <c r="P540" s="464" t="s">
        <v>103</v>
      </c>
      <c r="Q540" s="458"/>
      <c r="R540" s="472">
        <v>45853</v>
      </c>
      <c r="S540" s="472" t="s">
        <v>66</v>
      </c>
      <c r="T540" s="472" t="s">
        <v>66</v>
      </c>
      <c r="U540" s="472" t="s">
        <v>4484</v>
      </c>
      <c r="V540" s="473" t="s">
        <v>4480</v>
      </c>
      <c r="W540" s="473" t="s">
        <v>1674</v>
      </c>
      <c r="X540" s="473">
        <v>0.8895</v>
      </c>
      <c r="Y540" s="480">
        <f t="shared" si="165"/>
        <v>7516.275</v>
      </c>
      <c r="Z540" s="458" t="s">
        <v>4481</v>
      </c>
      <c r="AA540" s="458" t="s">
        <v>3206</v>
      </c>
      <c r="AB540" s="458" t="s">
        <v>76</v>
      </c>
      <c r="AC540" s="458"/>
      <c r="AD540" s="458"/>
      <c r="AE540" s="458"/>
      <c r="AF540" s="458">
        <v>8450</v>
      </c>
      <c r="AG540" s="458">
        <f t="shared" si="168"/>
        <v>0</v>
      </c>
      <c r="AH540" s="489"/>
      <c r="AI540" s="458"/>
      <c r="AJ540" s="458"/>
      <c r="AK540" s="458"/>
      <c r="AL540" s="425">
        <f>I540</f>
        <v>8450</v>
      </c>
      <c r="AO540" s="495"/>
      <c r="AQ540" s="425">
        <f>I540</f>
        <v>8450</v>
      </c>
      <c r="AT540" s="495"/>
      <c r="AU540" s="425">
        <f>I540</f>
        <v>8450</v>
      </c>
      <c r="AX540" s="425">
        <f>I540/24</f>
        <v>352.083333333333</v>
      </c>
      <c r="AY540" s="498"/>
      <c r="BI540" s="425">
        <f>I540/13</f>
        <v>650</v>
      </c>
      <c r="BT540" s="495"/>
      <c r="BV540" s="495"/>
      <c r="CK540" s="425">
        <f t="shared" si="154"/>
        <v>0</v>
      </c>
      <c r="CL540" s="425">
        <f t="shared" si="166"/>
        <v>0</v>
      </c>
      <c r="CM540" s="425">
        <f t="shared" si="167"/>
        <v>0</v>
      </c>
      <c r="CN540" s="495"/>
      <c r="CO540" s="495"/>
      <c r="CP540" s="495"/>
      <c r="CT540" s="495"/>
      <c r="CU540" s="495"/>
      <c r="CV540" s="495"/>
      <c r="CW540" s="495"/>
      <c r="CX540" s="495"/>
    </row>
    <row r="541" s="425" customFormat="1" ht="31" customHeight="1" spans="1:102">
      <c r="A541" s="455">
        <v>45740</v>
      </c>
      <c r="B541" s="456" t="s">
        <v>152</v>
      </c>
      <c r="C541" s="457" t="s">
        <v>153</v>
      </c>
      <c r="D541" s="425">
        <v>4500160894</v>
      </c>
      <c r="E541" s="457">
        <v>9900924258</v>
      </c>
      <c r="F541" s="425" t="s">
        <v>4485</v>
      </c>
      <c r="G541" s="458" t="s">
        <v>3198</v>
      </c>
      <c r="H541" s="458" t="s">
        <v>3303</v>
      </c>
      <c r="I541" s="458">
        <v>3375</v>
      </c>
      <c r="J541" s="458">
        <v>0</v>
      </c>
      <c r="K541" s="458">
        <v>25</v>
      </c>
      <c r="L541" s="462">
        <f t="shared" ref="L540:L604" si="169">I541/K541</f>
        <v>135</v>
      </c>
      <c r="M541" s="463">
        <v>45905</v>
      </c>
      <c r="N541" s="463">
        <v>45901</v>
      </c>
      <c r="O541" s="464" t="s">
        <v>4486</v>
      </c>
      <c r="P541" s="464" t="s">
        <v>103</v>
      </c>
      <c r="Q541" s="529">
        <v>45920</v>
      </c>
      <c r="R541" s="472">
        <v>45784</v>
      </c>
      <c r="S541" s="472" t="s">
        <v>66</v>
      </c>
      <c r="T541" s="472" t="s">
        <v>66</v>
      </c>
      <c r="U541" s="472"/>
      <c r="V541" s="473" t="s">
        <v>4487</v>
      </c>
      <c r="W541" s="473" t="s">
        <v>158</v>
      </c>
      <c r="X541" s="473">
        <v>0.95</v>
      </c>
      <c r="Y541" s="480">
        <f t="shared" si="165"/>
        <v>3206.25</v>
      </c>
      <c r="Z541" s="458" t="s">
        <v>4488</v>
      </c>
      <c r="AA541" s="458" t="s">
        <v>3202</v>
      </c>
      <c r="AB541" s="458" t="s">
        <v>76</v>
      </c>
      <c r="AC541" s="458"/>
      <c r="AD541" s="458"/>
      <c r="AE541" s="458"/>
      <c r="AF541" s="458">
        <v>3375</v>
      </c>
      <c r="AG541" s="458">
        <f t="shared" si="168"/>
        <v>0</v>
      </c>
      <c r="AH541" s="489"/>
      <c r="AI541" s="458"/>
      <c r="AJ541" s="458"/>
      <c r="AK541" s="458">
        <f>I541</f>
        <v>3375</v>
      </c>
      <c r="AO541" s="495"/>
      <c r="AP541" s="425">
        <f>I541</f>
        <v>3375</v>
      </c>
      <c r="AR541" s="425">
        <f>I541</f>
        <v>3375</v>
      </c>
      <c r="AT541" s="495"/>
      <c r="AY541" s="498">
        <f>I541/24</f>
        <v>140.625</v>
      </c>
      <c r="BK541" s="425">
        <f>I541/25</f>
        <v>135</v>
      </c>
      <c r="BT541" s="495"/>
      <c r="BV541" s="495"/>
      <c r="CK541" s="425">
        <f t="shared" si="154"/>
        <v>135</v>
      </c>
      <c r="CL541" s="425">
        <f t="shared" si="166"/>
        <v>0</v>
      </c>
      <c r="CM541" s="425">
        <f t="shared" si="167"/>
        <v>0</v>
      </c>
      <c r="CN541" s="495"/>
      <c r="CO541" s="495"/>
      <c r="CP541" s="495"/>
      <c r="CT541" s="495"/>
      <c r="CU541" s="495"/>
      <c r="CV541" s="495"/>
      <c r="CW541" s="495"/>
      <c r="CX541" s="495"/>
    </row>
    <row r="542" s="425" customFormat="1" ht="31" customHeight="1" spans="1:102">
      <c r="A542" s="455">
        <v>45839</v>
      </c>
      <c r="B542" s="456" t="s">
        <v>650</v>
      </c>
      <c r="C542" s="457" t="s">
        <v>249</v>
      </c>
      <c r="D542" s="425">
        <v>4500172155</v>
      </c>
      <c r="E542" s="457" t="s">
        <v>1496</v>
      </c>
      <c r="F542" s="425" t="s">
        <v>4489</v>
      </c>
      <c r="G542" s="458" t="s">
        <v>3165</v>
      </c>
      <c r="H542" s="458" t="s">
        <v>3303</v>
      </c>
      <c r="I542" s="458">
        <v>24500</v>
      </c>
      <c r="J542" s="458">
        <v>0</v>
      </c>
      <c r="K542" s="458">
        <v>25</v>
      </c>
      <c r="L542" s="462">
        <f t="shared" si="169"/>
        <v>980</v>
      </c>
      <c r="M542" s="463">
        <v>45905</v>
      </c>
      <c r="N542" s="463">
        <v>45901</v>
      </c>
      <c r="O542" s="464" t="s">
        <v>4490</v>
      </c>
      <c r="P542" s="464" t="s">
        <v>103</v>
      </c>
      <c r="Q542" s="458"/>
      <c r="R542" s="472">
        <v>45839</v>
      </c>
      <c r="S542" s="472" t="s">
        <v>66</v>
      </c>
      <c r="T542" s="472" t="s">
        <v>66</v>
      </c>
      <c r="U542" s="472"/>
      <c r="V542" s="473" t="s">
        <v>4491</v>
      </c>
      <c r="W542" s="473" t="s">
        <v>1499</v>
      </c>
      <c r="X542" s="473">
        <v>0.9222</v>
      </c>
      <c r="Y542" s="480">
        <f t="shared" si="165"/>
        <v>22593.9</v>
      </c>
      <c r="Z542" s="539" t="s">
        <v>1500</v>
      </c>
      <c r="AA542" s="458" t="s">
        <v>4492</v>
      </c>
      <c r="AB542" s="458" t="s">
        <v>76</v>
      </c>
      <c r="AC542" s="458"/>
      <c r="AD542" s="458"/>
      <c r="AE542" s="458"/>
      <c r="AF542" s="458">
        <v>24500</v>
      </c>
      <c r="AG542" s="458">
        <f t="shared" si="168"/>
        <v>0</v>
      </c>
      <c r="AH542" s="489"/>
      <c r="AI542" s="458"/>
      <c r="AJ542" s="458"/>
      <c r="AK542" s="458"/>
      <c r="AL542" s="425">
        <f>I542</f>
        <v>24500</v>
      </c>
      <c r="AM542" s="425">
        <f>I542</f>
        <v>24500</v>
      </c>
      <c r="AO542" s="495"/>
      <c r="AS542" s="425">
        <f>I542</f>
        <v>24500</v>
      </c>
      <c r="AT542" s="495"/>
      <c r="AY542" s="498">
        <f>I542/24*2</f>
        <v>2041.66666666667</v>
      </c>
      <c r="BJ542" s="425">
        <f>I542/25</f>
        <v>980</v>
      </c>
      <c r="BT542" s="495"/>
      <c r="BV542" s="495"/>
      <c r="CK542" s="425">
        <f t="shared" si="154"/>
        <v>980</v>
      </c>
      <c r="CL542" s="425">
        <f t="shared" si="166"/>
        <v>0</v>
      </c>
      <c r="CM542" s="425">
        <f t="shared" si="167"/>
        <v>0</v>
      </c>
      <c r="CN542" s="495"/>
      <c r="CO542" s="495"/>
      <c r="CP542" s="495"/>
      <c r="CT542" s="495"/>
      <c r="CU542" s="495"/>
      <c r="CV542" s="495"/>
      <c r="CW542" s="495"/>
      <c r="CX542" s="495"/>
    </row>
    <row r="543" s="425" customFormat="1" ht="31" customHeight="1" spans="1:102">
      <c r="A543" s="455">
        <v>45861</v>
      </c>
      <c r="B543" s="456" t="s">
        <v>1769</v>
      </c>
      <c r="C543" s="457" t="s">
        <v>139</v>
      </c>
      <c r="D543" s="425">
        <v>4500174738</v>
      </c>
      <c r="E543" s="457">
        <v>5200007283</v>
      </c>
      <c r="F543" s="425" t="s">
        <v>4493</v>
      </c>
      <c r="G543" s="458" t="s">
        <v>3231</v>
      </c>
      <c r="H543" s="458" t="s">
        <v>3207</v>
      </c>
      <c r="I543" s="458">
        <v>5200</v>
      </c>
      <c r="J543" s="458">
        <v>0</v>
      </c>
      <c r="K543" s="458">
        <v>13</v>
      </c>
      <c r="L543" s="462">
        <f t="shared" si="169"/>
        <v>400</v>
      </c>
      <c r="M543" s="463">
        <v>45905</v>
      </c>
      <c r="N543" s="463">
        <v>45901</v>
      </c>
      <c r="O543" s="464"/>
      <c r="P543" s="464" t="s">
        <v>103</v>
      </c>
      <c r="Q543" s="458"/>
      <c r="R543" s="472">
        <v>45861</v>
      </c>
      <c r="S543" s="472" t="s">
        <v>66</v>
      </c>
      <c r="T543" s="472" t="s">
        <v>3232</v>
      </c>
      <c r="U543" s="472"/>
      <c r="V543" s="473" t="s">
        <v>4494</v>
      </c>
      <c r="W543" s="473" t="s">
        <v>886</v>
      </c>
      <c r="X543" s="473">
        <v>0.9064</v>
      </c>
      <c r="Y543" s="480">
        <f t="shared" si="165"/>
        <v>4713.28</v>
      </c>
      <c r="Z543" s="458" t="s">
        <v>4495</v>
      </c>
      <c r="AA543" s="458" t="s">
        <v>3206</v>
      </c>
      <c r="AB543" s="458" t="s">
        <v>76</v>
      </c>
      <c r="AC543" s="458"/>
      <c r="AD543" s="458"/>
      <c r="AE543" s="458"/>
      <c r="AF543" s="458">
        <v>5200</v>
      </c>
      <c r="AG543" s="458">
        <f t="shared" si="168"/>
        <v>0</v>
      </c>
      <c r="AH543" s="489"/>
      <c r="AI543" s="458"/>
      <c r="AJ543" s="458"/>
      <c r="AK543" s="458"/>
      <c r="AL543" s="425">
        <f>I543</f>
        <v>5200</v>
      </c>
      <c r="AO543" s="495"/>
      <c r="AQ543" s="425">
        <f>I543</f>
        <v>5200</v>
      </c>
      <c r="AS543" s="425">
        <f>I543</f>
        <v>5200</v>
      </c>
      <c r="AT543" s="495"/>
      <c r="AY543" s="498">
        <f>I543/24</f>
        <v>216.666666666667</v>
      </c>
      <c r="BI543" s="425">
        <f>I543/13</f>
        <v>400</v>
      </c>
      <c r="BT543" s="495"/>
      <c r="BV543" s="495"/>
      <c r="CK543" s="425">
        <f t="shared" si="154"/>
        <v>0</v>
      </c>
      <c r="CL543" s="425">
        <f t="shared" si="166"/>
        <v>0</v>
      </c>
      <c r="CM543" s="425">
        <f t="shared" si="167"/>
        <v>0</v>
      </c>
      <c r="CN543" s="495"/>
      <c r="CO543" s="495"/>
      <c r="CP543" s="495"/>
      <c r="CT543" s="495"/>
      <c r="CU543" s="495"/>
      <c r="CV543" s="495"/>
      <c r="CW543" s="495"/>
      <c r="CX543" s="495"/>
    </row>
    <row r="544" s="425" customFormat="1" ht="31" customHeight="1" spans="1:102">
      <c r="A544" s="455">
        <v>45863</v>
      </c>
      <c r="B544" s="456" t="s">
        <v>1669</v>
      </c>
      <c r="C544" s="457" t="s">
        <v>663</v>
      </c>
      <c r="D544" s="425">
        <v>4500170580</v>
      </c>
      <c r="E544" s="457">
        <v>5000001921</v>
      </c>
      <c r="F544" s="425" t="s">
        <v>4496</v>
      </c>
      <c r="G544" s="458" t="s">
        <v>3206</v>
      </c>
      <c r="H544" s="458" t="s">
        <v>3207</v>
      </c>
      <c r="I544" s="458">
        <v>2600</v>
      </c>
      <c r="J544" s="458">
        <v>0</v>
      </c>
      <c r="K544" s="458">
        <v>13</v>
      </c>
      <c r="L544" s="462">
        <f t="shared" si="169"/>
        <v>200</v>
      </c>
      <c r="M544" s="463">
        <v>45905</v>
      </c>
      <c r="N544" s="463">
        <v>45901</v>
      </c>
      <c r="O544" s="464"/>
      <c r="P544" s="464" t="s">
        <v>103</v>
      </c>
      <c r="Q544" s="458"/>
      <c r="R544" s="472">
        <v>45853</v>
      </c>
      <c r="S544" s="472" t="s">
        <v>66</v>
      </c>
      <c r="T544" s="472" t="s">
        <v>66</v>
      </c>
      <c r="U544" s="472"/>
      <c r="V544" s="473" t="s">
        <v>4480</v>
      </c>
      <c r="W544" s="473" t="s">
        <v>1674</v>
      </c>
      <c r="X544" s="473">
        <v>0.882</v>
      </c>
      <c r="Y544" s="480">
        <f t="shared" si="165"/>
        <v>2293.2</v>
      </c>
      <c r="Z544" s="458" t="s">
        <v>4481</v>
      </c>
      <c r="AA544" s="458" t="s">
        <v>3206</v>
      </c>
      <c r="AB544" s="458" t="s">
        <v>76</v>
      </c>
      <c r="AC544" s="458"/>
      <c r="AD544" s="458"/>
      <c r="AE544" s="458"/>
      <c r="AF544" s="458">
        <v>2600</v>
      </c>
      <c r="AG544" s="458">
        <f t="shared" si="168"/>
        <v>0</v>
      </c>
      <c r="AH544" s="489"/>
      <c r="AI544" s="458"/>
      <c r="AJ544" s="458"/>
      <c r="AK544" s="458"/>
      <c r="AL544" s="425">
        <f>I544</f>
        <v>2600</v>
      </c>
      <c r="AO544" s="495"/>
      <c r="AQ544" s="425">
        <f>I544</f>
        <v>2600</v>
      </c>
      <c r="AT544" s="495"/>
      <c r="AU544" s="425">
        <f>I544</f>
        <v>2600</v>
      </c>
      <c r="AX544" s="425">
        <f>I544/24</f>
        <v>108.333333333333</v>
      </c>
      <c r="AY544" s="498"/>
      <c r="BI544" s="425">
        <f>I544/13</f>
        <v>200</v>
      </c>
      <c r="BT544" s="495"/>
      <c r="BV544" s="495"/>
      <c r="CK544" s="425">
        <f t="shared" si="154"/>
        <v>0</v>
      </c>
      <c r="CL544" s="425">
        <f t="shared" si="166"/>
        <v>0</v>
      </c>
      <c r="CM544" s="425">
        <f t="shared" si="167"/>
        <v>0</v>
      </c>
      <c r="CN544" s="495"/>
      <c r="CO544" s="495"/>
      <c r="CP544" s="495"/>
      <c r="CT544" s="495"/>
      <c r="CU544" s="495"/>
      <c r="CV544" s="495"/>
      <c r="CW544" s="495"/>
      <c r="CX544" s="495"/>
    </row>
    <row r="545" s="425" customFormat="1" ht="31" customHeight="1" spans="1:102">
      <c r="A545" s="455">
        <v>45863</v>
      </c>
      <c r="B545" s="456" t="s">
        <v>1669</v>
      </c>
      <c r="C545" s="457" t="s">
        <v>663</v>
      </c>
      <c r="D545" s="425">
        <v>4500170580</v>
      </c>
      <c r="E545" s="457">
        <v>5000001921</v>
      </c>
      <c r="F545" s="425" t="s">
        <v>4497</v>
      </c>
      <c r="G545" s="458" t="s">
        <v>3206</v>
      </c>
      <c r="H545" s="458" t="s">
        <v>3207</v>
      </c>
      <c r="I545" s="458">
        <v>260</v>
      </c>
      <c r="J545" s="458">
        <v>0</v>
      </c>
      <c r="K545" s="458">
        <v>13</v>
      </c>
      <c r="L545" s="462">
        <f t="shared" si="169"/>
        <v>20</v>
      </c>
      <c r="M545" s="463">
        <v>45905</v>
      </c>
      <c r="N545" s="463">
        <v>45901</v>
      </c>
      <c r="O545" s="464"/>
      <c r="P545" s="464" t="s">
        <v>103</v>
      </c>
      <c r="Q545" s="458"/>
      <c r="R545" s="472">
        <v>45853</v>
      </c>
      <c r="S545" s="472" t="s">
        <v>66</v>
      </c>
      <c r="T545" s="472" t="s">
        <v>66</v>
      </c>
      <c r="U545" s="472"/>
      <c r="V545" s="473" t="s">
        <v>4480</v>
      </c>
      <c r="W545" s="473" t="s">
        <v>1674</v>
      </c>
      <c r="X545" s="473">
        <v>0.882</v>
      </c>
      <c r="Y545" s="480">
        <f t="shared" si="165"/>
        <v>229.32</v>
      </c>
      <c r="Z545" s="458" t="s">
        <v>4481</v>
      </c>
      <c r="AA545" s="458" t="s">
        <v>3206</v>
      </c>
      <c r="AB545" s="458" t="s">
        <v>76</v>
      </c>
      <c r="AC545" s="458"/>
      <c r="AD545" s="458"/>
      <c r="AE545" s="458"/>
      <c r="AF545" s="458">
        <v>260</v>
      </c>
      <c r="AG545" s="458">
        <f t="shared" si="168"/>
        <v>0</v>
      </c>
      <c r="AH545" s="489"/>
      <c r="AI545" s="458"/>
      <c r="AJ545" s="458"/>
      <c r="AK545" s="458"/>
      <c r="AL545" s="425">
        <f>I545</f>
        <v>260</v>
      </c>
      <c r="AO545" s="495"/>
      <c r="AQ545" s="425">
        <f>I545</f>
        <v>260</v>
      </c>
      <c r="AT545" s="495"/>
      <c r="AU545" s="425">
        <f>I545</f>
        <v>260</v>
      </c>
      <c r="AX545" s="425">
        <f>I545/24</f>
        <v>10.8333333333333</v>
      </c>
      <c r="AY545" s="498"/>
      <c r="BI545" s="425">
        <f>I545/13</f>
        <v>20</v>
      </c>
      <c r="BT545" s="495"/>
      <c r="BV545" s="495"/>
      <c r="CK545" s="425">
        <f t="shared" si="154"/>
        <v>0</v>
      </c>
      <c r="CL545" s="425">
        <f t="shared" si="166"/>
        <v>0</v>
      </c>
      <c r="CM545" s="425">
        <f t="shared" si="167"/>
        <v>0</v>
      </c>
      <c r="CN545" s="495"/>
      <c r="CO545" s="495"/>
      <c r="CP545" s="495"/>
      <c r="CT545" s="495"/>
      <c r="CU545" s="495"/>
      <c r="CV545" s="495"/>
      <c r="CW545" s="495"/>
      <c r="CX545" s="495"/>
    </row>
    <row r="546" s="425" customFormat="1" ht="31" customHeight="1" spans="1:102">
      <c r="A546" s="455">
        <v>45840</v>
      </c>
      <c r="B546" s="456" t="s">
        <v>125</v>
      </c>
      <c r="C546" s="457" t="s">
        <v>71</v>
      </c>
      <c r="D546" s="425">
        <v>4500172408</v>
      </c>
      <c r="E546" s="457">
        <v>20862343</v>
      </c>
      <c r="F546" s="425" t="s">
        <v>1505</v>
      </c>
      <c r="G546" s="458" t="s">
        <v>3436</v>
      </c>
      <c r="H546" s="458" t="s">
        <v>424</v>
      </c>
      <c r="I546" s="458">
        <v>234</v>
      </c>
      <c r="J546" s="458">
        <v>0</v>
      </c>
      <c r="K546" s="458">
        <v>6</v>
      </c>
      <c r="L546" s="462">
        <f t="shared" si="169"/>
        <v>39</v>
      </c>
      <c r="M546" s="463">
        <v>45908</v>
      </c>
      <c r="N546" s="463">
        <v>45901</v>
      </c>
      <c r="O546" s="464"/>
      <c r="P546" s="464" t="s">
        <v>103</v>
      </c>
      <c r="Q546" s="458" t="s">
        <v>1445</v>
      </c>
      <c r="R546" s="472">
        <v>45877</v>
      </c>
      <c r="S546" s="472" t="s">
        <v>96</v>
      </c>
      <c r="T546" s="472" t="s">
        <v>4498</v>
      </c>
      <c r="U546" s="472"/>
      <c r="V546" s="473" t="s">
        <v>4499</v>
      </c>
      <c r="W546" s="473" t="s">
        <v>121</v>
      </c>
      <c r="X546" s="473">
        <v>7.4117</v>
      </c>
      <c r="Y546" s="480">
        <f t="shared" ref="Y546:Y558" si="170">X546*I546</f>
        <v>1734.3378</v>
      </c>
      <c r="Z546" s="458"/>
      <c r="AA546" s="458" t="s">
        <v>1203</v>
      </c>
      <c r="AB546" s="458" t="s">
        <v>76</v>
      </c>
      <c r="AC546" s="458"/>
      <c r="AD546" s="458"/>
      <c r="AE546" s="458"/>
      <c r="AF546" s="458">
        <v>234</v>
      </c>
      <c r="AG546" s="458">
        <f t="shared" ref="AG546:AG557" si="171">AF546-I546</f>
        <v>0</v>
      </c>
      <c r="AH546" s="489"/>
      <c r="AI546" s="458"/>
      <c r="AJ546" s="458"/>
      <c r="AK546" s="458"/>
      <c r="AL546" s="425">
        <f>I546*2</f>
        <v>468</v>
      </c>
      <c r="AO546" s="495">
        <f>$I546*2</f>
        <v>468</v>
      </c>
      <c r="AS546" s="425">
        <f t="shared" ref="AS546:AS552" si="172">I546</f>
        <v>234</v>
      </c>
      <c r="AT546" s="495"/>
      <c r="AY546" s="498">
        <f>I546/24*2</f>
        <v>19.5</v>
      </c>
      <c r="BT546" s="495"/>
      <c r="BU546" s="425">
        <f>I546</f>
        <v>234</v>
      </c>
      <c r="BV546" s="495"/>
      <c r="CK546" s="425">
        <f t="shared" si="154"/>
        <v>0</v>
      </c>
      <c r="CL546" s="425">
        <f t="shared" si="166"/>
        <v>0</v>
      </c>
      <c r="CM546" s="425">
        <f t="shared" si="167"/>
        <v>0</v>
      </c>
      <c r="CN546" s="495"/>
      <c r="CO546" s="495"/>
      <c r="CP546" s="495"/>
      <c r="CT546" s="495"/>
      <c r="CU546" s="495"/>
      <c r="CV546" s="495"/>
      <c r="CW546" s="495"/>
      <c r="CX546" s="495"/>
    </row>
    <row r="547" s="425" customFormat="1" ht="31" customHeight="1" spans="1:102">
      <c r="A547" s="455">
        <v>45840</v>
      </c>
      <c r="B547" s="456" t="s">
        <v>122</v>
      </c>
      <c r="C547" s="457" t="s">
        <v>116</v>
      </c>
      <c r="D547" s="425">
        <v>4500172407</v>
      </c>
      <c r="E547" s="457">
        <v>20862337</v>
      </c>
      <c r="F547" s="425" t="s">
        <v>1508</v>
      </c>
      <c r="G547" s="458" t="s">
        <v>3436</v>
      </c>
      <c r="H547" s="458" t="s">
        <v>424</v>
      </c>
      <c r="I547" s="458">
        <v>2166</v>
      </c>
      <c r="J547" s="458">
        <v>0</v>
      </c>
      <c r="K547" s="458">
        <v>6</v>
      </c>
      <c r="L547" s="462">
        <f t="shared" si="169"/>
        <v>361</v>
      </c>
      <c r="M547" s="463">
        <v>45908</v>
      </c>
      <c r="N547" s="463">
        <v>45901</v>
      </c>
      <c r="O547" s="464"/>
      <c r="P547" s="464" t="s">
        <v>103</v>
      </c>
      <c r="Q547" s="458" t="s">
        <v>1445</v>
      </c>
      <c r="R547" s="472">
        <v>45877</v>
      </c>
      <c r="S547" s="472" t="s">
        <v>96</v>
      </c>
      <c r="T547" s="472" t="s">
        <v>4498</v>
      </c>
      <c r="U547" s="472"/>
      <c r="V547" s="473" t="s">
        <v>4500</v>
      </c>
      <c r="W547" s="473" t="s">
        <v>121</v>
      </c>
      <c r="X547" s="473">
        <v>7.0773</v>
      </c>
      <c r="Y547" s="480">
        <f t="shared" si="170"/>
        <v>15329.4318</v>
      </c>
      <c r="Z547" s="458"/>
      <c r="AA547" s="458" t="s">
        <v>1203</v>
      </c>
      <c r="AB547" s="458" t="s">
        <v>76</v>
      </c>
      <c r="AC547" s="458"/>
      <c r="AD547" s="458"/>
      <c r="AE547" s="458"/>
      <c r="AF547" s="458">
        <v>2166</v>
      </c>
      <c r="AG547" s="458">
        <v>0</v>
      </c>
      <c r="AH547" s="489"/>
      <c r="AI547" s="458"/>
      <c r="AJ547" s="458"/>
      <c r="AK547" s="458"/>
      <c r="AL547" s="425">
        <f>I547*2</f>
        <v>4332</v>
      </c>
      <c r="AO547" s="495">
        <f>$I547*2</f>
        <v>4332</v>
      </c>
      <c r="AS547" s="425">
        <f t="shared" si="172"/>
        <v>2166</v>
      </c>
      <c r="AT547" s="495"/>
      <c r="AY547" s="498">
        <f>I547/24*2</f>
        <v>180.5</v>
      </c>
      <c r="BT547" s="495"/>
      <c r="BU547" s="425">
        <f>I547</f>
        <v>2166</v>
      </c>
      <c r="BV547" s="495"/>
      <c r="CK547" s="425">
        <f t="shared" si="154"/>
        <v>0</v>
      </c>
      <c r="CL547" s="425">
        <f t="shared" si="166"/>
        <v>0</v>
      </c>
      <c r="CM547" s="425">
        <f t="shared" si="167"/>
        <v>0</v>
      </c>
      <c r="CN547" s="495"/>
      <c r="CO547" s="495"/>
      <c r="CP547" s="495"/>
      <c r="CT547" s="495"/>
      <c r="CU547" s="495"/>
      <c r="CV547" s="495"/>
      <c r="CW547" s="495"/>
      <c r="CX547" s="495"/>
    </row>
    <row r="548" s="425" customFormat="1" ht="31" customHeight="1" spans="1:102">
      <c r="A548" s="455">
        <v>45848</v>
      </c>
      <c r="B548" s="456" t="s">
        <v>1514</v>
      </c>
      <c r="C548" s="457" t="s">
        <v>645</v>
      </c>
      <c r="D548" s="425">
        <v>4500173266</v>
      </c>
      <c r="E548" s="457" t="s">
        <v>1515</v>
      </c>
      <c r="F548" s="425" t="s">
        <v>4501</v>
      </c>
      <c r="G548" s="458" t="s">
        <v>3161</v>
      </c>
      <c r="H548" s="458" t="s">
        <v>3221</v>
      </c>
      <c r="I548" s="458">
        <v>350</v>
      </c>
      <c r="J548" s="458">
        <v>0</v>
      </c>
      <c r="K548" s="458">
        <v>50</v>
      </c>
      <c r="L548" s="462">
        <f t="shared" si="169"/>
        <v>7</v>
      </c>
      <c r="M548" s="463">
        <v>45908</v>
      </c>
      <c r="N548" s="463">
        <v>45904</v>
      </c>
      <c r="O548" s="464"/>
      <c r="P548" s="464" t="s">
        <v>103</v>
      </c>
      <c r="Q548" s="458"/>
      <c r="R548" s="472">
        <v>45848</v>
      </c>
      <c r="S548" s="472" t="s">
        <v>66</v>
      </c>
      <c r="T548" s="472">
        <v>45849</v>
      </c>
      <c r="U548" s="472"/>
      <c r="V548" s="473" t="s">
        <v>4502</v>
      </c>
      <c r="W548" s="473" t="s">
        <v>196</v>
      </c>
      <c r="X548" s="473">
        <v>0.9292</v>
      </c>
      <c r="Y548" s="480">
        <f t="shared" si="170"/>
        <v>325.22</v>
      </c>
      <c r="Z548" s="458" t="s">
        <v>4503</v>
      </c>
      <c r="AA548" s="458" t="s">
        <v>3161</v>
      </c>
      <c r="AB548" s="458" t="s">
        <v>76</v>
      </c>
      <c r="AC548" s="458"/>
      <c r="AD548" s="458"/>
      <c r="AE548" s="458"/>
      <c r="AF548" s="458">
        <v>350</v>
      </c>
      <c r="AG548" s="458">
        <f t="shared" si="171"/>
        <v>0</v>
      </c>
      <c r="AH548" s="489"/>
      <c r="AI548" s="458"/>
      <c r="AJ548" s="458"/>
      <c r="AK548" s="458"/>
      <c r="AL548" s="425">
        <f t="shared" ref="AL548:AL556" si="173">I548</f>
        <v>350</v>
      </c>
      <c r="AO548" s="495"/>
      <c r="AQ548" s="425">
        <f>I548</f>
        <v>350</v>
      </c>
      <c r="AS548" s="425">
        <f t="shared" si="172"/>
        <v>350</v>
      </c>
      <c r="AT548" s="495"/>
      <c r="AY548" s="498">
        <f>I548/24</f>
        <v>14.5833333333333</v>
      </c>
      <c r="BL548" s="425">
        <f>I548/25</f>
        <v>14</v>
      </c>
      <c r="BT548" s="495"/>
      <c r="BV548" s="495"/>
      <c r="CK548" s="425">
        <f t="shared" si="154"/>
        <v>14</v>
      </c>
      <c r="CL548" s="425">
        <f t="shared" si="166"/>
        <v>0</v>
      </c>
      <c r="CM548" s="425">
        <f t="shared" si="167"/>
        <v>0</v>
      </c>
      <c r="CN548" s="495"/>
      <c r="CO548" s="495"/>
      <c r="CP548" s="495"/>
      <c r="CT548" s="495"/>
      <c r="CU548" s="495"/>
      <c r="CV548" s="495"/>
      <c r="CW548" s="495"/>
      <c r="CX548" s="495"/>
    </row>
    <row r="549" s="425" customFormat="1" ht="31" customHeight="1" spans="1:102">
      <c r="A549" s="455">
        <v>45866</v>
      </c>
      <c r="B549" s="456" t="s">
        <v>125</v>
      </c>
      <c r="C549" s="457" t="s">
        <v>71</v>
      </c>
      <c r="D549" s="425">
        <v>4500175179</v>
      </c>
      <c r="E549" s="457">
        <v>21012349</v>
      </c>
      <c r="F549" s="425" t="s">
        <v>4504</v>
      </c>
      <c r="G549" s="458" t="s">
        <v>3206</v>
      </c>
      <c r="H549" s="458" t="s">
        <v>3207</v>
      </c>
      <c r="I549" s="458">
        <v>117</v>
      </c>
      <c r="J549" s="458">
        <v>0</v>
      </c>
      <c r="K549" s="458">
        <v>13</v>
      </c>
      <c r="L549" s="462">
        <f t="shared" si="169"/>
        <v>9</v>
      </c>
      <c r="M549" s="463">
        <v>45908</v>
      </c>
      <c r="N549" s="463">
        <v>45904</v>
      </c>
      <c r="O549" s="464"/>
      <c r="P549" s="464" t="s">
        <v>103</v>
      </c>
      <c r="Q549" s="458"/>
      <c r="R549" s="472">
        <v>45877</v>
      </c>
      <c r="S549" s="472" t="s">
        <v>96</v>
      </c>
      <c r="T549" s="472">
        <v>45887</v>
      </c>
      <c r="U549" s="472"/>
      <c r="V549" s="473" t="s">
        <v>4143</v>
      </c>
      <c r="W549" s="473" t="s">
        <v>121</v>
      </c>
      <c r="X549" s="473">
        <v>0.9526</v>
      </c>
      <c r="Y549" s="480">
        <f t="shared" si="170"/>
        <v>111.4542</v>
      </c>
      <c r="Z549" s="458" t="s">
        <v>4505</v>
      </c>
      <c r="AA549" s="458" t="s">
        <v>3206</v>
      </c>
      <c r="AB549" s="458" t="s">
        <v>76</v>
      </c>
      <c r="AC549" s="458"/>
      <c r="AD549" s="458"/>
      <c r="AE549" s="458"/>
      <c r="AF549" s="458">
        <v>117</v>
      </c>
      <c r="AG549" s="458">
        <f t="shared" si="171"/>
        <v>0</v>
      </c>
      <c r="AH549" s="489"/>
      <c r="AI549" s="458"/>
      <c r="AJ549" s="458"/>
      <c r="AK549" s="458"/>
      <c r="AL549" s="425">
        <f t="shared" si="173"/>
        <v>117</v>
      </c>
      <c r="AO549" s="495"/>
      <c r="AQ549" s="425">
        <f>I549</f>
        <v>117</v>
      </c>
      <c r="AS549" s="425">
        <f t="shared" si="172"/>
        <v>117</v>
      </c>
      <c r="AT549" s="495"/>
      <c r="AY549" s="498">
        <f>I549/24</f>
        <v>4.875</v>
      </c>
      <c r="BI549" s="425">
        <f>I549/13</f>
        <v>9</v>
      </c>
      <c r="BT549" s="495"/>
      <c r="BV549" s="495"/>
      <c r="CK549" s="425">
        <f t="shared" si="154"/>
        <v>0</v>
      </c>
      <c r="CL549" s="425">
        <f t="shared" si="166"/>
        <v>0</v>
      </c>
      <c r="CM549" s="425">
        <f t="shared" si="167"/>
        <v>0</v>
      </c>
      <c r="CN549" s="495"/>
      <c r="CO549" s="495"/>
      <c r="CP549" s="495"/>
      <c r="CT549" s="495"/>
      <c r="CU549" s="495"/>
      <c r="CV549" s="495"/>
      <c r="CW549" s="495"/>
      <c r="CX549" s="495"/>
    </row>
    <row r="550" s="425" customFormat="1" ht="31" customHeight="1" spans="1:102">
      <c r="A550" s="455">
        <v>45866</v>
      </c>
      <c r="B550" s="456" t="s">
        <v>125</v>
      </c>
      <c r="C550" s="457" t="s">
        <v>71</v>
      </c>
      <c r="D550" s="425">
        <v>4500175179</v>
      </c>
      <c r="E550" s="457">
        <v>21012359</v>
      </c>
      <c r="F550" s="425" t="s">
        <v>4506</v>
      </c>
      <c r="G550" s="458" t="s">
        <v>3206</v>
      </c>
      <c r="H550" s="458" t="s">
        <v>3207</v>
      </c>
      <c r="I550" s="458">
        <v>117</v>
      </c>
      <c r="J550" s="458">
        <v>0</v>
      </c>
      <c r="K550" s="458">
        <v>13</v>
      </c>
      <c r="L550" s="462">
        <f t="shared" si="169"/>
        <v>9</v>
      </c>
      <c r="M550" s="463">
        <v>45908</v>
      </c>
      <c r="N550" s="463">
        <v>45904</v>
      </c>
      <c r="O550" s="464"/>
      <c r="P550" s="464" t="s">
        <v>103</v>
      </c>
      <c r="Q550" s="458"/>
      <c r="R550" s="472">
        <v>45877</v>
      </c>
      <c r="S550" s="472" t="s">
        <v>96</v>
      </c>
      <c r="T550" s="472">
        <v>45887</v>
      </c>
      <c r="U550" s="472"/>
      <c r="V550" s="473" t="s">
        <v>4143</v>
      </c>
      <c r="W550" s="473" t="s">
        <v>121</v>
      </c>
      <c r="X550" s="473">
        <v>0.9526</v>
      </c>
      <c r="Y550" s="480">
        <f t="shared" si="170"/>
        <v>111.4542</v>
      </c>
      <c r="Z550" s="458" t="s">
        <v>4505</v>
      </c>
      <c r="AA550" s="458" t="s">
        <v>3206</v>
      </c>
      <c r="AB550" s="458" t="s">
        <v>76</v>
      </c>
      <c r="AC550" s="458"/>
      <c r="AD550" s="458"/>
      <c r="AE550" s="458"/>
      <c r="AF550" s="458">
        <v>117</v>
      </c>
      <c r="AG550" s="458">
        <f t="shared" si="171"/>
        <v>0</v>
      </c>
      <c r="AH550" s="489"/>
      <c r="AI550" s="458"/>
      <c r="AJ550" s="458"/>
      <c r="AK550" s="458"/>
      <c r="AL550" s="425">
        <f t="shared" si="173"/>
        <v>117</v>
      </c>
      <c r="AO550" s="495"/>
      <c r="AQ550" s="425">
        <f>I550</f>
        <v>117</v>
      </c>
      <c r="AS550" s="425">
        <f t="shared" si="172"/>
        <v>117</v>
      </c>
      <c r="AT550" s="495"/>
      <c r="AY550" s="498">
        <f>I550/24</f>
        <v>4.875</v>
      </c>
      <c r="BI550" s="425">
        <f>I550/13</f>
        <v>9</v>
      </c>
      <c r="BT550" s="495"/>
      <c r="BV550" s="495"/>
      <c r="CK550" s="425">
        <f t="shared" si="154"/>
        <v>0</v>
      </c>
      <c r="CL550" s="425">
        <f t="shared" si="166"/>
        <v>0</v>
      </c>
      <c r="CM550" s="425">
        <f t="shared" si="167"/>
        <v>0</v>
      </c>
      <c r="CN550" s="495"/>
      <c r="CO550" s="495"/>
      <c r="CP550" s="495"/>
      <c r="CT550" s="495"/>
      <c r="CU550" s="495"/>
      <c r="CV550" s="495"/>
      <c r="CW550" s="495"/>
      <c r="CX550" s="495"/>
    </row>
    <row r="551" s="425" customFormat="1" ht="31" customHeight="1" spans="1:102">
      <c r="A551" s="455">
        <v>45866</v>
      </c>
      <c r="B551" s="456" t="s">
        <v>122</v>
      </c>
      <c r="C551" s="457" t="s">
        <v>116</v>
      </c>
      <c r="D551" s="425">
        <v>4500175177</v>
      </c>
      <c r="E551" s="457">
        <v>21012347</v>
      </c>
      <c r="F551" s="425" t="s">
        <v>4507</v>
      </c>
      <c r="G551" s="458" t="s">
        <v>3206</v>
      </c>
      <c r="H551" s="458" t="s">
        <v>3207</v>
      </c>
      <c r="I551" s="458">
        <v>1534</v>
      </c>
      <c r="J551" s="458">
        <v>0</v>
      </c>
      <c r="K551" s="458">
        <v>13</v>
      </c>
      <c r="L551" s="462">
        <f t="shared" si="169"/>
        <v>118</v>
      </c>
      <c r="M551" s="463">
        <v>45908</v>
      </c>
      <c r="N551" s="463">
        <v>45904</v>
      </c>
      <c r="O551" s="464"/>
      <c r="P551" s="464" t="s">
        <v>103</v>
      </c>
      <c r="Q551" s="458"/>
      <c r="R551" s="472">
        <v>45877</v>
      </c>
      <c r="S551" s="472" t="s">
        <v>96</v>
      </c>
      <c r="T551" s="472">
        <v>45887</v>
      </c>
      <c r="U551" s="472"/>
      <c r="V551" s="473" t="s">
        <v>3390</v>
      </c>
      <c r="W551" s="473" t="s">
        <v>121</v>
      </c>
      <c r="X551" s="473">
        <v>0.9475</v>
      </c>
      <c r="Y551" s="480">
        <f t="shared" si="170"/>
        <v>1453.465</v>
      </c>
      <c r="Z551" s="458" t="s">
        <v>4508</v>
      </c>
      <c r="AA551" s="458" t="s">
        <v>3206</v>
      </c>
      <c r="AB551" s="458" t="s">
        <v>76</v>
      </c>
      <c r="AC551" s="458"/>
      <c r="AD551" s="458"/>
      <c r="AE551" s="458"/>
      <c r="AF551" s="458">
        <v>1534</v>
      </c>
      <c r="AG551" s="458">
        <f t="shared" si="171"/>
        <v>0</v>
      </c>
      <c r="AH551" s="489"/>
      <c r="AI551" s="458"/>
      <c r="AJ551" s="458"/>
      <c r="AK551" s="458"/>
      <c r="AL551" s="425">
        <f t="shared" si="173"/>
        <v>1534</v>
      </c>
      <c r="AO551" s="495"/>
      <c r="AQ551" s="425">
        <f>I551</f>
        <v>1534</v>
      </c>
      <c r="AS551" s="425">
        <f t="shared" si="172"/>
        <v>1534</v>
      </c>
      <c r="AT551" s="495"/>
      <c r="AY551" s="498">
        <f>I551/24</f>
        <v>63.9166666666667</v>
      </c>
      <c r="BI551" s="425">
        <f>I551/13</f>
        <v>118</v>
      </c>
      <c r="BT551" s="495"/>
      <c r="BV551" s="495"/>
      <c r="CK551" s="425">
        <f t="shared" si="154"/>
        <v>0</v>
      </c>
      <c r="CL551" s="425">
        <f t="shared" si="166"/>
        <v>0</v>
      </c>
      <c r="CM551" s="425">
        <f t="shared" si="167"/>
        <v>0</v>
      </c>
      <c r="CN551" s="495"/>
      <c r="CO551" s="495"/>
      <c r="CP551" s="495"/>
      <c r="CT551" s="495"/>
      <c r="CU551" s="495"/>
      <c r="CV551" s="495"/>
      <c r="CW551" s="495"/>
      <c r="CX551" s="495"/>
    </row>
    <row r="552" s="425" customFormat="1" ht="31" customHeight="1" spans="1:102">
      <c r="A552" s="455">
        <v>45866</v>
      </c>
      <c r="B552" s="456" t="s">
        <v>122</v>
      </c>
      <c r="C552" s="457" t="s">
        <v>116</v>
      </c>
      <c r="D552" s="425">
        <v>4500175177</v>
      </c>
      <c r="E552" s="457">
        <v>21012358</v>
      </c>
      <c r="F552" s="425" t="s">
        <v>4509</v>
      </c>
      <c r="G552" s="458" t="s">
        <v>3206</v>
      </c>
      <c r="H552" s="458" t="s">
        <v>3207</v>
      </c>
      <c r="I552" s="458">
        <v>1612</v>
      </c>
      <c r="J552" s="458">
        <v>0</v>
      </c>
      <c r="K552" s="458">
        <v>13</v>
      </c>
      <c r="L552" s="462">
        <f t="shared" si="169"/>
        <v>124</v>
      </c>
      <c r="M552" s="463">
        <v>45908</v>
      </c>
      <c r="N552" s="463">
        <v>45904</v>
      </c>
      <c r="O552" s="464"/>
      <c r="P552" s="464" t="s">
        <v>103</v>
      </c>
      <c r="Q552" s="458"/>
      <c r="R552" s="472">
        <v>45877</v>
      </c>
      <c r="S552" s="472" t="s">
        <v>96</v>
      </c>
      <c r="T552" s="472">
        <v>45887</v>
      </c>
      <c r="U552" s="472"/>
      <c r="V552" s="473" t="s">
        <v>3390</v>
      </c>
      <c r="W552" s="473" t="s">
        <v>121</v>
      </c>
      <c r="X552" s="473">
        <v>0.9475</v>
      </c>
      <c r="Y552" s="480">
        <f t="shared" si="170"/>
        <v>1527.37</v>
      </c>
      <c r="Z552" s="458" t="s">
        <v>4508</v>
      </c>
      <c r="AA552" s="458" t="s">
        <v>3206</v>
      </c>
      <c r="AB552" s="458" t="s">
        <v>76</v>
      </c>
      <c r="AC552" s="458"/>
      <c r="AD552" s="458"/>
      <c r="AE552" s="458"/>
      <c r="AF552" s="458">
        <v>1612</v>
      </c>
      <c r="AG552" s="458">
        <f t="shared" si="171"/>
        <v>0</v>
      </c>
      <c r="AH552" s="489"/>
      <c r="AI552" s="458"/>
      <c r="AJ552" s="458"/>
      <c r="AK552" s="458"/>
      <c r="AL552" s="425">
        <f t="shared" si="173"/>
        <v>1612</v>
      </c>
      <c r="AO552" s="495"/>
      <c r="AQ552" s="425">
        <f>I552</f>
        <v>1612</v>
      </c>
      <c r="AS552" s="425">
        <f t="shared" si="172"/>
        <v>1612</v>
      </c>
      <c r="AT552" s="495"/>
      <c r="AY552" s="498">
        <f>I552/24</f>
        <v>67.1666666666667</v>
      </c>
      <c r="BI552" s="425">
        <f>I552/13</f>
        <v>124</v>
      </c>
      <c r="BT552" s="495"/>
      <c r="BV552" s="495"/>
      <c r="CK552" s="425">
        <f t="shared" si="154"/>
        <v>0</v>
      </c>
      <c r="CL552" s="425">
        <f t="shared" si="166"/>
        <v>0</v>
      </c>
      <c r="CM552" s="425">
        <f t="shared" si="167"/>
        <v>0</v>
      </c>
      <c r="CN552" s="495"/>
      <c r="CO552" s="495"/>
      <c r="CP552" s="495"/>
      <c r="CT552" s="495"/>
      <c r="CU552" s="495"/>
      <c r="CV552" s="495"/>
      <c r="CW552" s="495"/>
      <c r="CX552" s="495"/>
    </row>
    <row r="553" s="425" customFormat="1" ht="31" customHeight="1" spans="1:102">
      <c r="A553" s="455">
        <v>45852</v>
      </c>
      <c r="B553" s="456" t="s">
        <v>1566</v>
      </c>
      <c r="C553" s="457" t="s">
        <v>1567</v>
      </c>
      <c r="D553" s="425">
        <v>4500173750</v>
      </c>
      <c r="E553" s="457"/>
      <c r="F553" s="425" t="s">
        <v>4510</v>
      </c>
      <c r="G553" s="458" t="s">
        <v>3378</v>
      </c>
      <c r="H553" s="458" t="s">
        <v>3379</v>
      </c>
      <c r="I553" s="458">
        <v>1550</v>
      </c>
      <c r="J553" s="458">
        <v>0</v>
      </c>
      <c r="K553" s="458">
        <v>50</v>
      </c>
      <c r="L553" s="462">
        <f t="shared" si="169"/>
        <v>31</v>
      </c>
      <c r="M553" s="463">
        <v>45909</v>
      </c>
      <c r="N553" s="463">
        <v>45905</v>
      </c>
      <c r="O553" s="464"/>
      <c r="P553" s="464" t="s">
        <v>103</v>
      </c>
      <c r="Q553" s="458"/>
      <c r="R553" s="472">
        <v>45877</v>
      </c>
      <c r="S553" s="472" t="s">
        <v>66</v>
      </c>
      <c r="T553" s="472">
        <v>45876</v>
      </c>
      <c r="U553" s="472"/>
      <c r="V553" s="473" t="s">
        <v>4511</v>
      </c>
      <c r="W553" s="473" t="s">
        <v>473</v>
      </c>
      <c r="X553" s="473">
        <v>0.9061</v>
      </c>
      <c r="Y553" s="480">
        <f t="shared" si="170"/>
        <v>1404.455</v>
      </c>
      <c r="Z553" s="458" t="s">
        <v>4512</v>
      </c>
      <c r="AA553" s="458" t="s">
        <v>3378</v>
      </c>
      <c r="AB553" s="458" t="s">
        <v>76</v>
      </c>
      <c r="AC553" s="458"/>
      <c r="AD553" s="458"/>
      <c r="AE553" s="458"/>
      <c r="AF553" s="458">
        <v>1550</v>
      </c>
      <c r="AG553" s="458">
        <f t="shared" si="171"/>
        <v>0</v>
      </c>
      <c r="AH553" s="489"/>
      <c r="AI553" s="458"/>
      <c r="AJ553" s="458"/>
      <c r="AK553" s="458"/>
      <c r="AL553" s="425">
        <f t="shared" si="173"/>
        <v>1550</v>
      </c>
      <c r="AO553" s="495"/>
      <c r="AT553" s="495"/>
      <c r="AY553" s="498">
        <f>I553/24*2</f>
        <v>129.166666666667</v>
      </c>
      <c r="BQ553" s="425">
        <f>I553</f>
        <v>1550</v>
      </c>
      <c r="BR553" s="425">
        <f>I553</f>
        <v>1550</v>
      </c>
      <c r="BS553" s="425">
        <f>I553/25</f>
        <v>62</v>
      </c>
      <c r="BT553" s="495"/>
      <c r="BV553" s="495"/>
      <c r="CK553" s="425">
        <f t="shared" si="154"/>
        <v>62</v>
      </c>
      <c r="CL553" s="425">
        <f t="shared" si="166"/>
        <v>0</v>
      </c>
      <c r="CM553" s="425">
        <f t="shared" si="167"/>
        <v>0</v>
      </c>
      <c r="CN553" s="495"/>
      <c r="CO553" s="495"/>
      <c r="CP553" s="495"/>
      <c r="CT553" s="495"/>
      <c r="CU553" s="495"/>
      <c r="CV553" s="495"/>
      <c r="CW553" s="495"/>
      <c r="CX553" s="495"/>
    </row>
    <row r="554" s="425" customFormat="1" ht="31" customHeight="1" spans="1:102">
      <c r="A554" s="455">
        <v>45867</v>
      </c>
      <c r="B554" s="456" t="s">
        <v>3210</v>
      </c>
      <c r="C554" s="457" t="s">
        <v>116</v>
      </c>
      <c r="D554" s="425">
        <v>4500175352</v>
      </c>
      <c r="E554" s="457">
        <v>47197071</v>
      </c>
      <c r="F554" s="425" t="s">
        <v>4513</v>
      </c>
      <c r="G554" s="458" t="s">
        <v>3213</v>
      </c>
      <c r="H554" s="458" t="s">
        <v>3214</v>
      </c>
      <c r="I554" s="458">
        <v>750</v>
      </c>
      <c r="J554" s="458">
        <v>0</v>
      </c>
      <c r="K554" s="458">
        <v>6</v>
      </c>
      <c r="L554" s="462">
        <f t="shared" si="169"/>
        <v>125</v>
      </c>
      <c r="M554" s="463">
        <v>45909</v>
      </c>
      <c r="N554" s="463">
        <v>45905</v>
      </c>
      <c r="O554" s="464"/>
      <c r="P554" s="464" t="s">
        <v>103</v>
      </c>
      <c r="Q554" s="458"/>
      <c r="R554" s="472" t="s">
        <v>4514</v>
      </c>
      <c r="S554" s="472" t="s">
        <v>66</v>
      </c>
      <c r="T554" s="472" t="s">
        <v>2397</v>
      </c>
      <c r="U554" s="472"/>
      <c r="V554" s="473" t="s">
        <v>4515</v>
      </c>
      <c r="W554" s="473" t="s">
        <v>1602</v>
      </c>
      <c r="X554" s="473">
        <v>0.9362</v>
      </c>
      <c r="Y554" s="480">
        <f t="shared" si="170"/>
        <v>702.15</v>
      </c>
      <c r="Z554" s="458" t="s">
        <v>4516</v>
      </c>
      <c r="AA554" s="458" t="s">
        <v>3213</v>
      </c>
      <c r="AB554" s="458" t="s">
        <v>76</v>
      </c>
      <c r="AC554" s="458"/>
      <c r="AD554" s="458"/>
      <c r="AE554" s="458"/>
      <c r="AF554" s="458">
        <v>750</v>
      </c>
      <c r="AG554" s="458">
        <f t="shared" si="171"/>
        <v>0</v>
      </c>
      <c r="AH554" s="489"/>
      <c r="AI554" s="458"/>
      <c r="AJ554" s="458"/>
      <c r="AK554" s="458"/>
      <c r="AL554" s="425">
        <f t="shared" si="173"/>
        <v>750</v>
      </c>
      <c r="AO554" s="495"/>
      <c r="AQ554" s="425">
        <f>I554</f>
        <v>750</v>
      </c>
      <c r="AS554" s="425">
        <f>I554</f>
        <v>750</v>
      </c>
      <c r="AT554" s="495"/>
      <c r="AY554" s="498">
        <f>I554/24</f>
        <v>31.25</v>
      </c>
      <c r="BP554" s="425">
        <f>I554/6</f>
        <v>125</v>
      </c>
      <c r="BT554" s="495"/>
      <c r="BV554" s="495"/>
      <c r="CK554" s="425">
        <f t="shared" si="154"/>
        <v>0</v>
      </c>
      <c r="CL554" s="425">
        <f t="shared" si="166"/>
        <v>0</v>
      </c>
      <c r="CM554" s="425">
        <f t="shared" si="167"/>
        <v>0</v>
      </c>
      <c r="CN554" s="495"/>
      <c r="CO554" s="495"/>
      <c r="CP554" s="495"/>
      <c r="CT554" s="495"/>
      <c r="CU554" s="495"/>
      <c r="CV554" s="495"/>
      <c r="CW554" s="495"/>
      <c r="CX554" s="495"/>
    </row>
    <row r="555" s="425" customFormat="1" ht="31" customHeight="1" spans="1:102">
      <c r="A555" s="455">
        <v>45867</v>
      </c>
      <c r="B555" s="456" t="s">
        <v>3210</v>
      </c>
      <c r="C555" s="457" t="s">
        <v>116</v>
      </c>
      <c r="D555" s="425">
        <v>4500175352</v>
      </c>
      <c r="E555" s="457">
        <v>7197073</v>
      </c>
      <c r="F555" s="425" t="s">
        <v>4517</v>
      </c>
      <c r="G555" s="458" t="s">
        <v>3213</v>
      </c>
      <c r="H555" s="458" t="s">
        <v>3214</v>
      </c>
      <c r="I555" s="458">
        <v>750</v>
      </c>
      <c r="J555" s="458">
        <v>0</v>
      </c>
      <c r="K555" s="458">
        <v>6</v>
      </c>
      <c r="L555" s="462">
        <f t="shared" si="169"/>
        <v>125</v>
      </c>
      <c r="M555" s="463">
        <v>45909</v>
      </c>
      <c r="N555" s="463">
        <v>45905</v>
      </c>
      <c r="O555" s="464"/>
      <c r="P555" s="464" t="s">
        <v>103</v>
      </c>
      <c r="Q555" s="458"/>
      <c r="R555" s="472" t="s">
        <v>4514</v>
      </c>
      <c r="S555" s="472" t="s">
        <v>66</v>
      </c>
      <c r="T555" s="472" t="s">
        <v>2397</v>
      </c>
      <c r="U555" s="472"/>
      <c r="V555" s="473" t="s">
        <v>4515</v>
      </c>
      <c r="W555" s="473" t="s">
        <v>1602</v>
      </c>
      <c r="X555" s="473">
        <v>1.0006</v>
      </c>
      <c r="Y555" s="480">
        <f t="shared" si="170"/>
        <v>750.45</v>
      </c>
      <c r="Z555" s="458" t="s">
        <v>4516</v>
      </c>
      <c r="AA555" s="458" t="s">
        <v>3213</v>
      </c>
      <c r="AB555" s="458" t="s">
        <v>76</v>
      </c>
      <c r="AC555" s="458"/>
      <c r="AD555" s="458"/>
      <c r="AE555" s="458"/>
      <c r="AF555" s="458">
        <v>750</v>
      </c>
      <c r="AG555" s="458">
        <f t="shared" si="171"/>
        <v>0</v>
      </c>
      <c r="AH555" s="489"/>
      <c r="AI555" s="458"/>
      <c r="AJ555" s="458"/>
      <c r="AK555" s="458"/>
      <c r="AL555" s="425">
        <f t="shared" si="173"/>
        <v>750</v>
      </c>
      <c r="AO555" s="495"/>
      <c r="AQ555" s="425">
        <f>I555</f>
        <v>750</v>
      </c>
      <c r="AS555" s="425">
        <f>I555</f>
        <v>750</v>
      </c>
      <c r="AT555" s="495"/>
      <c r="AY555" s="498">
        <f>I555/24</f>
        <v>31.25</v>
      </c>
      <c r="BP555" s="425">
        <f>I555/6</f>
        <v>125</v>
      </c>
      <c r="BT555" s="495"/>
      <c r="BV555" s="495"/>
      <c r="CK555" s="425">
        <f t="shared" si="154"/>
        <v>0</v>
      </c>
      <c r="CL555" s="425">
        <f t="shared" si="166"/>
        <v>0</v>
      </c>
      <c r="CM555" s="425">
        <f t="shared" si="167"/>
        <v>0</v>
      </c>
      <c r="CN555" s="495"/>
      <c r="CO555" s="495"/>
      <c r="CP555" s="495"/>
      <c r="CT555" s="495"/>
      <c r="CU555" s="495"/>
      <c r="CV555" s="495"/>
      <c r="CW555" s="495"/>
      <c r="CX555" s="495"/>
    </row>
    <row r="556" s="425" customFormat="1" ht="31" customHeight="1" spans="1:102">
      <c r="A556" s="455">
        <v>45867</v>
      </c>
      <c r="B556" s="456" t="s">
        <v>3210</v>
      </c>
      <c r="C556" s="457" t="s">
        <v>116</v>
      </c>
      <c r="D556" s="425">
        <v>4500175352</v>
      </c>
      <c r="E556" s="457">
        <v>47197072</v>
      </c>
      <c r="F556" s="425" t="s">
        <v>4518</v>
      </c>
      <c r="G556" s="458" t="s">
        <v>3213</v>
      </c>
      <c r="H556" s="458" t="s">
        <v>3214</v>
      </c>
      <c r="I556" s="458">
        <v>1500</v>
      </c>
      <c r="J556" s="458">
        <v>0</v>
      </c>
      <c r="K556" s="458">
        <v>6</v>
      </c>
      <c r="L556" s="462">
        <f t="shared" si="169"/>
        <v>250</v>
      </c>
      <c r="M556" s="463">
        <v>45909</v>
      </c>
      <c r="N556" s="463">
        <v>45905</v>
      </c>
      <c r="O556" s="464"/>
      <c r="P556" s="464" t="s">
        <v>103</v>
      </c>
      <c r="Q556" s="458"/>
      <c r="R556" s="472" t="s">
        <v>4514</v>
      </c>
      <c r="S556" s="472" t="s">
        <v>66</v>
      </c>
      <c r="T556" s="472" t="s">
        <v>2397</v>
      </c>
      <c r="U556" s="472"/>
      <c r="V556" s="473" t="s">
        <v>4515</v>
      </c>
      <c r="W556" s="473" t="s">
        <v>1602</v>
      </c>
      <c r="X556" s="473">
        <v>1.0006</v>
      </c>
      <c r="Y556" s="480">
        <f t="shared" si="170"/>
        <v>1500.9</v>
      </c>
      <c r="Z556" s="458" t="s">
        <v>4516</v>
      </c>
      <c r="AA556" s="458" t="s">
        <v>3213</v>
      </c>
      <c r="AB556" s="458" t="s">
        <v>76</v>
      </c>
      <c r="AC556" s="458"/>
      <c r="AD556" s="458"/>
      <c r="AE556" s="458"/>
      <c r="AF556" s="458">
        <v>1500</v>
      </c>
      <c r="AG556" s="458">
        <f t="shared" si="171"/>
        <v>0</v>
      </c>
      <c r="AH556" s="489"/>
      <c r="AI556" s="458"/>
      <c r="AJ556" s="458"/>
      <c r="AK556" s="458"/>
      <c r="AL556" s="425">
        <f t="shared" si="173"/>
        <v>1500</v>
      </c>
      <c r="AO556" s="495"/>
      <c r="AQ556" s="425">
        <f>I556</f>
        <v>1500</v>
      </c>
      <c r="AS556" s="425">
        <f>I556</f>
        <v>1500</v>
      </c>
      <c r="AT556" s="495"/>
      <c r="AY556" s="498">
        <f>I556/24</f>
        <v>62.5</v>
      </c>
      <c r="BP556" s="425">
        <f>I556/6</f>
        <v>250</v>
      </c>
      <c r="BT556" s="495"/>
      <c r="BV556" s="495"/>
      <c r="CK556" s="425">
        <f t="shared" si="154"/>
        <v>0</v>
      </c>
      <c r="CL556" s="425">
        <f t="shared" si="166"/>
        <v>0</v>
      </c>
      <c r="CM556" s="425">
        <f t="shared" si="167"/>
        <v>0</v>
      </c>
      <c r="CN556" s="495"/>
      <c r="CO556" s="495"/>
      <c r="CP556" s="495"/>
      <c r="CT556" s="495"/>
      <c r="CU556" s="495"/>
      <c r="CV556" s="495"/>
      <c r="CW556" s="495"/>
      <c r="CX556" s="495"/>
    </row>
    <row r="557" s="425" customFormat="1" ht="31" customHeight="1" spans="1:102">
      <c r="A557" s="455">
        <v>45848</v>
      </c>
      <c r="B557" s="456" t="s">
        <v>152</v>
      </c>
      <c r="C557" s="457" t="s">
        <v>153</v>
      </c>
      <c r="D557" s="425">
        <v>4500173369</v>
      </c>
      <c r="E557" s="457">
        <v>9900929832</v>
      </c>
      <c r="F557" s="425" t="s">
        <v>4519</v>
      </c>
      <c r="G557" s="458" t="s">
        <v>3198</v>
      </c>
      <c r="H557" s="458" t="s">
        <v>3303</v>
      </c>
      <c r="I557" s="458">
        <v>3300</v>
      </c>
      <c r="J557" s="458">
        <v>0</v>
      </c>
      <c r="K557" s="458">
        <v>25</v>
      </c>
      <c r="L557" s="462">
        <f t="shared" si="169"/>
        <v>132</v>
      </c>
      <c r="M557" s="463">
        <v>45910</v>
      </c>
      <c r="N557" s="463">
        <v>45906</v>
      </c>
      <c r="O557" s="464" t="s">
        <v>4486</v>
      </c>
      <c r="P557" s="464" t="s">
        <v>103</v>
      </c>
      <c r="Q557" s="458"/>
      <c r="R557" s="472">
        <v>45863</v>
      </c>
      <c r="S557" s="472" t="s">
        <v>66</v>
      </c>
      <c r="T557" s="472" t="s">
        <v>66</v>
      </c>
      <c r="U557" s="472"/>
      <c r="V557" s="473" t="s">
        <v>4520</v>
      </c>
      <c r="W557" s="473" t="s">
        <v>158</v>
      </c>
      <c r="X557" s="473">
        <v>0.9514</v>
      </c>
      <c r="Y557" s="480">
        <f t="shared" si="170"/>
        <v>3139.62</v>
      </c>
      <c r="Z557" s="458" t="s">
        <v>4521</v>
      </c>
      <c r="AA557" s="458" t="s">
        <v>3202</v>
      </c>
      <c r="AB557" s="458" t="s">
        <v>76</v>
      </c>
      <c r="AC557" s="458"/>
      <c r="AD557" s="458"/>
      <c r="AE557" s="458"/>
      <c r="AF557" s="458">
        <v>3300</v>
      </c>
      <c r="AG557" s="458">
        <f t="shared" si="171"/>
        <v>0</v>
      </c>
      <c r="AH557" s="489"/>
      <c r="AI557" s="458"/>
      <c r="AJ557" s="458"/>
      <c r="AK557" s="458">
        <f>I557</f>
        <v>3300</v>
      </c>
      <c r="AO557" s="495"/>
      <c r="AP557" s="425">
        <f>I557</f>
        <v>3300</v>
      </c>
      <c r="AR557" s="425">
        <f>I557</f>
        <v>3300</v>
      </c>
      <c r="AT557" s="495"/>
      <c r="AY557" s="498">
        <f>I557/24</f>
        <v>137.5</v>
      </c>
      <c r="BK557" s="425">
        <f>I557/25</f>
        <v>132</v>
      </c>
      <c r="BT557" s="495"/>
      <c r="BV557" s="495"/>
      <c r="CK557" s="425">
        <f t="shared" si="154"/>
        <v>132</v>
      </c>
      <c r="CL557" s="425">
        <f t="shared" si="166"/>
        <v>0</v>
      </c>
      <c r="CM557" s="425">
        <f t="shared" si="167"/>
        <v>0</v>
      </c>
      <c r="CN557" s="495"/>
      <c r="CO557" s="495"/>
      <c r="CP557" s="495"/>
      <c r="CT557" s="495"/>
      <c r="CU557" s="495"/>
      <c r="CV557" s="495"/>
      <c r="CW557" s="495"/>
      <c r="CX557" s="495"/>
    </row>
    <row r="558" s="427" customFormat="1" ht="31" customHeight="1" spans="1:102">
      <c r="A558" s="518">
        <v>45678</v>
      </c>
      <c r="B558" s="519" t="s">
        <v>1372</v>
      </c>
      <c r="C558" s="520" t="s">
        <v>90</v>
      </c>
      <c r="D558" s="427">
        <v>4500156324</v>
      </c>
      <c r="E558" s="890" t="s">
        <v>1523</v>
      </c>
      <c r="F558" s="427" t="s">
        <v>1524</v>
      </c>
      <c r="G558" s="521" t="s">
        <v>819</v>
      </c>
      <c r="H558" s="521" t="s">
        <v>744</v>
      </c>
      <c r="I558" s="521">
        <v>72</v>
      </c>
      <c r="J558" s="521">
        <v>0</v>
      </c>
      <c r="K558" s="521">
        <v>1</v>
      </c>
      <c r="L558" s="524">
        <f t="shared" si="169"/>
        <v>72</v>
      </c>
      <c r="M558" s="525">
        <v>45898</v>
      </c>
      <c r="N558" s="525">
        <f>M558-4</f>
        <v>45894</v>
      </c>
      <c r="O558" s="526"/>
      <c r="P558" s="526" t="s">
        <v>103</v>
      </c>
      <c r="Q558" s="521" t="s">
        <v>4522</v>
      </c>
      <c r="R558" s="530">
        <v>45832</v>
      </c>
      <c r="S558" s="530" t="s">
        <v>66</v>
      </c>
      <c r="T558" s="530" t="s">
        <v>66</v>
      </c>
      <c r="U558" s="530"/>
      <c r="V558" s="531" t="s">
        <v>1525</v>
      </c>
      <c r="W558" s="532" t="s">
        <v>821</v>
      </c>
      <c r="X558" s="532">
        <v>0</v>
      </c>
      <c r="Y558" s="540">
        <f t="shared" ref="Y558:Y563" si="174">X558*L558</f>
        <v>0</v>
      </c>
      <c r="Z558" s="521" t="s">
        <v>1526</v>
      </c>
      <c r="AA558" s="541" t="s">
        <v>1378</v>
      </c>
      <c r="AB558" s="521" t="s">
        <v>76</v>
      </c>
      <c r="AC558" s="521"/>
      <c r="AD558" s="521"/>
      <c r="AE558" s="521"/>
      <c r="AF558" s="521">
        <v>0</v>
      </c>
      <c r="AG558" s="521">
        <v>0</v>
      </c>
      <c r="AH558" s="542"/>
      <c r="AI558" s="521"/>
      <c r="AJ558" s="521"/>
      <c r="AK558" s="521"/>
      <c r="AO558" s="544"/>
      <c r="AT558" s="544"/>
      <c r="AY558" s="545"/>
      <c r="AZ558" s="546"/>
      <c r="BT558" s="544"/>
      <c r="BV558" s="544"/>
      <c r="CK558" s="425">
        <f t="shared" si="154"/>
        <v>0</v>
      </c>
      <c r="CL558" s="427">
        <f t="shared" si="166"/>
        <v>0</v>
      </c>
      <c r="CM558" s="427">
        <f t="shared" si="167"/>
        <v>0</v>
      </c>
      <c r="CN558" s="544"/>
      <c r="CO558" s="544"/>
      <c r="CP558" s="544"/>
      <c r="CT558" s="544"/>
      <c r="CU558" s="544"/>
      <c r="CV558" s="544"/>
      <c r="CW558" s="544"/>
      <c r="CX558" s="544"/>
    </row>
    <row r="559" s="427" customFormat="1" ht="31" customHeight="1" spans="1:102">
      <c r="A559" s="518">
        <v>45678</v>
      </c>
      <c r="B559" s="519" t="s">
        <v>1372</v>
      </c>
      <c r="C559" s="520" t="s">
        <v>90</v>
      </c>
      <c r="D559" s="427">
        <v>4500156324</v>
      </c>
      <c r="E559" s="890" t="s">
        <v>1523</v>
      </c>
      <c r="F559" s="427" t="s">
        <v>1524</v>
      </c>
      <c r="G559" s="521">
        <v>77711</v>
      </c>
      <c r="H559" s="521" t="s">
        <v>3151</v>
      </c>
      <c r="I559" s="521">
        <v>5400</v>
      </c>
      <c r="J559" s="521">
        <v>0</v>
      </c>
      <c r="K559" s="521">
        <v>75</v>
      </c>
      <c r="L559" s="524">
        <f t="shared" si="169"/>
        <v>72</v>
      </c>
      <c r="M559" s="525">
        <v>45898</v>
      </c>
      <c r="N559" s="525">
        <f>M559-4</f>
        <v>45894</v>
      </c>
      <c r="O559" s="526"/>
      <c r="P559" s="526" t="s">
        <v>103</v>
      </c>
      <c r="Q559" s="521" t="s">
        <v>4522</v>
      </c>
      <c r="R559" s="530">
        <v>45832</v>
      </c>
      <c r="S559" s="533" t="s">
        <v>66</v>
      </c>
      <c r="T559" s="530" t="s">
        <v>66</v>
      </c>
      <c r="U559" s="530"/>
      <c r="V559" s="531"/>
      <c r="W559" s="532" t="s">
        <v>821</v>
      </c>
      <c r="X559" s="532">
        <v>762.5</v>
      </c>
      <c r="Y559" s="540">
        <f t="shared" si="174"/>
        <v>54900</v>
      </c>
      <c r="Z559" s="521" t="s">
        <v>1526</v>
      </c>
      <c r="AA559" s="541" t="s">
        <v>1378</v>
      </c>
      <c r="AB559" s="521" t="s">
        <v>76</v>
      </c>
      <c r="AC559" s="521"/>
      <c r="AD559" s="521"/>
      <c r="AE559" s="521"/>
      <c r="AF559" s="521">
        <v>0</v>
      </c>
      <c r="AG559" s="521">
        <v>0</v>
      </c>
      <c r="AH559" s="542"/>
      <c r="AI559" s="521"/>
      <c r="AJ559" s="521"/>
      <c r="AK559" s="521">
        <f>I559*3</f>
        <v>16200</v>
      </c>
      <c r="AO559" s="544"/>
      <c r="AT559" s="544"/>
      <c r="AY559" s="545">
        <f>I559/24*3</f>
        <v>675</v>
      </c>
      <c r="AZ559" s="546"/>
      <c r="BC559" s="427">
        <f>AK559</f>
        <v>16200</v>
      </c>
      <c r="BD559" s="427">
        <f>AK559</f>
        <v>16200</v>
      </c>
      <c r="BE559" s="427">
        <f>I559</f>
        <v>5400</v>
      </c>
      <c r="BF559" s="427">
        <f>I559/5</f>
        <v>1080</v>
      </c>
      <c r="BT559" s="544"/>
      <c r="BV559" s="544"/>
      <c r="CK559" s="425">
        <f t="shared" si="154"/>
        <v>0</v>
      </c>
      <c r="CL559" s="427">
        <f t="shared" si="166"/>
        <v>0</v>
      </c>
      <c r="CM559" s="427">
        <f t="shared" si="167"/>
        <v>0</v>
      </c>
      <c r="CN559" s="544"/>
      <c r="CO559" s="544"/>
      <c r="CP559" s="544"/>
      <c r="CT559" s="544"/>
      <c r="CU559" s="544"/>
      <c r="CV559" s="544"/>
      <c r="CW559" s="544"/>
      <c r="CX559" s="544"/>
    </row>
    <row r="560" s="427" customFormat="1" ht="31" customHeight="1" spans="1:102">
      <c r="A560" s="518">
        <v>45678</v>
      </c>
      <c r="B560" s="519" t="s">
        <v>1372</v>
      </c>
      <c r="C560" s="520" t="s">
        <v>90</v>
      </c>
      <c r="D560" s="427">
        <v>4500156328</v>
      </c>
      <c r="E560" s="889" t="s">
        <v>1527</v>
      </c>
      <c r="F560" s="427" t="s">
        <v>1528</v>
      </c>
      <c r="G560" s="521" t="s">
        <v>819</v>
      </c>
      <c r="H560" s="521" t="s">
        <v>744</v>
      </c>
      <c r="I560" s="521">
        <v>72</v>
      </c>
      <c r="J560" s="521">
        <v>0</v>
      </c>
      <c r="K560" s="521">
        <v>1</v>
      </c>
      <c r="L560" s="524">
        <f t="shared" si="169"/>
        <v>72</v>
      </c>
      <c r="M560" s="525">
        <v>45898</v>
      </c>
      <c r="N560" s="525">
        <v>45894</v>
      </c>
      <c r="O560" s="526"/>
      <c r="P560" s="526" t="s">
        <v>103</v>
      </c>
      <c r="Q560" s="534">
        <v>45903</v>
      </c>
      <c r="R560" s="530">
        <v>45832</v>
      </c>
      <c r="S560" s="530" t="s">
        <v>66</v>
      </c>
      <c r="T560" s="530" t="s">
        <v>66</v>
      </c>
      <c r="U560" s="530"/>
      <c r="V560" s="535" t="s">
        <v>1525</v>
      </c>
      <c r="W560" s="532" t="s">
        <v>821</v>
      </c>
      <c r="X560" s="532">
        <v>0</v>
      </c>
      <c r="Y560" s="540">
        <f t="shared" si="174"/>
        <v>0</v>
      </c>
      <c r="Z560" s="539" t="s">
        <v>1529</v>
      </c>
      <c r="AA560" s="541" t="s">
        <v>1378</v>
      </c>
      <c r="AB560" s="521" t="s">
        <v>76</v>
      </c>
      <c r="AC560" s="521"/>
      <c r="AD560" s="521"/>
      <c r="AE560" s="521"/>
      <c r="AF560" s="521">
        <v>0</v>
      </c>
      <c r="AG560" s="521">
        <v>0</v>
      </c>
      <c r="AH560" s="542"/>
      <c r="AI560" s="521"/>
      <c r="AJ560" s="521"/>
      <c r="AK560" s="521"/>
      <c r="AO560" s="544"/>
      <c r="AT560" s="544"/>
      <c r="AY560" s="545"/>
      <c r="AZ560" s="546"/>
      <c r="BT560" s="544"/>
      <c r="BV560" s="544"/>
      <c r="CK560" s="425">
        <f t="shared" si="154"/>
        <v>0</v>
      </c>
      <c r="CL560" s="427">
        <f t="shared" si="166"/>
        <v>0</v>
      </c>
      <c r="CM560" s="427">
        <f t="shared" si="167"/>
        <v>0</v>
      </c>
      <c r="CN560" s="544"/>
      <c r="CO560" s="544"/>
      <c r="CP560" s="544"/>
      <c r="CT560" s="544"/>
      <c r="CU560" s="544"/>
      <c r="CV560" s="544"/>
      <c r="CW560" s="544"/>
      <c r="CX560" s="544"/>
    </row>
    <row r="561" s="427" customFormat="1" ht="31" customHeight="1" spans="1:102">
      <c r="A561" s="518">
        <v>45678</v>
      </c>
      <c r="B561" s="519" t="s">
        <v>1372</v>
      </c>
      <c r="C561" s="520" t="s">
        <v>90</v>
      </c>
      <c r="D561" s="427">
        <v>4500156328</v>
      </c>
      <c r="E561" s="889" t="s">
        <v>1527</v>
      </c>
      <c r="F561" s="427" t="s">
        <v>1528</v>
      </c>
      <c r="G561" s="521">
        <v>77711</v>
      </c>
      <c r="H561" s="521" t="s">
        <v>3151</v>
      </c>
      <c r="I561" s="521">
        <v>5400</v>
      </c>
      <c r="J561" s="521">
        <v>0</v>
      </c>
      <c r="K561" s="521">
        <v>75</v>
      </c>
      <c r="L561" s="524">
        <f t="shared" si="169"/>
        <v>72</v>
      </c>
      <c r="M561" s="525">
        <v>45898</v>
      </c>
      <c r="N561" s="525">
        <v>45894</v>
      </c>
      <c r="O561" s="526"/>
      <c r="P561" s="526" t="s">
        <v>103</v>
      </c>
      <c r="Q561" s="534">
        <v>45903</v>
      </c>
      <c r="R561" s="530">
        <v>45832</v>
      </c>
      <c r="S561" s="533" t="s">
        <v>66</v>
      </c>
      <c r="T561" s="530" t="s">
        <v>66</v>
      </c>
      <c r="U561" s="530"/>
      <c r="V561" s="535"/>
      <c r="W561" s="532" t="s">
        <v>821</v>
      </c>
      <c r="X561" s="532">
        <v>762.5</v>
      </c>
      <c r="Y561" s="540">
        <f t="shared" si="174"/>
        <v>54900</v>
      </c>
      <c r="Z561" s="539" t="s">
        <v>1529</v>
      </c>
      <c r="AA561" s="541" t="s">
        <v>1378</v>
      </c>
      <c r="AB561" s="521" t="s">
        <v>76</v>
      </c>
      <c r="AC561" s="521"/>
      <c r="AD561" s="521"/>
      <c r="AE561" s="521"/>
      <c r="AF561" s="521">
        <v>0</v>
      </c>
      <c r="AG561" s="521">
        <v>0</v>
      </c>
      <c r="AH561" s="542"/>
      <c r="AI561" s="521"/>
      <c r="AJ561" s="521"/>
      <c r="AK561" s="521">
        <f>I561*3</f>
        <v>16200</v>
      </c>
      <c r="AO561" s="544"/>
      <c r="AT561" s="544"/>
      <c r="AY561" s="545">
        <f>I561/24*3</f>
        <v>675</v>
      </c>
      <c r="AZ561" s="546"/>
      <c r="BC561" s="427">
        <f>AK561</f>
        <v>16200</v>
      </c>
      <c r="BD561" s="427">
        <f>AK561</f>
        <v>16200</v>
      </c>
      <c r="BE561" s="427">
        <f>I561</f>
        <v>5400</v>
      </c>
      <c r="BF561" s="427">
        <f>I561/5</f>
        <v>1080</v>
      </c>
      <c r="BT561" s="544"/>
      <c r="BV561" s="544"/>
      <c r="CK561" s="425">
        <f t="shared" si="154"/>
        <v>0</v>
      </c>
      <c r="CL561" s="427">
        <f t="shared" si="166"/>
        <v>0</v>
      </c>
      <c r="CM561" s="427">
        <f t="shared" si="167"/>
        <v>0</v>
      </c>
      <c r="CN561" s="544"/>
      <c r="CO561" s="544"/>
      <c r="CP561" s="544"/>
      <c r="CT561" s="544"/>
      <c r="CU561" s="544"/>
      <c r="CV561" s="544"/>
      <c r="CW561" s="544"/>
      <c r="CX561" s="544"/>
    </row>
    <row r="562" s="427" customFormat="1" ht="31" customHeight="1" spans="1:102">
      <c r="A562" s="518">
        <v>45678</v>
      </c>
      <c r="B562" s="519" t="s">
        <v>1372</v>
      </c>
      <c r="C562" s="520" t="s">
        <v>90</v>
      </c>
      <c r="D562" s="427">
        <v>4500156330</v>
      </c>
      <c r="E562" s="889" t="s">
        <v>1557</v>
      </c>
      <c r="F562" s="427" t="s">
        <v>1558</v>
      </c>
      <c r="G562" s="521" t="s">
        <v>819</v>
      </c>
      <c r="H562" s="521" t="s">
        <v>744</v>
      </c>
      <c r="I562" s="521">
        <v>72</v>
      </c>
      <c r="J562" s="521">
        <v>0</v>
      </c>
      <c r="K562" s="521">
        <v>1</v>
      </c>
      <c r="L562" s="524">
        <f t="shared" si="169"/>
        <v>72</v>
      </c>
      <c r="M562" s="525">
        <v>45906</v>
      </c>
      <c r="N562" s="525">
        <v>45902</v>
      </c>
      <c r="O562" s="526"/>
      <c r="P562" s="526" t="s">
        <v>103</v>
      </c>
      <c r="Q562" s="521"/>
      <c r="R562" s="530">
        <v>45832</v>
      </c>
      <c r="S562" s="530" t="s">
        <v>66</v>
      </c>
      <c r="T562" s="530" t="s">
        <v>66</v>
      </c>
      <c r="U562" s="530"/>
      <c r="V562" s="535" t="s">
        <v>1525</v>
      </c>
      <c r="W562" s="532" t="s">
        <v>821</v>
      </c>
      <c r="X562" s="532">
        <v>0</v>
      </c>
      <c r="Y562" s="540">
        <f t="shared" si="174"/>
        <v>0</v>
      </c>
      <c r="Z562" s="520" t="s">
        <v>1559</v>
      </c>
      <c r="AA562" s="541" t="s">
        <v>1378</v>
      </c>
      <c r="AB562" s="521" t="s">
        <v>76</v>
      </c>
      <c r="AC562" s="521"/>
      <c r="AD562" s="521"/>
      <c r="AE562" s="521"/>
      <c r="AF562" s="521">
        <v>0</v>
      </c>
      <c r="AG562" s="521">
        <v>0</v>
      </c>
      <c r="AH562" s="542"/>
      <c r="AI562" s="521"/>
      <c r="AJ562" s="521"/>
      <c r="AK562" s="521"/>
      <c r="AO562" s="544"/>
      <c r="AT562" s="544"/>
      <c r="AY562" s="545"/>
      <c r="AZ562" s="546"/>
      <c r="BT562" s="544"/>
      <c r="BV562" s="544"/>
      <c r="CK562" s="425">
        <f t="shared" si="154"/>
        <v>0</v>
      </c>
      <c r="CL562" s="427">
        <f t="shared" si="166"/>
        <v>0</v>
      </c>
      <c r="CM562" s="427">
        <f t="shared" si="167"/>
        <v>0</v>
      </c>
      <c r="CN562" s="544"/>
      <c r="CO562" s="544"/>
      <c r="CP562" s="544"/>
      <c r="CT562" s="544"/>
      <c r="CU562" s="544"/>
      <c r="CV562" s="544"/>
      <c r="CW562" s="544"/>
      <c r="CX562" s="544"/>
    </row>
    <row r="563" s="427" customFormat="1" ht="31" customHeight="1" spans="1:102">
      <c r="A563" s="518">
        <v>45678</v>
      </c>
      <c r="B563" s="519" t="s">
        <v>1372</v>
      </c>
      <c r="C563" s="520" t="s">
        <v>90</v>
      </c>
      <c r="D563" s="427">
        <v>4500156330</v>
      </c>
      <c r="E563" s="889" t="s">
        <v>1557</v>
      </c>
      <c r="F563" s="427" t="s">
        <v>1558</v>
      </c>
      <c r="G563" s="521">
        <v>77711</v>
      </c>
      <c r="H563" s="521" t="s">
        <v>3151</v>
      </c>
      <c r="I563" s="521">
        <v>5400</v>
      </c>
      <c r="J563" s="521">
        <v>0</v>
      </c>
      <c r="K563" s="521">
        <v>75</v>
      </c>
      <c r="L563" s="524">
        <f t="shared" si="169"/>
        <v>72</v>
      </c>
      <c r="M563" s="525">
        <v>45906</v>
      </c>
      <c r="N563" s="525">
        <v>45902</v>
      </c>
      <c r="O563" s="526"/>
      <c r="P563" s="526" t="s">
        <v>103</v>
      </c>
      <c r="Q563" s="521"/>
      <c r="R563" s="530">
        <v>45832</v>
      </c>
      <c r="S563" s="533" t="s">
        <v>66</v>
      </c>
      <c r="T563" s="530" t="s">
        <v>66</v>
      </c>
      <c r="U563" s="530"/>
      <c r="V563" s="535"/>
      <c r="W563" s="532" t="s">
        <v>821</v>
      </c>
      <c r="X563" s="532">
        <v>762.5</v>
      </c>
      <c r="Y563" s="540">
        <f t="shared" si="174"/>
        <v>54900</v>
      </c>
      <c r="Z563" s="520" t="s">
        <v>1559</v>
      </c>
      <c r="AA563" s="541" t="s">
        <v>1378</v>
      </c>
      <c r="AB563" s="521" t="s">
        <v>76</v>
      </c>
      <c r="AC563" s="521"/>
      <c r="AD563" s="521"/>
      <c r="AE563" s="521"/>
      <c r="AF563" s="521">
        <v>0</v>
      </c>
      <c r="AG563" s="521">
        <f t="shared" ref="AG563:AG568" si="175">AF563-I563</f>
        <v>-5400</v>
      </c>
      <c r="AH563" s="542"/>
      <c r="AI563" s="521"/>
      <c r="AJ563" s="521"/>
      <c r="AK563" s="521">
        <f>I563*3</f>
        <v>16200</v>
      </c>
      <c r="AO563" s="544"/>
      <c r="AT563" s="544"/>
      <c r="AY563" s="545">
        <f>I563/24*3</f>
        <v>675</v>
      </c>
      <c r="AZ563" s="546"/>
      <c r="BC563" s="427">
        <f>AK563</f>
        <v>16200</v>
      </c>
      <c r="BD563" s="427">
        <f>AK563</f>
        <v>16200</v>
      </c>
      <c r="BE563" s="427">
        <f>I563</f>
        <v>5400</v>
      </c>
      <c r="BF563" s="427">
        <f>I563/5</f>
        <v>1080</v>
      </c>
      <c r="BT563" s="544"/>
      <c r="BV563" s="544"/>
      <c r="CK563" s="425">
        <f t="shared" si="154"/>
        <v>0</v>
      </c>
      <c r="CL563" s="427">
        <f t="shared" si="166"/>
        <v>0</v>
      </c>
      <c r="CM563" s="427">
        <f t="shared" si="167"/>
        <v>0</v>
      </c>
      <c r="CN563" s="544"/>
      <c r="CO563" s="544"/>
      <c r="CP563" s="544"/>
      <c r="CT563" s="544"/>
      <c r="CU563" s="544"/>
      <c r="CV563" s="544"/>
      <c r="CW563" s="544"/>
      <c r="CX563" s="544"/>
    </row>
    <row r="564" s="427" customFormat="1" ht="31" customHeight="1" spans="1:102">
      <c r="A564" s="518">
        <v>45868</v>
      </c>
      <c r="B564" s="519" t="s">
        <v>1769</v>
      </c>
      <c r="C564" s="520" t="s">
        <v>139</v>
      </c>
      <c r="D564" s="427">
        <v>4500175520</v>
      </c>
      <c r="E564" s="520">
        <v>5200007335</v>
      </c>
      <c r="F564" s="427" t="s">
        <v>4523</v>
      </c>
      <c r="G564" s="521" t="s">
        <v>3231</v>
      </c>
      <c r="H564" s="521" t="s">
        <v>3207</v>
      </c>
      <c r="I564" s="521">
        <v>3601</v>
      </c>
      <c r="J564" s="521">
        <v>0</v>
      </c>
      <c r="K564" s="521">
        <v>13</v>
      </c>
      <c r="L564" s="524">
        <f t="shared" si="169"/>
        <v>277</v>
      </c>
      <c r="M564" s="525">
        <v>45910</v>
      </c>
      <c r="N564" s="525">
        <v>45906</v>
      </c>
      <c r="O564" s="526"/>
      <c r="P564" s="526" t="s">
        <v>103</v>
      </c>
      <c r="Q564" s="521"/>
      <c r="R564" s="530">
        <v>45868</v>
      </c>
      <c r="S564" s="530" t="s">
        <v>66</v>
      </c>
      <c r="T564" s="530" t="s">
        <v>3232</v>
      </c>
      <c r="U564" s="530"/>
      <c r="V564" s="532" t="s">
        <v>4524</v>
      </c>
      <c r="W564" s="532" t="s">
        <v>886</v>
      </c>
      <c r="X564" s="536">
        <v>0.8947</v>
      </c>
      <c r="Y564" s="540">
        <f>X564*I564</f>
        <v>3221.8147</v>
      </c>
      <c r="Z564" s="521" t="s">
        <v>4525</v>
      </c>
      <c r="AA564" s="521" t="s">
        <v>3206</v>
      </c>
      <c r="AB564" s="521" t="s">
        <v>76</v>
      </c>
      <c r="AC564" s="521"/>
      <c r="AD564" s="521"/>
      <c r="AE564" s="521"/>
      <c r="AF564" s="521">
        <f>3588+13</f>
        <v>3601</v>
      </c>
      <c r="AG564" s="521">
        <f t="shared" si="175"/>
        <v>0</v>
      </c>
      <c r="AH564" s="542"/>
      <c r="AI564" s="521"/>
      <c r="AJ564" s="521"/>
      <c r="AK564" s="521"/>
      <c r="AL564" s="543">
        <f>I564</f>
        <v>3601</v>
      </c>
      <c r="AO564" s="544"/>
      <c r="AQ564" s="427">
        <f>I564</f>
        <v>3601</v>
      </c>
      <c r="AR564" s="543"/>
      <c r="AS564" s="543">
        <f>I564</f>
        <v>3601</v>
      </c>
      <c r="AT564" s="544"/>
      <c r="AU564" s="543"/>
      <c r="AW564" s="543"/>
      <c r="AX564" s="543"/>
      <c r="AY564" s="545">
        <f>I564/24</f>
        <v>150.041666666667</v>
      </c>
      <c r="AZ564" s="546"/>
      <c r="BI564" s="425">
        <f>I564/13</f>
        <v>277</v>
      </c>
      <c r="BT564" s="544"/>
      <c r="BV564" s="544"/>
      <c r="CK564" s="425">
        <f t="shared" si="154"/>
        <v>0</v>
      </c>
      <c r="CL564" s="427">
        <f t="shared" si="166"/>
        <v>0</v>
      </c>
      <c r="CM564" s="427">
        <f t="shared" si="167"/>
        <v>0</v>
      </c>
      <c r="CN564" s="544"/>
      <c r="CO564" s="544"/>
      <c r="CP564" s="544"/>
      <c r="CT564" s="544"/>
      <c r="CU564" s="544"/>
      <c r="CV564" s="544"/>
      <c r="CW564" s="544"/>
      <c r="CX564" s="544"/>
    </row>
    <row r="565" s="427" customFormat="1" ht="31" customHeight="1" spans="1:102">
      <c r="A565" s="518">
        <v>45870</v>
      </c>
      <c r="B565" s="519" t="s">
        <v>1595</v>
      </c>
      <c r="C565" s="520" t="s">
        <v>139</v>
      </c>
      <c r="D565" s="427">
        <v>4500175786</v>
      </c>
      <c r="E565" s="520">
        <v>4400500675</v>
      </c>
      <c r="F565" s="427" t="s">
        <v>4526</v>
      </c>
      <c r="G565" s="521" t="s">
        <v>3165</v>
      </c>
      <c r="H565" s="521" t="s">
        <v>3303</v>
      </c>
      <c r="I565" s="521">
        <v>5000</v>
      </c>
      <c r="J565" s="521">
        <v>0</v>
      </c>
      <c r="K565" s="521">
        <v>25</v>
      </c>
      <c r="L565" s="524">
        <f t="shared" si="169"/>
        <v>200</v>
      </c>
      <c r="M565" s="525">
        <v>45910</v>
      </c>
      <c r="N565" s="525">
        <v>45906</v>
      </c>
      <c r="O565" s="526"/>
      <c r="P565" s="526" t="s">
        <v>103</v>
      </c>
      <c r="Q565" s="521"/>
      <c r="R565" s="530">
        <v>45880</v>
      </c>
      <c r="S565" s="530" t="s">
        <v>66</v>
      </c>
      <c r="T565" s="530" t="s">
        <v>4527</v>
      </c>
      <c r="U565" s="530"/>
      <c r="V565" s="532" t="s">
        <v>4528</v>
      </c>
      <c r="W565" s="532" t="s">
        <v>1424</v>
      </c>
      <c r="X565" s="532">
        <v>0.9365</v>
      </c>
      <c r="Y565" s="540">
        <f>X565*I565</f>
        <v>4682.5</v>
      </c>
      <c r="Z565" s="521" t="s">
        <v>4529</v>
      </c>
      <c r="AA565" s="521" t="s">
        <v>3188</v>
      </c>
      <c r="AB565" s="521" t="s">
        <v>76</v>
      </c>
      <c r="AC565" s="521"/>
      <c r="AD565" s="521"/>
      <c r="AE565" s="521"/>
      <c r="AF565" s="521">
        <v>5000</v>
      </c>
      <c r="AG565" s="521">
        <f t="shared" si="175"/>
        <v>0</v>
      </c>
      <c r="AH565" s="542"/>
      <c r="AI565" s="521"/>
      <c r="AJ565" s="521"/>
      <c r="AK565" s="521"/>
      <c r="AL565" s="543">
        <f>I565</f>
        <v>5000</v>
      </c>
      <c r="AO565" s="544"/>
      <c r="AR565" s="543"/>
      <c r="AS565" s="543">
        <f>I565</f>
        <v>5000</v>
      </c>
      <c r="AT565" s="544"/>
      <c r="AU565" s="543"/>
      <c r="AW565" s="543"/>
      <c r="AX565" s="543"/>
      <c r="AY565" s="545">
        <f>I565/24*2</f>
        <v>416.666666666667</v>
      </c>
      <c r="AZ565" s="546"/>
      <c r="BB565" s="427">
        <f>I565</f>
        <v>5000</v>
      </c>
      <c r="BL565" s="425">
        <f>I565/25</f>
        <v>200</v>
      </c>
      <c r="BT565" s="544"/>
      <c r="BV565" s="544"/>
      <c r="CK565" s="425">
        <f t="shared" si="154"/>
        <v>200</v>
      </c>
      <c r="CL565" s="427">
        <f t="shared" si="166"/>
        <v>0</v>
      </c>
      <c r="CM565" s="427">
        <f t="shared" si="167"/>
        <v>0</v>
      </c>
      <c r="CN565" s="544"/>
      <c r="CO565" s="544"/>
      <c r="CP565" s="544"/>
      <c r="CT565" s="544"/>
      <c r="CU565" s="544"/>
      <c r="CV565" s="544"/>
      <c r="CW565" s="544"/>
      <c r="CX565" s="544"/>
    </row>
    <row r="566" s="427" customFormat="1" ht="31" customHeight="1" spans="1:102">
      <c r="A566" s="518">
        <v>45870</v>
      </c>
      <c r="B566" s="519" t="s">
        <v>1595</v>
      </c>
      <c r="C566" s="520" t="s">
        <v>139</v>
      </c>
      <c r="D566" s="427">
        <v>4500175791</v>
      </c>
      <c r="E566" s="520" t="s">
        <v>4530</v>
      </c>
      <c r="F566" s="427" t="s">
        <v>4531</v>
      </c>
      <c r="G566" s="521" t="s">
        <v>3165</v>
      </c>
      <c r="H566" s="521" t="s">
        <v>3303</v>
      </c>
      <c r="I566" s="521">
        <v>5000</v>
      </c>
      <c r="J566" s="521">
        <v>0</v>
      </c>
      <c r="K566" s="521">
        <v>25</v>
      </c>
      <c r="L566" s="524">
        <f t="shared" si="169"/>
        <v>200</v>
      </c>
      <c r="M566" s="525">
        <v>45910</v>
      </c>
      <c r="N566" s="525">
        <v>45906</v>
      </c>
      <c r="O566" s="526"/>
      <c r="P566" s="526" t="s">
        <v>103</v>
      </c>
      <c r="Q566" s="521" t="s">
        <v>4532</v>
      </c>
      <c r="R566" s="530">
        <v>45880</v>
      </c>
      <c r="S566" s="530" t="s">
        <v>66</v>
      </c>
      <c r="T566" s="530" t="s">
        <v>4527</v>
      </c>
      <c r="U566" s="530"/>
      <c r="V566" s="532" t="s">
        <v>4533</v>
      </c>
      <c r="W566" s="532" t="s">
        <v>1424</v>
      </c>
      <c r="X566" s="532">
        <v>0.9365</v>
      </c>
      <c r="Y566" s="540">
        <f>X566*I566</f>
        <v>4682.5</v>
      </c>
      <c r="Z566" s="521" t="s">
        <v>4534</v>
      </c>
      <c r="AA566" s="521" t="s">
        <v>3188</v>
      </c>
      <c r="AB566" s="521" t="s">
        <v>76</v>
      </c>
      <c r="AC566" s="521"/>
      <c r="AD566" s="521"/>
      <c r="AE566" s="521"/>
      <c r="AF566" s="521">
        <v>5000</v>
      </c>
      <c r="AG566" s="521">
        <f t="shared" si="175"/>
        <v>0</v>
      </c>
      <c r="AH566" s="542"/>
      <c r="AI566" s="521"/>
      <c r="AJ566" s="521"/>
      <c r="AK566" s="521"/>
      <c r="AL566" s="543">
        <f>I566</f>
        <v>5000</v>
      </c>
      <c r="AO566" s="544"/>
      <c r="AR566" s="543"/>
      <c r="AS566" s="543">
        <f>I566</f>
        <v>5000</v>
      </c>
      <c r="AT566" s="544"/>
      <c r="AU566" s="543"/>
      <c r="AW566" s="543"/>
      <c r="AX566" s="543"/>
      <c r="AY566" s="545">
        <f>I566/24*2</f>
        <v>416.666666666667</v>
      </c>
      <c r="AZ566" s="546"/>
      <c r="BB566" s="427">
        <f>I566</f>
        <v>5000</v>
      </c>
      <c r="BL566" s="425">
        <f>I566/25</f>
        <v>200</v>
      </c>
      <c r="BT566" s="544"/>
      <c r="BV566" s="544"/>
      <c r="CK566" s="425">
        <f t="shared" si="154"/>
        <v>200</v>
      </c>
      <c r="CL566" s="427">
        <f t="shared" si="166"/>
        <v>0</v>
      </c>
      <c r="CM566" s="427">
        <f t="shared" si="167"/>
        <v>0</v>
      </c>
      <c r="CN566" s="544"/>
      <c r="CO566" s="544"/>
      <c r="CP566" s="544"/>
      <c r="CT566" s="544"/>
      <c r="CU566" s="544"/>
      <c r="CV566" s="544"/>
      <c r="CW566" s="544"/>
      <c r="CX566" s="544"/>
    </row>
    <row r="567" s="427" customFormat="1" ht="31" customHeight="1" spans="1:102">
      <c r="A567" s="518">
        <v>45874</v>
      </c>
      <c r="B567" s="519" t="s">
        <v>1877</v>
      </c>
      <c r="C567" s="520" t="s">
        <v>356</v>
      </c>
      <c r="D567" s="427">
        <v>4500176001</v>
      </c>
      <c r="E567" s="522">
        <v>5200007418</v>
      </c>
      <c r="F567" s="427" t="s">
        <v>4535</v>
      </c>
      <c r="G567" s="521" t="s">
        <v>3560</v>
      </c>
      <c r="H567" s="521" t="s">
        <v>3194</v>
      </c>
      <c r="I567" s="521">
        <v>1200</v>
      </c>
      <c r="J567" s="521">
        <v>0</v>
      </c>
      <c r="K567" s="521">
        <v>30</v>
      </c>
      <c r="L567" s="524">
        <f t="shared" si="169"/>
        <v>40</v>
      </c>
      <c r="M567" s="525">
        <v>45910</v>
      </c>
      <c r="N567" s="525">
        <v>45906</v>
      </c>
      <c r="O567" s="526"/>
      <c r="P567" s="526" t="s">
        <v>103</v>
      </c>
      <c r="Q567" s="521"/>
      <c r="R567" s="530">
        <v>45877</v>
      </c>
      <c r="S567" s="530" t="s">
        <v>66</v>
      </c>
      <c r="T567" s="530" t="s">
        <v>3441</v>
      </c>
      <c r="U567" s="530"/>
      <c r="V567" s="532" t="s">
        <v>4536</v>
      </c>
      <c r="W567" s="532" t="s">
        <v>391</v>
      </c>
      <c r="X567" s="532">
        <v>40.6757</v>
      </c>
      <c r="Y567" s="540">
        <f>X567*L567</f>
        <v>1627.028</v>
      </c>
      <c r="Z567" s="521" t="s">
        <v>4537</v>
      </c>
      <c r="AA567" s="521" t="s">
        <v>3328</v>
      </c>
      <c r="AB567" s="521" t="s">
        <v>76</v>
      </c>
      <c r="AC567" s="521"/>
      <c r="AD567" s="521"/>
      <c r="AE567" s="521"/>
      <c r="AF567" s="521">
        <v>1200</v>
      </c>
      <c r="AG567" s="521">
        <f t="shared" si="175"/>
        <v>0</v>
      </c>
      <c r="AH567" s="542"/>
      <c r="AI567" s="521"/>
      <c r="AJ567" s="521"/>
      <c r="AK567" s="521"/>
      <c r="AL567" s="543">
        <f>I567</f>
        <v>1200</v>
      </c>
      <c r="AO567" s="544"/>
      <c r="AQ567" s="427">
        <f>I567</f>
        <v>1200</v>
      </c>
      <c r="AR567" s="543"/>
      <c r="AS567" s="543">
        <f>I567</f>
        <v>1200</v>
      </c>
      <c r="AT567" s="544"/>
      <c r="AU567" s="543"/>
      <c r="AW567" s="543"/>
      <c r="AX567" s="543"/>
      <c r="AY567" s="498">
        <f>I567/24</f>
        <v>50</v>
      </c>
      <c r="AZ567" s="546"/>
      <c r="BT567" s="544"/>
      <c r="BV567" s="544"/>
      <c r="CE567" s="427">
        <f>I567/K567</f>
        <v>40</v>
      </c>
      <c r="CK567" s="425">
        <f t="shared" si="154"/>
        <v>0</v>
      </c>
      <c r="CL567" s="427">
        <f t="shared" si="166"/>
        <v>40</v>
      </c>
      <c r="CM567" s="427">
        <f t="shared" si="167"/>
        <v>0</v>
      </c>
      <c r="CN567" s="544"/>
      <c r="CO567" s="544"/>
      <c r="CP567" s="544"/>
      <c r="CT567" s="544"/>
      <c r="CU567" s="544"/>
      <c r="CV567" s="544"/>
      <c r="CW567" s="544"/>
      <c r="CX567" s="544"/>
    </row>
    <row r="568" s="427" customFormat="1" ht="31" customHeight="1" spans="1:102">
      <c r="A568" s="518">
        <v>45874</v>
      </c>
      <c r="B568" s="519" t="s">
        <v>1877</v>
      </c>
      <c r="C568" s="520" t="s">
        <v>356</v>
      </c>
      <c r="D568" s="427">
        <v>4500176001</v>
      </c>
      <c r="E568" s="522">
        <v>5200007418</v>
      </c>
      <c r="F568" s="427" t="s">
        <v>4538</v>
      </c>
      <c r="G568" s="521" t="s">
        <v>3231</v>
      </c>
      <c r="H568" s="521" t="s">
        <v>3207</v>
      </c>
      <c r="I568" s="521">
        <v>1300</v>
      </c>
      <c r="J568" s="521">
        <v>0</v>
      </c>
      <c r="K568" s="521">
        <v>13</v>
      </c>
      <c r="L568" s="524">
        <f t="shared" si="169"/>
        <v>100</v>
      </c>
      <c r="M568" s="525">
        <v>45910</v>
      </c>
      <c r="N568" s="525">
        <v>45906</v>
      </c>
      <c r="O568" s="526"/>
      <c r="P568" s="526" t="s">
        <v>103</v>
      </c>
      <c r="Q568" s="521"/>
      <c r="R568" s="530">
        <v>45877</v>
      </c>
      <c r="S568" s="530" t="s">
        <v>66</v>
      </c>
      <c r="T568" s="530" t="s">
        <v>3441</v>
      </c>
      <c r="U568" s="530"/>
      <c r="V568" s="532" t="s">
        <v>4539</v>
      </c>
      <c r="W568" s="532" t="s">
        <v>391</v>
      </c>
      <c r="X568" s="536">
        <v>0.9116</v>
      </c>
      <c r="Y568" s="540">
        <f>X568*I568</f>
        <v>1185.08</v>
      </c>
      <c r="Z568" s="521" t="s">
        <v>4537</v>
      </c>
      <c r="AA568" s="521" t="s">
        <v>3206</v>
      </c>
      <c r="AB568" s="521" t="s">
        <v>76</v>
      </c>
      <c r="AC568" s="521"/>
      <c r="AD568" s="521"/>
      <c r="AE568" s="521"/>
      <c r="AF568" s="521">
        <v>1300</v>
      </c>
      <c r="AG568" s="521">
        <f t="shared" si="175"/>
        <v>0</v>
      </c>
      <c r="AH568" s="542"/>
      <c r="AI568" s="521"/>
      <c r="AJ568" s="521"/>
      <c r="AK568" s="521"/>
      <c r="AL568" s="543">
        <f>I568</f>
        <v>1300</v>
      </c>
      <c r="AO568" s="544"/>
      <c r="AQ568" s="427">
        <f>I568</f>
        <v>1300</v>
      </c>
      <c r="AR568" s="543"/>
      <c r="AS568" s="543">
        <f>I568</f>
        <v>1300</v>
      </c>
      <c r="AT568" s="544"/>
      <c r="AU568" s="543"/>
      <c r="AW568" s="543"/>
      <c r="AX568" s="543"/>
      <c r="AY568" s="545">
        <f>I568/24</f>
        <v>54.1666666666667</v>
      </c>
      <c r="AZ568" s="546"/>
      <c r="BI568" s="425">
        <f>I568/13</f>
        <v>100</v>
      </c>
      <c r="BT568" s="544"/>
      <c r="BV568" s="544"/>
      <c r="CK568" s="425">
        <f t="shared" si="154"/>
        <v>0</v>
      </c>
      <c r="CL568" s="427">
        <f t="shared" si="166"/>
        <v>0</v>
      </c>
      <c r="CM568" s="427">
        <f t="shared" si="167"/>
        <v>0</v>
      </c>
      <c r="CN568" s="544"/>
      <c r="CO568" s="544"/>
      <c r="CP568" s="544"/>
      <c r="CT568" s="544"/>
      <c r="CU568" s="544"/>
      <c r="CV568" s="544"/>
      <c r="CW568" s="544"/>
      <c r="CX568" s="544"/>
    </row>
    <row r="569" s="427" customFormat="1" ht="31" customHeight="1" spans="1:102">
      <c r="A569" s="518">
        <v>45870</v>
      </c>
      <c r="B569" s="519" t="s">
        <v>1294</v>
      </c>
      <c r="C569" s="520" t="s">
        <v>468</v>
      </c>
      <c r="D569" s="427">
        <v>4500175843</v>
      </c>
      <c r="E569" s="520"/>
      <c r="F569" s="427" t="s">
        <v>4540</v>
      </c>
      <c r="G569" s="521" t="s">
        <v>3464</v>
      </c>
      <c r="H569" s="521" t="s">
        <v>3237</v>
      </c>
      <c r="I569" s="521">
        <v>180</v>
      </c>
      <c r="J569" s="521">
        <v>0</v>
      </c>
      <c r="K569" s="521">
        <v>12</v>
      </c>
      <c r="L569" s="524">
        <f t="shared" si="169"/>
        <v>15</v>
      </c>
      <c r="M569" s="525">
        <v>45912</v>
      </c>
      <c r="N569" s="525">
        <v>45908</v>
      </c>
      <c r="O569" s="526"/>
      <c r="P569" s="526" t="s">
        <v>103</v>
      </c>
      <c r="Q569" s="521"/>
      <c r="R569" s="530">
        <v>45875</v>
      </c>
      <c r="S569" s="530" t="s">
        <v>66</v>
      </c>
      <c r="T569" s="530" t="s">
        <v>406</v>
      </c>
      <c r="U569" s="530"/>
      <c r="V569" s="532" t="s">
        <v>4541</v>
      </c>
      <c r="W569" s="532" t="s">
        <v>304</v>
      </c>
      <c r="X569" s="536">
        <v>2.1629</v>
      </c>
      <c r="Y569" s="540">
        <f>X569*I569</f>
        <v>389.322</v>
      </c>
      <c r="Z569" s="521" t="s">
        <v>4542</v>
      </c>
      <c r="AA569" s="521" t="s">
        <v>3464</v>
      </c>
      <c r="AB569" s="521" t="s">
        <v>76</v>
      </c>
      <c r="AC569" s="521"/>
      <c r="AD569" s="521"/>
      <c r="AE569" s="521"/>
      <c r="AF569" s="521">
        <v>180</v>
      </c>
      <c r="AG569" s="521">
        <v>0</v>
      </c>
      <c r="AH569" s="542"/>
      <c r="AI569" s="521"/>
      <c r="AJ569" s="521"/>
      <c r="AK569" s="521"/>
      <c r="AL569" s="427">
        <f>I569*2</f>
        <v>360</v>
      </c>
      <c r="AO569" s="544"/>
      <c r="AQ569" s="427">
        <f>I569*2</f>
        <v>360</v>
      </c>
      <c r="AR569" s="543"/>
      <c r="AS569" s="543">
        <f>I569*2</f>
        <v>360</v>
      </c>
      <c r="AT569" s="544"/>
      <c r="AY569" s="545">
        <f>I569/24*2</f>
        <v>15</v>
      </c>
      <c r="AZ569" s="546"/>
      <c r="BT569" s="544"/>
      <c r="BV569" s="544"/>
      <c r="CH569" s="427">
        <f>I569</f>
        <v>180</v>
      </c>
      <c r="CI569" s="427">
        <f>I569</f>
        <v>180</v>
      </c>
      <c r="CJ569" s="427">
        <f>I569</f>
        <v>180</v>
      </c>
      <c r="CK569" s="425">
        <f t="shared" si="154"/>
        <v>0</v>
      </c>
      <c r="CL569" s="427">
        <f t="shared" si="166"/>
        <v>0</v>
      </c>
      <c r="CM569" s="427">
        <f t="shared" si="167"/>
        <v>0</v>
      </c>
      <c r="CN569" s="544"/>
      <c r="CO569" s="544"/>
      <c r="CP569" s="544"/>
      <c r="CT569" s="544"/>
      <c r="CU569" s="544"/>
      <c r="CV569" s="544"/>
      <c r="CW569" s="544"/>
      <c r="CX569" s="544"/>
    </row>
    <row r="570" s="427" customFormat="1" ht="31" customHeight="1" spans="1:102">
      <c r="A570" s="518">
        <v>45800</v>
      </c>
      <c r="B570" s="519" t="s">
        <v>4175</v>
      </c>
      <c r="C570" s="520" t="s">
        <v>249</v>
      </c>
      <c r="D570" s="427">
        <v>4500167846</v>
      </c>
      <c r="E570" s="520"/>
      <c r="F570" s="427" t="s">
        <v>4543</v>
      </c>
      <c r="G570" s="521" t="s">
        <v>4177</v>
      </c>
      <c r="H570" s="521" t="s">
        <v>4178</v>
      </c>
      <c r="I570" s="527">
        <v>8775</v>
      </c>
      <c r="J570" s="521">
        <v>0</v>
      </c>
      <c r="K570" s="521">
        <v>975</v>
      </c>
      <c r="L570" s="524">
        <f t="shared" si="169"/>
        <v>9</v>
      </c>
      <c r="M570" s="528">
        <v>45915</v>
      </c>
      <c r="N570" s="528">
        <v>45911</v>
      </c>
      <c r="O570" s="526"/>
      <c r="P570" s="526" t="s">
        <v>103</v>
      </c>
      <c r="Q570" s="521"/>
      <c r="R570" s="530" t="s">
        <v>4544</v>
      </c>
      <c r="S570" s="530" t="s">
        <v>66</v>
      </c>
      <c r="T570" s="530" t="s">
        <v>66</v>
      </c>
      <c r="U570" s="530"/>
      <c r="V570" s="532" t="s">
        <v>4545</v>
      </c>
      <c r="W570" s="532" t="s">
        <v>254</v>
      </c>
      <c r="X570" s="532">
        <v>933.32</v>
      </c>
      <c r="Y570" s="540">
        <f>X570*L570</f>
        <v>8399.88</v>
      </c>
      <c r="Z570" s="521" t="s">
        <v>4546</v>
      </c>
      <c r="AA570" s="521" t="s">
        <v>4177</v>
      </c>
      <c r="AB570" s="521" t="s">
        <v>76</v>
      </c>
      <c r="AC570" s="521"/>
      <c r="AD570" s="521"/>
      <c r="AE570" s="521"/>
      <c r="AF570" s="521">
        <v>8775</v>
      </c>
      <c r="AG570" s="521">
        <f t="shared" ref="AG570:AG581" si="176">AF570-I570</f>
        <v>0</v>
      </c>
      <c r="AH570" s="542"/>
      <c r="AI570" s="521"/>
      <c r="AJ570" s="521"/>
      <c r="AK570" s="521"/>
      <c r="AL570" s="543">
        <f t="shared" ref="AL570:AL575" si="177">I570</f>
        <v>8775</v>
      </c>
      <c r="AM570" s="427">
        <f>I570</f>
        <v>8775</v>
      </c>
      <c r="AO570" s="544"/>
      <c r="AS570" s="543">
        <f t="shared" ref="AS570:AS575" si="178">I570</f>
        <v>8775</v>
      </c>
      <c r="AT570" s="544"/>
      <c r="AU570" s="543"/>
      <c r="AW570" s="543"/>
      <c r="AX570" s="543"/>
      <c r="AY570" s="545">
        <f>I570/24*2</f>
        <v>731.25</v>
      </c>
      <c r="AZ570" s="546"/>
      <c r="BI570" s="425">
        <f t="shared" ref="BI570:BI575" si="179">I570/13</f>
        <v>675</v>
      </c>
      <c r="BT570" s="544"/>
      <c r="BV570" s="544"/>
      <c r="CK570" s="425">
        <f t="shared" si="154"/>
        <v>0</v>
      </c>
      <c r="CL570" s="427">
        <f t="shared" si="166"/>
        <v>0</v>
      </c>
      <c r="CM570" s="427">
        <f t="shared" si="167"/>
        <v>0</v>
      </c>
      <c r="CN570" s="544"/>
      <c r="CO570" s="544"/>
      <c r="CP570" s="544"/>
      <c r="CT570" s="544"/>
      <c r="CU570" s="544"/>
      <c r="CV570" s="544"/>
      <c r="CW570" s="544"/>
      <c r="CX570" s="544"/>
    </row>
    <row r="571" s="427" customFormat="1" ht="31" customHeight="1" spans="1:102">
      <c r="A571" s="518">
        <v>45802</v>
      </c>
      <c r="B571" s="519" t="s">
        <v>4175</v>
      </c>
      <c r="C571" s="520" t="s">
        <v>249</v>
      </c>
      <c r="D571" s="427">
        <v>4500167858</v>
      </c>
      <c r="E571" s="520"/>
      <c r="F571" s="427" t="s">
        <v>4547</v>
      </c>
      <c r="G571" s="521" t="s">
        <v>4177</v>
      </c>
      <c r="H571" s="521" t="s">
        <v>4178</v>
      </c>
      <c r="I571" s="521">
        <v>3900</v>
      </c>
      <c r="J571" s="521">
        <v>0</v>
      </c>
      <c r="K571" s="521">
        <v>975</v>
      </c>
      <c r="L571" s="524">
        <f t="shared" si="169"/>
        <v>4</v>
      </c>
      <c r="M571" s="528">
        <v>45915</v>
      </c>
      <c r="N571" s="528">
        <v>45911</v>
      </c>
      <c r="O571" s="526"/>
      <c r="P571" s="526" t="s">
        <v>103</v>
      </c>
      <c r="Q571" s="521" t="s">
        <v>4548</v>
      </c>
      <c r="R571" s="530" t="s">
        <v>4549</v>
      </c>
      <c r="S571" s="530" t="s">
        <v>66</v>
      </c>
      <c r="T571" s="530" t="s">
        <v>66</v>
      </c>
      <c r="U571" s="530"/>
      <c r="V571" s="519" t="s">
        <v>4550</v>
      </c>
      <c r="W571" s="537" t="s">
        <v>254</v>
      </c>
      <c r="X571" s="538">
        <v>933.32</v>
      </c>
      <c r="Y571" s="540">
        <f>X571*L571</f>
        <v>3733.28</v>
      </c>
      <c r="Z571" s="521" t="s">
        <v>4551</v>
      </c>
      <c r="AA571" s="521" t="s">
        <v>4177</v>
      </c>
      <c r="AB571" s="521" t="s">
        <v>76</v>
      </c>
      <c r="AC571" s="521"/>
      <c r="AD571" s="521"/>
      <c r="AE571" s="521"/>
      <c r="AF571" s="521">
        <v>3900</v>
      </c>
      <c r="AG571" s="521">
        <f t="shared" si="176"/>
        <v>0</v>
      </c>
      <c r="AH571" s="542"/>
      <c r="AI571" s="521"/>
      <c r="AJ571" s="521"/>
      <c r="AK571" s="521"/>
      <c r="AL571" s="543">
        <f t="shared" si="177"/>
        <v>3900</v>
      </c>
      <c r="AM571" s="427">
        <f>I571</f>
        <v>3900</v>
      </c>
      <c r="AO571" s="544"/>
      <c r="AS571" s="543">
        <f t="shared" si="178"/>
        <v>3900</v>
      </c>
      <c r="AT571" s="544"/>
      <c r="AU571" s="543"/>
      <c r="AY571" s="545">
        <f>I571/24*2</f>
        <v>325</v>
      </c>
      <c r="AZ571" s="546"/>
      <c r="BI571" s="425">
        <f t="shared" si="179"/>
        <v>300</v>
      </c>
      <c r="BT571" s="544"/>
      <c r="BV571" s="544"/>
      <c r="CK571" s="425">
        <f t="shared" si="154"/>
        <v>0</v>
      </c>
      <c r="CL571" s="427">
        <f t="shared" si="166"/>
        <v>0</v>
      </c>
      <c r="CM571" s="427">
        <f t="shared" si="167"/>
        <v>0</v>
      </c>
      <c r="CN571" s="544"/>
      <c r="CO571" s="544"/>
      <c r="CP571" s="544"/>
      <c r="CT571" s="544"/>
      <c r="CU571" s="544"/>
      <c r="CV571" s="544"/>
      <c r="CW571" s="544"/>
      <c r="CX571" s="544"/>
    </row>
    <row r="572" s="427" customFormat="1" ht="31" customHeight="1" spans="1:102">
      <c r="A572" s="518">
        <v>45873</v>
      </c>
      <c r="B572" s="519" t="s">
        <v>125</v>
      </c>
      <c r="C572" s="520" t="s">
        <v>71</v>
      </c>
      <c r="D572" s="427">
        <v>4500175925</v>
      </c>
      <c r="E572" s="520">
        <v>21012352</v>
      </c>
      <c r="F572" s="427" t="s">
        <v>4552</v>
      </c>
      <c r="G572" s="521" t="s">
        <v>3206</v>
      </c>
      <c r="H572" s="521" t="s">
        <v>3207</v>
      </c>
      <c r="I572" s="521">
        <v>117</v>
      </c>
      <c r="J572" s="521">
        <v>0</v>
      </c>
      <c r="K572" s="521">
        <v>13</v>
      </c>
      <c r="L572" s="524">
        <f t="shared" si="169"/>
        <v>9</v>
      </c>
      <c r="M572" s="525">
        <v>45915</v>
      </c>
      <c r="N572" s="525">
        <v>45911</v>
      </c>
      <c r="O572" s="526"/>
      <c r="P572" s="526" t="s">
        <v>103</v>
      </c>
      <c r="Q572" s="534">
        <v>45917</v>
      </c>
      <c r="R572" s="530">
        <v>45883</v>
      </c>
      <c r="S572" s="530" t="s">
        <v>96</v>
      </c>
      <c r="T572" s="530">
        <v>45894</v>
      </c>
      <c r="U572" s="530"/>
      <c r="V572" s="532" t="s">
        <v>4143</v>
      </c>
      <c r="W572" s="532" t="s">
        <v>4553</v>
      </c>
      <c r="X572" s="536">
        <v>0.9526</v>
      </c>
      <c r="Y572" s="540">
        <f>X572*I572</f>
        <v>111.4542</v>
      </c>
      <c r="Z572" s="521"/>
      <c r="AA572" s="521" t="s">
        <v>3206</v>
      </c>
      <c r="AB572" s="521" t="s">
        <v>76</v>
      </c>
      <c r="AC572" s="521"/>
      <c r="AD572" s="521"/>
      <c r="AE572" s="521"/>
      <c r="AF572" s="521">
        <v>117</v>
      </c>
      <c r="AG572" s="521">
        <f t="shared" si="176"/>
        <v>0</v>
      </c>
      <c r="AH572" s="542"/>
      <c r="AI572" s="521"/>
      <c r="AJ572" s="521"/>
      <c r="AK572" s="521"/>
      <c r="AL572" s="543">
        <f t="shared" si="177"/>
        <v>117</v>
      </c>
      <c r="AO572" s="544"/>
      <c r="AQ572" s="427">
        <f>I572</f>
        <v>117</v>
      </c>
      <c r="AS572" s="427">
        <f t="shared" si="178"/>
        <v>117</v>
      </c>
      <c r="AT572" s="544"/>
      <c r="AY572" s="545">
        <f>I572</f>
        <v>117</v>
      </c>
      <c r="AZ572" s="546"/>
      <c r="BG572" s="521"/>
      <c r="BI572" s="425">
        <f t="shared" si="179"/>
        <v>9</v>
      </c>
      <c r="BT572" s="544"/>
      <c r="BV572" s="544"/>
      <c r="CK572" s="425">
        <f t="shared" si="154"/>
        <v>0</v>
      </c>
      <c r="CL572" s="427">
        <f t="shared" si="166"/>
        <v>0</v>
      </c>
      <c r="CM572" s="427">
        <f t="shared" si="167"/>
        <v>0</v>
      </c>
      <c r="CN572" s="544"/>
      <c r="CO572" s="544"/>
      <c r="CP572" s="544"/>
      <c r="CT572" s="544"/>
      <c r="CU572" s="544"/>
      <c r="CV572" s="544"/>
      <c r="CW572" s="544"/>
      <c r="CX572" s="544"/>
    </row>
    <row r="573" s="427" customFormat="1" ht="31" customHeight="1" spans="1:102">
      <c r="A573" s="518">
        <v>45873</v>
      </c>
      <c r="B573" s="519" t="s">
        <v>125</v>
      </c>
      <c r="C573" s="520" t="s">
        <v>71</v>
      </c>
      <c r="D573" s="427">
        <v>4500175925</v>
      </c>
      <c r="E573" s="520">
        <v>21012357</v>
      </c>
      <c r="F573" s="427" t="s">
        <v>4554</v>
      </c>
      <c r="G573" s="521" t="s">
        <v>3206</v>
      </c>
      <c r="H573" s="521" t="s">
        <v>3207</v>
      </c>
      <c r="I573" s="521">
        <v>143</v>
      </c>
      <c r="J573" s="521">
        <v>0</v>
      </c>
      <c r="K573" s="521">
        <v>13</v>
      </c>
      <c r="L573" s="524">
        <f t="shared" si="169"/>
        <v>11</v>
      </c>
      <c r="M573" s="525">
        <v>45915</v>
      </c>
      <c r="N573" s="525">
        <v>45911</v>
      </c>
      <c r="O573" s="526"/>
      <c r="P573" s="526" t="s">
        <v>103</v>
      </c>
      <c r="Q573" s="534">
        <v>45917</v>
      </c>
      <c r="R573" s="530">
        <v>45883</v>
      </c>
      <c r="S573" s="530" t="s">
        <v>96</v>
      </c>
      <c r="T573" s="530">
        <v>45894</v>
      </c>
      <c r="U573" s="530"/>
      <c r="V573" s="532" t="s">
        <v>4143</v>
      </c>
      <c r="W573" s="532" t="s">
        <v>4553</v>
      </c>
      <c r="X573" s="536">
        <v>0.9526</v>
      </c>
      <c r="Y573" s="540">
        <f>X573*I573</f>
        <v>136.2218</v>
      </c>
      <c r="Z573" s="521"/>
      <c r="AA573" s="521" t="s">
        <v>3206</v>
      </c>
      <c r="AB573" s="521" t="s">
        <v>76</v>
      </c>
      <c r="AC573" s="521"/>
      <c r="AD573" s="521"/>
      <c r="AE573" s="521"/>
      <c r="AF573" s="521">
        <v>143</v>
      </c>
      <c r="AG573" s="521">
        <f t="shared" si="176"/>
        <v>0</v>
      </c>
      <c r="AH573" s="542"/>
      <c r="AI573" s="521"/>
      <c r="AJ573" s="521"/>
      <c r="AK573" s="521"/>
      <c r="AL573" s="543">
        <f t="shared" si="177"/>
        <v>143</v>
      </c>
      <c r="AO573" s="544"/>
      <c r="AQ573" s="427">
        <f>I573</f>
        <v>143</v>
      </c>
      <c r="AS573" s="427">
        <f t="shared" si="178"/>
        <v>143</v>
      </c>
      <c r="AT573" s="544"/>
      <c r="AY573" s="545">
        <f>I573</f>
        <v>143</v>
      </c>
      <c r="AZ573" s="546"/>
      <c r="BG573" s="521"/>
      <c r="BI573" s="425">
        <f t="shared" si="179"/>
        <v>11</v>
      </c>
      <c r="BT573" s="544"/>
      <c r="BV573" s="544"/>
      <c r="CK573" s="425">
        <f t="shared" si="154"/>
        <v>0</v>
      </c>
      <c r="CL573" s="427">
        <f t="shared" si="166"/>
        <v>0</v>
      </c>
      <c r="CM573" s="427">
        <f t="shared" si="167"/>
        <v>0</v>
      </c>
      <c r="CN573" s="544"/>
      <c r="CO573" s="544"/>
      <c r="CP573" s="544"/>
      <c r="CT573" s="544"/>
      <c r="CU573" s="544"/>
      <c r="CV573" s="544"/>
      <c r="CW573" s="544"/>
      <c r="CX573" s="544"/>
    </row>
    <row r="574" s="427" customFormat="1" ht="31" customHeight="1" spans="1:102">
      <c r="A574" s="518">
        <v>45873</v>
      </c>
      <c r="B574" s="519" t="s">
        <v>122</v>
      </c>
      <c r="C574" s="520" t="s">
        <v>116</v>
      </c>
      <c r="D574" s="427">
        <v>4500175924</v>
      </c>
      <c r="E574" s="520">
        <v>21012351</v>
      </c>
      <c r="F574" s="427" t="s">
        <v>4555</v>
      </c>
      <c r="G574" s="521" t="s">
        <v>3206</v>
      </c>
      <c r="H574" s="521" t="s">
        <v>3207</v>
      </c>
      <c r="I574" s="521">
        <v>2275</v>
      </c>
      <c r="J574" s="521">
        <v>0</v>
      </c>
      <c r="K574" s="521">
        <v>13</v>
      </c>
      <c r="L574" s="524">
        <f t="shared" si="169"/>
        <v>175</v>
      </c>
      <c r="M574" s="525">
        <v>45915</v>
      </c>
      <c r="N574" s="525">
        <v>45911</v>
      </c>
      <c r="O574" s="526"/>
      <c r="P574" s="526" t="s">
        <v>103</v>
      </c>
      <c r="Q574" s="534">
        <v>45917</v>
      </c>
      <c r="R574" s="530">
        <v>45883</v>
      </c>
      <c r="S574" s="530" t="s">
        <v>96</v>
      </c>
      <c r="T574" s="530">
        <v>45894</v>
      </c>
      <c r="U574" s="530"/>
      <c r="V574" s="532" t="s">
        <v>3390</v>
      </c>
      <c r="W574" s="532" t="s">
        <v>4553</v>
      </c>
      <c r="X574" s="536">
        <v>0.9475</v>
      </c>
      <c r="Y574" s="540">
        <f>X574*I574</f>
        <v>2155.5625</v>
      </c>
      <c r="Z574" s="521"/>
      <c r="AA574" s="521" t="s">
        <v>3206</v>
      </c>
      <c r="AB574" s="521" t="s">
        <v>76</v>
      </c>
      <c r="AC574" s="521"/>
      <c r="AD574" s="521"/>
      <c r="AE574" s="521"/>
      <c r="AF574" s="521">
        <v>2275</v>
      </c>
      <c r="AG574" s="521">
        <f t="shared" si="176"/>
        <v>0</v>
      </c>
      <c r="AH574" s="542"/>
      <c r="AI574" s="521"/>
      <c r="AJ574" s="521"/>
      <c r="AK574" s="521"/>
      <c r="AL574" s="543">
        <f t="shared" si="177"/>
        <v>2275</v>
      </c>
      <c r="AO574" s="544"/>
      <c r="AQ574" s="427">
        <f>I574</f>
        <v>2275</v>
      </c>
      <c r="AS574" s="427">
        <f t="shared" si="178"/>
        <v>2275</v>
      </c>
      <c r="AT574" s="544"/>
      <c r="AY574" s="545">
        <f>I574</f>
        <v>2275</v>
      </c>
      <c r="AZ574" s="546"/>
      <c r="BG574" s="521"/>
      <c r="BI574" s="425">
        <f t="shared" si="179"/>
        <v>175</v>
      </c>
      <c r="BT574" s="544"/>
      <c r="BV574" s="544"/>
      <c r="CK574" s="425">
        <f t="shared" si="154"/>
        <v>0</v>
      </c>
      <c r="CL574" s="427">
        <f t="shared" si="166"/>
        <v>0</v>
      </c>
      <c r="CM574" s="427">
        <f t="shared" si="167"/>
        <v>0</v>
      </c>
      <c r="CN574" s="544"/>
      <c r="CO574" s="544"/>
      <c r="CP574" s="544"/>
      <c r="CT574" s="544"/>
      <c r="CU574" s="544"/>
      <c r="CV574" s="544"/>
      <c r="CW574" s="544"/>
      <c r="CX574" s="544"/>
    </row>
    <row r="575" s="427" customFormat="1" ht="31" customHeight="1" spans="1:102">
      <c r="A575" s="518">
        <v>45873</v>
      </c>
      <c r="B575" s="519" t="s">
        <v>122</v>
      </c>
      <c r="C575" s="520" t="s">
        <v>116</v>
      </c>
      <c r="D575" s="427">
        <v>4500175924</v>
      </c>
      <c r="E575" s="520">
        <v>21012356</v>
      </c>
      <c r="F575" s="427" t="s">
        <v>4556</v>
      </c>
      <c r="G575" s="521" t="s">
        <v>3206</v>
      </c>
      <c r="H575" s="521" t="s">
        <v>3207</v>
      </c>
      <c r="I575" s="521">
        <v>1989</v>
      </c>
      <c r="J575" s="521">
        <v>0</v>
      </c>
      <c r="K575" s="521">
        <v>13</v>
      </c>
      <c r="L575" s="524">
        <f t="shared" si="169"/>
        <v>153</v>
      </c>
      <c r="M575" s="525">
        <v>45915</v>
      </c>
      <c r="N575" s="525">
        <v>45911</v>
      </c>
      <c r="O575" s="526"/>
      <c r="P575" s="526" t="s">
        <v>103</v>
      </c>
      <c r="Q575" s="534">
        <v>45917</v>
      </c>
      <c r="R575" s="530">
        <v>45883</v>
      </c>
      <c r="S575" s="530" t="s">
        <v>96</v>
      </c>
      <c r="T575" s="530">
        <v>45894</v>
      </c>
      <c r="U575" s="530"/>
      <c r="V575" s="532" t="s">
        <v>3390</v>
      </c>
      <c r="W575" s="532" t="s">
        <v>4553</v>
      </c>
      <c r="X575" s="536">
        <v>0.9475</v>
      </c>
      <c r="Y575" s="540">
        <f>X575*I575</f>
        <v>1884.5775</v>
      </c>
      <c r="Z575" s="521"/>
      <c r="AA575" s="521" t="s">
        <v>3206</v>
      </c>
      <c r="AB575" s="521" t="s">
        <v>76</v>
      </c>
      <c r="AC575" s="521"/>
      <c r="AD575" s="521"/>
      <c r="AE575" s="521"/>
      <c r="AF575" s="521">
        <v>1989</v>
      </c>
      <c r="AG575" s="521">
        <f t="shared" si="176"/>
        <v>0</v>
      </c>
      <c r="AH575" s="542"/>
      <c r="AI575" s="521"/>
      <c r="AJ575" s="521"/>
      <c r="AK575" s="521"/>
      <c r="AL575" s="543">
        <f t="shared" si="177"/>
        <v>1989</v>
      </c>
      <c r="AO575" s="544"/>
      <c r="AQ575" s="427">
        <f>I575</f>
        <v>1989</v>
      </c>
      <c r="AS575" s="427">
        <f t="shared" si="178"/>
        <v>1989</v>
      </c>
      <c r="AT575" s="544"/>
      <c r="AY575" s="545">
        <f>I575</f>
        <v>1989</v>
      </c>
      <c r="AZ575" s="546"/>
      <c r="BG575" s="521"/>
      <c r="BI575" s="425">
        <f t="shared" si="179"/>
        <v>153</v>
      </c>
      <c r="BT575" s="544"/>
      <c r="BV575" s="544"/>
      <c r="CK575" s="425">
        <f t="shared" si="154"/>
        <v>0</v>
      </c>
      <c r="CL575" s="427">
        <f t="shared" si="166"/>
        <v>0</v>
      </c>
      <c r="CM575" s="427">
        <f t="shared" si="167"/>
        <v>0</v>
      </c>
      <c r="CN575" s="544"/>
      <c r="CO575" s="544"/>
      <c r="CP575" s="544"/>
      <c r="CT575" s="544"/>
      <c r="CU575" s="544"/>
      <c r="CV575" s="544"/>
      <c r="CW575" s="544"/>
      <c r="CX575" s="544"/>
    </row>
    <row r="576" s="427" customFormat="1" ht="31" customHeight="1" spans="1:102">
      <c r="A576" s="518">
        <v>45867</v>
      </c>
      <c r="B576" s="519" t="s">
        <v>220</v>
      </c>
      <c r="C576" s="520" t="s">
        <v>90</v>
      </c>
      <c r="D576" s="427">
        <v>4500173789</v>
      </c>
      <c r="E576" s="520" t="s">
        <v>1604</v>
      </c>
      <c r="F576" s="427" t="s">
        <v>4557</v>
      </c>
      <c r="G576" s="523" t="s">
        <v>3198</v>
      </c>
      <c r="H576" s="521" t="s">
        <v>3303</v>
      </c>
      <c r="I576" s="521">
        <v>15000</v>
      </c>
      <c r="J576" s="521">
        <v>0</v>
      </c>
      <c r="K576" s="521">
        <v>25</v>
      </c>
      <c r="L576" s="524">
        <f t="shared" si="169"/>
        <v>600</v>
      </c>
      <c r="M576" s="528">
        <v>45917</v>
      </c>
      <c r="N576" s="528">
        <v>45915</v>
      </c>
      <c r="O576" s="526"/>
      <c r="P576" s="526" t="s">
        <v>103</v>
      </c>
      <c r="Q576" s="521" t="s">
        <v>1606</v>
      </c>
      <c r="R576" s="530" t="s">
        <v>4558</v>
      </c>
      <c r="S576" s="530" t="s">
        <v>96</v>
      </c>
      <c r="T576" s="530">
        <v>45897</v>
      </c>
      <c r="U576" s="530"/>
      <c r="V576" s="535" t="s">
        <v>4559</v>
      </c>
      <c r="W576" s="532" t="s">
        <v>226</v>
      </c>
      <c r="X576" s="536">
        <v>0.5543</v>
      </c>
      <c r="Y576" s="540">
        <f>X576*I576</f>
        <v>8314.5</v>
      </c>
      <c r="Z576" s="521" t="s">
        <v>1608</v>
      </c>
      <c r="AA576" s="521" t="s">
        <v>3198</v>
      </c>
      <c r="AB576" s="520" t="s">
        <v>76</v>
      </c>
      <c r="AC576" s="521"/>
      <c r="AD576" s="521"/>
      <c r="AE576" s="521"/>
      <c r="AF576" s="521">
        <v>15000</v>
      </c>
      <c r="AG576" s="521">
        <f t="shared" si="176"/>
        <v>0</v>
      </c>
      <c r="AH576" s="542"/>
      <c r="AI576" s="521"/>
      <c r="AJ576" s="521" t="s">
        <v>4560</v>
      </c>
      <c r="AK576" s="521">
        <f>I576</f>
        <v>15000</v>
      </c>
      <c r="AL576" s="543"/>
      <c r="AM576" s="427">
        <f>I576</f>
        <v>15000</v>
      </c>
      <c r="AO576" s="544"/>
      <c r="AR576" s="427">
        <f>I576</f>
        <v>15000</v>
      </c>
      <c r="AT576" s="544"/>
      <c r="AY576" s="545">
        <f>I576/24</f>
        <v>625</v>
      </c>
      <c r="AZ576" s="546"/>
      <c r="BJ576" s="425">
        <f>I576/25</f>
        <v>600</v>
      </c>
      <c r="BT576" s="544"/>
      <c r="BV576" s="544"/>
      <c r="CK576" s="425">
        <f t="shared" si="154"/>
        <v>600</v>
      </c>
      <c r="CL576" s="427">
        <f t="shared" si="166"/>
        <v>0</v>
      </c>
      <c r="CM576" s="427">
        <f t="shared" si="167"/>
        <v>0</v>
      </c>
      <c r="CN576" s="544"/>
      <c r="CO576" s="544"/>
      <c r="CP576" s="544"/>
      <c r="CT576" s="544"/>
      <c r="CU576" s="544"/>
      <c r="CV576" s="544"/>
      <c r="CW576" s="544"/>
      <c r="CX576" s="544"/>
    </row>
    <row r="577" s="428" customFormat="1" ht="31" customHeight="1" spans="1:102">
      <c r="A577" s="547">
        <v>45678</v>
      </c>
      <c r="B577" s="548" t="s">
        <v>1372</v>
      </c>
      <c r="C577" s="539" t="s">
        <v>90</v>
      </c>
      <c r="D577" s="428">
        <v>4500156332</v>
      </c>
      <c r="E577" s="888" t="s">
        <v>1581</v>
      </c>
      <c r="F577" s="428" t="s">
        <v>1582</v>
      </c>
      <c r="G577" s="549" t="s">
        <v>819</v>
      </c>
      <c r="H577" s="549" t="s">
        <v>744</v>
      </c>
      <c r="I577" s="549">
        <v>72</v>
      </c>
      <c r="J577" s="549">
        <v>0</v>
      </c>
      <c r="K577" s="549">
        <v>1</v>
      </c>
      <c r="L577" s="554">
        <f t="shared" si="169"/>
        <v>72</v>
      </c>
      <c r="M577" s="555">
        <v>45912</v>
      </c>
      <c r="N577" s="555">
        <v>45908</v>
      </c>
      <c r="O577" s="556"/>
      <c r="P577" s="556" t="s">
        <v>103</v>
      </c>
      <c r="Q577" s="549" t="s">
        <v>4561</v>
      </c>
      <c r="R577" s="562">
        <v>45832</v>
      </c>
      <c r="S577" s="562" t="s">
        <v>66</v>
      </c>
      <c r="T577" s="562" t="s">
        <v>66</v>
      </c>
      <c r="U577" s="562"/>
      <c r="V577" s="563" t="s">
        <v>1471</v>
      </c>
      <c r="W577" s="564" t="s">
        <v>821</v>
      </c>
      <c r="X577" s="564">
        <v>0</v>
      </c>
      <c r="Y577" s="513">
        <f t="shared" ref="Y577:Y584" si="180">X577*L577</f>
        <v>0</v>
      </c>
      <c r="Z577" s="539" t="s">
        <v>1583</v>
      </c>
      <c r="AA577" s="572" t="s">
        <v>1378</v>
      </c>
      <c r="AB577" s="549" t="s">
        <v>76</v>
      </c>
      <c r="AC577" s="549"/>
      <c r="AD577" s="549"/>
      <c r="AE577" s="549"/>
      <c r="AF577" s="549">
        <v>0</v>
      </c>
      <c r="AG577" s="549">
        <v>0</v>
      </c>
      <c r="AH577" s="575"/>
      <c r="AI577" s="549"/>
      <c r="AJ577" s="549"/>
      <c r="AK577" s="549"/>
      <c r="AO577" s="578"/>
      <c r="AT577" s="578"/>
      <c r="AY577" s="576"/>
      <c r="AZ577" s="577"/>
      <c r="BT577" s="578"/>
      <c r="BV577" s="578"/>
      <c r="CK577" s="425">
        <f t="shared" si="154"/>
        <v>0</v>
      </c>
      <c r="CL577" s="428">
        <f t="shared" ref="CL577:CL592" si="181">CA577+CB577+CC577+CD577+CE577+CG577+CF577</f>
        <v>0</v>
      </c>
      <c r="CM577" s="428">
        <f t="shared" ref="CM577:CM592" si="182">BY577+BZ577</f>
        <v>0</v>
      </c>
      <c r="CN577" s="578"/>
      <c r="CO577" s="578"/>
      <c r="CP577" s="578"/>
      <c r="CT577" s="578"/>
      <c r="CU577" s="578"/>
      <c r="CV577" s="578"/>
      <c r="CW577" s="578"/>
      <c r="CX577" s="578"/>
    </row>
    <row r="578" s="428" customFormat="1" ht="31" customHeight="1" spans="1:102">
      <c r="A578" s="547">
        <v>45678</v>
      </c>
      <c r="B578" s="548" t="s">
        <v>1372</v>
      </c>
      <c r="C578" s="539" t="s">
        <v>90</v>
      </c>
      <c r="D578" s="428">
        <v>4500156332</v>
      </c>
      <c r="E578" s="888" t="s">
        <v>1581</v>
      </c>
      <c r="F578" s="428" t="s">
        <v>1582</v>
      </c>
      <c r="G578" s="549">
        <v>77711</v>
      </c>
      <c r="H578" s="549" t="s">
        <v>3151</v>
      </c>
      <c r="I578" s="549">
        <v>5400</v>
      </c>
      <c r="J578" s="549">
        <v>0</v>
      </c>
      <c r="K578" s="549">
        <v>75</v>
      </c>
      <c r="L578" s="554">
        <f t="shared" si="169"/>
        <v>72</v>
      </c>
      <c r="M578" s="555">
        <v>45912</v>
      </c>
      <c r="N578" s="555">
        <v>45908</v>
      </c>
      <c r="O578" s="556"/>
      <c r="P578" s="556" t="s">
        <v>103</v>
      </c>
      <c r="Q578" s="549" t="s">
        <v>4561</v>
      </c>
      <c r="R578" s="562">
        <v>45832</v>
      </c>
      <c r="S578" s="562" t="s">
        <v>66</v>
      </c>
      <c r="T578" s="562" t="s">
        <v>66</v>
      </c>
      <c r="U578" s="562"/>
      <c r="V578" s="563"/>
      <c r="W578" s="564" t="s">
        <v>821</v>
      </c>
      <c r="X578" s="564">
        <v>762.5</v>
      </c>
      <c r="Y578" s="513">
        <f t="shared" si="180"/>
        <v>54900</v>
      </c>
      <c r="Z578" s="539" t="s">
        <v>1583</v>
      </c>
      <c r="AA578" s="572" t="s">
        <v>1378</v>
      </c>
      <c r="AB578" s="549" t="s">
        <v>76</v>
      </c>
      <c r="AC578" s="549"/>
      <c r="AD578" s="549"/>
      <c r="AE578" s="549"/>
      <c r="AF578" s="549">
        <v>0</v>
      </c>
      <c r="AG578" s="549">
        <v>0</v>
      </c>
      <c r="AH578" s="575"/>
      <c r="AI578" s="549"/>
      <c r="AJ578" s="549"/>
      <c r="AK578" s="549">
        <f>I578*3</f>
        <v>16200</v>
      </c>
      <c r="AO578" s="578"/>
      <c r="AT578" s="578"/>
      <c r="AY578" s="576">
        <f t="shared" ref="AY578:AY582" si="183">I578/24*3</f>
        <v>675</v>
      </c>
      <c r="AZ578" s="577"/>
      <c r="BC578" s="428">
        <f>AK578</f>
        <v>16200</v>
      </c>
      <c r="BD578" s="428">
        <f>AK578</f>
        <v>16200</v>
      </c>
      <c r="BE578" s="428">
        <f>I578</f>
        <v>5400</v>
      </c>
      <c r="BF578" s="428">
        <f>I578/5</f>
        <v>1080</v>
      </c>
      <c r="BT578" s="578"/>
      <c r="BV578" s="578"/>
      <c r="CK578" s="425">
        <f t="shared" si="154"/>
        <v>0</v>
      </c>
      <c r="CL578" s="428">
        <f t="shared" si="181"/>
        <v>0</v>
      </c>
      <c r="CM578" s="428">
        <f t="shared" si="182"/>
        <v>0</v>
      </c>
      <c r="CN578" s="578"/>
      <c r="CO578" s="578"/>
      <c r="CP578" s="578"/>
      <c r="CT578" s="578"/>
      <c r="CU578" s="578"/>
      <c r="CV578" s="578"/>
      <c r="CW578" s="578"/>
      <c r="CX578" s="578"/>
    </row>
    <row r="579" s="428" customFormat="1" ht="31" customHeight="1" spans="1:102">
      <c r="A579" s="547">
        <v>45678</v>
      </c>
      <c r="B579" s="548" t="s">
        <v>1372</v>
      </c>
      <c r="C579" s="539" t="s">
        <v>90</v>
      </c>
      <c r="D579" s="428">
        <v>4500156319</v>
      </c>
      <c r="E579" s="887" t="s">
        <v>1575</v>
      </c>
      <c r="F579" s="428" t="s">
        <v>1576</v>
      </c>
      <c r="G579" s="549" t="s">
        <v>819</v>
      </c>
      <c r="H579" s="549" t="s">
        <v>744</v>
      </c>
      <c r="I579" s="549">
        <v>72</v>
      </c>
      <c r="J579" s="549">
        <v>0</v>
      </c>
      <c r="K579" s="549">
        <v>1</v>
      </c>
      <c r="L579" s="554">
        <f t="shared" si="169"/>
        <v>72</v>
      </c>
      <c r="M579" s="555">
        <v>45912</v>
      </c>
      <c r="N579" s="555">
        <v>45908</v>
      </c>
      <c r="O579" s="556"/>
      <c r="P579" s="556" t="s">
        <v>103</v>
      </c>
      <c r="Q579" s="565" t="s">
        <v>4561</v>
      </c>
      <c r="R579" s="562">
        <v>45832</v>
      </c>
      <c r="S579" s="562" t="s">
        <v>66</v>
      </c>
      <c r="T579" s="562" t="s">
        <v>66</v>
      </c>
      <c r="U579" s="562"/>
      <c r="V579" s="563" t="s">
        <v>1471</v>
      </c>
      <c r="W579" s="564" t="s">
        <v>821</v>
      </c>
      <c r="X579" s="564">
        <v>0</v>
      </c>
      <c r="Y579" s="513">
        <f t="shared" si="180"/>
        <v>0</v>
      </c>
      <c r="Z579" s="549" t="s">
        <v>1577</v>
      </c>
      <c r="AA579" s="572" t="s">
        <v>1378</v>
      </c>
      <c r="AB579" s="549" t="s">
        <v>76</v>
      </c>
      <c r="AC579" s="549"/>
      <c r="AD579" s="549"/>
      <c r="AE579" s="549"/>
      <c r="AF579" s="549">
        <v>0</v>
      </c>
      <c r="AG579" s="549">
        <v>0</v>
      </c>
      <c r="AH579" s="575"/>
      <c r="AI579" s="549"/>
      <c r="AJ579" s="549"/>
      <c r="AK579" s="549"/>
      <c r="AO579" s="578"/>
      <c r="AT579" s="578"/>
      <c r="AY579" s="576"/>
      <c r="AZ579" s="577"/>
      <c r="BT579" s="578"/>
      <c r="BV579" s="578"/>
      <c r="CK579" s="425">
        <f t="shared" ref="CK579:CK642" si="184">BM579+BL579+BK579+BJ579+BS579</f>
        <v>0</v>
      </c>
      <c r="CL579" s="428">
        <f t="shared" si="181"/>
        <v>0</v>
      </c>
      <c r="CM579" s="428">
        <f t="shared" si="182"/>
        <v>0</v>
      </c>
      <c r="CN579" s="578"/>
      <c r="CO579" s="578"/>
      <c r="CP579" s="578"/>
      <c r="CT579" s="578"/>
      <c r="CU579" s="578"/>
      <c r="CV579" s="578"/>
      <c r="CW579" s="578"/>
      <c r="CX579" s="578"/>
    </row>
    <row r="580" s="428" customFormat="1" ht="31" customHeight="1" spans="1:102">
      <c r="A580" s="547">
        <v>45678</v>
      </c>
      <c r="B580" s="548" t="s">
        <v>1372</v>
      </c>
      <c r="C580" s="539" t="s">
        <v>90</v>
      </c>
      <c r="D580" s="428">
        <v>4500156319</v>
      </c>
      <c r="E580" s="887" t="s">
        <v>1575</v>
      </c>
      <c r="F580" s="428" t="s">
        <v>1576</v>
      </c>
      <c r="G580" s="549">
        <v>77711</v>
      </c>
      <c r="H580" s="549" t="s">
        <v>3151</v>
      </c>
      <c r="I580" s="549">
        <v>5400</v>
      </c>
      <c r="J580" s="549">
        <v>0</v>
      </c>
      <c r="K580" s="549">
        <v>75</v>
      </c>
      <c r="L580" s="554">
        <f t="shared" si="169"/>
        <v>72</v>
      </c>
      <c r="M580" s="555">
        <v>45912</v>
      </c>
      <c r="N580" s="555">
        <v>45908</v>
      </c>
      <c r="O580" s="556"/>
      <c r="P580" s="556" t="s">
        <v>103</v>
      </c>
      <c r="Q580" s="565" t="s">
        <v>4561</v>
      </c>
      <c r="R580" s="562">
        <v>45832</v>
      </c>
      <c r="S580" s="562" t="s">
        <v>66</v>
      </c>
      <c r="T580" s="562" t="s">
        <v>66</v>
      </c>
      <c r="U580" s="562"/>
      <c r="V580" s="563"/>
      <c r="W580" s="564" t="s">
        <v>821</v>
      </c>
      <c r="X580" s="564">
        <v>762.5</v>
      </c>
      <c r="Y580" s="513">
        <f t="shared" si="180"/>
        <v>54900</v>
      </c>
      <c r="Z580" s="549" t="s">
        <v>1577</v>
      </c>
      <c r="AA580" s="572" t="s">
        <v>1378</v>
      </c>
      <c r="AB580" s="549" t="s">
        <v>76</v>
      </c>
      <c r="AC580" s="549"/>
      <c r="AD580" s="549"/>
      <c r="AE580" s="549"/>
      <c r="AF580" s="549">
        <v>0</v>
      </c>
      <c r="AG580" s="549">
        <v>0</v>
      </c>
      <c r="AH580" s="575"/>
      <c r="AI580" s="549"/>
      <c r="AJ580" s="549"/>
      <c r="AK580" s="549">
        <f>I580*3</f>
        <v>16200</v>
      </c>
      <c r="AO580" s="578"/>
      <c r="AT580" s="578"/>
      <c r="AY580" s="576">
        <f t="shared" si="183"/>
        <v>675</v>
      </c>
      <c r="AZ580" s="577"/>
      <c r="BC580" s="428">
        <f>AK580</f>
        <v>16200</v>
      </c>
      <c r="BD580" s="428">
        <f>AK580</f>
        <v>16200</v>
      </c>
      <c r="BE580" s="428">
        <f>I580</f>
        <v>5400</v>
      </c>
      <c r="BF580" s="428">
        <f>I580/5</f>
        <v>1080</v>
      </c>
      <c r="BT580" s="578"/>
      <c r="BV580" s="578"/>
      <c r="CK580" s="425">
        <f t="shared" si="184"/>
        <v>0</v>
      </c>
      <c r="CL580" s="428">
        <f t="shared" si="181"/>
        <v>0</v>
      </c>
      <c r="CM580" s="428">
        <f t="shared" si="182"/>
        <v>0</v>
      </c>
      <c r="CN580" s="578"/>
      <c r="CO580" s="578"/>
      <c r="CP580" s="578"/>
      <c r="CT580" s="578"/>
      <c r="CU580" s="578"/>
      <c r="CV580" s="578"/>
      <c r="CW580" s="578"/>
      <c r="CX580" s="578"/>
    </row>
    <row r="581" s="428" customFormat="1" ht="31" customHeight="1" spans="1:102">
      <c r="A581" s="547">
        <v>45678</v>
      </c>
      <c r="B581" s="548" t="s">
        <v>1372</v>
      </c>
      <c r="C581" s="539" t="s">
        <v>90</v>
      </c>
      <c r="D581" s="428">
        <v>4500156318</v>
      </c>
      <c r="E581" s="887" t="s">
        <v>1578</v>
      </c>
      <c r="F581" s="428" t="s">
        <v>1579</v>
      </c>
      <c r="G581" s="549" t="s">
        <v>819</v>
      </c>
      <c r="H581" s="549" t="s">
        <v>744</v>
      </c>
      <c r="I581" s="549">
        <v>72</v>
      </c>
      <c r="J581" s="549">
        <v>0</v>
      </c>
      <c r="K581" s="549">
        <v>1</v>
      </c>
      <c r="L581" s="554">
        <f t="shared" si="169"/>
        <v>72</v>
      </c>
      <c r="M581" s="555">
        <v>45912</v>
      </c>
      <c r="N581" s="555">
        <f>M581-4</f>
        <v>45908</v>
      </c>
      <c r="O581" s="556"/>
      <c r="P581" s="556" t="s">
        <v>103</v>
      </c>
      <c r="Q581" s="565" t="s">
        <v>4562</v>
      </c>
      <c r="R581" s="562">
        <v>45832</v>
      </c>
      <c r="S581" s="562" t="s">
        <v>66</v>
      </c>
      <c r="T581" s="562" t="s">
        <v>66</v>
      </c>
      <c r="U581" s="562"/>
      <c r="V581" s="563" t="s">
        <v>1471</v>
      </c>
      <c r="W581" s="564" t="s">
        <v>821</v>
      </c>
      <c r="X581" s="564">
        <v>0</v>
      </c>
      <c r="Y581" s="513">
        <f t="shared" si="180"/>
        <v>0</v>
      </c>
      <c r="Z581" s="539" t="s">
        <v>1580</v>
      </c>
      <c r="AA581" s="572" t="s">
        <v>1378</v>
      </c>
      <c r="AB581" s="549" t="s">
        <v>76</v>
      </c>
      <c r="AC581" s="549"/>
      <c r="AD581" s="549"/>
      <c r="AE581" s="549"/>
      <c r="AF581" s="549">
        <v>0</v>
      </c>
      <c r="AG581" s="549">
        <v>0</v>
      </c>
      <c r="AH581" s="575"/>
      <c r="AI581" s="549"/>
      <c r="AJ581" s="549"/>
      <c r="AK581" s="549"/>
      <c r="AO581" s="578"/>
      <c r="AT581" s="578"/>
      <c r="AY581" s="576"/>
      <c r="AZ581" s="577"/>
      <c r="BT581" s="578"/>
      <c r="BV581" s="578"/>
      <c r="CK581" s="425">
        <f t="shared" si="184"/>
        <v>0</v>
      </c>
      <c r="CL581" s="428">
        <f t="shared" si="181"/>
        <v>0</v>
      </c>
      <c r="CM581" s="428">
        <f t="shared" si="182"/>
        <v>0</v>
      </c>
      <c r="CN581" s="578"/>
      <c r="CO581" s="578"/>
      <c r="CP581" s="578"/>
      <c r="CT581" s="578"/>
      <c r="CU581" s="578"/>
      <c r="CV581" s="578"/>
      <c r="CW581" s="578"/>
      <c r="CX581" s="578"/>
    </row>
    <row r="582" s="428" customFormat="1" ht="31" customHeight="1" spans="1:102">
      <c r="A582" s="547">
        <v>45678</v>
      </c>
      <c r="B582" s="548" t="s">
        <v>1372</v>
      </c>
      <c r="C582" s="539" t="s">
        <v>90</v>
      </c>
      <c r="D582" s="428">
        <v>4500156318</v>
      </c>
      <c r="E582" s="887" t="s">
        <v>1578</v>
      </c>
      <c r="F582" s="428" t="s">
        <v>1579</v>
      </c>
      <c r="G582" s="549">
        <v>77711</v>
      </c>
      <c r="H582" s="549" t="s">
        <v>3151</v>
      </c>
      <c r="I582" s="549">
        <v>5400</v>
      </c>
      <c r="J582" s="549">
        <v>0</v>
      </c>
      <c r="K582" s="549">
        <v>75</v>
      </c>
      <c r="L582" s="554">
        <f t="shared" si="169"/>
        <v>72</v>
      </c>
      <c r="M582" s="555">
        <v>45912</v>
      </c>
      <c r="N582" s="555">
        <f>M582-4</f>
        <v>45908</v>
      </c>
      <c r="O582" s="556"/>
      <c r="P582" s="556" t="s">
        <v>103</v>
      </c>
      <c r="Q582" s="565" t="s">
        <v>4562</v>
      </c>
      <c r="R582" s="562">
        <v>45832</v>
      </c>
      <c r="S582" s="562" t="s">
        <v>66</v>
      </c>
      <c r="T582" s="562" t="s">
        <v>66</v>
      </c>
      <c r="U582" s="562"/>
      <c r="V582" s="563"/>
      <c r="W582" s="564" t="s">
        <v>821</v>
      </c>
      <c r="X582" s="564">
        <v>762.5</v>
      </c>
      <c r="Y582" s="513">
        <f t="shared" si="180"/>
        <v>54900</v>
      </c>
      <c r="Z582" s="539" t="s">
        <v>1580</v>
      </c>
      <c r="AA582" s="572" t="s">
        <v>1378</v>
      </c>
      <c r="AB582" s="549" t="s">
        <v>76</v>
      </c>
      <c r="AC582" s="549"/>
      <c r="AD582" s="549"/>
      <c r="AE582" s="549"/>
      <c r="AF582" s="549">
        <v>0</v>
      </c>
      <c r="AG582" s="549">
        <v>0</v>
      </c>
      <c r="AH582" s="575"/>
      <c r="AI582" s="549"/>
      <c r="AJ582" s="549"/>
      <c r="AK582" s="549">
        <f>I582*3</f>
        <v>16200</v>
      </c>
      <c r="AO582" s="578"/>
      <c r="AT582" s="578"/>
      <c r="AY582" s="576">
        <f t="shared" si="183"/>
        <v>675</v>
      </c>
      <c r="AZ582" s="577"/>
      <c r="BC582" s="428">
        <f>AK582</f>
        <v>16200</v>
      </c>
      <c r="BD582" s="428">
        <f>AK582</f>
        <v>16200</v>
      </c>
      <c r="BE582" s="428">
        <f>I582</f>
        <v>5400</v>
      </c>
      <c r="BF582" s="428">
        <f>I582/5</f>
        <v>1080</v>
      </c>
      <c r="BT582" s="578"/>
      <c r="BV582" s="578"/>
      <c r="CK582" s="425">
        <f t="shared" si="184"/>
        <v>0</v>
      </c>
      <c r="CL582" s="428">
        <f t="shared" si="181"/>
        <v>0</v>
      </c>
      <c r="CM582" s="428">
        <f t="shared" si="182"/>
        <v>0</v>
      </c>
      <c r="CN582" s="578"/>
      <c r="CO582" s="578"/>
      <c r="CP582" s="578"/>
      <c r="CT582" s="578"/>
      <c r="CU582" s="578"/>
      <c r="CV582" s="578"/>
      <c r="CW582" s="578"/>
      <c r="CX582" s="578"/>
    </row>
    <row r="583" s="428" customFormat="1" ht="31" customHeight="1" spans="1:102">
      <c r="A583" s="547">
        <v>45861</v>
      </c>
      <c r="B583" s="548" t="s">
        <v>1545</v>
      </c>
      <c r="C583" s="539" t="s">
        <v>90</v>
      </c>
      <c r="D583" s="428">
        <v>4500174833</v>
      </c>
      <c r="E583" s="539" t="s">
        <v>1546</v>
      </c>
      <c r="F583" s="428" t="s">
        <v>4563</v>
      </c>
      <c r="G583" s="549" t="s">
        <v>4564</v>
      </c>
      <c r="H583" s="549" t="s">
        <v>3237</v>
      </c>
      <c r="I583" s="549">
        <v>2100</v>
      </c>
      <c r="J583" s="549">
        <v>0</v>
      </c>
      <c r="K583" s="549">
        <v>12</v>
      </c>
      <c r="L583" s="554">
        <f t="shared" si="169"/>
        <v>175</v>
      </c>
      <c r="M583" s="555">
        <v>45912</v>
      </c>
      <c r="N583" s="555">
        <v>45908</v>
      </c>
      <c r="O583" s="556" t="s">
        <v>4565</v>
      </c>
      <c r="P583" s="556" t="s">
        <v>103</v>
      </c>
      <c r="Q583" s="549"/>
      <c r="R583" s="562">
        <v>45868</v>
      </c>
      <c r="S583" s="562" t="s">
        <v>96</v>
      </c>
      <c r="T583" s="562">
        <v>45876</v>
      </c>
      <c r="U583" s="562"/>
      <c r="V583" s="566" t="s">
        <v>4566</v>
      </c>
      <c r="W583" s="564" t="s">
        <v>794</v>
      </c>
      <c r="X583" s="564">
        <v>1.3031</v>
      </c>
      <c r="Y583" s="513">
        <f>X583*I583</f>
        <v>2736.51</v>
      </c>
      <c r="Z583" s="549" t="s">
        <v>1549</v>
      </c>
      <c r="AA583" s="549" t="s">
        <v>3236</v>
      </c>
      <c r="AB583" s="549" t="s">
        <v>76</v>
      </c>
      <c r="AC583" s="549"/>
      <c r="AD583" s="549"/>
      <c r="AE583" s="549"/>
      <c r="AF583" s="549">
        <v>2100</v>
      </c>
      <c r="AG583" s="549">
        <f>AF583-I583</f>
        <v>0</v>
      </c>
      <c r="AH583" s="575"/>
      <c r="AI583" s="549"/>
      <c r="AJ583" s="549"/>
      <c r="AK583" s="549">
        <f>I583*2</f>
        <v>4200</v>
      </c>
      <c r="AN583" s="428">
        <f>I583*2</f>
        <v>4200</v>
      </c>
      <c r="AO583" s="578"/>
      <c r="AR583" s="568">
        <f>I583*2</f>
        <v>4200</v>
      </c>
      <c r="AT583" s="578"/>
      <c r="AY583" s="579">
        <f>I583/24*2</f>
        <v>175</v>
      </c>
      <c r="AZ583" s="577"/>
      <c r="BT583" s="578"/>
      <c r="BV583" s="578"/>
      <c r="CH583" s="428">
        <f>I583</f>
        <v>2100</v>
      </c>
      <c r="CI583" s="428">
        <f>I583</f>
        <v>2100</v>
      </c>
      <c r="CJ583" s="428">
        <f>I583</f>
        <v>2100</v>
      </c>
      <c r="CK583" s="425">
        <f t="shared" si="184"/>
        <v>0</v>
      </c>
      <c r="CL583" s="428">
        <f t="shared" si="181"/>
        <v>0</v>
      </c>
      <c r="CM583" s="428">
        <f t="shared" si="182"/>
        <v>0</v>
      </c>
      <c r="CN583" s="578"/>
      <c r="CO583" s="578"/>
      <c r="CP583" s="578"/>
      <c r="CT583" s="578"/>
      <c r="CU583" s="578"/>
      <c r="CV583" s="578"/>
      <c r="CW583" s="578"/>
      <c r="CX583" s="578"/>
    </row>
    <row r="584" s="428" customFormat="1" ht="31" customHeight="1" spans="1:102">
      <c r="A584" s="547">
        <v>45861</v>
      </c>
      <c r="B584" s="548" t="s">
        <v>1545</v>
      </c>
      <c r="C584" s="539" t="s">
        <v>90</v>
      </c>
      <c r="D584" s="428">
        <v>4500174833</v>
      </c>
      <c r="E584" s="550" t="s">
        <v>1550</v>
      </c>
      <c r="F584" s="428" t="s">
        <v>4567</v>
      </c>
      <c r="G584" s="549" t="s">
        <v>4564</v>
      </c>
      <c r="H584" s="549" t="s">
        <v>3237</v>
      </c>
      <c r="I584" s="549">
        <v>900</v>
      </c>
      <c r="J584" s="549">
        <v>0</v>
      </c>
      <c r="K584" s="549">
        <v>12</v>
      </c>
      <c r="L584" s="554">
        <f t="shared" si="169"/>
        <v>75</v>
      </c>
      <c r="M584" s="555">
        <v>45912</v>
      </c>
      <c r="N584" s="555">
        <v>45908</v>
      </c>
      <c r="O584" s="556" t="s">
        <v>4565</v>
      </c>
      <c r="P584" s="556" t="s">
        <v>103</v>
      </c>
      <c r="Q584" s="549"/>
      <c r="R584" s="562">
        <v>45868</v>
      </c>
      <c r="S584" s="562" t="s">
        <v>96</v>
      </c>
      <c r="T584" s="562">
        <v>45876</v>
      </c>
      <c r="U584" s="562"/>
      <c r="V584" s="566" t="s">
        <v>4566</v>
      </c>
      <c r="W584" s="564" t="s">
        <v>794</v>
      </c>
      <c r="X584" s="564">
        <v>1.3031</v>
      </c>
      <c r="Y584" s="513">
        <f>X584*I584</f>
        <v>1172.79</v>
      </c>
      <c r="Z584" s="549" t="s">
        <v>1553</v>
      </c>
      <c r="AA584" s="549" t="s">
        <v>3236</v>
      </c>
      <c r="AB584" s="549" t="s">
        <v>76</v>
      </c>
      <c r="AC584" s="549"/>
      <c r="AD584" s="549"/>
      <c r="AE584" s="549"/>
      <c r="AF584" s="549">
        <v>900</v>
      </c>
      <c r="AG584" s="549">
        <f>AF584-I584</f>
        <v>0</v>
      </c>
      <c r="AH584" s="575"/>
      <c r="AI584" s="549"/>
      <c r="AJ584" s="549"/>
      <c r="AK584" s="549">
        <f>I584*2</f>
        <v>1800</v>
      </c>
      <c r="AN584" s="428">
        <f>I584*2</f>
        <v>1800</v>
      </c>
      <c r="AO584" s="578"/>
      <c r="AR584" s="568">
        <f>I584*2</f>
        <v>1800</v>
      </c>
      <c r="AT584" s="578"/>
      <c r="AY584" s="579">
        <f>I584/24*2</f>
        <v>75</v>
      </c>
      <c r="AZ584" s="577"/>
      <c r="BT584" s="578"/>
      <c r="BV584" s="578"/>
      <c r="CH584" s="428">
        <f>I584</f>
        <v>900</v>
      </c>
      <c r="CI584" s="428">
        <f>I584</f>
        <v>900</v>
      </c>
      <c r="CJ584" s="428">
        <f>I584</f>
        <v>900</v>
      </c>
      <c r="CK584" s="425">
        <f t="shared" si="184"/>
        <v>0</v>
      </c>
      <c r="CL584" s="428">
        <f t="shared" si="181"/>
        <v>0</v>
      </c>
      <c r="CM584" s="428">
        <f t="shared" si="182"/>
        <v>0</v>
      </c>
      <c r="CN584" s="578"/>
      <c r="CO584" s="578"/>
      <c r="CP584" s="578"/>
      <c r="CT584" s="578"/>
      <c r="CU584" s="578"/>
      <c r="CV584" s="578"/>
      <c r="CW584" s="578"/>
      <c r="CX584" s="578"/>
    </row>
    <row r="585" s="428" customFormat="1" ht="31" customHeight="1" spans="1:102">
      <c r="A585" s="547">
        <v>45678</v>
      </c>
      <c r="B585" s="548" t="s">
        <v>1372</v>
      </c>
      <c r="C585" s="539" t="s">
        <v>90</v>
      </c>
      <c r="D585" s="428">
        <v>4500156334</v>
      </c>
      <c r="E585" s="887" t="s">
        <v>1584</v>
      </c>
      <c r="F585" s="428" t="s">
        <v>1585</v>
      </c>
      <c r="G585" s="549" t="s">
        <v>819</v>
      </c>
      <c r="H585" s="549" t="s">
        <v>744</v>
      </c>
      <c r="I585" s="549">
        <v>72</v>
      </c>
      <c r="J585" s="549">
        <v>0</v>
      </c>
      <c r="K585" s="549">
        <v>1</v>
      </c>
      <c r="L585" s="554">
        <f t="shared" si="169"/>
        <v>72</v>
      </c>
      <c r="M585" s="555">
        <v>45915</v>
      </c>
      <c r="N585" s="555">
        <f>M585-4</f>
        <v>45911</v>
      </c>
      <c r="O585" s="556"/>
      <c r="P585" s="556" t="s">
        <v>103</v>
      </c>
      <c r="Q585" s="549" t="s">
        <v>4561</v>
      </c>
      <c r="R585" s="562">
        <v>45832</v>
      </c>
      <c r="S585" s="562" t="s">
        <v>66</v>
      </c>
      <c r="T585" s="562" t="s">
        <v>66</v>
      </c>
      <c r="U585" s="562"/>
      <c r="V585" s="566" t="s">
        <v>1471</v>
      </c>
      <c r="W585" s="564" t="s">
        <v>821</v>
      </c>
      <c r="X585" s="564">
        <v>0</v>
      </c>
      <c r="Y585" s="513">
        <f>X585*L585</f>
        <v>0</v>
      </c>
      <c r="Z585" s="539" t="s">
        <v>1586</v>
      </c>
      <c r="AA585" s="572" t="s">
        <v>1378</v>
      </c>
      <c r="AB585" s="549" t="s">
        <v>76</v>
      </c>
      <c r="AC585" s="549"/>
      <c r="AD585" s="549"/>
      <c r="AE585" s="549"/>
      <c r="AF585" s="549">
        <v>0</v>
      </c>
      <c r="AG585" s="549">
        <v>0</v>
      </c>
      <c r="AH585" s="575"/>
      <c r="AI585" s="549"/>
      <c r="AJ585" s="549"/>
      <c r="AK585" s="549"/>
      <c r="AO585" s="578"/>
      <c r="AT585" s="578"/>
      <c r="AY585" s="576"/>
      <c r="AZ585" s="577"/>
      <c r="BT585" s="578"/>
      <c r="BV585" s="578"/>
      <c r="CK585" s="425">
        <f t="shared" si="184"/>
        <v>0</v>
      </c>
      <c r="CL585" s="428">
        <f t="shared" si="181"/>
        <v>0</v>
      </c>
      <c r="CM585" s="428">
        <f t="shared" si="182"/>
        <v>0</v>
      </c>
      <c r="CN585" s="578"/>
      <c r="CO585" s="578"/>
      <c r="CP585" s="578"/>
      <c r="CT585" s="578"/>
      <c r="CU585" s="578"/>
      <c r="CV585" s="578"/>
      <c r="CW585" s="578"/>
      <c r="CX585" s="578"/>
    </row>
    <row r="586" s="428" customFormat="1" ht="31" customHeight="1" spans="1:102">
      <c r="A586" s="547">
        <v>45678</v>
      </c>
      <c r="B586" s="548" t="s">
        <v>1372</v>
      </c>
      <c r="C586" s="539" t="s">
        <v>90</v>
      </c>
      <c r="D586" s="428">
        <v>4500156334</v>
      </c>
      <c r="E586" s="887" t="s">
        <v>1584</v>
      </c>
      <c r="F586" s="428" t="s">
        <v>1585</v>
      </c>
      <c r="G586" s="549">
        <v>77711</v>
      </c>
      <c r="H586" s="549" t="s">
        <v>3151</v>
      </c>
      <c r="I586" s="549">
        <v>5400</v>
      </c>
      <c r="J586" s="549">
        <v>0</v>
      </c>
      <c r="K586" s="549">
        <v>75</v>
      </c>
      <c r="L586" s="554">
        <f t="shared" si="169"/>
        <v>72</v>
      </c>
      <c r="M586" s="555">
        <v>45915</v>
      </c>
      <c r="N586" s="555">
        <f>M586-4</f>
        <v>45911</v>
      </c>
      <c r="O586" s="556"/>
      <c r="P586" s="556" t="s">
        <v>103</v>
      </c>
      <c r="Q586" s="549" t="s">
        <v>4561</v>
      </c>
      <c r="R586" s="562">
        <v>45832</v>
      </c>
      <c r="S586" s="562" t="s">
        <v>66</v>
      </c>
      <c r="T586" s="562" t="s">
        <v>66</v>
      </c>
      <c r="U586" s="562"/>
      <c r="V586" s="566"/>
      <c r="W586" s="564" t="s">
        <v>821</v>
      </c>
      <c r="X586" s="564">
        <v>762.5</v>
      </c>
      <c r="Y586" s="513">
        <f>X586*L586</f>
        <v>54900</v>
      </c>
      <c r="Z586" s="539" t="s">
        <v>1586</v>
      </c>
      <c r="AA586" s="572" t="s">
        <v>1378</v>
      </c>
      <c r="AB586" s="549" t="s">
        <v>76</v>
      </c>
      <c r="AC586" s="549"/>
      <c r="AD586" s="549"/>
      <c r="AE586" s="549"/>
      <c r="AF586" s="549">
        <v>0</v>
      </c>
      <c r="AG586" s="549">
        <v>0</v>
      </c>
      <c r="AH586" s="575"/>
      <c r="AI586" s="549"/>
      <c r="AJ586" s="549"/>
      <c r="AK586" s="549">
        <f>I586*3</f>
        <v>16200</v>
      </c>
      <c r="AO586" s="578"/>
      <c r="AT586" s="578"/>
      <c r="AY586" s="576">
        <f>I586/24*3</f>
        <v>675</v>
      </c>
      <c r="AZ586" s="577"/>
      <c r="BC586" s="428">
        <f>AK586</f>
        <v>16200</v>
      </c>
      <c r="BD586" s="428">
        <f>AK586</f>
        <v>16200</v>
      </c>
      <c r="BE586" s="428">
        <f>I586</f>
        <v>5400</v>
      </c>
      <c r="BF586" s="428">
        <f>I586/5</f>
        <v>1080</v>
      </c>
      <c r="BT586" s="578"/>
      <c r="BV586" s="578"/>
      <c r="CK586" s="425">
        <f t="shared" si="184"/>
        <v>0</v>
      </c>
      <c r="CL586" s="428">
        <f t="shared" si="181"/>
        <v>0</v>
      </c>
      <c r="CM586" s="428">
        <f t="shared" si="182"/>
        <v>0</v>
      </c>
      <c r="CN586" s="578"/>
      <c r="CO586" s="578"/>
      <c r="CP586" s="578"/>
      <c r="CT586" s="578"/>
      <c r="CU586" s="578"/>
      <c r="CV586" s="578"/>
      <c r="CW586" s="578"/>
      <c r="CX586" s="578"/>
    </row>
    <row r="587" s="428" customFormat="1" ht="31" customHeight="1" spans="1:102">
      <c r="A587" s="547">
        <v>45895</v>
      </c>
      <c r="B587" s="548"/>
      <c r="C587" s="539"/>
      <c r="D587" s="428" t="s">
        <v>4568</v>
      </c>
      <c r="E587" s="539"/>
      <c r="G587" s="549" t="s">
        <v>3138</v>
      </c>
      <c r="H587" s="549" t="s">
        <v>3139</v>
      </c>
      <c r="I587" s="549">
        <v>1008</v>
      </c>
      <c r="J587" s="549">
        <v>0</v>
      </c>
      <c r="K587" s="549">
        <v>24</v>
      </c>
      <c r="L587" s="554">
        <f t="shared" si="169"/>
        <v>42</v>
      </c>
      <c r="M587" s="555">
        <v>45915</v>
      </c>
      <c r="N587" s="555">
        <v>45911</v>
      </c>
      <c r="O587" s="556"/>
      <c r="P587" s="556" t="s">
        <v>103</v>
      </c>
      <c r="Q587" s="549"/>
      <c r="R587" s="562">
        <v>45895</v>
      </c>
      <c r="S587" s="562" t="s">
        <v>66</v>
      </c>
      <c r="T587" s="562" t="s">
        <v>66</v>
      </c>
      <c r="U587" s="562"/>
      <c r="V587" s="564" t="s">
        <v>4569</v>
      </c>
      <c r="W587" s="564" t="s">
        <v>79</v>
      </c>
      <c r="X587" s="567"/>
      <c r="Y587" s="513"/>
      <c r="Z587" s="549"/>
      <c r="AA587" s="458" t="s">
        <v>3138</v>
      </c>
      <c r="AB587" s="549" t="s">
        <v>76</v>
      </c>
      <c r="AC587" s="549"/>
      <c r="AD587" s="549"/>
      <c r="AE587" s="549"/>
      <c r="AF587" s="549">
        <v>1008</v>
      </c>
      <c r="AG587" s="549">
        <f>AF587-I587</f>
        <v>0</v>
      </c>
      <c r="AH587" s="575"/>
      <c r="AI587" s="549"/>
      <c r="AJ587" s="549"/>
      <c r="AK587" s="549">
        <f>I587</f>
        <v>1008</v>
      </c>
      <c r="AL587" s="568"/>
      <c r="AM587" s="428">
        <f>I587</f>
        <v>1008</v>
      </c>
      <c r="AO587" s="578"/>
      <c r="AR587" s="428">
        <f>I587</f>
        <v>1008</v>
      </c>
      <c r="AT587" s="578"/>
      <c r="AY587" s="576">
        <f>I587/24</f>
        <v>42</v>
      </c>
      <c r="AZ587" s="577"/>
      <c r="BG587" s="549"/>
      <c r="BT587" s="578"/>
      <c r="BV587" s="578"/>
      <c r="CK587" s="425">
        <f t="shared" si="184"/>
        <v>0</v>
      </c>
      <c r="CL587" s="582">
        <f t="shared" si="181"/>
        <v>0</v>
      </c>
      <c r="CM587" s="582">
        <f t="shared" si="182"/>
        <v>0</v>
      </c>
      <c r="CN587" s="578"/>
      <c r="CO587" s="578"/>
      <c r="CP587" s="578"/>
      <c r="CT587" s="578"/>
      <c r="CU587" s="578"/>
      <c r="CV587" s="578"/>
      <c r="CW587" s="578"/>
      <c r="CX587" s="578"/>
    </row>
    <row r="588" s="428" customFormat="1" ht="31" customHeight="1" spans="1:91">
      <c r="A588" s="547">
        <v>45895</v>
      </c>
      <c r="B588" s="548"/>
      <c r="C588" s="539"/>
      <c r="D588" s="428" t="s">
        <v>4568</v>
      </c>
      <c r="E588" s="539"/>
      <c r="G588" s="549" t="s">
        <v>3143</v>
      </c>
      <c r="H588" s="549" t="s">
        <v>3144</v>
      </c>
      <c r="I588" s="549">
        <v>1008</v>
      </c>
      <c r="J588" s="549">
        <v>0</v>
      </c>
      <c r="K588" s="549">
        <v>24</v>
      </c>
      <c r="L588" s="554">
        <f t="shared" si="169"/>
        <v>42</v>
      </c>
      <c r="M588" s="555">
        <v>45915</v>
      </c>
      <c r="N588" s="555">
        <v>45911</v>
      </c>
      <c r="O588" s="556"/>
      <c r="P588" s="556" t="s">
        <v>103</v>
      </c>
      <c r="Q588" s="549"/>
      <c r="R588" s="565">
        <v>45895</v>
      </c>
      <c r="S588" s="562" t="s">
        <v>66</v>
      </c>
      <c r="T588" s="562" t="s">
        <v>66</v>
      </c>
      <c r="U588" s="562"/>
      <c r="V588" s="564" t="s">
        <v>4569</v>
      </c>
      <c r="W588" s="549" t="s">
        <v>79</v>
      </c>
      <c r="X588" s="568"/>
      <c r="AA588" s="458" t="s">
        <v>3143</v>
      </c>
      <c r="AB588" s="428" t="s">
        <v>76</v>
      </c>
      <c r="AD588" s="568"/>
      <c r="AE588" s="568"/>
      <c r="AF588" s="568">
        <f>984+24</f>
        <v>1008</v>
      </c>
      <c r="AG588" s="549">
        <f>AF588-I588</f>
        <v>0</v>
      </c>
      <c r="AI588" s="568"/>
      <c r="AJ588" s="568"/>
      <c r="AK588" s="576"/>
      <c r="AL588" s="577">
        <f>I588</f>
        <v>1008</v>
      </c>
      <c r="AQ588" s="428">
        <f>I588</f>
        <v>1008</v>
      </c>
      <c r="AS588" s="428">
        <f>I588</f>
        <v>1008</v>
      </c>
      <c r="AT588" s="578"/>
      <c r="AY588" s="498">
        <f>I588/24</f>
        <v>42</v>
      </c>
      <c r="CA588" s="578"/>
      <c r="CB588" s="578"/>
      <c r="CC588" s="578"/>
      <c r="CD588" s="578"/>
      <c r="CE588" s="578"/>
      <c r="CI588" s="578"/>
      <c r="CJ588" s="578"/>
      <c r="CK588" s="425">
        <f t="shared" si="184"/>
        <v>0</v>
      </c>
      <c r="CL588" s="425">
        <f t="shared" si="181"/>
        <v>0</v>
      </c>
      <c r="CM588" s="425">
        <f t="shared" si="182"/>
        <v>0</v>
      </c>
    </row>
    <row r="589" s="428" customFormat="1" ht="31" customHeight="1" spans="1:102">
      <c r="A589" s="547">
        <v>45789</v>
      </c>
      <c r="B589" s="548" t="s">
        <v>4169</v>
      </c>
      <c r="C589" s="539" t="s">
        <v>90</v>
      </c>
      <c r="D589" s="428">
        <v>4500164352</v>
      </c>
      <c r="E589" s="539" t="s">
        <v>4570</v>
      </c>
      <c r="F589" s="428" t="s">
        <v>4571</v>
      </c>
      <c r="G589" s="549" t="s">
        <v>3518</v>
      </c>
      <c r="H589" s="549" t="s">
        <v>3519</v>
      </c>
      <c r="I589" s="549">
        <v>19968</v>
      </c>
      <c r="J589" s="549">
        <v>0</v>
      </c>
      <c r="K589" s="549">
        <v>48</v>
      </c>
      <c r="L589" s="554">
        <f t="shared" si="169"/>
        <v>416</v>
      </c>
      <c r="M589" s="555">
        <v>45918</v>
      </c>
      <c r="N589" s="555">
        <v>45915</v>
      </c>
      <c r="O589" s="557" t="s">
        <v>4572</v>
      </c>
      <c r="P589" s="556" t="s">
        <v>103</v>
      </c>
      <c r="Q589" s="549"/>
      <c r="R589" s="562" t="s">
        <v>3980</v>
      </c>
      <c r="S589" s="562" t="s">
        <v>66</v>
      </c>
      <c r="T589" s="562" t="s">
        <v>66</v>
      </c>
      <c r="U589" s="562" t="s">
        <v>4413</v>
      </c>
      <c r="V589" s="566" t="s">
        <v>4573</v>
      </c>
      <c r="W589" s="564" t="s">
        <v>3983</v>
      </c>
      <c r="X589" s="567">
        <v>0.97</v>
      </c>
      <c r="Y589" s="513">
        <f>I589*X589</f>
        <v>19368.96</v>
      </c>
      <c r="Z589" s="549" t="s">
        <v>4574</v>
      </c>
      <c r="AA589" s="549" t="s">
        <v>3518</v>
      </c>
      <c r="AB589" s="549" t="s">
        <v>76</v>
      </c>
      <c r="AC589" s="549"/>
      <c r="AD589" s="549"/>
      <c r="AE589" s="549"/>
      <c r="AF589" s="549">
        <f>11952+7968+48</f>
        <v>19968</v>
      </c>
      <c r="AG589" s="458">
        <f>AF589-I589</f>
        <v>0</v>
      </c>
      <c r="AH589" s="575"/>
      <c r="AI589" s="549"/>
      <c r="AJ589" s="549"/>
      <c r="AK589" s="458">
        <f>I589</f>
        <v>19968</v>
      </c>
      <c r="AO589" s="578"/>
      <c r="AR589" s="568">
        <f t="shared" ref="AR589:AR591" si="185">I589</f>
        <v>19968</v>
      </c>
      <c r="AT589" s="578"/>
      <c r="AY589" s="576">
        <f>I589/24</f>
        <v>832</v>
      </c>
      <c r="AZ589" s="577">
        <f>I589</f>
        <v>19968</v>
      </c>
      <c r="BO589" s="425">
        <f>I589/8</f>
        <v>2496</v>
      </c>
      <c r="BT589" s="578"/>
      <c r="BV589" s="578"/>
      <c r="CK589" s="425">
        <f t="shared" si="184"/>
        <v>0</v>
      </c>
      <c r="CL589" s="428">
        <f t="shared" si="181"/>
        <v>0</v>
      </c>
      <c r="CM589" s="428">
        <f t="shared" si="182"/>
        <v>0</v>
      </c>
      <c r="CN589" s="578"/>
      <c r="CO589" s="578"/>
      <c r="CP589" s="578"/>
      <c r="CT589" s="578"/>
      <c r="CU589" s="578"/>
      <c r="CV589" s="578"/>
      <c r="CW589" s="578"/>
      <c r="CX589" s="578"/>
    </row>
    <row r="590" s="428" customFormat="1" ht="31" customHeight="1" spans="1:102">
      <c r="A590" s="547">
        <v>45683</v>
      </c>
      <c r="B590" s="548" t="s">
        <v>1587</v>
      </c>
      <c r="C590" s="539" t="s">
        <v>90</v>
      </c>
      <c r="D590" s="428">
        <v>4500156471</v>
      </c>
      <c r="E590" s="539">
        <v>86468</v>
      </c>
      <c r="F590" s="428" t="s">
        <v>4575</v>
      </c>
      <c r="G590" s="549" t="s">
        <v>3150</v>
      </c>
      <c r="H590" s="549" t="s">
        <v>3151</v>
      </c>
      <c r="I590" s="549">
        <v>2236</v>
      </c>
      <c r="J590" s="549">
        <v>0</v>
      </c>
      <c r="K590" s="549">
        <v>52</v>
      </c>
      <c r="L590" s="554">
        <f t="shared" si="169"/>
        <v>43</v>
      </c>
      <c r="M590" s="558">
        <v>45918</v>
      </c>
      <c r="N590" s="558">
        <v>45915</v>
      </c>
      <c r="O590" s="556"/>
      <c r="P590" s="556" t="s">
        <v>103</v>
      </c>
      <c r="Q590" s="549"/>
      <c r="R590" s="562" t="s">
        <v>4576</v>
      </c>
      <c r="S590" s="562" t="s">
        <v>96</v>
      </c>
      <c r="T590" s="562">
        <v>45869</v>
      </c>
      <c r="U590" s="562"/>
      <c r="V590" s="566" t="s">
        <v>4577</v>
      </c>
      <c r="W590" s="564" t="s">
        <v>1590</v>
      </c>
      <c r="X590" s="569">
        <v>0.5536</v>
      </c>
      <c r="Y590" s="573">
        <f>X590*I590</f>
        <v>1237.8496</v>
      </c>
      <c r="Z590" s="549" t="s">
        <v>1591</v>
      </c>
      <c r="AA590" s="549" t="s">
        <v>3150</v>
      </c>
      <c r="AB590" s="549" t="s">
        <v>76</v>
      </c>
      <c r="AC590" s="549"/>
      <c r="AD590" s="549"/>
      <c r="AE590" s="549"/>
      <c r="AF590" s="549">
        <f>2236</f>
        <v>2236</v>
      </c>
      <c r="AG590" s="549">
        <f>AF590-I590</f>
        <v>0</v>
      </c>
      <c r="AH590" s="575"/>
      <c r="AI590" s="549"/>
      <c r="AJ590" s="549"/>
      <c r="AK590" s="549">
        <f t="shared" ref="AK589:AK591" si="186">I590</f>
        <v>2236</v>
      </c>
      <c r="AM590" s="428">
        <f>I590</f>
        <v>2236</v>
      </c>
      <c r="AO590" s="578"/>
      <c r="AR590" s="552">
        <f t="shared" si="185"/>
        <v>2236</v>
      </c>
      <c r="AT590" s="578"/>
      <c r="AY590" s="576">
        <f>I590/24</f>
        <v>93.1666666666667</v>
      </c>
      <c r="AZ590" s="577"/>
      <c r="BG590" s="425">
        <f>I590/13</f>
        <v>172</v>
      </c>
      <c r="BT590" s="578"/>
      <c r="BV590" s="578"/>
      <c r="CK590" s="425">
        <f t="shared" si="184"/>
        <v>0</v>
      </c>
      <c r="CL590" s="425">
        <f t="shared" si="181"/>
        <v>0</v>
      </c>
      <c r="CM590" s="425">
        <f t="shared" si="182"/>
        <v>0</v>
      </c>
      <c r="CN590" s="578"/>
      <c r="CO590" s="578"/>
      <c r="CP590" s="578"/>
      <c r="CT590" s="578"/>
      <c r="CU590" s="578"/>
      <c r="CV590" s="578"/>
      <c r="CW590" s="578"/>
      <c r="CX590" s="578"/>
    </row>
    <row r="591" s="428" customFormat="1" ht="31" customHeight="1" spans="1:102">
      <c r="A591" s="547">
        <v>45880</v>
      </c>
      <c r="B591" s="548" t="s">
        <v>338</v>
      </c>
      <c r="C591" s="539" t="s">
        <v>90</v>
      </c>
      <c r="D591" s="428">
        <v>4500176521</v>
      </c>
      <c r="E591" s="539" t="s">
        <v>1649</v>
      </c>
      <c r="F591" s="428" t="s">
        <v>4578</v>
      </c>
      <c r="G591" s="549" t="s">
        <v>3154</v>
      </c>
      <c r="H591" s="549" t="s">
        <v>3151</v>
      </c>
      <c r="I591" s="549">
        <v>4800</v>
      </c>
      <c r="J591" s="549">
        <v>0</v>
      </c>
      <c r="K591" s="549">
        <v>50</v>
      </c>
      <c r="L591" s="554">
        <f t="shared" si="169"/>
        <v>96</v>
      </c>
      <c r="M591" s="555">
        <v>45918</v>
      </c>
      <c r="N591" s="555">
        <v>45915</v>
      </c>
      <c r="O591" s="556"/>
      <c r="P591" s="556" t="s">
        <v>103</v>
      </c>
      <c r="Q591" s="549"/>
      <c r="R591" s="562">
        <v>45888</v>
      </c>
      <c r="S591" s="562" t="s">
        <v>66</v>
      </c>
      <c r="T591" s="562" t="s">
        <v>66</v>
      </c>
      <c r="U591" s="562"/>
      <c r="V591" s="564" t="s">
        <v>1651</v>
      </c>
      <c r="W591" s="564" t="s">
        <v>1652</v>
      </c>
      <c r="X591" s="564">
        <v>0.5704</v>
      </c>
      <c r="Y591" s="513">
        <f>X591*I591</f>
        <v>2737.92</v>
      </c>
      <c r="Z591" s="549" t="s">
        <v>1653</v>
      </c>
      <c r="AA591" s="549" t="s">
        <v>3154</v>
      </c>
      <c r="AB591" s="549" t="s">
        <v>76</v>
      </c>
      <c r="AC591" s="549"/>
      <c r="AD591" s="549"/>
      <c r="AE591" s="549"/>
      <c r="AF591" s="549">
        <v>4800</v>
      </c>
      <c r="AG591" s="549">
        <v>0</v>
      </c>
      <c r="AH591" s="575"/>
      <c r="AI591" s="549"/>
      <c r="AJ591" s="549"/>
      <c r="AK591" s="549">
        <f t="shared" si="186"/>
        <v>4800</v>
      </c>
      <c r="AM591" s="428">
        <f>I591</f>
        <v>4800</v>
      </c>
      <c r="AO591" s="578"/>
      <c r="AR591" s="428">
        <f t="shared" si="185"/>
        <v>4800</v>
      </c>
      <c r="AT591" s="578"/>
      <c r="AY591" s="576">
        <f>I591/24</f>
        <v>200</v>
      </c>
      <c r="AZ591" s="577"/>
      <c r="BJ591" s="425">
        <f>I591/25</f>
        <v>192</v>
      </c>
      <c r="BT591" s="578"/>
      <c r="BV591" s="578"/>
      <c r="CK591" s="425">
        <f t="shared" si="184"/>
        <v>192</v>
      </c>
      <c r="CL591" s="428">
        <f t="shared" si="181"/>
        <v>0</v>
      </c>
      <c r="CM591" s="428">
        <f t="shared" si="182"/>
        <v>0</v>
      </c>
      <c r="CN591" s="578"/>
      <c r="CO591" s="578"/>
      <c r="CP591" s="578"/>
      <c r="CT591" s="578"/>
      <c r="CU591" s="578"/>
      <c r="CV591" s="578"/>
      <c r="CW591" s="578"/>
      <c r="CX591" s="578"/>
    </row>
    <row r="592" s="428" customFormat="1" ht="31" customHeight="1" spans="1:102">
      <c r="A592" s="547">
        <v>45881</v>
      </c>
      <c r="B592" s="548" t="s">
        <v>1595</v>
      </c>
      <c r="C592" s="539" t="s">
        <v>139</v>
      </c>
      <c r="D592" s="428">
        <v>4500176746</v>
      </c>
      <c r="E592" s="539">
        <v>4400502983</v>
      </c>
      <c r="F592" s="428" t="s">
        <v>4579</v>
      </c>
      <c r="G592" s="549" t="s">
        <v>3165</v>
      </c>
      <c r="H592" s="549" t="s">
        <v>3303</v>
      </c>
      <c r="I592" s="549">
        <v>2500</v>
      </c>
      <c r="J592" s="549">
        <v>0</v>
      </c>
      <c r="K592" s="549">
        <v>25</v>
      </c>
      <c r="L592" s="554">
        <f t="shared" si="169"/>
        <v>100</v>
      </c>
      <c r="M592" s="555">
        <v>45918</v>
      </c>
      <c r="N592" s="555">
        <v>45915</v>
      </c>
      <c r="O592" s="556"/>
      <c r="P592" s="556" t="s">
        <v>103</v>
      </c>
      <c r="Q592" s="549"/>
      <c r="R592" s="562">
        <v>45881</v>
      </c>
      <c r="S592" s="562" t="s">
        <v>66</v>
      </c>
      <c r="T592" s="562" t="s">
        <v>3846</v>
      </c>
      <c r="U592" s="562"/>
      <c r="V592" s="564" t="s">
        <v>4580</v>
      </c>
      <c r="W592" s="564" t="s">
        <v>1424</v>
      </c>
      <c r="X592" s="564">
        <v>0.9417</v>
      </c>
      <c r="Y592" s="513">
        <f>X592*I592</f>
        <v>2354.25</v>
      </c>
      <c r="Z592" s="549" t="s">
        <v>4581</v>
      </c>
      <c r="AA592" s="549" t="s">
        <v>3188</v>
      </c>
      <c r="AB592" s="549" t="s">
        <v>76</v>
      </c>
      <c r="AC592" s="549"/>
      <c r="AD592" s="549"/>
      <c r="AE592" s="549"/>
      <c r="AF592" s="549">
        <v>2500</v>
      </c>
      <c r="AG592" s="549">
        <f>AF592-I592</f>
        <v>0</v>
      </c>
      <c r="AH592" s="575"/>
      <c r="AI592" s="549"/>
      <c r="AJ592" s="549"/>
      <c r="AK592" s="549"/>
      <c r="AL592" s="568">
        <f>I592</f>
        <v>2500</v>
      </c>
      <c r="AO592" s="578"/>
      <c r="AS592" s="568">
        <f>I592</f>
        <v>2500</v>
      </c>
      <c r="AT592" s="578"/>
      <c r="AY592" s="576">
        <f>I592/24*2</f>
        <v>208.333333333333</v>
      </c>
      <c r="AZ592" s="577"/>
      <c r="BB592" s="428">
        <f>I592</f>
        <v>2500</v>
      </c>
      <c r="BL592" s="425">
        <f>I592/25</f>
        <v>100</v>
      </c>
      <c r="BT592" s="578"/>
      <c r="BV592" s="578"/>
      <c r="CK592" s="425">
        <f t="shared" si="184"/>
        <v>100</v>
      </c>
      <c r="CL592" s="428">
        <f t="shared" si="181"/>
        <v>0</v>
      </c>
      <c r="CM592" s="428">
        <f t="shared" si="182"/>
        <v>0</v>
      </c>
      <c r="CN592" s="578"/>
      <c r="CO592" s="578"/>
      <c r="CP592" s="578"/>
      <c r="CT592" s="578"/>
      <c r="CU592" s="578"/>
      <c r="CV592" s="578"/>
      <c r="CW592" s="578"/>
      <c r="CX592" s="578"/>
    </row>
    <row r="593" s="429" customFormat="1" ht="31" customHeight="1" spans="1:102">
      <c r="A593" s="547">
        <v>45877</v>
      </c>
      <c r="B593" s="548" t="s">
        <v>1769</v>
      </c>
      <c r="C593" s="539" t="s">
        <v>139</v>
      </c>
      <c r="D593" s="428">
        <v>4500176320</v>
      </c>
      <c r="E593" s="539">
        <v>5200007402</v>
      </c>
      <c r="F593" s="428" t="s">
        <v>4582</v>
      </c>
      <c r="G593" s="551" t="s">
        <v>3231</v>
      </c>
      <c r="H593" s="549" t="s">
        <v>3207</v>
      </c>
      <c r="I593" s="549">
        <v>1209</v>
      </c>
      <c r="J593" s="549">
        <v>0</v>
      </c>
      <c r="K593" s="549">
        <v>13</v>
      </c>
      <c r="L593" s="554">
        <f t="shared" si="169"/>
        <v>93</v>
      </c>
      <c r="M593" s="555">
        <v>45919</v>
      </c>
      <c r="N593" s="555">
        <v>45915</v>
      </c>
      <c r="O593" s="556"/>
      <c r="P593" s="556" t="s">
        <v>103</v>
      </c>
      <c r="Q593" s="549"/>
      <c r="R593" s="562">
        <v>45887</v>
      </c>
      <c r="S593" s="562" t="s">
        <v>66</v>
      </c>
      <c r="T593" s="562" t="s">
        <v>3232</v>
      </c>
      <c r="U593" s="562"/>
      <c r="V593" s="548" t="s">
        <v>4583</v>
      </c>
      <c r="W593" s="564" t="s">
        <v>4584</v>
      </c>
      <c r="X593" s="567">
        <v>0.8947</v>
      </c>
      <c r="Y593" s="513">
        <f t="shared" ref="Y593:Y610" si="187">X593*I593</f>
        <v>1081.6923</v>
      </c>
      <c r="Z593" s="549"/>
      <c r="AA593" s="549" t="s">
        <v>3206</v>
      </c>
      <c r="AB593" s="549" t="s">
        <v>76</v>
      </c>
      <c r="AC593" s="549"/>
      <c r="AD593" s="549"/>
      <c r="AE593" s="549"/>
      <c r="AF593" s="549">
        <v>1209</v>
      </c>
      <c r="AG593" s="549">
        <f t="shared" ref="AG593:AG614" si="188">AF593-I593</f>
        <v>0</v>
      </c>
      <c r="AH593" s="575"/>
      <c r="AI593" s="549"/>
      <c r="AJ593" s="549"/>
      <c r="AK593" s="549"/>
      <c r="AL593" s="568">
        <f t="shared" ref="AL593:AL600" si="189">I593</f>
        <v>1209</v>
      </c>
      <c r="AM593" s="428"/>
      <c r="AN593" s="428"/>
      <c r="AO593" s="578"/>
      <c r="AP593" s="428"/>
      <c r="AQ593" s="428">
        <f t="shared" ref="AQ593:AQ600" si="190">I593</f>
        <v>1209</v>
      </c>
      <c r="AR593" s="568"/>
      <c r="AS593" s="568">
        <f>I593</f>
        <v>1209</v>
      </c>
      <c r="AT593" s="578"/>
      <c r="AU593" s="428"/>
      <c r="AV593" s="428"/>
      <c r="AW593" s="428"/>
      <c r="AX593" s="428"/>
      <c r="AY593" s="576">
        <f>I593/24</f>
        <v>50.375</v>
      </c>
      <c r="AZ593" s="577"/>
      <c r="BA593" s="428"/>
      <c r="BB593" s="428"/>
      <c r="BC593" s="428"/>
      <c r="BD593" s="428"/>
      <c r="BE593" s="428"/>
      <c r="BF593" s="428"/>
      <c r="BG593" s="428"/>
      <c r="BH593" s="428"/>
      <c r="BI593" s="425">
        <f>I593/13</f>
        <v>93</v>
      </c>
      <c r="BJ593" s="428"/>
      <c r="BK593" s="428"/>
      <c r="BL593" s="428"/>
      <c r="BM593" s="428"/>
      <c r="BN593" s="428"/>
      <c r="BO593" s="428"/>
      <c r="BP593" s="428"/>
      <c r="BQ593" s="428"/>
      <c r="BR593" s="428"/>
      <c r="BS593" s="428"/>
      <c r="BT593" s="578"/>
      <c r="BU593" s="428"/>
      <c r="BV593" s="578"/>
      <c r="BW593" s="428"/>
      <c r="BX593" s="428"/>
      <c r="BY593" s="428"/>
      <c r="BZ593" s="428"/>
      <c r="CA593" s="428"/>
      <c r="CB593" s="428"/>
      <c r="CC593" s="428"/>
      <c r="CD593" s="428"/>
      <c r="CE593" s="428"/>
      <c r="CF593" s="428"/>
      <c r="CG593" s="428"/>
      <c r="CH593" s="428"/>
      <c r="CI593" s="428"/>
      <c r="CJ593" s="428"/>
      <c r="CK593" s="425">
        <f t="shared" si="184"/>
        <v>0</v>
      </c>
      <c r="CL593" s="428">
        <f t="shared" ref="CL593:CL614" si="191">CA593+CB593+CC593+CD593+CE593+CG593+CF593</f>
        <v>0</v>
      </c>
      <c r="CM593" s="428">
        <f t="shared" ref="CM593:CM614" si="192">BY593+BZ593</f>
        <v>0</v>
      </c>
      <c r="CN593" s="583"/>
      <c r="CO593" s="583"/>
      <c r="CP593" s="583"/>
      <c r="CT593" s="583"/>
      <c r="CU593" s="583"/>
      <c r="CV593" s="583"/>
      <c r="CW593" s="583"/>
      <c r="CX593" s="583"/>
    </row>
    <row r="594" s="429" customFormat="1" ht="31" customHeight="1" spans="1:102">
      <c r="A594" s="547">
        <v>45883</v>
      </c>
      <c r="B594" s="548" t="s">
        <v>398</v>
      </c>
      <c r="C594" s="539" t="s">
        <v>356</v>
      </c>
      <c r="D594" s="428">
        <v>4500176886</v>
      </c>
      <c r="E594" s="539"/>
      <c r="F594" s="428" t="s">
        <v>4585</v>
      </c>
      <c r="G594" s="551" t="s">
        <v>3206</v>
      </c>
      <c r="H594" s="549" t="s">
        <v>3207</v>
      </c>
      <c r="I594" s="549">
        <v>4199</v>
      </c>
      <c r="J594" s="549">
        <v>0</v>
      </c>
      <c r="K594" s="549">
        <v>13</v>
      </c>
      <c r="L594" s="554">
        <f t="shared" si="169"/>
        <v>323</v>
      </c>
      <c r="M594" s="555">
        <v>45919</v>
      </c>
      <c r="N594" s="555">
        <v>45915</v>
      </c>
      <c r="O594" s="556"/>
      <c r="P594" s="556" t="s">
        <v>103</v>
      </c>
      <c r="Q594" s="549"/>
      <c r="R594" s="562">
        <v>45884</v>
      </c>
      <c r="S594" s="562" t="s">
        <v>66</v>
      </c>
      <c r="T594" s="562" t="s">
        <v>4586</v>
      </c>
      <c r="U594" s="562"/>
      <c r="V594" s="548" t="s">
        <v>4587</v>
      </c>
      <c r="W594" s="564" t="s">
        <v>395</v>
      </c>
      <c r="X594" s="567">
        <v>0.9116</v>
      </c>
      <c r="Y594" s="513">
        <f t="shared" si="187"/>
        <v>3827.8084</v>
      </c>
      <c r="Z594" s="549" t="s">
        <v>1635</v>
      </c>
      <c r="AA594" s="549" t="s">
        <v>3206</v>
      </c>
      <c r="AB594" s="549" t="s">
        <v>76</v>
      </c>
      <c r="AC594" s="549"/>
      <c r="AD594" s="549"/>
      <c r="AE594" s="549"/>
      <c r="AF594" s="549">
        <v>4199</v>
      </c>
      <c r="AG594" s="549">
        <f t="shared" si="188"/>
        <v>0</v>
      </c>
      <c r="AH594" s="575"/>
      <c r="AI594" s="549"/>
      <c r="AJ594" s="549"/>
      <c r="AK594" s="549"/>
      <c r="AL594" s="568">
        <f t="shared" si="189"/>
        <v>4199</v>
      </c>
      <c r="AM594" s="428"/>
      <c r="AN594" s="428"/>
      <c r="AO594" s="578"/>
      <c r="AP594" s="428"/>
      <c r="AQ594" s="428">
        <f t="shared" si="190"/>
        <v>4199</v>
      </c>
      <c r="AR594" s="568"/>
      <c r="AS594" s="568">
        <f>I594</f>
        <v>4199</v>
      </c>
      <c r="AT594" s="578"/>
      <c r="AU594" s="428"/>
      <c r="AV594" s="428"/>
      <c r="AW594" s="428"/>
      <c r="AX594" s="428"/>
      <c r="AY594" s="576">
        <f>I594/24</f>
        <v>174.958333333333</v>
      </c>
      <c r="AZ594" s="577"/>
      <c r="BA594" s="428"/>
      <c r="BB594" s="428"/>
      <c r="BC594" s="428"/>
      <c r="BD594" s="428"/>
      <c r="BE594" s="428"/>
      <c r="BF594" s="428"/>
      <c r="BG594" s="428"/>
      <c r="BH594" s="428"/>
      <c r="BI594" s="425">
        <f>I594/13</f>
        <v>323</v>
      </c>
      <c r="BJ594" s="428"/>
      <c r="BK594" s="428"/>
      <c r="BL594" s="428"/>
      <c r="BM594" s="428"/>
      <c r="BN594" s="428"/>
      <c r="BO594" s="428"/>
      <c r="BP594" s="428"/>
      <c r="BQ594" s="428"/>
      <c r="BR594" s="428"/>
      <c r="BS594" s="428"/>
      <c r="BT594" s="578"/>
      <c r="BU594" s="428"/>
      <c r="BV594" s="578"/>
      <c r="BW594" s="428"/>
      <c r="BX594" s="428"/>
      <c r="BY594" s="428"/>
      <c r="BZ594" s="428"/>
      <c r="CA594" s="428"/>
      <c r="CB594" s="428"/>
      <c r="CC594" s="428"/>
      <c r="CD594" s="428"/>
      <c r="CE594" s="428"/>
      <c r="CF594" s="428"/>
      <c r="CG594" s="428"/>
      <c r="CH594" s="428"/>
      <c r="CI594" s="428"/>
      <c r="CJ594" s="428"/>
      <c r="CK594" s="425">
        <f t="shared" si="184"/>
        <v>0</v>
      </c>
      <c r="CL594" s="428">
        <f t="shared" si="191"/>
        <v>0</v>
      </c>
      <c r="CM594" s="428">
        <f t="shared" si="192"/>
        <v>0</v>
      </c>
      <c r="CN594" s="583"/>
      <c r="CO594" s="583"/>
      <c r="CP594" s="583"/>
      <c r="CT594" s="583"/>
      <c r="CU594" s="583"/>
      <c r="CV594" s="583"/>
      <c r="CW594" s="583"/>
      <c r="CX594" s="583"/>
    </row>
    <row r="595" s="429" customFormat="1" ht="31" customHeight="1" spans="1:102">
      <c r="A595" s="547">
        <v>45883</v>
      </c>
      <c r="B595" s="548" t="s">
        <v>398</v>
      </c>
      <c r="C595" s="539" t="s">
        <v>356</v>
      </c>
      <c r="D595" s="428">
        <v>4500176886</v>
      </c>
      <c r="E595" s="539"/>
      <c r="F595" s="428" t="s">
        <v>1636</v>
      </c>
      <c r="G595" s="551" t="s">
        <v>3436</v>
      </c>
      <c r="H595" s="549" t="s">
        <v>424</v>
      </c>
      <c r="I595" s="549">
        <v>420</v>
      </c>
      <c r="J595" s="549">
        <v>0</v>
      </c>
      <c r="K595" s="549">
        <v>6</v>
      </c>
      <c r="L595" s="554">
        <f t="shared" si="169"/>
        <v>70</v>
      </c>
      <c r="M595" s="555">
        <v>45920</v>
      </c>
      <c r="N595" s="555">
        <v>45916</v>
      </c>
      <c r="O595" s="556"/>
      <c r="P595" s="556" t="s">
        <v>103</v>
      </c>
      <c r="Q595" s="549"/>
      <c r="R595" s="562">
        <v>45884</v>
      </c>
      <c r="S595" s="562" t="s">
        <v>66</v>
      </c>
      <c r="T595" s="562">
        <v>45889</v>
      </c>
      <c r="U595" s="562"/>
      <c r="V595" s="548" t="s">
        <v>4588</v>
      </c>
      <c r="W595" s="564" t="s">
        <v>395</v>
      </c>
      <c r="X595" s="567">
        <v>7.1628</v>
      </c>
      <c r="Y595" s="513">
        <f t="shared" si="187"/>
        <v>3008.376</v>
      </c>
      <c r="Z595" s="549" t="s">
        <v>1635</v>
      </c>
      <c r="AA595" s="549" t="s">
        <v>427</v>
      </c>
      <c r="AB595" s="549" t="s">
        <v>76</v>
      </c>
      <c r="AC595" s="549"/>
      <c r="AD595" s="549"/>
      <c r="AE595" s="549"/>
      <c r="AF595" s="549"/>
      <c r="AG595" s="549">
        <f t="shared" si="188"/>
        <v>-420</v>
      </c>
      <c r="AH595" s="575"/>
      <c r="AI595" s="549"/>
      <c r="AJ595" s="549"/>
      <c r="AK595" s="549"/>
      <c r="AL595" s="568">
        <f>I595*2</f>
        <v>840</v>
      </c>
      <c r="AM595" s="428"/>
      <c r="AN595" s="428"/>
      <c r="AO595" s="578"/>
      <c r="AP595" s="428"/>
      <c r="AQ595" s="428">
        <f>AL595</f>
        <v>840</v>
      </c>
      <c r="AR595" s="568"/>
      <c r="AS595" s="428">
        <f>AL595</f>
        <v>840</v>
      </c>
      <c r="AT595" s="578"/>
      <c r="AU595" s="428"/>
      <c r="AV595" s="428"/>
      <c r="AW595" s="428"/>
      <c r="AX595" s="428"/>
      <c r="AY595" s="576">
        <f>I595/24*2</f>
        <v>35</v>
      </c>
      <c r="AZ595" s="577"/>
      <c r="BA595" s="428"/>
      <c r="BB595" s="428"/>
      <c r="BC595" s="428"/>
      <c r="BD595" s="428"/>
      <c r="BE595" s="428"/>
      <c r="BF595" s="428"/>
      <c r="BG595" s="428"/>
      <c r="BH595" s="428"/>
      <c r="BI595" s="428"/>
      <c r="BJ595" s="428"/>
      <c r="BK595" s="428"/>
      <c r="BL595" s="428"/>
      <c r="BM595" s="428"/>
      <c r="BN595" s="428"/>
      <c r="BO595" s="428"/>
      <c r="BP595" s="428"/>
      <c r="BQ595" s="428"/>
      <c r="BR595" s="428"/>
      <c r="BS595" s="428"/>
      <c r="BT595" s="495"/>
      <c r="BU595" s="425">
        <f>I595</f>
        <v>420</v>
      </c>
      <c r="BV595" s="578"/>
      <c r="BW595" s="428"/>
      <c r="BX595" s="428"/>
      <c r="BY595" s="428"/>
      <c r="BZ595" s="428"/>
      <c r="CA595" s="428"/>
      <c r="CB595" s="428"/>
      <c r="CC595" s="428"/>
      <c r="CD595" s="428"/>
      <c r="CE595" s="428"/>
      <c r="CF595" s="428"/>
      <c r="CG595" s="428"/>
      <c r="CH595" s="428"/>
      <c r="CI595" s="428"/>
      <c r="CJ595" s="428"/>
      <c r="CK595" s="425">
        <f t="shared" si="184"/>
        <v>0</v>
      </c>
      <c r="CL595" s="428">
        <f t="shared" si="191"/>
        <v>0</v>
      </c>
      <c r="CM595" s="428">
        <f t="shared" si="192"/>
        <v>0</v>
      </c>
      <c r="CN595" s="583"/>
      <c r="CO595" s="583"/>
      <c r="CP595" s="583"/>
      <c r="CT595" s="583"/>
      <c r="CU595" s="583"/>
      <c r="CV595" s="583"/>
      <c r="CW595" s="583"/>
      <c r="CX595" s="583"/>
    </row>
    <row r="596" s="429" customFormat="1" ht="31" customHeight="1" spans="1:102">
      <c r="A596" s="547">
        <v>45881</v>
      </c>
      <c r="B596" s="548" t="s">
        <v>1595</v>
      </c>
      <c r="C596" s="539" t="s">
        <v>139</v>
      </c>
      <c r="D596" s="428">
        <v>4500176744</v>
      </c>
      <c r="E596" s="539">
        <v>4400502972</v>
      </c>
      <c r="F596" s="428" t="s">
        <v>4589</v>
      </c>
      <c r="G596" s="551" t="s">
        <v>3165</v>
      </c>
      <c r="H596" s="549" t="s">
        <v>3303</v>
      </c>
      <c r="I596" s="549">
        <v>2500</v>
      </c>
      <c r="J596" s="549">
        <v>0</v>
      </c>
      <c r="K596" s="549">
        <v>25</v>
      </c>
      <c r="L596" s="554">
        <f t="shared" si="169"/>
        <v>100</v>
      </c>
      <c r="M596" s="555">
        <v>45920</v>
      </c>
      <c r="N596" s="555">
        <v>45916</v>
      </c>
      <c r="O596" s="556"/>
      <c r="P596" s="556" t="s">
        <v>103</v>
      </c>
      <c r="Q596" s="549"/>
      <c r="R596" s="562">
        <v>45881</v>
      </c>
      <c r="S596" s="562" t="s">
        <v>66</v>
      </c>
      <c r="T596" s="562" t="s">
        <v>3846</v>
      </c>
      <c r="U596" s="562"/>
      <c r="V596" s="548" t="s">
        <v>4580</v>
      </c>
      <c r="W596" s="564" t="s">
        <v>1424</v>
      </c>
      <c r="X596" s="564">
        <v>0.9417</v>
      </c>
      <c r="Y596" s="513">
        <f t="shared" si="187"/>
        <v>2354.25</v>
      </c>
      <c r="Z596" s="549" t="s">
        <v>4590</v>
      </c>
      <c r="AA596" s="549" t="s">
        <v>3188</v>
      </c>
      <c r="AB596" s="549" t="s">
        <v>76</v>
      </c>
      <c r="AC596" s="549"/>
      <c r="AD596" s="549"/>
      <c r="AE596" s="549"/>
      <c r="AF596" s="549">
        <v>2500</v>
      </c>
      <c r="AG596" s="549">
        <f t="shared" si="188"/>
        <v>0</v>
      </c>
      <c r="AH596" s="575"/>
      <c r="AI596" s="549"/>
      <c r="AJ596" s="549"/>
      <c r="AK596" s="549"/>
      <c r="AL596" s="568">
        <f t="shared" si="189"/>
        <v>2500</v>
      </c>
      <c r="AM596" s="428"/>
      <c r="AN596" s="428"/>
      <c r="AO596" s="578"/>
      <c r="AP596" s="428"/>
      <c r="AQ596" s="428"/>
      <c r="AR596" s="568"/>
      <c r="AS596" s="568">
        <f>I596</f>
        <v>2500</v>
      </c>
      <c r="AT596" s="578"/>
      <c r="AU596" s="428"/>
      <c r="AV596" s="428"/>
      <c r="AW596" s="428"/>
      <c r="AX596" s="428"/>
      <c r="AY596" s="576">
        <f>I596/24*2</f>
        <v>208.333333333333</v>
      </c>
      <c r="AZ596" s="577"/>
      <c r="BA596" s="428"/>
      <c r="BB596" s="428">
        <f>I596</f>
        <v>2500</v>
      </c>
      <c r="BC596" s="428"/>
      <c r="BD596" s="428"/>
      <c r="BE596" s="428"/>
      <c r="BF596" s="428"/>
      <c r="BG596" s="428"/>
      <c r="BH596" s="428"/>
      <c r="BI596" s="428"/>
      <c r="BJ596" s="428"/>
      <c r="BK596" s="428"/>
      <c r="BL596" s="425">
        <f>I596/25</f>
        <v>100</v>
      </c>
      <c r="BM596" s="428"/>
      <c r="BN596" s="428"/>
      <c r="BO596" s="428"/>
      <c r="BP596" s="428"/>
      <c r="BQ596" s="428"/>
      <c r="BR596" s="428"/>
      <c r="BS596" s="428"/>
      <c r="BT596" s="578"/>
      <c r="BU596" s="428"/>
      <c r="BV596" s="578"/>
      <c r="BW596" s="428"/>
      <c r="BX596" s="428"/>
      <c r="BY596" s="428"/>
      <c r="BZ596" s="428"/>
      <c r="CA596" s="428"/>
      <c r="CB596" s="428"/>
      <c r="CC596" s="428"/>
      <c r="CD596" s="428"/>
      <c r="CE596" s="428"/>
      <c r="CF596" s="428"/>
      <c r="CG596" s="428"/>
      <c r="CH596" s="428"/>
      <c r="CI596" s="428"/>
      <c r="CJ596" s="428"/>
      <c r="CK596" s="425">
        <f t="shared" si="184"/>
        <v>100</v>
      </c>
      <c r="CL596" s="428">
        <f t="shared" si="191"/>
        <v>0</v>
      </c>
      <c r="CM596" s="428">
        <f t="shared" si="192"/>
        <v>0</v>
      </c>
      <c r="CN596" s="583"/>
      <c r="CO596" s="583"/>
      <c r="CP596" s="583"/>
      <c r="CT596" s="583"/>
      <c r="CU596" s="583"/>
      <c r="CV596" s="583"/>
      <c r="CW596" s="583"/>
      <c r="CX596" s="583"/>
    </row>
    <row r="597" s="429" customFormat="1" ht="31" customHeight="1" spans="1:102">
      <c r="A597" s="547">
        <v>45887</v>
      </c>
      <c r="B597" s="548" t="s">
        <v>280</v>
      </c>
      <c r="C597" s="539" t="s">
        <v>249</v>
      </c>
      <c r="D597" s="428">
        <v>4500177198</v>
      </c>
      <c r="E597" s="539" t="s">
        <v>4591</v>
      </c>
      <c r="F597" s="428" t="s">
        <v>4592</v>
      </c>
      <c r="G597" s="551" t="s">
        <v>3158</v>
      </c>
      <c r="H597" s="549" t="s">
        <v>3159</v>
      </c>
      <c r="I597" s="549">
        <v>4680</v>
      </c>
      <c r="J597" s="549">
        <v>0</v>
      </c>
      <c r="K597" s="549">
        <v>52</v>
      </c>
      <c r="L597" s="554">
        <f t="shared" si="169"/>
        <v>90</v>
      </c>
      <c r="M597" s="555">
        <v>45922</v>
      </c>
      <c r="N597" s="555">
        <v>45918</v>
      </c>
      <c r="O597" s="556"/>
      <c r="P597" s="556" t="s">
        <v>103</v>
      </c>
      <c r="Q597" s="549"/>
      <c r="R597" s="562">
        <v>45887</v>
      </c>
      <c r="S597" s="562" t="s">
        <v>66</v>
      </c>
      <c r="T597" s="562">
        <v>45889</v>
      </c>
      <c r="U597" s="562"/>
      <c r="V597" s="548" t="s">
        <v>4593</v>
      </c>
      <c r="W597" s="564" t="s">
        <v>4594</v>
      </c>
      <c r="X597" s="567">
        <v>0.9129</v>
      </c>
      <c r="Y597" s="513">
        <f t="shared" si="187"/>
        <v>4272.372</v>
      </c>
      <c r="Z597" s="549"/>
      <c r="AA597" s="549" t="s">
        <v>3158</v>
      </c>
      <c r="AB597" s="549" t="s">
        <v>76</v>
      </c>
      <c r="AC597" s="549"/>
      <c r="AD597" s="549"/>
      <c r="AE597" s="549"/>
      <c r="AF597" s="549">
        <v>4680</v>
      </c>
      <c r="AG597" s="549">
        <f t="shared" si="188"/>
        <v>0</v>
      </c>
      <c r="AH597" s="575"/>
      <c r="AI597" s="549"/>
      <c r="AJ597" s="549"/>
      <c r="AK597" s="549"/>
      <c r="AL597" s="568">
        <f t="shared" si="189"/>
        <v>4680</v>
      </c>
      <c r="AM597" s="428"/>
      <c r="AN597" s="428"/>
      <c r="AO597" s="578"/>
      <c r="AP597" s="428"/>
      <c r="AQ597" s="428">
        <f>I597</f>
        <v>4680</v>
      </c>
      <c r="AR597" s="568"/>
      <c r="AS597" s="568">
        <f>I597</f>
        <v>4680</v>
      </c>
      <c r="AT597" s="578"/>
      <c r="AU597" s="428"/>
      <c r="AV597" s="428"/>
      <c r="AW597" s="428"/>
      <c r="AX597" s="428"/>
      <c r="AY597" s="580">
        <f>I597/24*2</f>
        <v>390</v>
      </c>
      <c r="AZ597" s="577"/>
      <c r="BA597" s="428"/>
      <c r="BB597" s="428"/>
      <c r="BC597" s="428"/>
      <c r="BD597" s="428"/>
      <c r="BE597" s="428"/>
      <c r="BF597" s="428"/>
      <c r="BG597" s="428"/>
      <c r="BH597" s="428"/>
      <c r="BI597" s="425">
        <f>I597/13</f>
        <v>360</v>
      </c>
      <c r="BJ597" s="428"/>
      <c r="BK597" s="428"/>
      <c r="BL597" s="428"/>
      <c r="BM597" s="428"/>
      <c r="BN597" s="428"/>
      <c r="BO597" s="428"/>
      <c r="BP597" s="428"/>
      <c r="BQ597" s="428"/>
      <c r="BR597" s="428"/>
      <c r="BS597" s="428"/>
      <c r="BT597" s="578"/>
      <c r="BU597" s="428"/>
      <c r="BV597" s="578"/>
      <c r="BW597" s="428"/>
      <c r="BX597" s="428"/>
      <c r="BY597" s="428"/>
      <c r="BZ597" s="428"/>
      <c r="CA597" s="428"/>
      <c r="CB597" s="428"/>
      <c r="CC597" s="428"/>
      <c r="CD597" s="428"/>
      <c r="CE597" s="428"/>
      <c r="CF597" s="428"/>
      <c r="CG597" s="428"/>
      <c r="CH597" s="428"/>
      <c r="CI597" s="428"/>
      <c r="CJ597" s="428"/>
      <c r="CK597" s="425">
        <f t="shared" si="184"/>
        <v>0</v>
      </c>
      <c r="CL597" s="428">
        <f t="shared" si="191"/>
        <v>0</v>
      </c>
      <c r="CM597" s="428">
        <f t="shared" si="192"/>
        <v>0</v>
      </c>
      <c r="CN597" s="583"/>
      <c r="CO597" s="583"/>
      <c r="CP597" s="583"/>
      <c r="CT597" s="583"/>
      <c r="CU597" s="583"/>
      <c r="CV597" s="583"/>
      <c r="CW597" s="583"/>
      <c r="CX597" s="583"/>
    </row>
    <row r="598" s="428" customFormat="1" ht="31" customHeight="1" spans="1:102">
      <c r="A598" s="547">
        <v>45881</v>
      </c>
      <c r="B598" s="548" t="s">
        <v>3210</v>
      </c>
      <c r="C598" s="539" t="s">
        <v>116</v>
      </c>
      <c r="D598" s="428">
        <v>4500176603</v>
      </c>
      <c r="E598" s="539" t="s">
        <v>4595</v>
      </c>
      <c r="F598" s="428" t="s">
        <v>4596</v>
      </c>
      <c r="G598" s="551" t="s">
        <v>3213</v>
      </c>
      <c r="H598" s="549" t="s">
        <v>3214</v>
      </c>
      <c r="I598" s="549">
        <v>1500</v>
      </c>
      <c r="J598" s="549">
        <v>0</v>
      </c>
      <c r="K598" s="549">
        <v>6</v>
      </c>
      <c r="L598" s="554">
        <f t="shared" ref="L598:L624" si="193">I598/K598</f>
        <v>250</v>
      </c>
      <c r="M598" s="555">
        <v>45923</v>
      </c>
      <c r="N598" s="555">
        <v>45919</v>
      </c>
      <c r="O598" s="556"/>
      <c r="P598" s="556" t="s">
        <v>103</v>
      </c>
      <c r="Q598" s="549"/>
      <c r="R598" s="562" t="s">
        <v>4597</v>
      </c>
      <c r="S598" s="562" t="s">
        <v>66</v>
      </c>
      <c r="T598" s="562" t="s">
        <v>4598</v>
      </c>
      <c r="U598" s="562"/>
      <c r="V598" s="563" t="s">
        <v>4599</v>
      </c>
      <c r="W598" s="564" t="s">
        <v>1602</v>
      </c>
      <c r="X598" s="564">
        <v>1.0006</v>
      </c>
      <c r="Y598" s="513">
        <f t="shared" si="187"/>
        <v>1500.9</v>
      </c>
      <c r="Z598" s="549" t="s">
        <v>4600</v>
      </c>
      <c r="AA598" s="549" t="s">
        <v>3213</v>
      </c>
      <c r="AB598" s="549" t="s">
        <v>76</v>
      </c>
      <c r="AC598" s="549"/>
      <c r="AD598" s="549"/>
      <c r="AE598" s="549"/>
      <c r="AF598" s="549">
        <v>1500</v>
      </c>
      <c r="AG598" s="549">
        <f t="shared" si="188"/>
        <v>0</v>
      </c>
      <c r="AH598" s="575"/>
      <c r="AI598" s="549"/>
      <c r="AJ598" s="549"/>
      <c r="AK598" s="549"/>
      <c r="AL598" s="568">
        <f t="shared" si="189"/>
        <v>1500</v>
      </c>
      <c r="AO598" s="578"/>
      <c r="AQ598" s="428">
        <f t="shared" si="190"/>
        <v>1500</v>
      </c>
      <c r="AR598" s="568"/>
      <c r="AS598" s="568">
        <f>I598</f>
        <v>1500</v>
      </c>
      <c r="AT598" s="578"/>
      <c r="AY598" s="576">
        <f>I598/24</f>
        <v>62.5</v>
      </c>
      <c r="AZ598" s="577"/>
      <c r="BP598" s="428">
        <f>I598/6</f>
        <v>250</v>
      </c>
      <c r="BT598" s="578"/>
      <c r="BV598" s="578"/>
      <c r="CK598" s="425">
        <f t="shared" si="184"/>
        <v>0</v>
      </c>
      <c r="CL598" s="428">
        <f t="shared" si="191"/>
        <v>0</v>
      </c>
      <c r="CM598" s="428">
        <f t="shared" si="192"/>
        <v>0</v>
      </c>
      <c r="CN598" s="578"/>
      <c r="CO598" s="578"/>
      <c r="CP598" s="578"/>
      <c r="CT598" s="578"/>
      <c r="CU598" s="578"/>
      <c r="CV598" s="578"/>
      <c r="CW598" s="578"/>
      <c r="CX598" s="578"/>
    </row>
    <row r="599" s="428" customFormat="1" ht="31" customHeight="1" spans="1:102">
      <c r="A599" s="547">
        <v>45881</v>
      </c>
      <c r="B599" s="548" t="s">
        <v>3210</v>
      </c>
      <c r="C599" s="539" t="s">
        <v>116</v>
      </c>
      <c r="D599" s="428">
        <v>4500176603</v>
      </c>
      <c r="E599" s="539" t="s">
        <v>4601</v>
      </c>
      <c r="F599" s="428" t="s">
        <v>4602</v>
      </c>
      <c r="G599" s="551" t="s">
        <v>3213</v>
      </c>
      <c r="H599" s="549" t="s">
        <v>3214</v>
      </c>
      <c r="I599" s="549">
        <v>750</v>
      </c>
      <c r="J599" s="549">
        <v>0</v>
      </c>
      <c r="K599" s="549">
        <v>6</v>
      </c>
      <c r="L599" s="554">
        <f t="shared" si="193"/>
        <v>125</v>
      </c>
      <c r="M599" s="555">
        <v>45923</v>
      </c>
      <c r="N599" s="555">
        <v>45919</v>
      </c>
      <c r="O599" s="556"/>
      <c r="P599" s="556" t="s">
        <v>103</v>
      </c>
      <c r="Q599" s="549"/>
      <c r="R599" s="562" t="s">
        <v>4597</v>
      </c>
      <c r="S599" s="562" t="s">
        <v>66</v>
      </c>
      <c r="T599" s="562" t="s">
        <v>4598</v>
      </c>
      <c r="U599" s="562"/>
      <c r="V599" s="563" t="s">
        <v>4599</v>
      </c>
      <c r="W599" s="564" t="s">
        <v>1602</v>
      </c>
      <c r="X599" s="564">
        <v>1.0006</v>
      </c>
      <c r="Y599" s="513">
        <f t="shared" si="187"/>
        <v>750.45</v>
      </c>
      <c r="Z599" s="549" t="s">
        <v>4600</v>
      </c>
      <c r="AA599" s="549" t="s">
        <v>3213</v>
      </c>
      <c r="AB599" s="549" t="s">
        <v>76</v>
      </c>
      <c r="AC599" s="549"/>
      <c r="AD599" s="549"/>
      <c r="AE599" s="549"/>
      <c r="AF599" s="549">
        <v>750</v>
      </c>
      <c r="AG599" s="549">
        <f t="shared" si="188"/>
        <v>0</v>
      </c>
      <c r="AH599" s="575"/>
      <c r="AI599" s="549"/>
      <c r="AJ599" s="549"/>
      <c r="AK599" s="549"/>
      <c r="AL599" s="568">
        <f t="shared" si="189"/>
        <v>750</v>
      </c>
      <c r="AO599" s="578"/>
      <c r="AQ599" s="428">
        <f t="shared" si="190"/>
        <v>750</v>
      </c>
      <c r="AR599" s="568"/>
      <c r="AS599" s="568">
        <f>I599</f>
        <v>750</v>
      </c>
      <c r="AT599" s="578"/>
      <c r="AY599" s="576">
        <f>I599/24</f>
        <v>31.25</v>
      </c>
      <c r="AZ599" s="577"/>
      <c r="BP599" s="428">
        <f>I599/6</f>
        <v>125</v>
      </c>
      <c r="BT599" s="578"/>
      <c r="BV599" s="578"/>
      <c r="CK599" s="425">
        <f t="shared" si="184"/>
        <v>0</v>
      </c>
      <c r="CL599" s="428">
        <f t="shared" si="191"/>
        <v>0</v>
      </c>
      <c r="CM599" s="428">
        <f t="shared" si="192"/>
        <v>0</v>
      </c>
      <c r="CN599" s="578"/>
      <c r="CO599" s="578"/>
      <c r="CP599" s="578"/>
      <c r="CT599" s="578"/>
      <c r="CU599" s="578"/>
      <c r="CV599" s="578"/>
      <c r="CW599" s="578"/>
      <c r="CX599" s="578"/>
    </row>
    <row r="600" s="428" customFormat="1" ht="31" customHeight="1" spans="1:102">
      <c r="A600" s="547">
        <v>45881</v>
      </c>
      <c r="B600" s="548" t="s">
        <v>3210</v>
      </c>
      <c r="C600" s="539" t="s">
        <v>116</v>
      </c>
      <c r="D600" s="428">
        <v>4500176603</v>
      </c>
      <c r="E600" s="539" t="s">
        <v>4603</v>
      </c>
      <c r="F600" s="428" t="s">
        <v>4604</v>
      </c>
      <c r="G600" s="551" t="s">
        <v>3213</v>
      </c>
      <c r="H600" s="549" t="s">
        <v>3214</v>
      </c>
      <c r="I600" s="549">
        <v>750</v>
      </c>
      <c r="J600" s="549">
        <v>0</v>
      </c>
      <c r="K600" s="549">
        <v>6</v>
      </c>
      <c r="L600" s="554">
        <f t="shared" si="193"/>
        <v>125</v>
      </c>
      <c r="M600" s="555">
        <v>45923</v>
      </c>
      <c r="N600" s="555">
        <v>45919</v>
      </c>
      <c r="O600" s="556"/>
      <c r="P600" s="556" t="s">
        <v>103</v>
      </c>
      <c r="Q600" s="549"/>
      <c r="R600" s="562" t="s">
        <v>4597</v>
      </c>
      <c r="S600" s="562" t="s">
        <v>66</v>
      </c>
      <c r="T600" s="562" t="s">
        <v>4598</v>
      </c>
      <c r="U600" s="562"/>
      <c r="V600" s="563" t="s">
        <v>4599</v>
      </c>
      <c r="W600" s="564" t="s">
        <v>1602</v>
      </c>
      <c r="X600" s="564">
        <v>1.0006</v>
      </c>
      <c r="Y600" s="513">
        <f t="shared" si="187"/>
        <v>750.45</v>
      </c>
      <c r="Z600" s="549" t="s">
        <v>4600</v>
      </c>
      <c r="AA600" s="549" t="s">
        <v>3213</v>
      </c>
      <c r="AB600" s="549" t="s">
        <v>76</v>
      </c>
      <c r="AC600" s="549"/>
      <c r="AD600" s="549"/>
      <c r="AE600" s="549"/>
      <c r="AF600" s="549">
        <v>750</v>
      </c>
      <c r="AG600" s="549">
        <f t="shared" si="188"/>
        <v>0</v>
      </c>
      <c r="AH600" s="575"/>
      <c r="AI600" s="549"/>
      <c r="AJ600" s="549"/>
      <c r="AK600" s="549"/>
      <c r="AL600" s="568">
        <f t="shared" si="189"/>
        <v>750</v>
      </c>
      <c r="AO600" s="578"/>
      <c r="AQ600" s="428">
        <f t="shared" si="190"/>
        <v>750</v>
      </c>
      <c r="AR600" s="568"/>
      <c r="AS600" s="568">
        <f>I600</f>
        <v>750</v>
      </c>
      <c r="AT600" s="578"/>
      <c r="AY600" s="576">
        <f>I600/24</f>
        <v>31.25</v>
      </c>
      <c r="AZ600" s="577"/>
      <c r="BP600" s="428">
        <f>I600/6</f>
        <v>125</v>
      </c>
      <c r="BT600" s="578"/>
      <c r="BV600" s="578"/>
      <c r="CK600" s="425">
        <f t="shared" si="184"/>
        <v>0</v>
      </c>
      <c r="CL600" s="428">
        <f t="shared" si="191"/>
        <v>0</v>
      </c>
      <c r="CM600" s="428">
        <f t="shared" si="192"/>
        <v>0</v>
      </c>
      <c r="CN600" s="578"/>
      <c r="CO600" s="578"/>
      <c r="CP600" s="578"/>
      <c r="CT600" s="578"/>
      <c r="CU600" s="578"/>
      <c r="CV600" s="578"/>
      <c r="CW600" s="578"/>
      <c r="CX600" s="578"/>
    </row>
    <row r="601" s="428" customFormat="1" ht="31" customHeight="1" spans="1:102">
      <c r="A601" s="547">
        <v>45897</v>
      </c>
      <c r="B601" s="548" t="s">
        <v>128</v>
      </c>
      <c r="C601" s="539" t="s">
        <v>90</v>
      </c>
      <c r="D601" s="428">
        <v>4500178130</v>
      </c>
      <c r="E601" s="887" t="s">
        <v>4605</v>
      </c>
      <c r="F601" s="428" t="s">
        <v>4606</v>
      </c>
      <c r="G601" s="551" t="s">
        <v>3180</v>
      </c>
      <c r="H601" s="549" t="s">
        <v>3181</v>
      </c>
      <c r="I601" s="549">
        <v>10528</v>
      </c>
      <c r="J601" s="549">
        <v>0</v>
      </c>
      <c r="K601" s="549">
        <v>16</v>
      </c>
      <c r="L601" s="554">
        <f t="shared" si="193"/>
        <v>658</v>
      </c>
      <c r="M601" s="555">
        <v>45923</v>
      </c>
      <c r="N601" s="555">
        <v>45919</v>
      </c>
      <c r="O601" s="556" t="s">
        <v>4607</v>
      </c>
      <c r="P601" s="556" t="s">
        <v>103</v>
      </c>
      <c r="Q601" s="549"/>
      <c r="R601" s="562" t="s">
        <v>4194</v>
      </c>
      <c r="S601" s="562" t="s">
        <v>66</v>
      </c>
      <c r="T601" s="562" t="s">
        <v>133</v>
      </c>
      <c r="U601" s="562"/>
      <c r="V601" s="548" t="s">
        <v>4328</v>
      </c>
      <c r="W601" s="564" t="s">
        <v>98</v>
      </c>
      <c r="X601" s="564">
        <v>0.5783</v>
      </c>
      <c r="Y601" s="513">
        <f t="shared" si="187"/>
        <v>6088.3424</v>
      </c>
      <c r="Z601" s="549" t="s">
        <v>4608</v>
      </c>
      <c r="AA601" s="549" t="s">
        <v>3180</v>
      </c>
      <c r="AB601" s="549" t="s">
        <v>76</v>
      </c>
      <c r="AC601" s="549"/>
      <c r="AD601" s="549"/>
      <c r="AE601" s="549"/>
      <c r="AF601" s="549">
        <f>16+10512</f>
        <v>10528</v>
      </c>
      <c r="AG601" s="549">
        <f t="shared" si="188"/>
        <v>0</v>
      </c>
      <c r="AH601" s="575"/>
      <c r="AI601" s="549"/>
      <c r="AJ601" s="549"/>
      <c r="AK601" s="549">
        <f>I601</f>
        <v>10528</v>
      </c>
      <c r="AL601" s="568"/>
      <c r="AM601" s="428">
        <f>I601</f>
        <v>10528</v>
      </c>
      <c r="AO601" s="578"/>
      <c r="AR601" s="428">
        <f>I601</f>
        <v>10528</v>
      </c>
      <c r="AT601" s="578"/>
      <c r="AY601" s="576">
        <f>I601/24</f>
        <v>438.666666666667</v>
      </c>
      <c r="BM601" s="428">
        <f>I601/16</f>
        <v>658</v>
      </c>
      <c r="BT601" s="578"/>
      <c r="BV601" s="578"/>
      <c r="CK601" s="425">
        <f t="shared" si="184"/>
        <v>658</v>
      </c>
      <c r="CL601" s="428">
        <f t="shared" si="191"/>
        <v>0</v>
      </c>
      <c r="CM601" s="428">
        <f t="shared" si="192"/>
        <v>0</v>
      </c>
      <c r="CN601" s="578"/>
      <c r="CO601" s="578"/>
      <c r="CP601" s="578"/>
      <c r="CT601" s="578"/>
      <c r="CU601" s="578"/>
      <c r="CV601" s="578"/>
      <c r="CW601" s="578"/>
      <c r="CX601" s="578"/>
    </row>
    <row r="602" s="428" customFormat="1" ht="31" customHeight="1" spans="1:102">
      <c r="A602" s="547">
        <v>45890</v>
      </c>
      <c r="B602" s="548" t="s">
        <v>202</v>
      </c>
      <c r="C602" s="539" t="s">
        <v>203</v>
      </c>
      <c r="D602" s="428">
        <v>4500177525</v>
      </c>
      <c r="E602" s="539" t="s">
        <v>4609</v>
      </c>
      <c r="F602" s="428" t="s">
        <v>4610</v>
      </c>
      <c r="G602" s="549" t="s">
        <v>3158</v>
      </c>
      <c r="H602" s="549" t="s">
        <v>3159</v>
      </c>
      <c r="I602" s="549">
        <v>3640</v>
      </c>
      <c r="J602" s="549">
        <v>0</v>
      </c>
      <c r="K602" s="549">
        <v>52</v>
      </c>
      <c r="L602" s="554">
        <f t="shared" si="193"/>
        <v>70</v>
      </c>
      <c r="M602" s="558">
        <v>45923</v>
      </c>
      <c r="N602" s="558">
        <v>45919</v>
      </c>
      <c r="O602" s="556"/>
      <c r="P602" s="556" t="s">
        <v>103</v>
      </c>
      <c r="Q602" s="549" t="s">
        <v>4611</v>
      </c>
      <c r="R602" s="562">
        <v>45891</v>
      </c>
      <c r="S602" s="562" t="s">
        <v>66</v>
      </c>
      <c r="T602" s="562" t="s">
        <v>4612</v>
      </c>
      <c r="U602" s="562"/>
      <c r="V602" s="566" t="s">
        <v>4613</v>
      </c>
      <c r="W602" s="564" t="s">
        <v>207</v>
      </c>
      <c r="X602" s="567">
        <v>0.9129</v>
      </c>
      <c r="Y602" s="513">
        <f t="shared" si="187"/>
        <v>3322.956</v>
      </c>
      <c r="Z602" s="549" t="s">
        <v>4614</v>
      </c>
      <c r="AA602" s="549" t="s">
        <v>3158</v>
      </c>
      <c r="AB602" s="549" t="s">
        <v>76</v>
      </c>
      <c r="AC602" s="549"/>
      <c r="AD602" s="549"/>
      <c r="AE602" s="549"/>
      <c r="AF602" s="549">
        <v>3640</v>
      </c>
      <c r="AG602" s="549">
        <f t="shared" si="188"/>
        <v>0</v>
      </c>
      <c r="AH602" s="575"/>
      <c r="AI602" s="549"/>
      <c r="AJ602" s="549"/>
      <c r="AK602" s="549"/>
      <c r="AL602" s="568">
        <f>I602</f>
        <v>3640</v>
      </c>
      <c r="AO602" s="578"/>
      <c r="AQ602" s="428">
        <f>I602</f>
        <v>3640</v>
      </c>
      <c r="AR602" s="568"/>
      <c r="AS602" s="568">
        <f>I602</f>
        <v>3640</v>
      </c>
      <c r="AT602" s="578"/>
      <c r="AY602" s="580">
        <f>I602/24*2</f>
        <v>303.333333333333</v>
      </c>
      <c r="AZ602" s="577"/>
      <c r="BI602" s="425">
        <f>I602/13</f>
        <v>280</v>
      </c>
      <c r="BT602" s="578"/>
      <c r="BV602" s="578"/>
      <c r="CK602" s="425">
        <f t="shared" si="184"/>
        <v>0</v>
      </c>
      <c r="CL602" s="428">
        <f t="shared" si="191"/>
        <v>0</v>
      </c>
      <c r="CM602" s="428">
        <f t="shared" si="192"/>
        <v>0</v>
      </c>
      <c r="CN602" s="578"/>
      <c r="CO602" s="578"/>
      <c r="CP602" s="578"/>
      <c r="CT602" s="578"/>
      <c r="CU602" s="578"/>
      <c r="CV602" s="578"/>
      <c r="CW602" s="578"/>
      <c r="CX602" s="578"/>
    </row>
    <row r="603" s="428" customFormat="1" ht="31" customHeight="1" spans="1:102">
      <c r="A603" s="547">
        <v>45883</v>
      </c>
      <c r="B603" s="548" t="s">
        <v>845</v>
      </c>
      <c r="C603" s="539" t="s">
        <v>271</v>
      </c>
      <c r="D603" s="428">
        <v>4500176964</v>
      </c>
      <c r="E603" s="539">
        <v>4400503841</v>
      </c>
      <c r="F603" s="428" t="s">
        <v>4615</v>
      </c>
      <c r="G603" s="549" t="s">
        <v>3165</v>
      </c>
      <c r="H603" s="549" t="s">
        <v>3303</v>
      </c>
      <c r="I603" s="549">
        <v>1000</v>
      </c>
      <c r="J603" s="549">
        <v>0</v>
      </c>
      <c r="K603" s="549">
        <v>25</v>
      </c>
      <c r="L603" s="554">
        <f t="shared" si="193"/>
        <v>40</v>
      </c>
      <c r="M603" s="555">
        <v>45924</v>
      </c>
      <c r="N603" s="555">
        <v>45920</v>
      </c>
      <c r="O603" s="556"/>
      <c r="P603" s="556" t="s">
        <v>103</v>
      </c>
      <c r="Q603" s="549"/>
      <c r="R603" s="562">
        <v>45881</v>
      </c>
      <c r="S603" s="562" t="s">
        <v>66</v>
      </c>
      <c r="T603" s="562" t="s">
        <v>3846</v>
      </c>
      <c r="U603" s="562"/>
      <c r="V603" s="564" t="s">
        <v>4616</v>
      </c>
      <c r="W603" s="564" t="s">
        <v>1424</v>
      </c>
      <c r="X603" s="564">
        <v>0.9417</v>
      </c>
      <c r="Y603" s="513">
        <f t="shared" si="187"/>
        <v>941.7</v>
      </c>
      <c r="Z603" s="539" t="s">
        <v>1656</v>
      </c>
      <c r="AA603" s="549" t="s">
        <v>3188</v>
      </c>
      <c r="AB603" s="549" t="s">
        <v>76</v>
      </c>
      <c r="AC603" s="549"/>
      <c r="AD603" s="549"/>
      <c r="AE603" s="549"/>
      <c r="AF603" s="549">
        <f>975+25</f>
        <v>1000</v>
      </c>
      <c r="AG603" s="549">
        <f t="shared" si="188"/>
        <v>0</v>
      </c>
      <c r="AH603" s="575"/>
      <c r="AI603" s="549"/>
      <c r="AJ603" s="549"/>
      <c r="AK603" s="549"/>
      <c r="AL603" s="568">
        <f>I603</f>
        <v>1000</v>
      </c>
      <c r="AO603" s="578"/>
      <c r="AR603" s="568"/>
      <c r="AS603" s="568">
        <f>I603</f>
        <v>1000</v>
      </c>
      <c r="AT603" s="578"/>
      <c r="AY603" s="576">
        <f>I603/24*2</f>
        <v>83.3333333333333</v>
      </c>
      <c r="AZ603" s="577"/>
      <c r="BB603" s="428">
        <f>I603</f>
        <v>1000</v>
      </c>
      <c r="BL603" s="425">
        <f>I603/25</f>
        <v>40</v>
      </c>
      <c r="BT603" s="578"/>
      <c r="BV603" s="578"/>
      <c r="CK603" s="425">
        <f t="shared" si="184"/>
        <v>40</v>
      </c>
      <c r="CL603" s="428">
        <f t="shared" si="191"/>
        <v>0</v>
      </c>
      <c r="CM603" s="428">
        <f t="shared" si="192"/>
        <v>0</v>
      </c>
      <c r="CN603" s="578"/>
      <c r="CO603" s="578"/>
      <c r="CP603" s="578"/>
      <c r="CT603" s="578"/>
      <c r="CU603" s="578"/>
      <c r="CV603" s="578"/>
      <c r="CW603" s="578"/>
      <c r="CX603" s="578"/>
    </row>
    <row r="604" s="428" customFormat="1" ht="31" customHeight="1" spans="1:102">
      <c r="A604" s="547">
        <v>45887</v>
      </c>
      <c r="B604" s="548" t="s">
        <v>220</v>
      </c>
      <c r="C604" s="539" t="s">
        <v>90</v>
      </c>
      <c r="D604" s="428">
        <v>4500177142</v>
      </c>
      <c r="E604" s="539" t="s">
        <v>1700</v>
      </c>
      <c r="F604" s="428" t="s">
        <v>4617</v>
      </c>
      <c r="G604" s="549" t="s">
        <v>3198</v>
      </c>
      <c r="H604" s="549" t="s">
        <v>3303</v>
      </c>
      <c r="I604" s="549">
        <v>100000</v>
      </c>
      <c r="J604" s="549">
        <v>0</v>
      </c>
      <c r="K604" s="549">
        <v>25</v>
      </c>
      <c r="L604" s="554">
        <f t="shared" si="193"/>
        <v>4000</v>
      </c>
      <c r="M604" s="555">
        <v>45925</v>
      </c>
      <c r="N604" s="555">
        <v>45922</v>
      </c>
      <c r="O604" s="556"/>
      <c r="P604" s="556" t="s">
        <v>103</v>
      </c>
      <c r="Q604" s="549"/>
      <c r="R604" s="562">
        <v>45894</v>
      </c>
      <c r="S604" s="570" t="s">
        <v>96</v>
      </c>
      <c r="T604" s="562">
        <v>45903</v>
      </c>
      <c r="U604" s="562"/>
      <c r="V604" s="564" t="s">
        <v>4618</v>
      </c>
      <c r="W604" s="564" t="s">
        <v>226</v>
      </c>
      <c r="X604" s="567">
        <v>0.5455</v>
      </c>
      <c r="Y604" s="513">
        <f t="shared" si="187"/>
        <v>54550</v>
      </c>
      <c r="Z604" s="574" t="s">
        <v>4619</v>
      </c>
      <c r="AA604" s="549" t="s">
        <v>3198</v>
      </c>
      <c r="AB604" s="549" t="s">
        <v>76</v>
      </c>
      <c r="AC604" s="549"/>
      <c r="AD604" s="549"/>
      <c r="AE604" s="549"/>
      <c r="AF604" s="549">
        <f>82500+17500</f>
        <v>100000</v>
      </c>
      <c r="AG604" s="549">
        <f t="shared" si="188"/>
        <v>0</v>
      </c>
      <c r="AH604" s="575"/>
      <c r="AI604" s="549"/>
      <c r="AJ604" s="549"/>
      <c r="AK604" s="549">
        <f>I604</f>
        <v>100000</v>
      </c>
      <c r="AL604" s="568"/>
      <c r="AM604" s="428">
        <f>I604</f>
        <v>100000</v>
      </c>
      <c r="AO604" s="578"/>
      <c r="AR604" s="428">
        <f>I604</f>
        <v>100000</v>
      </c>
      <c r="AS604" s="568"/>
      <c r="AT604" s="578"/>
      <c r="AY604" s="576">
        <f>I604/24</f>
        <v>4166.66666666667</v>
      </c>
      <c r="AZ604" s="577"/>
      <c r="BJ604" s="425">
        <f>I604/25</f>
        <v>4000</v>
      </c>
      <c r="BT604" s="578"/>
      <c r="BV604" s="578"/>
      <c r="CK604" s="425">
        <f t="shared" si="184"/>
        <v>4000</v>
      </c>
      <c r="CL604" s="428">
        <f t="shared" si="191"/>
        <v>0</v>
      </c>
      <c r="CM604" s="428">
        <f t="shared" si="192"/>
        <v>0</v>
      </c>
      <c r="CN604" s="578"/>
      <c r="CO604" s="578"/>
      <c r="CP604" s="578"/>
      <c r="CT604" s="578"/>
      <c r="CU604" s="578"/>
      <c r="CV604" s="578"/>
      <c r="CW604" s="578"/>
      <c r="CX604" s="578"/>
    </row>
    <row r="605" s="428" customFormat="1" ht="31" customHeight="1" spans="1:102">
      <c r="A605" s="547">
        <v>45887</v>
      </c>
      <c r="B605" s="548" t="s">
        <v>1724</v>
      </c>
      <c r="C605" s="539" t="s">
        <v>1725</v>
      </c>
      <c r="D605" s="428">
        <v>4500177210</v>
      </c>
      <c r="E605" s="539" t="s">
        <v>1726</v>
      </c>
      <c r="F605" s="428" t="s">
        <v>4620</v>
      </c>
      <c r="G605" s="549" t="s">
        <v>3161</v>
      </c>
      <c r="H605" s="549" t="s">
        <v>3221</v>
      </c>
      <c r="I605" s="549">
        <v>2900</v>
      </c>
      <c r="J605" s="549">
        <v>0</v>
      </c>
      <c r="K605" s="549">
        <v>50</v>
      </c>
      <c r="L605" s="554">
        <f t="shared" si="193"/>
        <v>58</v>
      </c>
      <c r="M605" s="555">
        <v>45925</v>
      </c>
      <c r="N605" s="555">
        <v>45922</v>
      </c>
      <c r="O605" s="556"/>
      <c r="P605" s="556" t="s">
        <v>103</v>
      </c>
      <c r="Q605" s="549"/>
      <c r="R605" s="562">
        <v>45896</v>
      </c>
      <c r="S605" s="562" t="s">
        <v>66</v>
      </c>
      <c r="T605" s="562" t="s">
        <v>2121</v>
      </c>
      <c r="U605" s="562"/>
      <c r="V605" s="564" t="s">
        <v>1728</v>
      </c>
      <c r="W605" s="564" t="s">
        <v>473</v>
      </c>
      <c r="X605" s="564">
        <v>0.924</v>
      </c>
      <c r="Y605" s="513">
        <f t="shared" si="187"/>
        <v>2679.6</v>
      </c>
      <c r="Z605" s="549" t="s">
        <v>4621</v>
      </c>
      <c r="AA605" s="548" t="s">
        <v>3161</v>
      </c>
      <c r="AB605" s="549" t="s">
        <v>76</v>
      </c>
      <c r="AC605" s="549"/>
      <c r="AD605" s="549"/>
      <c r="AE605" s="549"/>
      <c r="AF605" s="549">
        <v>2900</v>
      </c>
      <c r="AG605" s="549">
        <f t="shared" si="188"/>
        <v>0</v>
      </c>
      <c r="AH605" s="575"/>
      <c r="AI605" s="549"/>
      <c r="AJ605" s="549"/>
      <c r="AK605" s="549"/>
      <c r="AL605" s="568">
        <f>I605</f>
        <v>2900</v>
      </c>
      <c r="AO605" s="578"/>
      <c r="AQ605" s="428">
        <f>I605</f>
        <v>2900</v>
      </c>
      <c r="AR605" s="568"/>
      <c r="AS605" s="568">
        <f>I605</f>
        <v>2900</v>
      </c>
      <c r="AT605" s="578"/>
      <c r="AY605" s="576">
        <f>I605/24</f>
        <v>120.833333333333</v>
      </c>
      <c r="AZ605" s="577"/>
      <c r="BL605" s="425">
        <f>I605/25</f>
        <v>116</v>
      </c>
      <c r="BT605" s="578"/>
      <c r="BV605" s="578"/>
      <c r="CK605" s="425">
        <f t="shared" si="184"/>
        <v>116</v>
      </c>
      <c r="CL605" s="428">
        <f t="shared" si="191"/>
        <v>0</v>
      </c>
      <c r="CM605" s="428">
        <f t="shared" si="192"/>
        <v>0</v>
      </c>
      <c r="CN605" s="578"/>
      <c r="CO605" s="578"/>
      <c r="CP605" s="578"/>
      <c r="CT605" s="578"/>
      <c r="CU605" s="578"/>
      <c r="CV605" s="578"/>
      <c r="CW605" s="578"/>
      <c r="CX605" s="578"/>
    </row>
    <row r="606" s="428" customFormat="1" ht="31" customHeight="1" spans="1:102">
      <c r="A606" s="547">
        <v>45888</v>
      </c>
      <c r="B606" s="548" t="s">
        <v>184</v>
      </c>
      <c r="C606" s="539" t="s">
        <v>90</v>
      </c>
      <c r="D606" s="428">
        <v>4500177336</v>
      </c>
      <c r="E606" s="539">
        <v>218057291</v>
      </c>
      <c r="F606" s="428" t="s">
        <v>4622</v>
      </c>
      <c r="G606" s="549" t="s">
        <v>3272</v>
      </c>
      <c r="H606" s="549" t="s">
        <v>3207</v>
      </c>
      <c r="I606" s="549">
        <v>3250</v>
      </c>
      <c r="J606" s="549">
        <v>0</v>
      </c>
      <c r="K606" s="549">
        <v>13</v>
      </c>
      <c r="L606" s="554">
        <f t="shared" si="193"/>
        <v>250</v>
      </c>
      <c r="M606" s="555">
        <v>45925</v>
      </c>
      <c r="N606" s="555">
        <v>45922</v>
      </c>
      <c r="O606" s="556"/>
      <c r="P606" s="556" t="s">
        <v>103</v>
      </c>
      <c r="Q606" s="549"/>
      <c r="R606" s="562">
        <v>45894</v>
      </c>
      <c r="S606" s="562" t="s">
        <v>66</v>
      </c>
      <c r="T606" s="562" t="s">
        <v>66</v>
      </c>
      <c r="U606" s="562"/>
      <c r="V606" s="564" t="s">
        <v>187</v>
      </c>
      <c r="W606" s="564" t="s">
        <v>1850</v>
      </c>
      <c r="X606" s="567">
        <v>0.5743</v>
      </c>
      <c r="Y606" s="513">
        <f t="shared" si="187"/>
        <v>1866.475</v>
      </c>
      <c r="Z606" s="549" t="s">
        <v>4623</v>
      </c>
      <c r="AA606" s="549" t="s">
        <v>3359</v>
      </c>
      <c r="AB606" s="549" t="s">
        <v>76</v>
      </c>
      <c r="AC606" s="549"/>
      <c r="AD606" s="549"/>
      <c r="AE606" s="549"/>
      <c r="AF606" s="549">
        <v>3250</v>
      </c>
      <c r="AG606" s="549">
        <f t="shared" si="188"/>
        <v>0</v>
      </c>
      <c r="AH606" s="575"/>
      <c r="AI606" s="549"/>
      <c r="AJ606" s="549"/>
      <c r="AK606" s="549">
        <f>I606</f>
        <v>3250</v>
      </c>
      <c r="AL606" s="568"/>
      <c r="AM606" s="428">
        <f>I606</f>
        <v>3250</v>
      </c>
      <c r="AO606" s="578"/>
      <c r="AR606" s="428">
        <f>I606</f>
        <v>3250</v>
      </c>
      <c r="AS606" s="568"/>
      <c r="AT606" s="578"/>
      <c r="AY606" s="576">
        <f>I606/24</f>
        <v>135.416666666667</v>
      </c>
      <c r="AZ606" s="577"/>
      <c r="BG606" s="425">
        <f>I606/13</f>
        <v>250</v>
      </c>
      <c r="BT606" s="578"/>
      <c r="BV606" s="578"/>
      <c r="CK606" s="425">
        <f t="shared" si="184"/>
        <v>0</v>
      </c>
      <c r="CL606" s="428">
        <f t="shared" si="191"/>
        <v>0</v>
      </c>
      <c r="CM606" s="428">
        <f t="shared" si="192"/>
        <v>0</v>
      </c>
      <c r="CN606" s="578"/>
      <c r="CO606" s="578"/>
      <c r="CP606" s="578"/>
      <c r="CT606" s="578"/>
      <c r="CU606" s="578"/>
      <c r="CV606" s="578"/>
      <c r="CW606" s="578"/>
      <c r="CX606" s="578"/>
    </row>
    <row r="607" s="428" customFormat="1" ht="31" customHeight="1" spans="1:102">
      <c r="A607" s="547">
        <v>45888</v>
      </c>
      <c r="B607" s="548" t="s">
        <v>184</v>
      </c>
      <c r="C607" s="539" t="s">
        <v>90</v>
      </c>
      <c r="D607" s="428">
        <v>4500177337</v>
      </c>
      <c r="E607" s="539">
        <v>218057317</v>
      </c>
      <c r="F607" s="428" t="s">
        <v>4624</v>
      </c>
      <c r="G607" s="549" t="s">
        <v>3272</v>
      </c>
      <c r="H607" s="549" t="s">
        <v>3207</v>
      </c>
      <c r="I607" s="549">
        <v>1755</v>
      </c>
      <c r="J607" s="549">
        <v>0</v>
      </c>
      <c r="K607" s="549">
        <v>13</v>
      </c>
      <c r="L607" s="554">
        <f t="shared" si="193"/>
        <v>135</v>
      </c>
      <c r="M607" s="555">
        <v>45925</v>
      </c>
      <c r="N607" s="555">
        <v>45922</v>
      </c>
      <c r="O607" s="556"/>
      <c r="P607" s="556" t="s">
        <v>103</v>
      </c>
      <c r="Q607" s="549"/>
      <c r="R607" s="562">
        <v>45894</v>
      </c>
      <c r="S607" s="562" t="s">
        <v>66</v>
      </c>
      <c r="T607" s="562" t="s">
        <v>66</v>
      </c>
      <c r="U607" s="562"/>
      <c r="V607" s="564" t="s">
        <v>187</v>
      </c>
      <c r="W607" s="564" t="s">
        <v>1850</v>
      </c>
      <c r="X607" s="567">
        <v>0.5743</v>
      </c>
      <c r="Y607" s="513">
        <f t="shared" si="187"/>
        <v>1007.8965</v>
      </c>
      <c r="Z607" s="549" t="s">
        <v>4625</v>
      </c>
      <c r="AA607" s="549" t="s">
        <v>3359</v>
      </c>
      <c r="AB607" s="549" t="s">
        <v>76</v>
      </c>
      <c r="AC607" s="549"/>
      <c r="AD607" s="549"/>
      <c r="AE607" s="549"/>
      <c r="AF607" s="549">
        <v>1755</v>
      </c>
      <c r="AG607" s="549">
        <f t="shared" si="188"/>
        <v>0</v>
      </c>
      <c r="AH607" s="575"/>
      <c r="AI607" s="549"/>
      <c r="AJ607" s="549"/>
      <c r="AK607" s="549">
        <f>I607</f>
        <v>1755</v>
      </c>
      <c r="AL607" s="568"/>
      <c r="AM607" s="428">
        <f>I607</f>
        <v>1755</v>
      </c>
      <c r="AO607" s="578"/>
      <c r="AR607" s="428">
        <f>I607</f>
        <v>1755</v>
      </c>
      <c r="AS607" s="568"/>
      <c r="AT607" s="578"/>
      <c r="AY607" s="576">
        <f>I607/24</f>
        <v>73.125</v>
      </c>
      <c r="AZ607" s="577"/>
      <c r="BG607" s="425">
        <f>I607/13</f>
        <v>135</v>
      </c>
      <c r="BT607" s="578"/>
      <c r="BV607" s="578"/>
      <c r="CK607" s="425">
        <f t="shared" si="184"/>
        <v>0</v>
      </c>
      <c r="CL607" s="428">
        <f t="shared" si="191"/>
        <v>0</v>
      </c>
      <c r="CM607" s="428">
        <f t="shared" si="192"/>
        <v>0</v>
      </c>
      <c r="CN607" s="578"/>
      <c r="CO607" s="578"/>
      <c r="CP607" s="578"/>
      <c r="CT607" s="578"/>
      <c r="CU607" s="578"/>
      <c r="CV607" s="578"/>
      <c r="CW607" s="578"/>
      <c r="CX607" s="578"/>
    </row>
    <row r="608" s="428" customFormat="1" ht="31" customHeight="1" spans="1:102">
      <c r="A608" s="547">
        <v>45855</v>
      </c>
      <c r="B608" s="548" t="s">
        <v>1708</v>
      </c>
      <c r="C608" s="539" t="s">
        <v>468</v>
      </c>
      <c r="D608" s="428">
        <v>4500174112</v>
      </c>
      <c r="E608" s="539">
        <v>24724</v>
      </c>
      <c r="F608" s="428" t="s">
        <v>4626</v>
      </c>
      <c r="G608" s="549" t="s">
        <v>3161</v>
      </c>
      <c r="H608" s="549" t="s">
        <v>3221</v>
      </c>
      <c r="I608" s="549">
        <v>1000</v>
      </c>
      <c r="J608" s="549">
        <v>0</v>
      </c>
      <c r="K608" s="549">
        <v>50</v>
      </c>
      <c r="L608" s="554">
        <f t="shared" si="193"/>
        <v>20</v>
      </c>
      <c r="M608" s="558">
        <v>45925</v>
      </c>
      <c r="N608" s="558">
        <v>45922</v>
      </c>
      <c r="O608" s="556" t="s">
        <v>4627</v>
      </c>
      <c r="P608" s="556" t="s">
        <v>103</v>
      </c>
      <c r="Q608" s="565">
        <v>45925</v>
      </c>
      <c r="R608" s="570">
        <v>45901</v>
      </c>
      <c r="S608" s="570" t="s">
        <v>66</v>
      </c>
      <c r="T608" s="562">
        <v>33359</v>
      </c>
      <c r="U608" s="562"/>
      <c r="V608" s="564" t="s">
        <v>4628</v>
      </c>
      <c r="W608" s="564" t="s">
        <v>304</v>
      </c>
      <c r="X608" s="564">
        <v>0.924</v>
      </c>
      <c r="Y608" s="513">
        <f t="shared" si="187"/>
        <v>924</v>
      </c>
      <c r="Z608" s="549" t="s">
        <v>1711</v>
      </c>
      <c r="AA608" s="548" t="s">
        <v>3161</v>
      </c>
      <c r="AB608" s="549" t="s">
        <v>76</v>
      </c>
      <c r="AC608" s="549"/>
      <c r="AD608" s="549"/>
      <c r="AE608" s="549"/>
      <c r="AF608" s="549">
        <v>1000</v>
      </c>
      <c r="AG608" s="549">
        <f t="shared" si="188"/>
        <v>0</v>
      </c>
      <c r="AH608" s="575"/>
      <c r="AI608" s="549"/>
      <c r="AJ608" s="549"/>
      <c r="AK608" s="549"/>
      <c r="AL608" s="568">
        <f>I608</f>
        <v>1000</v>
      </c>
      <c r="AO608" s="578"/>
      <c r="AQ608" s="428">
        <f>I608</f>
        <v>1000</v>
      </c>
      <c r="AS608" s="568">
        <f>I608</f>
        <v>1000</v>
      </c>
      <c r="AT608" s="578"/>
      <c r="AU608" s="568"/>
      <c r="AW608" s="568"/>
      <c r="AX608" s="568"/>
      <c r="AY608" s="576">
        <f>I608/24</f>
        <v>41.6666666666667</v>
      </c>
      <c r="AZ608" s="577"/>
      <c r="BL608" s="425">
        <f>I608/25</f>
        <v>40</v>
      </c>
      <c r="BT608" s="578"/>
      <c r="BV608" s="578"/>
      <c r="CK608" s="425">
        <f t="shared" si="184"/>
        <v>40</v>
      </c>
      <c r="CL608" s="428">
        <f t="shared" si="191"/>
        <v>0</v>
      </c>
      <c r="CM608" s="428">
        <f t="shared" si="192"/>
        <v>0</v>
      </c>
      <c r="CN608" s="578"/>
      <c r="CO608" s="578"/>
      <c r="CP608" s="578"/>
      <c r="CT608" s="578"/>
      <c r="CU608" s="578"/>
      <c r="CV608" s="578"/>
      <c r="CW608" s="578"/>
      <c r="CX608" s="578"/>
    </row>
    <row r="609" s="428" customFormat="1" ht="31" customHeight="1" spans="1:102">
      <c r="A609" s="547">
        <v>45861</v>
      </c>
      <c r="B609" s="548" t="s">
        <v>190</v>
      </c>
      <c r="C609" s="539" t="s">
        <v>191</v>
      </c>
      <c r="D609" s="428">
        <v>4500174818</v>
      </c>
      <c r="E609" s="539" t="s">
        <v>1660</v>
      </c>
      <c r="F609" s="428" t="s">
        <v>1661</v>
      </c>
      <c r="G609" s="549" t="s">
        <v>3436</v>
      </c>
      <c r="H609" s="549" t="s">
        <v>424</v>
      </c>
      <c r="I609" s="559">
        <v>300</v>
      </c>
      <c r="J609" s="549">
        <v>0</v>
      </c>
      <c r="K609" s="549">
        <v>6</v>
      </c>
      <c r="L609" s="554">
        <f t="shared" si="193"/>
        <v>50</v>
      </c>
      <c r="M609" s="555">
        <v>45919</v>
      </c>
      <c r="N609" s="555">
        <f>M609-4</f>
        <v>45915</v>
      </c>
      <c r="O609" s="556"/>
      <c r="P609" s="556" t="s">
        <v>103</v>
      </c>
      <c r="Q609" s="549"/>
      <c r="R609" s="562">
        <v>45862</v>
      </c>
      <c r="S609" s="562" t="s">
        <v>66</v>
      </c>
      <c r="T609" s="562">
        <v>45903</v>
      </c>
      <c r="U609" s="562" t="s">
        <v>4629</v>
      </c>
      <c r="V609" s="548" t="s">
        <v>4630</v>
      </c>
      <c r="W609" s="564" t="s">
        <v>1663</v>
      </c>
      <c r="X609" s="567">
        <v>7.0456</v>
      </c>
      <c r="Y609" s="513">
        <f t="shared" si="187"/>
        <v>2113.68</v>
      </c>
      <c r="Z609" s="549" t="s">
        <v>4631</v>
      </c>
      <c r="AA609" s="549" t="s">
        <v>427</v>
      </c>
      <c r="AB609" s="549" t="s">
        <v>76</v>
      </c>
      <c r="AC609" s="549"/>
      <c r="AD609" s="549"/>
      <c r="AE609" s="549"/>
      <c r="AF609" s="549"/>
      <c r="AG609" s="549">
        <f t="shared" si="188"/>
        <v>-300</v>
      </c>
      <c r="AH609" s="575"/>
      <c r="AI609" s="549"/>
      <c r="AJ609" s="549"/>
      <c r="AK609" s="549"/>
      <c r="AL609" s="568">
        <f>I609*2</f>
        <v>600</v>
      </c>
      <c r="AO609" s="578"/>
      <c r="AQ609" s="428">
        <f>AL609</f>
        <v>600</v>
      </c>
      <c r="AS609" s="428">
        <f>AL609</f>
        <v>600</v>
      </c>
      <c r="AT609" s="578"/>
      <c r="AY609" s="576">
        <f>I609/24*2</f>
        <v>25</v>
      </c>
      <c r="AZ609" s="577"/>
      <c r="BT609" s="495"/>
      <c r="BU609" s="425">
        <f>I609</f>
        <v>300</v>
      </c>
      <c r="BV609" s="578"/>
      <c r="CK609" s="425">
        <f t="shared" si="184"/>
        <v>0</v>
      </c>
      <c r="CL609" s="428">
        <f t="shared" si="191"/>
        <v>0</v>
      </c>
      <c r="CM609" s="428">
        <f t="shared" si="192"/>
        <v>0</v>
      </c>
      <c r="CN609" s="578"/>
      <c r="CO609" s="578"/>
      <c r="CP609" s="578"/>
      <c r="CT609" s="578"/>
      <c r="CU609" s="578"/>
      <c r="CV609" s="578"/>
      <c r="CW609" s="578"/>
      <c r="CX609" s="578"/>
    </row>
    <row r="610" s="428" customFormat="1" ht="31" customHeight="1" spans="1:102">
      <c r="A610" s="547">
        <v>45740</v>
      </c>
      <c r="B610" s="548" t="s">
        <v>152</v>
      </c>
      <c r="C610" s="539" t="s">
        <v>153</v>
      </c>
      <c r="D610" s="428">
        <v>4500160898</v>
      </c>
      <c r="E610" s="539">
        <v>9900924259</v>
      </c>
      <c r="F610" s="428" t="s">
        <v>4632</v>
      </c>
      <c r="G610" s="549" t="s">
        <v>3198</v>
      </c>
      <c r="H610" s="549" t="s">
        <v>3303</v>
      </c>
      <c r="I610" s="549">
        <v>1750</v>
      </c>
      <c r="J610" s="549">
        <v>0</v>
      </c>
      <c r="K610" s="549">
        <v>25</v>
      </c>
      <c r="L610" s="554">
        <f t="shared" si="193"/>
        <v>70</v>
      </c>
      <c r="M610" s="555">
        <v>45929</v>
      </c>
      <c r="N610" s="555">
        <v>45925</v>
      </c>
      <c r="O610" s="556" t="s">
        <v>4633</v>
      </c>
      <c r="P610" s="556" t="s">
        <v>103</v>
      </c>
      <c r="Q610" s="549"/>
      <c r="R610" s="562">
        <v>45784</v>
      </c>
      <c r="S610" s="562" t="s">
        <v>66</v>
      </c>
      <c r="T610" s="562" t="s">
        <v>66</v>
      </c>
      <c r="U610" s="562"/>
      <c r="V610" s="566" t="s">
        <v>4634</v>
      </c>
      <c r="W610" s="564" t="s">
        <v>158</v>
      </c>
      <c r="X610" s="567">
        <v>0.95</v>
      </c>
      <c r="Y610" s="513">
        <f t="shared" si="187"/>
        <v>1662.5</v>
      </c>
      <c r="Z610" s="549"/>
      <c r="AA610" s="549" t="s">
        <v>3202</v>
      </c>
      <c r="AB610" s="549" t="s">
        <v>76</v>
      </c>
      <c r="AC610" s="549"/>
      <c r="AD610" s="549"/>
      <c r="AE610" s="549"/>
      <c r="AF610" s="549">
        <v>1750</v>
      </c>
      <c r="AG610" s="549">
        <f t="shared" si="188"/>
        <v>0</v>
      </c>
      <c r="AH610" s="575"/>
      <c r="AI610" s="549"/>
      <c r="AJ610" s="549"/>
      <c r="AK610" s="549">
        <f>I610</f>
        <v>1750</v>
      </c>
      <c r="AO610" s="578"/>
      <c r="AP610" s="428">
        <f>I610</f>
        <v>1750</v>
      </c>
      <c r="AR610" s="568">
        <f>I610</f>
        <v>1750</v>
      </c>
      <c r="AT610" s="578"/>
      <c r="AY610" s="576">
        <f>I610/24</f>
        <v>72.9166666666667</v>
      </c>
      <c r="AZ610" s="577"/>
      <c r="BK610" s="425">
        <f>I610/25</f>
        <v>70</v>
      </c>
      <c r="BT610" s="578"/>
      <c r="BV610" s="578"/>
      <c r="CK610" s="425">
        <f t="shared" si="184"/>
        <v>70</v>
      </c>
      <c r="CL610" s="428">
        <f t="shared" si="191"/>
        <v>0</v>
      </c>
      <c r="CM610" s="428">
        <f t="shared" si="192"/>
        <v>0</v>
      </c>
      <c r="CN610" s="578"/>
      <c r="CO610" s="578"/>
      <c r="CP610" s="578"/>
      <c r="CT610" s="578"/>
      <c r="CU610" s="578"/>
      <c r="CV610" s="578"/>
      <c r="CW610" s="578"/>
      <c r="CX610" s="578"/>
    </row>
    <row r="611" s="428" customFormat="1" ht="31" customHeight="1" spans="1:102">
      <c r="A611" s="547">
        <v>45880</v>
      </c>
      <c r="B611" s="548" t="s">
        <v>220</v>
      </c>
      <c r="C611" s="539" t="s">
        <v>90</v>
      </c>
      <c r="D611" s="428">
        <v>4500176566</v>
      </c>
      <c r="E611" s="539" t="s">
        <v>4635</v>
      </c>
      <c r="F611" s="428" t="s">
        <v>4636</v>
      </c>
      <c r="G611" s="549" t="s">
        <v>3198</v>
      </c>
      <c r="H611" s="549" t="s">
        <v>3303</v>
      </c>
      <c r="I611" s="549">
        <v>13050</v>
      </c>
      <c r="J611" s="549">
        <v>0</v>
      </c>
      <c r="K611" s="549">
        <v>25</v>
      </c>
      <c r="L611" s="554">
        <f t="shared" si="193"/>
        <v>522</v>
      </c>
      <c r="M611" s="555">
        <v>45929</v>
      </c>
      <c r="N611" s="555">
        <v>45925</v>
      </c>
      <c r="O611" s="556"/>
      <c r="P611" s="556" t="s">
        <v>103</v>
      </c>
      <c r="Q611" s="549"/>
      <c r="R611" s="562">
        <v>45894</v>
      </c>
      <c r="S611" s="562" t="s">
        <v>96</v>
      </c>
      <c r="T611" s="562">
        <v>45903</v>
      </c>
      <c r="U611" s="562"/>
      <c r="V611" s="564" t="s">
        <v>4456</v>
      </c>
      <c r="W611" s="564" t="s">
        <v>226</v>
      </c>
      <c r="X611" s="567">
        <v>0.5543</v>
      </c>
      <c r="Y611" s="513">
        <f t="shared" ref="Y611:Y634" si="194">X611*I611</f>
        <v>7233.615</v>
      </c>
      <c r="Z611" s="549" t="s">
        <v>4637</v>
      </c>
      <c r="AA611" s="549" t="s">
        <v>3198</v>
      </c>
      <c r="AB611" s="549" t="s">
        <v>76</v>
      </c>
      <c r="AC611" s="549"/>
      <c r="AD611" s="549"/>
      <c r="AE611" s="549"/>
      <c r="AF611" s="549">
        <v>13050</v>
      </c>
      <c r="AG611" s="549">
        <f t="shared" ref="AG611:AG619" si="195">AF611-I611</f>
        <v>0</v>
      </c>
      <c r="AH611" s="575"/>
      <c r="AI611" s="549"/>
      <c r="AJ611" s="549"/>
      <c r="AK611" s="549">
        <f>I611</f>
        <v>13050</v>
      </c>
      <c r="AM611" s="428">
        <f t="shared" ref="AM611:AM614" si="196">I611</f>
        <v>13050</v>
      </c>
      <c r="AO611" s="578"/>
      <c r="AR611" s="428">
        <f>I611</f>
        <v>13050</v>
      </c>
      <c r="AT611" s="578"/>
      <c r="AY611" s="576">
        <f>I611/24</f>
        <v>543.75</v>
      </c>
      <c r="AZ611" s="577"/>
      <c r="BJ611" s="425">
        <f>I611/25</f>
        <v>522</v>
      </c>
      <c r="BT611" s="578"/>
      <c r="BV611" s="578"/>
      <c r="CK611" s="425">
        <f t="shared" si="184"/>
        <v>522</v>
      </c>
      <c r="CL611" s="428">
        <f t="shared" ref="CL611:CL641" si="197">CA611+CB611+CC611+CD611+CE611+CG611+CF611</f>
        <v>0</v>
      </c>
      <c r="CM611" s="428">
        <f t="shared" ref="CM611:CM641" si="198">BY611+BZ611</f>
        <v>0</v>
      </c>
      <c r="CN611" s="578"/>
      <c r="CO611" s="578"/>
      <c r="CP611" s="578"/>
      <c r="CT611" s="578"/>
      <c r="CU611" s="578"/>
      <c r="CV611" s="578"/>
      <c r="CW611" s="578"/>
      <c r="CX611" s="578"/>
    </row>
    <row r="612" s="428" customFormat="1" ht="31" customHeight="1" spans="1:102">
      <c r="A612" s="547">
        <v>45882</v>
      </c>
      <c r="B612" s="548" t="s">
        <v>220</v>
      </c>
      <c r="C612" s="539" t="s">
        <v>90</v>
      </c>
      <c r="D612" s="428">
        <v>4500176830</v>
      </c>
      <c r="E612" s="539" t="s">
        <v>4638</v>
      </c>
      <c r="F612" s="428" t="s">
        <v>4639</v>
      </c>
      <c r="G612" s="549" t="s">
        <v>3198</v>
      </c>
      <c r="H612" s="549" t="s">
        <v>3303</v>
      </c>
      <c r="I612" s="549">
        <v>20650</v>
      </c>
      <c r="J612" s="549">
        <v>0</v>
      </c>
      <c r="K612" s="549">
        <v>25</v>
      </c>
      <c r="L612" s="554">
        <f t="shared" si="193"/>
        <v>826</v>
      </c>
      <c r="M612" s="555">
        <v>45929</v>
      </c>
      <c r="N612" s="555">
        <v>45925</v>
      </c>
      <c r="O612" s="556"/>
      <c r="P612" s="556" t="s">
        <v>103</v>
      </c>
      <c r="Q612" s="549"/>
      <c r="R612" s="562">
        <v>45894</v>
      </c>
      <c r="S612" s="562" t="s">
        <v>96</v>
      </c>
      <c r="T612" s="562" t="s">
        <v>4598</v>
      </c>
      <c r="U612" s="562"/>
      <c r="V612" s="563" t="s">
        <v>4599</v>
      </c>
      <c r="W612" s="564" t="s">
        <v>226</v>
      </c>
      <c r="X612" s="567">
        <v>0.5488</v>
      </c>
      <c r="Y612" s="513">
        <f t="shared" si="194"/>
        <v>11332.72</v>
      </c>
      <c r="Z612" s="549" t="s">
        <v>4640</v>
      </c>
      <c r="AA612" s="549" t="s">
        <v>3198</v>
      </c>
      <c r="AB612" s="549" t="s">
        <v>76</v>
      </c>
      <c r="AC612" s="549"/>
      <c r="AD612" s="549"/>
      <c r="AE612" s="549"/>
      <c r="AF612" s="549">
        <f>6750+13900</f>
        <v>20650</v>
      </c>
      <c r="AG612" s="549">
        <f t="shared" si="195"/>
        <v>0</v>
      </c>
      <c r="AH612" s="575"/>
      <c r="AI612" s="549"/>
      <c r="AJ612" s="549"/>
      <c r="AK612" s="549">
        <f>I612</f>
        <v>20650</v>
      </c>
      <c r="AM612" s="428">
        <f t="shared" si="196"/>
        <v>20650</v>
      </c>
      <c r="AO612" s="578"/>
      <c r="AR612" s="428">
        <f>I612</f>
        <v>20650</v>
      </c>
      <c r="AT612" s="578"/>
      <c r="AY612" s="576">
        <f>I612/24</f>
        <v>860.416666666667</v>
      </c>
      <c r="AZ612" s="577"/>
      <c r="BJ612" s="425">
        <f>I612/25</f>
        <v>826</v>
      </c>
      <c r="BT612" s="578"/>
      <c r="BV612" s="578"/>
      <c r="CK612" s="425">
        <f t="shared" si="184"/>
        <v>826</v>
      </c>
      <c r="CL612" s="428">
        <f t="shared" si="197"/>
        <v>0</v>
      </c>
      <c r="CM612" s="428">
        <f t="shared" si="198"/>
        <v>0</v>
      </c>
      <c r="CN612" s="578"/>
      <c r="CO612" s="578"/>
      <c r="CP612" s="578"/>
      <c r="CT612" s="578"/>
      <c r="CU612" s="578"/>
      <c r="CV612" s="578"/>
      <c r="CW612" s="578"/>
      <c r="CX612" s="578"/>
    </row>
    <row r="613" s="428" customFormat="1" ht="31" customHeight="1" spans="1:102">
      <c r="A613" s="547">
        <v>45889</v>
      </c>
      <c r="B613" s="548" t="s">
        <v>70</v>
      </c>
      <c r="C613" s="539" t="s">
        <v>71</v>
      </c>
      <c r="D613" s="428">
        <v>4500177395</v>
      </c>
      <c r="E613" s="539">
        <v>29028756</v>
      </c>
      <c r="F613" s="428" t="s">
        <v>4641</v>
      </c>
      <c r="G613" s="549" t="s">
        <v>3161</v>
      </c>
      <c r="H613" s="549" t="s">
        <v>3221</v>
      </c>
      <c r="I613" s="549">
        <v>2300</v>
      </c>
      <c r="J613" s="549">
        <v>0</v>
      </c>
      <c r="K613" s="549">
        <v>50</v>
      </c>
      <c r="L613" s="554">
        <f t="shared" si="193"/>
        <v>46</v>
      </c>
      <c r="M613" s="555">
        <v>45929</v>
      </c>
      <c r="N613" s="555">
        <v>45925</v>
      </c>
      <c r="O613" s="556"/>
      <c r="P613" s="556" t="s">
        <v>103</v>
      </c>
      <c r="Q613" s="549"/>
      <c r="R613" s="562">
        <v>45889</v>
      </c>
      <c r="S613" s="562" t="s">
        <v>66</v>
      </c>
      <c r="T613" s="562" t="s">
        <v>4642</v>
      </c>
      <c r="U613" s="562"/>
      <c r="V613" s="564" t="s">
        <v>4643</v>
      </c>
      <c r="W613" s="564" t="s">
        <v>75</v>
      </c>
      <c r="X613" s="564">
        <v>0.924</v>
      </c>
      <c r="Y613" s="513">
        <f t="shared" si="194"/>
        <v>2125.2</v>
      </c>
      <c r="Z613" s="549"/>
      <c r="AA613" s="548" t="s">
        <v>3161</v>
      </c>
      <c r="AB613" s="549" t="s">
        <v>76</v>
      </c>
      <c r="AC613" s="549"/>
      <c r="AD613" s="549"/>
      <c r="AE613" s="549"/>
      <c r="AF613" s="549">
        <v>2300</v>
      </c>
      <c r="AG613" s="549">
        <f t="shared" si="195"/>
        <v>0</v>
      </c>
      <c r="AH613" s="575"/>
      <c r="AI613" s="549"/>
      <c r="AJ613" s="549"/>
      <c r="AK613" s="549"/>
      <c r="AL613" s="568">
        <f>I613</f>
        <v>2300</v>
      </c>
      <c r="AO613" s="578"/>
      <c r="AQ613" s="428">
        <f>I613</f>
        <v>2300</v>
      </c>
      <c r="AS613" s="568">
        <f t="shared" ref="AS613:AS623" si="199">I613</f>
        <v>2300</v>
      </c>
      <c r="AT613" s="578"/>
      <c r="AY613" s="576">
        <f>I613/24</f>
        <v>95.8333333333333</v>
      </c>
      <c r="AZ613" s="577"/>
      <c r="BL613" s="425">
        <f>I613/25</f>
        <v>92</v>
      </c>
      <c r="BT613" s="578"/>
      <c r="BV613" s="578"/>
      <c r="CK613" s="425">
        <f t="shared" si="184"/>
        <v>92</v>
      </c>
      <c r="CL613" s="428">
        <f t="shared" si="197"/>
        <v>0</v>
      </c>
      <c r="CM613" s="428">
        <f t="shared" si="198"/>
        <v>0</v>
      </c>
      <c r="CN613" s="578"/>
      <c r="CO613" s="578"/>
      <c r="CP613" s="578"/>
      <c r="CT613" s="578"/>
      <c r="CU613" s="578"/>
      <c r="CV613" s="578"/>
      <c r="CW613" s="578"/>
      <c r="CX613" s="578"/>
    </row>
    <row r="614" s="428" customFormat="1" ht="31" customHeight="1" spans="1:102">
      <c r="A614" s="547">
        <v>45889</v>
      </c>
      <c r="B614" s="548" t="s">
        <v>70</v>
      </c>
      <c r="C614" s="539" t="s">
        <v>71</v>
      </c>
      <c r="D614" s="428">
        <v>4500177395</v>
      </c>
      <c r="E614" s="539" t="s">
        <v>4644</v>
      </c>
      <c r="F614" s="428" t="s">
        <v>4645</v>
      </c>
      <c r="G614" s="549" t="s">
        <v>3161</v>
      </c>
      <c r="H614" s="549" t="s">
        <v>3221</v>
      </c>
      <c r="I614" s="549">
        <v>750</v>
      </c>
      <c r="J614" s="549">
        <v>0</v>
      </c>
      <c r="K614" s="549">
        <v>50</v>
      </c>
      <c r="L614" s="554">
        <f t="shared" si="193"/>
        <v>15</v>
      </c>
      <c r="M614" s="555">
        <v>45929</v>
      </c>
      <c r="N614" s="555">
        <v>45925</v>
      </c>
      <c r="O614" s="556"/>
      <c r="P614" s="556" t="s">
        <v>103</v>
      </c>
      <c r="Q614" s="549"/>
      <c r="R614" s="562">
        <v>45889</v>
      </c>
      <c r="S614" s="562" t="s">
        <v>66</v>
      </c>
      <c r="T614" s="562" t="s">
        <v>4642</v>
      </c>
      <c r="U614" s="562"/>
      <c r="V614" s="564" t="s">
        <v>4643</v>
      </c>
      <c r="W614" s="564" t="s">
        <v>75</v>
      </c>
      <c r="X614" s="564">
        <v>0.9462</v>
      </c>
      <c r="Y614" s="513">
        <f t="shared" si="194"/>
        <v>709.65</v>
      </c>
      <c r="Z614" s="549"/>
      <c r="AA614" s="548" t="s">
        <v>3161</v>
      </c>
      <c r="AB614" s="549" t="s">
        <v>76</v>
      </c>
      <c r="AC614" s="549"/>
      <c r="AD614" s="549"/>
      <c r="AE614" s="549"/>
      <c r="AF614" s="549">
        <v>750</v>
      </c>
      <c r="AG614" s="549">
        <f t="shared" si="195"/>
        <v>0</v>
      </c>
      <c r="AH614" s="575"/>
      <c r="AI614" s="549"/>
      <c r="AJ614" s="549"/>
      <c r="AK614" s="549"/>
      <c r="AL614" s="568">
        <f>I614</f>
        <v>750</v>
      </c>
      <c r="AO614" s="578"/>
      <c r="AQ614" s="428">
        <f>I614</f>
        <v>750</v>
      </c>
      <c r="AS614" s="568">
        <f t="shared" si="199"/>
        <v>750</v>
      </c>
      <c r="AT614" s="578"/>
      <c r="AY614" s="576">
        <f>I614/24</f>
        <v>31.25</v>
      </c>
      <c r="AZ614" s="577"/>
      <c r="BL614" s="425">
        <f>I614/25</f>
        <v>30</v>
      </c>
      <c r="BT614" s="578"/>
      <c r="BV614" s="578"/>
      <c r="CK614" s="425">
        <f t="shared" si="184"/>
        <v>30</v>
      </c>
      <c r="CL614" s="428">
        <f t="shared" si="197"/>
        <v>0</v>
      </c>
      <c r="CM614" s="428">
        <f t="shared" si="198"/>
        <v>0</v>
      </c>
      <c r="CN614" s="578"/>
      <c r="CO614" s="578"/>
      <c r="CP614" s="578"/>
      <c r="CT614" s="578"/>
      <c r="CU614" s="578"/>
      <c r="CV614" s="578"/>
      <c r="CW614" s="578"/>
      <c r="CX614" s="578"/>
    </row>
    <row r="615" s="428" customFormat="1" ht="31" customHeight="1" spans="1:102">
      <c r="A615" s="547">
        <v>45891</v>
      </c>
      <c r="B615" s="548" t="s">
        <v>1492</v>
      </c>
      <c r="C615" s="539" t="s">
        <v>249</v>
      </c>
      <c r="D615" s="552">
        <v>4500181195</v>
      </c>
      <c r="E615" s="550"/>
      <c r="F615" s="552" t="s">
        <v>4646</v>
      </c>
      <c r="G615" s="549" t="s">
        <v>3165</v>
      </c>
      <c r="H615" s="549" t="s">
        <v>3303</v>
      </c>
      <c r="I615" s="549">
        <v>7000</v>
      </c>
      <c r="J615" s="549">
        <v>0</v>
      </c>
      <c r="K615" s="549">
        <v>25</v>
      </c>
      <c r="L615" s="554">
        <f t="shared" si="193"/>
        <v>280</v>
      </c>
      <c r="M615" s="555">
        <v>45929</v>
      </c>
      <c r="N615" s="555">
        <v>45925</v>
      </c>
      <c r="O615" s="556" t="s">
        <v>4647</v>
      </c>
      <c r="P615" s="556" t="s">
        <v>103</v>
      </c>
      <c r="Q615" s="549"/>
      <c r="R615" s="562">
        <v>45895</v>
      </c>
      <c r="S615" s="562" t="s">
        <v>66</v>
      </c>
      <c r="T615" s="562" t="s">
        <v>66</v>
      </c>
      <c r="U615" s="562"/>
      <c r="V615" s="566" t="s">
        <v>4648</v>
      </c>
      <c r="W615" s="564" t="s">
        <v>1424</v>
      </c>
      <c r="X615" s="564">
        <v>0.9193</v>
      </c>
      <c r="Y615" s="513">
        <f t="shared" si="194"/>
        <v>6435.1</v>
      </c>
      <c r="Z615" s="549"/>
      <c r="AA615" s="549" t="s">
        <v>3188</v>
      </c>
      <c r="AB615" s="549" t="s">
        <v>76</v>
      </c>
      <c r="AC615" s="549"/>
      <c r="AD615" s="549"/>
      <c r="AE615" s="549"/>
      <c r="AF615" s="549">
        <v>7000</v>
      </c>
      <c r="AG615" s="549">
        <f t="shared" si="195"/>
        <v>0</v>
      </c>
      <c r="AH615" s="575"/>
      <c r="AI615" s="549"/>
      <c r="AJ615" s="549"/>
      <c r="AK615" s="549"/>
      <c r="AL615" s="568">
        <f>I615</f>
        <v>7000</v>
      </c>
      <c r="AO615" s="578"/>
      <c r="AS615" s="568">
        <f t="shared" si="199"/>
        <v>7000</v>
      </c>
      <c r="AT615" s="578"/>
      <c r="AY615" s="576">
        <f>I615/24*2</f>
        <v>583.333333333333</v>
      </c>
      <c r="AZ615" s="577"/>
      <c r="BB615" s="428">
        <f>I615</f>
        <v>7000</v>
      </c>
      <c r="BL615" s="425">
        <f>I615/25</f>
        <v>280</v>
      </c>
      <c r="BT615" s="578"/>
      <c r="BV615" s="578"/>
      <c r="CK615" s="425">
        <f t="shared" si="184"/>
        <v>280</v>
      </c>
      <c r="CL615" s="428">
        <f t="shared" si="197"/>
        <v>0</v>
      </c>
      <c r="CM615" s="428">
        <f t="shared" si="198"/>
        <v>0</v>
      </c>
      <c r="CN615" s="578"/>
      <c r="CO615" s="578"/>
      <c r="CP615" s="578"/>
      <c r="CT615" s="578"/>
      <c r="CU615" s="578"/>
      <c r="CV615" s="578"/>
      <c r="CW615" s="578"/>
      <c r="CX615" s="578"/>
    </row>
    <row r="616" s="428" customFormat="1" ht="31" customHeight="1" spans="1:102">
      <c r="A616" s="547">
        <v>45891</v>
      </c>
      <c r="B616" s="548" t="s">
        <v>1492</v>
      </c>
      <c r="C616" s="539" t="s">
        <v>249</v>
      </c>
      <c r="D616" s="428">
        <v>4500177657</v>
      </c>
      <c r="E616" s="550" t="s">
        <v>4649</v>
      </c>
      <c r="F616" s="428" t="s">
        <v>4650</v>
      </c>
      <c r="G616" s="549" t="s">
        <v>3165</v>
      </c>
      <c r="H616" s="549" t="s">
        <v>3303</v>
      </c>
      <c r="I616" s="549">
        <v>10000</v>
      </c>
      <c r="J616" s="549">
        <v>0</v>
      </c>
      <c r="K616" s="549">
        <v>25</v>
      </c>
      <c r="L616" s="554">
        <f t="shared" si="193"/>
        <v>400</v>
      </c>
      <c r="M616" s="555">
        <v>45929</v>
      </c>
      <c r="N616" s="555">
        <v>45925</v>
      </c>
      <c r="O616" s="556"/>
      <c r="P616" s="556" t="s">
        <v>103</v>
      </c>
      <c r="Q616" s="549"/>
      <c r="R616" s="562">
        <v>45895</v>
      </c>
      <c r="S616" s="562" t="s">
        <v>66</v>
      </c>
      <c r="T616" s="562" t="s">
        <v>66</v>
      </c>
      <c r="U616" s="562"/>
      <c r="V616" s="564" t="s">
        <v>4651</v>
      </c>
      <c r="W616" s="564" t="s">
        <v>1424</v>
      </c>
      <c r="X616" s="564">
        <v>0.9313</v>
      </c>
      <c r="Y616" s="513">
        <f t="shared" si="194"/>
        <v>9313</v>
      </c>
      <c r="Z616" s="549" t="s">
        <v>4652</v>
      </c>
      <c r="AA616" s="549" t="s">
        <v>3188</v>
      </c>
      <c r="AB616" s="549" t="s">
        <v>76</v>
      </c>
      <c r="AC616" s="549"/>
      <c r="AD616" s="549"/>
      <c r="AE616" s="549"/>
      <c r="AF616" s="549">
        <v>10000</v>
      </c>
      <c r="AG616" s="549">
        <f t="shared" si="195"/>
        <v>0</v>
      </c>
      <c r="AH616" s="575"/>
      <c r="AI616" s="549"/>
      <c r="AJ616" s="549"/>
      <c r="AK616" s="549"/>
      <c r="AL616" s="568">
        <f>I616</f>
        <v>10000</v>
      </c>
      <c r="AO616" s="578"/>
      <c r="AS616" s="568">
        <f t="shared" si="199"/>
        <v>10000</v>
      </c>
      <c r="AT616" s="578"/>
      <c r="AY616" s="576">
        <f>I616/24*2</f>
        <v>833.333333333333</v>
      </c>
      <c r="AZ616" s="577"/>
      <c r="BB616" s="428">
        <f>I616</f>
        <v>10000</v>
      </c>
      <c r="BL616" s="425">
        <f>I616/25</f>
        <v>400</v>
      </c>
      <c r="BT616" s="578"/>
      <c r="BV616" s="578"/>
      <c r="CK616" s="425">
        <f t="shared" si="184"/>
        <v>400</v>
      </c>
      <c r="CL616" s="428">
        <f t="shared" si="197"/>
        <v>0</v>
      </c>
      <c r="CM616" s="428">
        <f t="shared" si="198"/>
        <v>0</v>
      </c>
      <c r="CN616" s="578"/>
      <c r="CO616" s="578"/>
      <c r="CP616" s="578"/>
      <c r="CT616" s="578"/>
      <c r="CU616" s="578"/>
      <c r="CV616" s="578"/>
      <c r="CW616" s="578"/>
      <c r="CX616" s="578"/>
    </row>
    <row r="617" s="428" customFormat="1" ht="31" customHeight="1" spans="1:102">
      <c r="A617" s="547">
        <v>45898</v>
      </c>
      <c r="B617" s="548" t="s">
        <v>467</v>
      </c>
      <c r="C617" s="539" t="s">
        <v>468</v>
      </c>
      <c r="D617" s="428">
        <v>4500178210</v>
      </c>
      <c r="E617" s="539"/>
      <c r="F617" s="428" t="s">
        <v>4653</v>
      </c>
      <c r="G617" s="549" t="s">
        <v>3161</v>
      </c>
      <c r="H617" s="549" t="s">
        <v>3221</v>
      </c>
      <c r="I617" s="549">
        <v>14000</v>
      </c>
      <c r="J617" s="549">
        <v>0</v>
      </c>
      <c r="K617" s="549">
        <v>50</v>
      </c>
      <c r="L617" s="554">
        <f t="shared" si="193"/>
        <v>280</v>
      </c>
      <c r="M617" s="555">
        <v>45929</v>
      </c>
      <c r="N617" s="555">
        <v>45925</v>
      </c>
      <c r="O617" s="556" t="s">
        <v>4654</v>
      </c>
      <c r="P617" s="556" t="s">
        <v>103</v>
      </c>
      <c r="Q617" s="549"/>
      <c r="R617" s="562">
        <v>45898</v>
      </c>
      <c r="S617" s="562" t="s">
        <v>96</v>
      </c>
      <c r="T617" s="562" t="s">
        <v>4655</v>
      </c>
      <c r="U617" s="562"/>
      <c r="V617" s="564" t="s">
        <v>4656</v>
      </c>
      <c r="W617" s="564" t="s">
        <v>473</v>
      </c>
      <c r="X617" s="564">
        <v>0.9306</v>
      </c>
      <c r="Y617" s="513">
        <f t="shared" si="194"/>
        <v>13028.4</v>
      </c>
      <c r="Z617" s="549" t="s">
        <v>1733</v>
      </c>
      <c r="AA617" s="548" t="s">
        <v>3161</v>
      </c>
      <c r="AB617" s="549" t="s">
        <v>76</v>
      </c>
      <c r="AC617" s="549"/>
      <c r="AD617" s="549"/>
      <c r="AE617" s="549"/>
      <c r="AF617" s="549">
        <v>14000</v>
      </c>
      <c r="AG617" s="549">
        <f t="shared" si="195"/>
        <v>0</v>
      </c>
      <c r="AH617" s="575"/>
      <c r="AI617" s="549"/>
      <c r="AJ617" s="549"/>
      <c r="AK617" s="549"/>
      <c r="AL617" s="568">
        <f>I617</f>
        <v>14000</v>
      </c>
      <c r="AO617" s="578"/>
      <c r="AQ617" s="428">
        <f>I617</f>
        <v>14000</v>
      </c>
      <c r="AS617" s="568">
        <f t="shared" si="199"/>
        <v>14000</v>
      </c>
      <c r="AT617" s="578"/>
      <c r="AY617" s="576">
        <f>I617/24</f>
        <v>583.333333333333</v>
      </c>
      <c r="AZ617" s="577"/>
      <c r="BL617" s="425">
        <f>I617/25</f>
        <v>560</v>
      </c>
      <c r="BT617" s="578"/>
      <c r="BV617" s="578"/>
      <c r="CK617" s="425">
        <f t="shared" si="184"/>
        <v>560</v>
      </c>
      <c r="CL617" s="428">
        <f t="shared" si="197"/>
        <v>0</v>
      </c>
      <c r="CM617" s="428">
        <f t="shared" si="198"/>
        <v>0</v>
      </c>
      <c r="CN617" s="578"/>
      <c r="CO617" s="578"/>
      <c r="CP617" s="578"/>
      <c r="CT617" s="578"/>
      <c r="CU617" s="578"/>
      <c r="CV617" s="578"/>
      <c r="CW617" s="578"/>
      <c r="CX617" s="578"/>
    </row>
    <row r="618" s="428" customFormat="1" ht="31" customHeight="1" spans="1:102">
      <c r="A618" s="547">
        <v>45840</v>
      </c>
      <c r="B618" s="548" t="s">
        <v>125</v>
      </c>
      <c r="C618" s="539" t="s">
        <v>71</v>
      </c>
      <c r="D618" s="553">
        <v>4500172411</v>
      </c>
      <c r="E618" s="539">
        <v>20862344</v>
      </c>
      <c r="F618" s="428" t="s">
        <v>1721</v>
      </c>
      <c r="G618" s="549" t="s">
        <v>3436</v>
      </c>
      <c r="H618" s="549" t="s">
        <v>424</v>
      </c>
      <c r="I618" s="549">
        <v>150</v>
      </c>
      <c r="J618" s="549">
        <v>0</v>
      </c>
      <c r="K618" s="549">
        <v>6</v>
      </c>
      <c r="L618" s="554">
        <f t="shared" si="193"/>
        <v>25</v>
      </c>
      <c r="M618" s="555">
        <v>45930</v>
      </c>
      <c r="N618" s="558">
        <v>45915</v>
      </c>
      <c r="O618" s="556"/>
      <c r="P618" s="556" t="s">
        <v>103</v>
      </c>
      <c r="Q618" s="549" t="s">
        <v>1445</v>
      </c>
      <c r="R618" s="562">
        <v>45898</v>
      </c>
      <c r="S618" s="562" t="s">
        <v>96</v>
      </c>
      <c r="T618" s="562">
        <v>45875</v>
      </c>
      <c r="U618" s="562"/>
      <c r="V618" s="566" t="s">
        <v>4657</v>
      </c>
      <c r="W618" s="564" t="s">
        <v>121</v>
      </c>
      <c r="X618" s="564">
        <v>7.4117</v>
      </c>
      <c r="Y618" s="513">
        <f t="shared" si="194"/>
        <v>1111.755</v>
      </c>
      <c r="Z618" s="549"/>
      <c r="AA618" s="549" t="s">
        <v>1203</v>
      </c>
      <c r="AB618" s="549" t="s">
        <v>76</v>
      </c>
      <c r="AC618" s="549"/>
      <c r="AD618" s="549"/>
      <c r="AE618" s="549"/>
      <c r="AF618" s="549"/>
      <c r="AG618" s="549">
        <f t="shared" si="195"/>
        <v>-150</v>
      </c>
      <c r="AH618" s="575"/>
      <c r="AI618" s="549"/>
      <c r="AJ618" s="549"/>
      <c r="AK618" s="549"/>
      <c r="AL618" s="568">
        <f>I618*2</f>
        <v>300</v>
      </c>
      <c r="AO618" s="578">
        <f>$I618*2</f>
        <v>300</v>
      </c>
      <c r="AR618" s="568"/>
      <c r="AS618" s="568">
        <f t="shared" si="199"/>
        <v>150</v>
      </c>
      <c r="AT618" s="578"/>
      <c r="AU618" s="568"/>
      <c r="AY618" s="576">
        <f>I618/24*2</f>
        <v>12.5</v>
      </c>
      <c r="AZ618" s="577"/>
      <c r="BT618" s="495"/>
      <c r="BU618" s="425">
        <f>I618</f>
        <v>150</v>
      </c>
      <c r="BV618" s="578"/>
      <c r="CK618" s="425">
        <f t="shared" si="184"/>
        <v>0</v>
      </c>
      <c r="CL618" s="428">
        <f t="shared" si="197"/>
        <v>0</v>
      </c>
      <c r="CM618" s="428">
        <f t="shared" si="198"/>
        <v>0</v>
      </c>
      <c r="CN618" s="578"/>
      <c r="CO618" s="578"/>
      <c r="CP618" s="578"/>
      <c r="CT618" s="578"/>
      <c r="CU618" s="578"/>
      <c r="CV618" s="578"/>
      <c r="CW618" s="578"/>
      <c r="CX618" s="578"/>
    </row>
    <row r="619" s="428" customFormat="1" ht="31" customHeight="1" spans="1:102">
      <c r="A619" s="547">
        <v>45840</v>
      </c>
      <c r="B619" s="548" t="s">
        <v>122</v>
      </c>
      <c r="C619" s="539" t="s">
        <v>116</v>
      </c>
      <c r="D619" s="553">
        <v>4500172409</v>
      </c>
      <c r="E619" s="539">
        <v>20862338</v>
      </c>
      <c r="F619" s="428" t="s">
        <v>1722</v>
      </c>
      <c r="G619" s="549" t="s">
        <v>3436</v>
      </c>
      <c r="H619" s="549" t="s">
        <v>424</v>
      </c>
      <c r="I619" s="549">
        <v>1350</v>
      </c>
      <c r="J619" s="549">
        <v>0</v>
      </c>
      <c r="K619" s="549">
        <v>6</v>
      </c>
      <c r="L619" s="554">
        <f t="shared" si="193"/>
        <v>225</v>
      </c>
      <c r="M619" s="555">
        <v>45930</v>
      </c>
      <c r="N619" s="558">
        <v>45915</v>
      </c>
      <c r="O619" s="556"/>
      <c r="P619" s="556" t="s">
        <v>103</v>
      </c>
      <c r="Q619" s="549" t="s">
        <v>1445</v>
      </c>
      <c r="R619" s="562">
        <v>45898</v>
      </c>
      <c r="S619" s="562" t="s">
        <v>96</v>
      </c>
      <c r="T619" s="562">
        <v>45875</v>
      </c>
      <c r="U619" s="562"/>
      <c r="V619" s="566" t="s">
        <v>4658</v>
      </c>
      <c r="W619" s="564" t="s">
        <v>121</v>
      </c>
      <c r="X619" s="564">
        <v>7.0815</v>
      </c>
      <c r="Y619" s="513">
        <f t="shared" si="194"/>
        <v>9560.025</v>
      </c>
      <c r="Z619" s="549"/>
      <c r="AA619" s="549" t="s">
        <v>1203</v>
      </c>
      <c r="AB619" s="549" t="s">
        <v>76</v>
      </c>
      <c r="AC619" s="549"/>
      <c r="AD619" s="549"/>
      <c r="AE619" s="549"/>
      <c r="AF619" s="549"/>
      <c r="AG619" s="549">
        <f t="shared" si="195"/>
        <v>-1350</v>
      </c>
      <c r="AH619" s="575"/>
      <c r="AI619" s="549"/>
      <c r="AJ619" s="549"/>
      <c r="AK619" s="549"/>
      <c r="AL619" s="568">
        <f>I619*2</f>
        <v>2700</v>
      </c>
      <c r="AO619" s="578">
        <f>$I619*2</f>
        <v>2700</v>
      </c>
      <c r="AR619" s="568"/>
      <c r="AS619" s="568">
        <f t="shared" si="199"/>
        <v>1350</v>
      </c>
      <c r="AT619" s="578"/>
      <c r="AU619" s="568"/>
      <c r="AY619" s="576">
        <f>I619/24*2</f>
        <v>112.5</v>
      </c>
      <c r="AZ619" s="577"/>
      <c r="BT619" s="495"/>
      <c r="BU619" s="425">
        <f>I619</f>
        <v>1350</v>
      </c>
      <c r="BV619" s="578"/>
      <c r="CK619" s="425">
        <f t="shared" si="184"/>
        <v>0</v>
      </c>
      <c r="CL619" s="428">
        <f t="shared" si="197"/>
        <v>0</v>
      </c>
      <c r="CM619" s="428">
        <f t="shared" si="198"/>
        <v>0</v>
      </c>
      <c r="CN619" s="578"/>
      <c r="CO619" s="578"/>
      <c r="CP619" s="578"/>
      <c r="CT619" s="578"/>
      <c r="CU619" s="578"/>
      <c r="CV619" s="578"/>
      <c r="CW619" s="578"/>
      <c r="CX619" s="578"/>
    </row>
    <row r="620" s="428" customFormat="1" ht="31" customHeight="1" spans="1:102">
      <c r="A620" s="547">
        <v>45887</v>
      </c>
      <c r="B620" s="548" t="s">
        <v>122</v>
      </c>
      <c r="C620" s="539" t="s">
        <v>116</v>
      </c>
      <c r="D620" s="428">
        <v>4500177236</v>
      </c>
      <c r="E620" s="539">
        <v>21012348</v>
      </c>
      <c r="F620" s="428" t="s">
        <v>4659</v>
      </c>
      <c r="G620" s="549" t="s">
        <v>3206</v>
      </c>
      <c r="H620" s="549" t="s">
        <v>3207</v>
      </c>
      <c r="I620" s="549">
        <v>2236</v>
      </c>
      <c r="J620" s="549">
        <v>0</v>
      </c>
      <c r="K620" s="549">
        <v>13</v>
      </c>
      <c r="L620" s="554">
        <f t="shared" ref="L620:L674" si="200">I620/K620</f>
        <v>172</v>
      </c>
      <c r="M620" s="555">
        <v>45930</v>
      </c>
      <c r="N620" s="555">
        <v>45926</v>
      </c>
      <c r="O620" s="556"/>
      <c r="P620" s="556" t="s">
        <v>103</v>
      </c>
      <c r="Q620" s="549"/>
      <c r="R620" s="562">
        <v>45903</v>
      </c>
      <c r="S620" s="562" t="s">
        <v>96</v>
      </c>
      <c r="T620" s="562" t="s">
        <v>4660</v>
      </c>
      <c r="U620" s="562"/>
      <c r="V620" s="564" t="s">
        <v>3390</v>
      </c>
      <c r="W620" s="564" t="s">
        <v>121</v>
      </c>
      <c r="X620" s="567">
        <v>0.9475</v>
      </c>
      <c r="Y620" s="513">
        <f t="shared" si="194"/>
        <v>2118.61</v>
      </c>
      <c r="Z620" s="549"/>
      <c r="AA620" s="549" t="s">
        <v>3206</v>
      </c>
      <c r="AB620" s="549" t="s">
        <v>76</v>
      </c>
      <c r="AC620" s="549"/>
      <c r="AD620" s="549"/>
      <c r="AE620" s="549"/>
      <c r="AF620" s="549">
        <v>2236</v>
      </c>
      <c r="AG620" s="549">
        <f t="shared" ref="AG620:AG632" si="201">AF620-I620</f>
        <v>0</v>
      </c>
      <c r="AH620" s="575"/>
      <c r="AI620" s="549"/>
      <c r="AJ620" s="549"/>
      <c r="AK620" s="549"/>
      <c r="AL620" s="568">
        <f>I620</f>
        <v>2236</v>
      </c>
      <c r="AQ620" s="428">
        <f>I620</f>
        <v>2236</v>
      </c>
      <c r="AR620" s="568"/>
      <c r="AS620" s="568">
        <f t="shared" si="199"/>
        <v>2236</v>
      </c>
      <c r="AT620" s="578"/>
      <c r="AU620" s="568"/>
      <c r="AY620" s="576">
        <f>I620/24</f>
        <v>93.1666666666667</v>
      </c>
      <c r="AZ620" s="577"/>
      <c r="BI620" s="425">
        <f>I620/13</f>
        <v>172</v>
      </c>
      <c r="BT620" s="578"/>
      <c r="BV620" s="578"/>
      <c r="CK620" s="425">
        <f t="shared" si="184"/>
        <v>0</v>
      </c>
      <c r="CL620" s="428">
        <f t="shared" si="197"/>
        <v>0</v>
      </c>
      <c r="CM620" s="428">
        <f t="shared" si="198"/>
        <v>0</v>
      </c>
      <c r="CN620" s="578"/>
      <c r="CO620" s="578"/>
      <c r="CP620" s="578"/>
      <c r="CT620" s="578"/>
      <c r="CU620" s="578"/>
      <c r="CV620" s="578"/>
      <c r="CW620" s="578"/>
      <c r="CX620" s="578"/>
    </row>
    <row r="621" s="428" customFormat="1" ht="31" customHeight="1" spans="1:102">
      <c r="A621" s="547">
        <v>45887</v>
      </c>
      <c r="B621" s="548" t="s">
        <v>125</v>
      </c>
      <c r="C621" s="539" t="s">
        <v>71</v>
      </c>
      <c r="D621" s="428">
        <v>4500177240</v>
      </c>
      <c r="E621" s="539" t="s">
        <v>4661</v>
      </c>
      <c r="F621" s="428" t="s">
        <v>4662</v>
      </c>
      <c r="G621" s="549" t="s">
        <v>3206</v>
      </c>
      <c r="H621" s="549" t="s">
        <v>3207</v>
      </c>
      <c r="I621" s="549">
        <v>117</v>
      </c>
      <c r="J621" s="549">
        <v>0</v>
      </c>
      <c r="K621" s="549">
        <v>13</v>
      </c>
      <c r="L621" s="554">
        <f t="shared" si="200"/>
        <v>9</v>
      </c>
      <c r="M621" s="555">
        <v>45930</v>
      </c>
      <c r="N621" s="555">
        <v>45926</v>
      </c>
      <c r="O621" s="556"/>
      <c r="P621" s="556" t="s">
        <v>103</v>
      </c>
      <c r="Q621" s="549"/>
      <c r="R621" s="562">
        <v>45903</v>
      </c>
      <c r="S621" s="562" t="s">
        <v>96</v>
      </c>
      <c r="T621" s="562" t="s">
        <v>4660</v>
      </c>
      <c r="U621" s="562"/>
      <c r="V621" s="564" t="s">
        <v>4143</v>
      </c>
      <c r="W621" s="564" t="s">
        <v>121</v>
      </c>
      <c r="X621" s="567">
        <v>0.9526</v>
      </c>
      <c r="Y621" s="513">
        <f t="shared" si="194"/>
        <v>111.4542</v>
      </c>
      <c r="Z621" s="549"/>
      <c r="AA621" s="549" t="s">
        <v>3206</v>
      </c>
      <c r="AB621" s="549" t="s">
        <v>76</v>
      </c>
      <c r="AC621" s="549"/>
      <c r="AD621" s="549"/>
      <c r="AE621" s="549"/>
      <c r="AF621" s="549">
        <v>117</v>
      </c>
      <c r="AG621" s="549">
        <f t="shared" si="201"/>
        <v>0</v>
      </c>
      <c r="AH621" s="575"/>
      <c r="AI621" s="549"/>
      <c r="AJ621" s="549"/>
      <c r="AK621" s="549"/>
      <c r="AL621" s="568">
        <f>I621</f>
        <v>117</v>
      </c>
      <c r="AQ621" s="428">
        <f>I621</f>
        <v>117</v>
      </c>
      <c r="AR621" s="568"/>
      <c r="AS621" s="568">
        <f t="shared" si="199"/>
        <v>117</v>
      </c>
      <c r="AT621" s="578"/>
      <c r="AU621" s="568"/>
      <c r="AY621" s="576">
        <f>I621/24</f>
        <v>4.875</v>
      </c>
      <c r="AZ621" s="577"/>
      <c r="BI621" s="425">
        <f>I621/13</f>
        <v>9</v>
      </c>
      <c r="BT621" s="578"/>
      <c r="BV621" s="578"/>
      <c r="CK621" s="425">
        <f t="shared" si="184"/>
        <v>0</v>
      </c>
      <c r="CL621" s="428">
        <f t="shared" si="197"/>
        <v>0</v>
      </c>
      <c r="CM621" s="428">
        <f t="shared" si="198"/>
        <v>0</v>
      </c>
      <c r="CN621" s="578"/>
      <c r="CO621" s="578"/>
      <c r="CP621" s="578"/>
      <c r="CT621" s="578"/>
      <c r="CU621" s="578"/>
      <c r="CV621" s="578"/>
      <c r="CW621" s="578"/>
      <c r="CX621" s="578"/>
    </row>
    <row r="622" s="428" customFormat="1" ht="31" customHeight="1" spans="1:102">
      <c r="A622" s="547">
        <v>45894</v>
      </c>
      <c r="B622" s="548" t="s">
        <v>280</v>
      </c>
      <c r="C622" s="539" t="s">
        <v>249</v>
      </c>
      <c r="D622" s="428">
        <v>4500177765</v>
      </c>
      <c r="E622" s="539" t="s">
        <v>1755</v>
      </c>
      <c r="F622" s="428" t="s">
        <v>4663</v>
      </c>
      <c r="G622" s="549" t="s">
        <v>3158</v>
      </c>
      <c r="H622" s="549" t="s">
        <v>3159</v>
      </c>
      <c r="I622" s="549">
        <v>10140</v>
      </c>
      <c r="J622" s="549">
        <v>0</v>
      </c>
      <c r="K622" s="549">
        <v>52</v>
      </c>
      <c r="L622" s="554">
        <f t="shared" si="200"/>
        <v>195</v>
      </c>
      <c r="M622" s="555">
        <v>45930</v>
      </c>
      <c r="N622" s="555">
        <v>45926</v>
      </c>
      <c r="O622" s="556"/>
      <c r="P622" s="556" t="s">
        <v>103</v>
      </c>
      <c r="Q622" s="549"/>
      <c r="R622" s="562" t="s">
        <v>4664</v>
      </c>
      <c r="S622" s="562" t="s">
        <v>66</v>
      </c>
      <c r="T622" s="562" t="s">
        <v>4665</v>
      </c>
      <c r="U622" s="562"/>
      <c r="V622" s="564" t="s">
        <v>4666</v>
      </c>
      <c r="W622" s="564" t="s">
        <v>1759</v>
      </c>
      <c r="X622" s="567">
        <v>0.9002</v>
      </c>
      <c r="Y622" s="513">
        <f t="shared" si="194"/>
        <v>9128.028</v>
      </c>
      <c r="Z622" s="549"/>
      <c r="AA622" s="549" t="s">
        <v>3158</v>
      </c>
      <c r="AB622" s="549" t="s">
        <v>76</v>
      </c>
      <c r="AC622" s="549"/>
      <c r="AD622" s="549"/>
      <c r="AE622" s="549"/>
      <c r="AF622" s="549">
        <f>5460+4680</f>
        <v>10140</v>
      </c>
      <c r="AG622" s="549">
        <f t="shared" si="201"/>
        <v>0</v>
      </c>
      <c r="AH622" s="575"/>
      <c r="AI622" s="549"/>
      <c r="AJ622" s="549"/>
      <c r="AK622" s="549"/>
      <c r="AL622" s="568">
        <f>I622</f>
        <v>10140</v>
      </c>
      <c r="AQ622" s="428">
        <f>I622</f>
        <v>10140</v>
      </c>
      <c r="AR622" s="568"/>
      <c r="AS622" s="568">
        <f t="shared" si="199"/>
        <v>10140</v>
      </c>
      <c r="AT622" s="578"/>
      <c r="AU622" s="568"/>
      <c r="AY622" s="580">
        <f>I622/24*2</f>
        <v>845</v>
      </c>
      <c r="AZ622" s="577"/>
      <c r="BI622" s="425">
        <f>I622/13</f>
        <v>780</v>
      </c>
      <c r="BT622" s="578"/>
      <c r="BV622" s="578"/>
      <c r="CK622" s="425">
        <f t="shared" si="184"/>
        <v>0</v>
      </c>
      <c r="CL622" s="428">
        <f t="shared" si="197"/>
        <v>0</v>
      </c>
      <c r="CM622" s="428">
        <f t="shared" si="198"/>
        <v>0</v>
      </c>
      <c r="CN622" s="578"/>
      <c r="CO622" s="578"/>
      <c r="CP622" s="578"/>
      <c r="CT622" s="578"/>
      <c r="CU622" s="578"/>
      <c r="CV622" s="578"/>
      <c r="CW622" s="578"/>
      <c r="CX622" s="578"/>
    </row>
    <row r="623" s="428" customFormat="1" ht="31" customHeight="1" spans="1:102">
      <c r="A623" s="547">
        <v>45897</v>
      </c>
      <c r="B623" s="548" t="s">
        <v>1760</v>
      </c>
      <c r="C623" s="539" t="s">
        <v>356</v>
      </c>
      <c r="D623" s="428">
        <v>4500178109</v>
      </c>
      <c r="E623" s="539"/>
      <c r="F623" s="428" t="s">
        <v>4667</v>
      </c>
      <c r="G623" s="549" t="s">
        <v>3161</v>
      </c>
      <c r="H623" s="549" t="s">
        <v>3221</v>
      </c>
      <c r="I623" s="549">
        <v>2250</v>
      </c>
      <c r="J623" s="549">
        <v>0</v>
      </c>
      <c r="K623" s="549">
        <v>50</v>
      </c>
      <c r="L623" s="554">
        <f t="shared" si="200"/>
        <v>45</v>
      </c>
      <c r="M623" s="555">
        <v>45930</v>
      </c>
      <c r="N623" s="555">
        <v>45926</v>
      </c>
      <c r="O623" s="556"/>
      <c r="P623" s="556" t="s">
        <v>103</v>
      </c>
      <c r="Q623" s="549"/>
      <c r="R623" s="562">
        <v>45898</v>
      </c>
      <c r="S623" s="562" t="s">
        <v>66</v>
      </c>
      <c r="T623" s="562">
        <v>45902</v>
      </c>
      <c r="U623" s="562"/>
      <c r="V623" s="564" t="s">
        <v>4668</v>
      </c>
      <c r="W623" s="564" t="s">
        <v>395</v>
      </c>
      <c r="X623" s="564">
        <v>0.941</v>
      </c>
      <c r="Y623" s="513">
        <f t="shared" si="194"/>
        <v>2117.25</v>
      </c>
      <c r="Z623" s="549"/>
      <c r="AA623" s="548" t="s">
        <v>3161</v>
      </c>
      <c r="AB623" s="549" t="s">
        <v>76</v>
      </c>
      <c r="AC623" s="549"/>
      <c r="AD623" s="549"/>
      <c r="AE623" s="549"/>
      <c r="AF623" s="549">
        <v>2250</v>
      </c>
      <c r="AG623" s="549">
        <f t="shared" si="201"/>
        <v>0</v>
      </c>
      <c r="AH623" s="575"/>
      <c r="AI623" s="549"/>
      <c r="AJ623" s="549"/>
      <c r="AK623" s="549"/>
      <c r="AL623" s="568">
        <f>I623</f>
        <v>2250</v>
      </c>
      <c r="AQ623" s="428">
        <f>I623</f>
        <v>2250</v>
      </c>
      <c r="AS623" s="568">
        <f t="shared" si="199"/>
        <v>2250</v>
      </c>
      <c r="AT623" s="578"/>
      <c r="AY623" s="576">
        <f t="shared" ref="AY623:AY633" si="202">I623/24</f>
        <v>93.75</v>
      </c>
      <c r="AZ623" s="577"/>
      <c r="BL623" s="425">
        <f>I623/25</f>
        <v>90</v>
      </c>
      <c r="BT623" s="578"/>
      <c r="BV623" s="578"/>
      <c r="CK623" s="425">
        <f t="shared" si="184"/>
        <v>90</v>
      </c>
      <c r="CL623" s="428">
        <f t="shared" si="197"/>
        <v>0</v>
      </c>
      <c r="CM623" s="428">
        <f t="shared" si="198"/>
        <v>0</v>
      </c>
      <c r="CN623" s="578"/>
      <c r="CO623" s="578"/>
      <c r="CP623" s="578"/>
      <c r="CT623" s="578"/>
      <c r="CU623" s="578"/>
      <c r="CV623" s="578"/>
      <c r="CW623" s="578"/>
      <c r="CX623" s="578"/>
    </row>
    <row r="624" s="428" customFormat="1" ht="31" customHeight="1" spans="1:102">
      <c r="A624" s="547">
        <v>45897</v>
      </c>
      <c r="B624" s="548" t="s">
        <v>128</v>
      </c>
      <c r="C624" s="539" t="s">
        <v>90</v>
      </c>
      <c r="D624" s="428">
        <v>4500178136</v>
      </c>
      <c r="E624" s="887" t="s">
        <v>4669</v>
      </c>
      <c r="F624" s="428" t="s">
        <v>4670</v>
      </c>
      <c r="G624" s="549" t="s">
        <v>3180</v>
      </c>
      <c r="H624" s="549" t="s">
        <v>3181</v>
      </c>
      <c r="I624" s="549">
        <v>34608</v>
      </c>
      <c r="J624" s="549">
        <v>0</v>
      </c>
      <c r="K624" s="549">
        <v>16</v>
      </c>
      <c r="L624" s="554">
        <f t="shared" si="200"/>
        <v>2163</v>
      </c>
      <c r="M624" s="555">
        <v>45930</v>
      </c>
      <c r="N624" s="555">
        <v>45926</v>
      </c>
      <c r="O624" s="556" t="s">
        <v>1693</v>
      </c>
      <c r="P624" s="556" t="s">
        <v>103</v>
      </c>
      <c r="Q624" s="549"/>
      <c r="R624" s="562" t="s">
        <v>4194</v>
      </c>
      <c r="S624" s="562" t="s">
        <v>66</v>
      </c>
      <c r="T624" s="562" t="s">
        <v>133</v>
      </c>
      <c r="U624" s="562"/>
      <c r="V624" s="564" t="s">
        <v>4328</v>
      </c>
      <c r="W624" s="564" t="s">
        <v>98</v>
      </c>
      <c r="X624" s="564">
        <v>0.5783</v>
      </c>
      <c r="Y624" s="513">
        <f t="shared" si="194"/>
        <v>20013.8064</v>
      </c>
      <c r="Z624" s="549" t="s">
        <v>4671</v>
      </c>
      <c r="AA624" s="549" t="s">
        <v>3180</v>
      </c>
      <c r="AB624" s="549" t="s">
        <v>76</v>
      </c>
      <c r="AC624" s="549"/>
      <c r="AD624" s="549"/>
      <c r="AE624" s="549"/>
      <c r="AF624" s="549">
        <f>25648+8960</f>
        <v>34608</v>
      </c>
      <c r="AG624" s="549">
        <f t="shared" si="201"/>
        <v>0</v>
      </c>
      <c r="AH624" s="575"/>
      <c r="AI624" s="549"/>
      <c r="AJ624" s="549"/>
      <c r="AK624" s="549">
        <f>I624</f>
        <v>34608</v>
      </c>
      <c r="AL624" s="568"/>
      <c r="AM624" s="428">
        <f>I624</f>
        <v>34608</v>
      </c>
      <c r="AO624" s="578"/>
      <c r="AR624" s="428">
        <f>I624</f>
        <v>34608</v>
      </c>
      <c r="AT624" s="578"/>
      <c r="AY624" s="576">
        <f t="shared" si="202"/>
        <v>1442</v>
      </c>
      <c r="BM624" s="428">
        <f>I624/16</f>
        <v>2163</v>
      </c>
      <c r="BT624" s="578"/>
      <c r="BV624" s="578"/>
      <c r="CK624" s="425">
        <f t="shared" si="184"/>
        <v>2163</v>
      </c>
      <c r="CL624" s="428">
        <f t="shared" si="197"/>
        <v>0</v>
      </c>
      <c r="CM624" s="428">
        <f t="shared" si="198"/>
        <v>0</v>
      </c>
      <c r="CN624" s="578"/>
      <c r="CO624" s="578"/>
      <c r="CP624" s="578"/>
      <c r="CT624" s="578"/>
      <c r="CU624" s="578"/>
      <c r="CV624" s="578"/>
      <c r="CW624" s="578"/>
      <c r="CX624" s="578"/>
    </row>
    <row r="625" s="428" customFormat="1" ht="31" customHeight="1" spans="1:102">
      <c r="A625" s="547">
        <v>45897</v>
      </c>
      <c r="B625" s="548" t="s">
        <v>128</v>
      </c>
      <c r="C625" s="539" t="s">
        <v>90</v>
      </c>
      <c r="D625" s="428">
        <v>4500178136</v>
      </c>
      <c r="E625" s="887" t="s">
        <v>4672</v>
      </c>
      <c r="F625" s="428" t="s">
        <v>4673</v>
      </c>
      <c r="G625" s="549" t="s">
        <v>3180</v>
      </c>
      <c r="H625" s="549" t="s">
        <v>3181</v>
      </c>
      <c r="I625" s="549">
        <v>14992</v>
      </c>
      <c r="J625" s="549">
        <v>0</v>
      </c>
      <c r="K625" s="549">
        <v>16</v>
      </c>
      <c r="L625" s="554">
        <f t="shared" si="200"/>
        <v>937</v>
      </c>
      <c r="M625" s="555">
        <v>45930</v>
      </c>
      <c r="N625" s="555">
        <v>45926</v>
      </c>
      <c r="O625" s="556" t="s">
        <v>1693</v>
      </c>
      <c r="P625" s="556" t="s">
        <v>103</v>
      </c>
      <c r="Q625" s="549"/>
      <c r="R625" s="562" t="s">
        <v>4194</v>
      </c>
      <c r="S625" s="562" t="s">
        <v>66</v>
      </c>
      <c r="T625" s="562" t="s">
        <v>133</v>
      </c>
      <c r="U625" s="562"/>
      <c r="V625" s="564" t="s">
        <v>4328</v>
      </c>
      <c r="W625" s="564" t="s">
        <v>98</v>
      </c>
      <c r="X625" s="564">
        <v>0.5783</v>
      </c>
      <c r="Y625" s="513">
        <f t="shared" si="194"/>
        <v>8669.8736</v>
      </c>
      <c r="Z625" s="549" t="s">
        <v>4674</v>
      </c>
      <c r="AA625" s="549" t="s">
        <v>3180</v>
      </c>
      <c r="AB625" s="549" t="s">
        <v>76</v>
      </c>
      <c r="AC625" s="549"/>
      <c r="AD625" s="549"/>
      <c r="AE625" s="549"/>
      <c r="AF625" s="549">
        <v>14992</v>
      </c>
      <c r="AG625" s="549">
        <f t="shared" si="201"/>
        <v>0</v>
      </c>
      <c r="AH625" s="575"/>
      <c r="AI625" s="549"/>
      <c r="AJ625" s="549"/>
      <c r="AK625" s="549">
        <f>I625</f>
        <v>14992</v>
      </c>
      <c r="AL625" s="568"/>
      <c r="AM625" s="428">
        <f>I625</f>
        <v>14992</v>
      </c>
      <c r="AO625" s="578"/>
      <c r="AR625" s="428">
        <f>I625</f>
        <v>14992</v>
      </c>
      <c r="AT625" s="578"/>
      <c r="AY625" s="576">
        <f t="shared" si="202"/>
        <v>624.666666666667</v>
      </c>
      <c r="BM625" s="428">
        <f>I625/16</f>
        <v>937</v>
      </c>
      <c r="BT625" s="578"/>
      <c r="BV625" s="578"/>
      <c r="CK625" s="425">
        <f t="shared" si="184"/>
        <v>937</v>
      </c>
      <c r="CL625" s="428">
        <f t="shared" si="197"/>
        <v>0</v>
      </c>
      <c r="CM625" s="428">
        <f t="shared" si="198"/>
        <v>0</v>
      </c>
      <c r="CN625" s="578"/>
      <c r="CO625" s="578"/>
      <c r="CP625" s="578"/>
      <c r="CT625" s="578"/>
      <c r="CU625" s="578"/>
      <c r="CV625" s="578"/>
      <c r="CW625" s="578"/>
      <c r="CX625" s="578"/>
    </row>
    <row r="626" s="428" customFormat="1" ht="31" customHeight="1" spans="1:102">
      <c r="A626" s="547">
        <v>45897</v>
      </c>
      <c r="B626" s="548" t="s">
        <v>128</v>
      </c>
      <c r="C626" s="539" t="s">
        <v>90</v>
      </c>
      <c r="D626" s="428">
        <v>4500178136</v>
      </c>
      <c r="E626" s="887" t="s">
        <v>4675</v>
      </c>
      <c r="F626" s="428" t="s">
        <v>4676</v>
      </c>
      <c r="G626" s="549" t="s">
        <v>3180</v>
      </c>
      <c r="H626" s="549" t="s">
        <v>3181</v>
      </c>
      <c r="I626" s="549">
        <v>15824</v>
      </c>
      <c r="J626" s="549">
        <v>0</v>
      </c>
      <c r="K626" s="549">
        <v>16</v>
      </c>
      <c r="L626" s="554">
        <f t="shared" si="200"/>
        <v>989</v>
      </c>
      <c r="M626" s="555">
        <v>45930</v>
      </c>
      <c r="N626" s="555">
        <v>45926</v>
      </c>
      <c r="O626" s="556" t="s">
        <v>1693</v>
      </c>
      <c r="P626" s="556" t="s">
        <v>103</v>
      </c>
      <c r="Q626" s="549"/>
      <c r="R626" s="562" t="s">
        <v>4194</v>
      </c>
      <c r="S626" s="562" t="s">
        <v>66</v>
      </c>
      <c r="T626" s="562" t="s">
        <v>133</v>
      </c>
      <c r="U626" s="562"/>
      <c r="V626" s="564" t="s">
        <v>4328</v>
      </c>
      <c r="W626" s="564" t="s">
        <v>98</v>
      </c>
      <c r="X626" s="564">
        <v>0.5783</v>
      </c>
      <c r="Y626" s="513">
        <f t="shared" si="194"/>
        <v>9151.0192</v>
      </c>
      <c r="Z626" s="549" t="s">
        <v>4677</v>
      </c>
      <c r="AA626" s="549" t="s">
        <v>3180</v>
      </c>
      <c r="AB626" s="549" t="s">
        <v>76</v>
      </c>
      <c r="AC626" s="549"/>
      <c r="AD626" s="549"/>
      <c r="AE626" s="549"/>
      <c r="AF626" s="549">
        <v>15824</v>
      </c>
      <c r="AG626" s="549">
        <f t="shared" si="201"/>
        <v>0</v>
      </c>
      <c r="AH626" s="575"/>
      <c r="AI626" s="549"/>
      <c r="AJ626" s="549"/>
      <c r="AK626" s="549">
        <f>I626</f>
        <v>15824</v>
      </c>
      <c r="AL626" s="568"/>
      <c r="AM626" s="428">
        <f>I626</f>
        <v>15824</v>
      </c>
      <c r="AO626" s="578"/>
      <c r="AR626" s="428">
        <f>I626</f>
        <v>15824</v>
      </c>
      <c r="AT626" s="578"/>
      <c r="AY626" s="576">
        <f t="shared" si="202"/>
        <v>659.333333333333</v>
      </c>
      <c r="BM626" s="428">
        <f>I626/16</f>
        <v>989</v>
      </c>
      <c r="BT626" s="578"/>
      <c r="BV626" s="578"/>
      <c r="CK626" s="425">
        <f t="shared" si="184"/>
        <v>989</v>
      </c>
      <c r="CL626" s="428">
        <f t="shared" si="197"/>
        <v>0</v>
      </c>
      <c r="CM626" s="428">
        <f t="shared" si="198"/>
        <v>0</v>
      </c>
      <c r="CN626" s="578"/>
      <c r="CO626" s="578"/>
      <c r="CP626" s="578"/>
      <c r="CT626" s="578"/>
      <c r="CU626" s="578"/>
      <c r="CV626" s="578"/>
      <c r="CW626" s="578"/>
      <c r="CX626" s="578"/>
    </row>
    <row r="627" s="428" customFormat="1" ht="31" customHeight="1" spans="1:102">
      <c r="A627" s="547">
        <v>45897</v>
      </c>
      <c r="B627" s="548" t="s">
        <v>128</v>
      </c>
      <c r="C627" s="539" t="s">
        <v>90</v>
      </c>
      <c r="D627" s="428">
        <v>4500178136</v>
      </c>
      <c r="E627" s="887" t="s">
        <v>4678</v>
      </c>
      <c r="F627" s="428" t="s">
        <v>4679</v>
      </c>
      <c r="G627" s="549" t="s">
        <v>3180</v>
      </c>
      <c r="H627" s="549" t="s">
        <v>3181</v>
      </c>
      <c r="I627" s="549">
        <v>22144</v>
      </c>
      <c r="J627" s="549">
        <v>0</v>
      </c>
      <c r="K627" s="549">
        <v>16</v>
      </c>
      <c r="L627" s="554">
        <f t="shared" si="200"/>
        <v>1384</v>
      </c>
      <c r="M627" s="555">
        <v>45930</v>
      </c>
      <c r="N627" s="555">
        <v>45926</v>
      </c>
      <c r="O627" s="556" t="s">
        <v>1693</v>
      </c>
      <c r="P627" s="556" t="s">
        <v>103</v>
      </c>
      <c r="Q627" s="549"/>
      <c r="R627" s="562" t="s">
        <v>4194</v>
      </c>
      <c r="S627" s="562" t="s">
        <v>66</v>
      </c>
      <c r="T627" s="562" t="s">
        <v>133</v>
      </c>
      <c r="U627" s="562"/>
      <c r="V627" s="564" t="s">
        <v>4328</v>
      </c>
      <c r="W627" s="564" t="s">
        <v>98</v>
      </c>
      <c r="X627" s="564">
        <v>0.5783</v>
      </c>
      <c r="Y627" s="513">
        <f t="shared" si="194"/>
        <v>12805.8752</v>
      </c>
      <c r="Z627" s="549" t="s">
        <v>4680</v>
      </c>
      <c r="AA627" s="549" t="s">
        <v>3180</v>
      </c>
      <c r="AB627" s="549" t="s">
        <v>76</v>
      </c>
      <c r="AC627" s="549"/>
      <c r="AD627" s="549"/>
      <c r="AE627" s="549"/>
      <c r="AF627" s="549">
        <f>22144</f>
        <v>22144</v>
      </c>
      <c r="AG627" s="549">
        <f t="shared" si="201"/>
        <v>0</v>
      </c>
      <c r="AH627" s="575"/>
      <c r="AI627" s="549"/>
      <c r="AJ627" s="549"/>
      <c r="AK627" s="549">
        <f>I627</f>
        <v>22144</v>
      </c>
      <c r="AL627" s="568"/>
      <c r="AM627" s="428">
        <f>I627</f>
        <v>22144</v>
      </c>
      <c r="AO627" s="578"/>
      <c r="AR627" s="428">
        <f>I627</f>
        <v>22144</v>
      </c>
      <c r="AT627" s="578"/>
      <c r="AY627" s="576">
        <f t="shared" si="202"/>
        <v>922.666666666667</v>
      </c>
      <c r="BM627" s="428">
        <f>I627/16</f>
        <v>1384</v>
      </c>
      <c r="BT627" s="578"/>
      <c r="BV627" s="578"/>
      <c r="CK627" s="425">
        <f t="shared" si="184"/>
        <v>1384</v>
      </c>
      <c r="CL627" s="428">
        <f t="shared" si="197"/>
        <v>0</v>
      </c>
      <c r="CM627" s="428">
        <f t="shared" si="198"/>
        <v>0</v>
      </c>
      <c r="CN627" s="578"/>
      <c r="CO627" s="578"/>
      <c r="CP627" s="578"/>
      <c r="CT627" s="578"/>
      <c r="CU627" s="578"/>
      <c r="CV627" s="578"/>
      <c r="CW627" s="578"/>
      <c r="CX627" s="578"/>
    </row>
    <row r="628" s="428" customFormat="1" ht="31" customHeight="1" spans="1:102">
      <c r="A628" s="547">
        <v>45897</v>
      </c>
      <c r="B628" s="548" t="s">
        <v>128</v>
      </c>
      <c r="C628" s="539" t="s">
        <v>90</v>
      </c>
      <c r="D628" s="428">
        <v>4500178136</v>
      </c>
      <c r="E628" s="887" t="s">
        <v>4681</v>
      </c>
      <c r="F628" s="428" t="s">
        <v>4682</v>
      </c>
      <c r="G628" s="549" t="s">
        <v>3180</v>
      </c>
      <c r="H628" s="549" t="s">
        <v>3181</v>
      </c>
      <c r="I628" s="549">
        <v>31744</v>
      </c>
      <c r="J628" s="549">
        <v>0</v>
      </c>
      <c r="K628" s="549">
        <v>16</v>
      </c>
      <c r="L628" s="554">
        <f t="shared" si="200"/>
        <v>1984</v>
      </c>
      <c r="M628" s="555">
        <v>45930</v>
      </c>
      <c r="N628" s="555">
        <v>45926</v>
      </c>
      <c r="O628" s="556" t="s">
        <v>1693</v>
      </c>
      <c r="P628" s="556" t="s">
        <v>103</v>
      </c>
      <c r="Q628" s="549"/>
      <c r="R628" s="562" t="s">
        <v>4194</v>
      </c>
      <c r="S628" s="562" t="s">
        <v>66</v>
      </c>
      <c r="T628" s="562" t="s">
        <v>133</v>
      </c>
      <c r="U628" s="562"/>
      <c r="V628" s="564" t="s">
        <v>4328</v>
      </c>
      <c r="W628" s="564" t="s">
        <v>98</v>
      </c>
      <c r="X628" s="564">
        <v>0.5783</v>
      </c>
      <c r="Y628" s="513">
        <f t="shared" si="194"/>
        <v>18357.5552</v>
      </c>
      <c r="Z628" s="549" t="s">
        <v>4683</v>
      </c>
      <c r="AA628" s="549" t="s">
        <v>3180</v>
      </c>
      <c r="AB628" s="549" t="s">
        <v>76</v>
      </c>
      <c r="AC628" s="549"/>
      <c r="AD628" s="549"/>
      <c r="AE628" s="549"/>
      <c r="AF628" s="549">
        <v>31744</v>
      </c>
      <c r="AG628" s="549">
        <f t="shared" si="201"/>
        <v>0</v>
      </c>
      <c r="AH628" s="575"/>
      <c r="AI628" s="549"/>
      <c r="AJ628" s="549"/>
      <c r="AK628" s="549">
        <f>I628</f>
        <v>31744</v>
      </c>
      <c r="AL628" s="568"/>
      <c r="AM628" s="428">
        <f>I628</f>
        <v>31744</v>
      </c>
      <c r="AO628" s="578"/>
      <c r="AR628" s="428">
        <f>I628</f>
        <v>31744</v>
      </c>
      <c r="AT628" s="578"/>
      <c r="AY628" s="576">
        <f t="shared" si="202"/>
        <v>1322.66666666667</v>
      </c>
      <c r="BM628" s="428">
        <f>I628/16</f>
        <v>1984</v>
      </c>
      <c r="BT628" s="578"/>
      <c r="BV628" s="578"/>
      <c r="CK628" s="425">
        <f t="shared" si="184"/>
        <v>1984</v>
      </c>
      <c r="CL628" s="428">
        <f t="shared" si="197"/>
        <v>0</v>
      </c>
      <c r="CM628" s="428">
        <f t="shared" si="198"/>
        <v>0</v>
      </c>
      <c r="CN628" s="578"/>
      <c r="CO628" s="578"/>
      <c r="CP628" s="578"/>
      <c r="CT628" s="578"/>
      <c r="CU628" s="578"/>
      <c r="CV628" s="578"/>
      <c r="CW628" s="578"/>
      <c r="CX628" s="578"/>
    </row>
    <row r="629" s="428" customFormat="1" ht="31" customHeight="1" spans="1:102">
      <c r="A629" s="547">
        <v>45855</v>
      </c>
      <c r="B629" s="548" t="s">
        <v>489</v>
      </c>
      <c r="C629" s="539" t="s">
        <v>249</v>
      </c>
      <c r="D629" s="428">
        <v>4500174199</v>
      </c>
      <c r="E629" s="539" t="s">
        <v>1738</v>
      </c>
      <c r="F629" s="428" t="s">
        <v>1739</v>
      </c>
      <c r="G629" s="549" t="s">
        <v>3436</v>
      </c>
      <c r="H629" s="549" t="s">
        <v>424</v>
      </c>
      <c r="I629" s="549">
        <v>732</v>
      </c>
      <c r="J629" s="549">
        <v>0</v>
      </c>
      <c r="K629" s="549">
        <v>6</v>
      </c>
      <c r="L629" s="554">
        <f t="shared" si="200"/>
        <v>122</v>
      </c>
      <c r="M629" s="555">
        <v>45930</v>
      </c>
      <c r="N629" s="555">
        <v>45926</v>
      </c>
      <c r="O629" s="556"/>
      <c r="P629" s="556" t="s">
        <v>103</v>
      </c>
      <c r="Q629" s="549"/>
      <c r="R629" s="562" t="s">
        <v>411</v>
      </c>
      <c r="S629" s="562" t="s">
        <v>96</v>
      </c>
      <c r="T629" s="570" t="s">
        <v>4684</v>
      </c>
      <c r="U629" s="562"/>
      <c r="V629" s="566" t="s">
        <v>1741</v>
      </c>
      <c r="W629" s="564" t="s">
        <v>414</v>
      </c>
      <c r="X629" s="564">
        <v>6.8326</v>
      </c>
      <c r="Y629" s="513">
        <f t="shared" si="194"/>
        <v>5001.4632</v>
      </c>
      <c r="Z629" s="549"/>
      <c r="AA629" s="548" t="s">
        <v>4685</v>
      </c>
      <c r="AB629" s="549" t="s">
        <v>76</v>
      </c>
      <c r="AC629" s="549"/>
      <c r="AD629" s="549"/>
      <c r="AE629" s="549"/>
      <c r="AF629" s="549">
        <v>732</v>
      </c>
      <c r="AG629" s="549">
        <f t="shared" ref="AG629:AG655" si="203">AF629-I629</f>
        <v>0</v>
      </c>
      <c r="AH629" s="575"/>
      <c r="AI629" s="549"/>
      <c r="AJ629" s="549"/>
      <c r="AK629" s="549"/>
      <c r="AL629" s="568">
        <f>I629*2</f>
        <v>1464</v>
      </c>
      <c r="AM629" s="428">
        <f>I629*2</f>
        <v>1464</v>
      </c>
      <c r="AR629" s="568"/>
      <c r="AS629" s="568">
        <f>I629*2</f>
        <v>1464</v>
      </c>
      <c r="AT629" s="578"/>
      <c r="AU629" s="568"/>
      <c r="AY629" s="580">
        <f t="shared" si="202"/>
        <v>30.5</v>
      </c>
      <c r="AZ629" s="577"/>
      <c r="BT629" s="495"/>
      <c r="BU629" s="425">
        <f>I629</f>
        <v>732</v>
      </c>
      <c r="BV629" s="578"/>
      <c r="CK629" s="425">
        <f t="shared" si="184"/>
        <v>0</v>
      </c>
      <c r="CL629" s="428">
        <f t="shared" si="197"/>
        <v>0</v>
      </c>
      <c r="CM629" s="428">
        <f t="shared" si="198"/>
        <v>0</v>
      </c>
      <c r="CN629" s="578"/>
      <c r="CO629" s="578"/>
      <c r="CP629" s="578"/>
      <c r="CT629" s="578"/>
      <c r="CU629" s="578"/>
      <c r="CV629" s="578"/>
      <c r="CW629" s="578"/>
      <c r="CX629" s="578"/>
    </row>
    <row r="630" s="428" customFormat="1" ht="31" customHeight="1" spans="1:102">
      <c r="A630" s="547">
        <v>45855</v>
      </c>
      <c r="B630" s="548" t="s">
        <v>489</v>
      </c>
      <c r="C630" s="539" t="s">
        <v>139</v>
      </c>
      <c r="D630" s="428">
        <v>4500174199</v>
      </c>
      <c r="E630" s="539" t="s">
        <v>1743</v>
      </c>
      <c r="F630" s="428" t="s">
        <v>1744</v>
      </c>
      <c r="G630" s="549" t="s">
        <v>3436</v>
      </c>
      <c r="H630" s="549" t="s">
        <v>424</v>
      </c>
      <c r="I630" s="549">
        <v>504</v>
      </c>
      <c r="J630" s="549">
        <v>0</v>
      </c>
      <c r="K630" s="549">
        <v>6</v>
      </c>
      <c r="L630" s="554">
        <f t="shared" si="200"/>
        <v>84</v>
      </c>
      <c r="M630" s="555">
        <v>45930</v>
      </c>
      <c r="N630" s="555">
        <v>45926</v>
      </c>
      <c r="O630" s="556"/>
      <c r="P630" s="556" t="s">
        <v>103</v>
      </c>
      <c r="Q630" s="549"/>
      <c r="R630" s="562" t="s">
        <v>411</v>
      </c>
      <c r="S630" s="562" t="s">
        <v>96</v>
      </c>
      <c r="T630" s="570" t="s">
        <v>4684</v>
      </c>
      <c r="U630" s="562"/>
      <c r="V630" s="566" t="s">
        <v>1741</v>
      </c>
      <c r="W630" s="564" t="s">
        <v>414</v>
      </c>
      <c r="X630" s="564">
        <v>6.8326</v>
      </c>
      <c r="Y630" s="513">
        <f t="shared" si="194"/>
        <v>3443.6304</v>
      </c>
      <c r="Z630" s="549"/>
      <c r="AA630" s="548" t="s">
        <v>4685</v>
      </c>
      <c r="AB630" s="549" t="s">
        <v>76</v>
      </c>
      <c r="AC630" s="549"/>
      <c r="AD630" s="549"/>
      <c r="AE630" s="549"/>
      <c r="AF630" s="549">
        <v>504</v>
      </c>
      <c r="AG630" s="549">
        <f t="shared" si="203"/>
        <v>0</v>
      </c>
      <c r="AH630" s="575"/>
      <c r="AI630" s="549"/>
      <c r="AJ630" s="549"/>
      <c r="AK630" s="549"/>
      <c r="AL630" s="568">
        <f>I630*2</f>
        <v>1008</v>
      </c>
      <c r="AM630" s="428">
        <f>I630*2</f>
        <v>1008</v>
      </c>
      <c r="AR630" s="568"/>
      <c r="AS630" s="568">
        <f>I630*2</f>
        <v>1008</v>
      </c>
      <c r="AT630" s="578"/>
      <c r="AU630" s="568"/>
      <c r="AY630" s="580">
        <f t="shared" si="202"/>
        <v>21</v>
      </c>
      <c r="AZ630" s="577"/>
      <c r="BT630" s="495"/>
      <c r="BU630" s="425">
        <f>I630</f>
        <v>504</v>
      </c>
      <c r="BV630" s="578"/>
      <c r="CK630" s="425">
        <f t="shared" si="184"/>
        <v>0</v>
      </c>
      <c r="CL630" s="428">
        <f t="shared" si="197"/>
        <v>0</v>
      </c>
      <c r="CM630" s="428">
        <f t="shared" si="198"/>
        <v>0</v>
      </c>
      <c r="CN630" s="578"/>
      <c r="CO630" s="578"/>
      <c r="CP630" s="578"/>
      <c r="CT630" s="578"/>
      <c r="CU630" s="578"/>
      <c r="CV630" s="578"/>
      <c r="CW630" s="578"/>
      <c r="CX630" s="578"/>
    </row>
    <row r="631" s="428" customFormat="1" ht="31" customHeight="1" spans="1:102">
      <c r="A631" s="547">
        <v>45855</v>
      </c>
      <c r="B631" s="548" t="s">
        <v>489</v>
      </c>
      <c r="C631" s="539" t="s">
        <v>271</v>
      </c>
      <c r="D631" s="428">
        <v>4500174199</v>
      </c>
      <c r="E631" s="539" t="s">
        <v>1745</v>
      </c>
      <c r="F631" s="428" t="s">
        <v>1746</v>
      </c>
      <c r="G631" s="549" t="s">
        <v>3436</v>
      </c>
      <c r="H631" s="549" t="s">
        <v>424</v>
      </c>
      <c r="I631" s="549">
        <v>504</v>
      </c>
      <c r="J631" s="549">
        <v>0</v>
      </c>
      <c r="K631" s="549">
        <v>6</v>
      </c>
      <c r="L631" s="554">
        <f t="shared" si="200"/>
        <v>84</v>
      </c>
      <c r="M631" s="555">
        <v>45930</v>
      </c>
      <c r="N631" s="555">
        <v>45926</v>
      </c>
      <c r="O631" s="556"/>
      <c r="P631" s="556" t="s">
        <v>103</v>
      </c>
      <c r="Q631" s="549"/>
      <c r="R631" s="562" t="s">
        <v>411</v>
      </c>
      <c r="S631" s="562" t="s">
        <v>96</v>
      </c>
      <c r="T631" s="570" t="s">
        <v>4684</v>
      </c>
      <c r="U631" s="562"/>
      <c r="V631" s="566" t="s">
        <v>1741</v>
      </c>
      <c r="W631" s="564" t="s">
        <v>414</v>
      </c>
      <c r="X631" s="564">
        <v>6.8326</v>
      </c>
      <c r="Y631" s="513">
        <f t="shared" si="194"/>
        <v>3443.6304</v>
      </c>
      <c r="Z631" s="549"/>
      <c r="AA631" s="548" t="s">
        <v>4685</v>
      </c>
      <c r="AB631" s="549" t="s">
        <v>76</v>
      </c>
      <c r="AC631" s="549"/>
      <c r="AD631" s="549"/>
      <c r="AE631" s="549"/>
      <c r="AF631" s="549">
        <v>504</v>
      </c>
      <c r="AG631" s="549">
        <f t="shared" si="203"/>
        <v>0</v>
      </c>
      <c r="AH631" s="575"/>
      <c r="AI631" s="549"/>
      <c r="AJ631" s="549"/>
      <c r="AK631" s="549"/>
      <c r="AL631" s="568">
        <f>I631*2</f>
        <v>1008</v>
      </c>
      <c r="AM631" s="428">
        <f>I631*2</f>
        <v>1008</v>
      </c>
      <c r="AR631" s="568"/>
      <c r="AS631" s="568">
        <f>I631*2</f>
        <v>1008</v>
      </c>
      <c r="AT631" s="578"/>
      <c r="AU631" s="568"/>
      <c r="AY631" s="580">
        <f t="shared" si="202"/>
        <v>21</v>
      </c>
      <c r="AZ631" s="577"/>
      <c r="BT631" s="495"/>
      <c r="BU631" s="425">
        <f>I631</f>
        <v>504</v>
      </c>
      <c r="BV631" s="578"/>
      <c r="CK631" s="425">
        <f t="shared" si="184"/>
        <v>0</v>
      </c>
      <c r="CL631" s="428">
        <f t="shared" si="197"/>
        <v>0</v>
      </c>
      <c r="CM631" s="428">
        <f t="shared" si="198"/>
        <v>0</v>
      </c>
      <c r="CN631" s="578"/>
      <c r="CO631" s="578"/>
      <c r="CP631" s="578"/>
      <c r="CT631" s="578"/>
      <c r="CU631" s="578"/>
      <c r="CV631" s="578"/>
      <c r="CW631" s="578"/>
      <c r="CX631" s="578"/>
    </row>
    <row r="632" s="428" customFormat="1" ht="31" customHeight="1" spans="1:102">
      <c r="A632" s="547">
        <v>45855</v>
      </c>
      <c r="B632" s="548" t="s">
        <v>489</v>
      </c>
      <c r="C632" s="539" t="s">
        <v>249</v>
      </c>
      <c r="D632" s="428">
        <v>4500174199</v>
      </c>
      <c r="E632" s="539" t="s">
        <v>1747</v>
      </c>
      <c r="F632" s="428" t="s">
        <v>1748</v>
      </c>
      <c r="G632" s="549" t="s">
        <v>3436</v>
      </c>
      <c r="H632" s="549" t="s">
        <v>424</v>
      </c>
      <c r="I632" s="549">
        <v>1056</v>
      </c>
      <c r="J632" s="549">
        <v>0</v>
      </c>
      <c r="K632" s="549">
        <v>6</v>
      </c>
      <c r="L632" s="554">
        <f t="shared" si="200"/>
        <v>176</v>
      </c>
      <c r="M632" s="555">
        <v>45930</v>
      </c>
      <c r="N632" s="555">
        <v>45926</v>
      </c>
      <c r="O632" s="556"/>
      <c r="P632" s="556" t="s">
        <v>103</v>
      </c>
      <c r="Q632" s="549"/>
      <c r="R632" s="562" t="s">
        <v>411</v>
      </c>
      <c r="S632" s="562" t="s">
        <v>96</v>
      </c>
      <c r="T632" s="570" t="s">
        <v>4684</v>
      </c>
      <c r="U632" s="562"/>
      <c r="V632" s="566" t="s">
        <v>1741</v>
      </c>
      <c r="W632" s="564" t="s">
        <v>414</v>
      </c>
      <c r="X632" s="564">
        <v>6.8326</v>
      </c>
      <c r="Y632" s="513">
        <f t="shared" si="194"/>
        <v>7215.2256</v>
      </c>
      <c r="Z632" s="549"/>
      <c r="AA632" s="548" t="s">
        <v>4685</v>
      </c>
      <c r="AB632" s="549" t="s">
        <v>76</v>
      </c>
      <c r="AC632" s="549"/>
      <c r="AD632" s="549"/>
      <c r="AE632" s="549"/>
      <c r="AF632" s="549">
        <v>1056</v>
      </c>
      <c r="AG632" s="549">
        <f t="shared" si="203"/>
        <v>0</v>
      </c>
      <c r="AH632" s="575"/>
      <c r="AI632" s="549"/>
      <c r="AJ632" s="549"/>
      <c r="AK632" s="549"/>
      <c r="AL632" s="568">
        <f>I632*2</f>
        <v>2112</v>
      </c>
      <c r="AM632" s="428">
        <f>I632*2</f>
        <v>2112</v>
      </c>
      <c r="AR632" s="568"/>
      <c r="AS632" s="568">
        <f>I632*2</f>
        <v>2112</v>
      </c>
      <c r="AT632" s="578"/>
      <c r="AU632" s="568"/>
      <c r="AY632" s="580">
        <f t="shared" si="202"/>
        <v>44</v>
      </c>
      <c r="AZ632" s="577"/>
      <c r="BT632" s="495"/>
      <c r="BU632" s="425">
        <f>I632</f>
        <v>1056</v>
      </c>
      <c r="BV632" s="578"/>
      <c r="CK632" s="425">
        <f t="shared" si="184"/>
        <v>0</v>
      </c>
      <c r="CL632" s="428">
        <f t="shared" si="197"/>
        <v>0</v>
      </c>
      <c r="CM632" s="428">
        <f t="shared" si="198"/>
        <v>0</v>
      </c>
      <c r="CN632" s="578"/>
      <c r="CO632" s="578"/>
      <c r="CP632" s="578"/>
      <c r="CT632" s="578"/>
      <c r="CU632" s="578"/>
      <c r="CV632" s="578"/>
      <c r="CW632" s="578"/>
      <c r="CX632" s="578"/>
    </row>
    <row r="633" s="428" customFormat="1" ht="31" customHeight="1" spans="1:102">
      <c r="A633" s="547">
        <v>45855</v>
      </c>
      <c r="B633" s="548" t="s">
        <v>489</v>
      </c>
      <c r="C633" s="539" t="s">
        <v>139</v>
      </c>
      <c r="D633" s="428">
        <v>4500174199</v>
      </c>
      <c r="E633" s="539" t="s">
        <v>1749</v>
      </c>
      <c r="F633" s="428" t="s">
        <v>1750</v>
      </c>
      <c r="G633" s="549" t="s">
        <v>3436</v>
      </c>
      <c r="H633" s="549" t="s">
        <v>424</v>
      </c>
      <c r="I633" s="549">
        <v>516</v>
      </c>
      <c r="J633" s="549">
        <v>0</v>
      </c>
      <c r="K633" s="549">
        <v>6</v>
      </c>
      <c r="L633" s="554">
        <f t="shared" si="200"/>
        <v>86</v>
      </c>
      <c r="M633" s="555">
        <v>45930</v>
      </c>
      <c r="N633" s="555">
        <v>45926</v>
      </c>
      <c r="O633" s="556"/>
      <c r="P633" s="556" t="s">
        <v>103</v>
      </c>
      <c r="Q633" s="549"/>
      <c r="R633" s="562" t="s">
        <v>411</v>
      </c>
      <c r="S633" s="562" t="s">
        <v>96</v>
      </c>
      <c r="T633" s="570" t="s">
        <v>4684</v>
      </c>
      <c r="U633" s="562"/>
      <c r="V633" s="566" t="s">
        <v>1741</v>
      </c>
      <c r="W633" s="564" t="s">
        <v>414</v>
      </c>
      <c r="X633" s="564">
        <v>6.8326</v>
      </c>
      <c r="Y633" s="513">
        <f t="shared" si="194"/>
        <v>3525.6216</v>
      </c>
      <c r="Z633" s="549"/>
      <c r="AA633" s="548" t="s">
        <v>4685</v>
      </c>
      <c r="AB633" s="549" t="s">
        <v>76</v>
      </c>
      <c r="AC633" s="549"/>
      <c r="AD633" s="549"/>
      <c r="AE633" s="549"/>
      <c r="AF633" s="549">
        <v>516</v>
      </c>
      <c r="AG633" s="549">
        <f t="shared" si="203"/>
        <v>0</v>
      </c>
      <c r="AH633" s="575"/>
      <c r="AI633" s="549"/>
      <c r="AJ633" s="549"/>
      <c r="AK633" s="549"/>
      <c r="AL633" s="568">
        <f>I633*2</f>
        <v>1032</v>
      </c>
      <c r="AM633" s="428">
        <f>I633*2</f>
        <v>1032</v>
      </c>
      <c r="AR633" s="568"/>
      <c r="AS633" s="568">
        <f>I633*2</f>
        <v>1032</v>
      </c>
      <c r="AT633" s="578"/>
      <c r="AU633" s="568"/>
      <c r="AY633" s="580">
        <f t="shared" si="202"/>
        <v>21.5</v>
      </c>
      <c r="AZ633" s="577"/>
      <c r="BT633" s="495"/>
      <c r="BU633" s="425">
        <f>I633</f>
        <v>516</v>
      </c>
      <c r="BV633" s="578"/>
      <c r="CK633" s="425">
        <f t="shared" si="184"/>
        <v>0</v>
      </c>
      <c r="CL633" s="428">
        <f t="shared" si="197"/>
        <v>0</v>
      </c>
      <c r="CM633" s="428">
        <f t="shared" si="198"/>
        <v>0</v>
      </c>
      <c r="CN633" s="578"/>
      <c r="CO633" s="578"/>
      <c r="CP633" s="578"/>
      <c r="CT633" s="578"/>
      <c r="CU633" s="578"/>
      <c r="CV633" s="578"/>
      <c r="CW633" s="578"/>
      <c r="CX633" s="578"/>
    </row>
    <row r="634" s="428" customFormat="1" ht="31" customHeight="1" spans="1:102">
      <c r="A634" s="547">
        <v>45911</v>
      </c>
      <c r="B634" s="548" t="s">
        <v>1419</v>
      </c>
      <c r="C634" s="539" t="s">
        <v>231</v>
      </c>
      <c r="D634" s="428">
        <v>4500179309</v>
      </c>
      <c r="E634" s="539" t="s">
        <v>4686</v>
      </c>
      <c r="F634" s="428" t="s">
        <v>4687</v>
      </c>
      <c r="G634" s="549" t="s">
        <v>3165</v>
      </c>
      <c r="H634" s="549" t="s">
        <v>3303</v>
      </c>
      <c r="I634" s="549">
        <v>5000</v>
      </c>
      <c r="J634" s="549">
        <v>0</v>
      </c>
      <c r="K634" s="549">
        <v>25</v>
      </c>
      <c r="L634" s="554">
        <f t="shared" si="200"/>
        <v>200</v>
      </c>
      <c r="M634" s="555">
        <v>45966</v>
      </c>
      <c r="N634" s="555">
        <v>45962</v>
      </c>
      <c r="O634" s="556"/>
      <c r="P634" s="556" t="s">
        <v>103</v>
      </c>
      <c r="Q634" s="549"/>
      <c r="R634" s="562">
        <v>45911</v>
      </c>
      <c r="S634" s="562" t="s">
        <v>66</v>
      </c>
      <c r="T634" s="562" t="s">
        <v>4688</v>
      </c>
      <c r="U634" s="562"/>
      <c r="V634" s="571" t="s">
        <v>4689</v>
      </c>
      <c r="W634" s="564" t="s">
        <v>1424</v>
      </c>
      <c r="X634" s="564">
        <v>0.9365</v>
      </c>
      <c r="Y634" s="513">
        <f t="shared" si="194"/>
        <v>4682.5</v>
      </c>
      <c r="Z634" s="549" t="s">
        <v>4690</v>
      </c>
      <c r="AA634" s="549" t="s">
        <v>3188</v>
      </c>
      <c r="AB634" s="549" t="s">
        <v>76</v>
      </c>
      <c r="AC634" s="549"/>
      <c r="AD634" s="549"/>
      <c r="AE634" s="549"/>
      <c r="AF634" s="549">
        <v>5000</v>
      </c>
      <c r="AG634" s="549">
        <f t="shared" si="203"/>
        <v>0</v>
      </c>
      <c r="AH634" s="575"/>
      <c r="AI634" s="549"/>
      <c r="AJ634" s="549"/>
      <c r="AK634" s="549"/>
      <c r="AL634" s="568">
        <f>I634</f>
        <v>5000</v>
      </c>
      <c r="AS634" s="568">
        <f>I634</f>
        <v>5000</v>
      </c>
      <c r="AT634" s="578"/>
      <c r="AU634" s="568"/>
      <c r="AY634" s="576">
        <f>I634/24*2</f>
        <v>416.666666666667</v>
      </c>
      <c r="AZ634" s="577"/>
      <c r="BB634" s="428">
        <f>I634</f>
        <v>5000</v>
      </c>
      <c r="BL634" s="425">
        <f>I634/25</f>
        <v>200</v>
      </c>
      <c r="BT634" s="578"/>
      <c r="BV634" s="578"/>
      <c r="CK634" s="425">
        <f t="shared" si="184"/>
        <v>200</v>
      </c>
      <c r="CL634" s="428">
        <f t="shared" si="197"/>
        <v>0</v>
      </c>
      <c r="CM634" s="428">
        <f t="shared" si="198"/>
        <v>0</v>
      </c>
      <c r="CN634" s="578"/>
      <c r="CO634" s="578"/>
      <c r="CP634" s="578"/>
      <c r="CT634" s="578"/>
      <c r="CU634" s="578"/>
      <c r="CV634" s="578"/>
      <c r="CW634" s="578"/>
      <c r="CX634" s="578"/>
    </row>
    <row r="635" s="428" customFormat="1" ht="31" customHeight="1" spans="1:102">
      <c r="A635" s="547">
        <v>45678</v>
      </c>
      <c r="B635" s="548" t="s">
        <v>1372</v>
      </c>
      <c r="C635" s="539" t="s">
        <v>90</v>
      </c>
      <c r="D635" s="428">
        <v>4500156315</v>
      </c>
      <c r="E635" s="887" t="s">
        <v>1563</v>
      </c>
      <c r="F635" s="428" t="s">
        <v>1564</v>
      </c>
      <c r="G635" s="549" t="s">
        <v>819</v>
      </c>
      <c r="H635" s="549" t="s">
        <v>744</v>
      </c>
      <c r="I635" s="549">
        <v>72</v>
      </c>
      <c r="J635" s="549">
        <v>0</v>
      </c>
      <c r="K635" s="549">
        <v>1</v>
      </c>
      <c r="L635" s="554">
        <f t="shared" si="200"/>
        <v>72</v>
      </c>
      <c r="M635" s="555">
        <v>45896</v>
      </c>
      <c r="N635" s="555">
        <v>45894</v>
      </c>
      <c r="O635" s="556"/>
      <c r="P635" s="556" t="s">
        <v>103</v>
      </c>
      <c r="Q635" s="549"/>
      <c r="R635" s="562">
        <v>45832</v>
      </c>
      <c r="S635" s="562" t="s">
        <v>66</v>
      </c>
      <c r="T635" s="562" t="s">
        <v>66</v>
      </c>
      <c r="U635" s="562"/>
      <c r="V635" s="563" t="s">
        <v>1471</v>
      </c>
      <c r="W635" s="564" t="s">
        <v>821</v>
      </c>
      <c r="X635" s="564">
        <v>0</v>
      </c>
      <c r="Y635" s="513">
        <f>X635*L635</f>
        <v>0</v>
      </c>
      <c r="Z635" s="539" t="s">
        <v>1565</v>
      </c>
      <c r="AA635" s="572" t="s">
        <v>1378</v>
      </c>
      <c r="AB635" s="549" t="s">
        <v>76</v>
      </c>
      <c r="AC635" s="549"/>
      <c r="AD635" s="549"/>
      <c r="AE635" s="549"/>
      <c r="AF635" s="549"/>
      <c r="AG635" s="549">
        <f t="shared" si="203"/>
        <v>-72</v>
      </c>
      <c r="AH635" s="575"/>
      <c r="AI635" s="549"/>
      <c r="AJ635" s="549"/>
      <c r="AK635" s="549"/>
      <c r="AO635" s="578"/>
      <c r="AT635" s="578"/>
      <c r="AY635" s="576"/>
      <c r="AZ635" s="577"/>
      <c r="BT635" s="578"/>
      <c r="BV635" s="578"/>
      <c r="CK635" s="428">
        <f t="shared" si="184"/>
        <v>0</v>
      </c>
      <c r="CL635" s="428">
        <f t="shared" si="197"/>
        <v>0</v>
      </c>
      <c r="CM635" s="428">
        <f t="shared" si="198"/>
        <v>0</v>
      </c>
      <c r="CN635" s="578"/>
      <c r="CO635" s="578"/>
      <c r="CP635" s="578"/>
      <c r="CT635" s="578"/>
      <c r="CU635" s="578"/>
      <c r="CV635" s="578"/>
      <c r="CW635" s="578"/>
      <c r="CX635" s="578"/>
    </row>
    <row r="636" s="428" customFormat="1" ht="31" customHeight="1" spans="1:102">
      <c r="A636" s="547">
        <v>45678</v>
      </c>
      <c r="B636" s="548" t="s">
        <v>1372</v>
      </c>
      <c r="C636" s="539" t="s">
        <v>90</v>
      </c>
      <c r="D636" s="428">
        <v>4500156315</v>
      </c>
      <c r="E636" s="887" t="s">
        <v>1563</v>
      </c>
      <c r="F636" s="428" t="s">
        <v>1564</v>
      </c>
      <c r="G636" s="549">
        <v>77711</v>
      </c>
      <c r="H636" s="549" t="s">
        <v>3151</v>
      </c>
      <c r="I636" s="549">
        <v>5400</v>
      </c>
      <c r="J636" s="549">
        <v>0</v>
      </c>
      <c r="K636" s="549">
        <v>75</v>
      </c>
      <c r="L636" s="554">
        <f t="shared" si="200"/>
        <v>72</v>
      </c>
      <c r="M636" s="555">
        <v>45896</v>
      </c>
      <c r="N636" s="555">
        <v>45894</v>
      </c>
      <c r="O636" s="556"/>
      <c r="P636" s="556" t="s">
        <v>103</v>
      </c>
      <c r="Q636" s="549"/>
      <c r="R636" s="562">
        <v>45832</v>
      </c>
      <c r="S636" s="570" t="s">
        <v>66</v>
      </c>
      <c r="T636" s="562" t="s">
        <v>66</v>
      </c>
      <c r="U636" s="562"/>
      <c r="V636" s="563"/>
      <c r="W636" s="564" t="s">
        <v>821</v>
      </c>
      <c r="X636" s="564">
        <v>762.5</v>
      </c>
      <c r="Y636" s="513">
        <f>X636*L636</f>
        <v>54900</v>
      </c>
      <c r="Z636" s="539" t="s">
        <v>1565</v>
      </c>
      <c r="AA636" s="572" t="s">
        <v>1378</v>
      </c>
      <c r="AB636" s="549" t="s">
        <v>76</v>
      </c>
      <c r="AC636" s="549"/>
      <c r="AD636" s="549"/>
      <c r="AE636" s="549"/>
      <c r="AF636" s="549"/>
      <c r="AG636" s="549">
        <f t="shared" si="203"/>
        <v>-5400</v>
      </c>
      <c r="AH636" s="575"/>
      <c r="AI636" s="549"/>
      <c r="AJ636" s="549"/>
      <c r="AK636" s="549">
        <f>I636*3</f>
        <v>16200</v>
      </c>
      <c r="AO636" s="578"/>
      <c r="AT636" s="578"/>
      <c r="AY636" s="581">
        <f>I636/24*3</f>
        <v>675</v>
      </c>
      <c r="AZ636" s="577"/>
      <c r="BC636" s="432">
        <f>AK636</f>
        <v>16200</v>
      </c>
      <c r="BD636" s="432">
        <f>AK636</f>
        <v>16200</v>
      </c>
      <c r="BE636" s="432">
        <f>I636</f>
        <v>5400</v>
      </c>
      <c r="BF636" s="432">
        <f>I636/5</f>
        <v>1080</v>
      </c>
      <c r="BT636" s="578"/>
      <c r="BV636" s="578"/>
      <c r="CK636" s="428">
        <f t="shared" si="184"/>
        <v>0</v>
      </c>
      <c r="CL636" s="428">
        <f t="shared" si="197"/>
        <v>0</v>
      </c>
      <c r="CM636" s="428">
        <f t="shared" si="198"/>
        <v>0</v>
      </c>
      <c r="CN636" s="578"/>
      <c r="CO636" s="578"/>
      <c r="CP636" s="578"/>
      <c r="CT636" s="578"/>
      <c r="CU636" s="578"/>
      <c r="CV636" s="578"/>
      <c r="CW636" s="578"/>
      <c r="CX636" s="578"/>
    </row>
    <row r="637" s="428" customFormat="1" ht="31" customHeight="1" spans="1:102">
      <c r="A637" s="547">
        <v>45901</v>
      </c>
      <c r="B637" s="548" t="s">
        <v>3056</v>
      </c>
      <c r="C637" s="539" t="s">
        <v>749</v>
      </c>
      <c r="D637" s="428">
        <v>4500178421</v>
      </c>
      <c r="E637" s="539">
        <v>21211518</v>
      </c>
      <c r="F637" s="428" t="s">
        <v>4691</v>
      </c>
      <c r="G637" s="549" t="s">
        <v>3206</v>
      </c>
      <c r="H637" s="549" t="s">
        <v>3207</v>
      </c>
      <c r="I637" s="549">
        <v>1248</v>
      </c>
      <c r="J637" s="549">
        <v>0</v>
      </c>
      <c r="K637" s="549">
        <v>13</v>
      </c>
      <c r="L637" s="554">
        <f t="shared" si="200"/>
        <v>96</v>
      </c>
      <c r="M637" s="555">
        <v>45938</v>
      </c>
      <c r="N637" s="555">
        <v>45934</v>
      </c>
      <c r="O637" s="556" t="s">
        <v>4692</v>
      </c>
      <c r="P637" s="556" t="s">
        <v>103</v>
      </c>
      <c r="Q637" s="549"/>
      <c r="R637" s="562">
        <v>45901</v>
      </c>
      <c r="S637" s="562" t="s">
        <v>66</v>
      </c>
      <c r="T637" s="562">
        <v>45901</v>
      </c>
      <c r="U637" s="562"/>
      <c r="V637" s="564" t="s">
        <v>4693</v>
      </c>
      <c r="W637" s="564" t="s">
        <v>2322</v>
      </c>
      <c r="X637" s="567">
        <v>0.9116</v>
      </c>
      <c r="Y637" s="513">
        <f t="shared" ref="Y637:Y642" si="204">X637*I637</f>
        <v>1137.6768</v>
      </c>
      <c r="Z637" s="549"/>
      <c r="AA637" s="549" t="s">
        <v>3206</v>
      </c>
      <c r="AB637" s="549" t="s">
        <v>76</v>
      </c>
      <c r="AC637" s="549"/>
      <c r="AD637" s="549"/>
      <c r="AE637" s="549"/>
      <c r="AF637" s="549">
        <v>1248</v>
      </c>
      <c r="AG637" s="549">
        <f t="shared" si="203"/>
        <v>0</v>
      </c>
      <c r="AH637" s="575"/>
      <c r="AI637" s="549"/>
      <c r="AJ637" s="549"/>
      <c r="AK637" s="549"/>
      <c r="AL637" s="568">
        <f>I637</f>
        <v>1248</v>
      </c>
      <c r="AO637" s="578"/>
      <c r="AQ637" s="428">
        <f t="shared" ref="AQ637:AQ642" si="205">I637</f>
        <v>1248</v>
      </c>
      <c r="AS637" s="568">
        <f>I637</f>
        <v>1248</v>
      </c>
      <c r="AT637" s="578"/>
      <c r="AY637" s="576">
        <f>I637/24</f>
        <v>52</v>
      </c>
      <c r="BI637" s="425">
        <f>I637/13</f>
        <v>96</v>
      </c>
      <c r="BT637" s="578"/>
      <c r="BV637" s="578"/>
      <c r="CK637" s="428">
        <f t="shared" si="184"/>
        <v>0</v>
      </c>
      <c r="CL637" s="428">
        <f t="shared" ref="CL637:CL675" si="206">CA637+CB637+CC637+CD637+CE637+CG637+CF637</f>
        <v>0</v>
      </c>
      <c r="CM637" s="428">
        <f t="shared" ref="CM637:CM675" si="207">BY637+BZ637</f>
        <v>0</v>
      </c>
      <c r="CN637" s="578"/>
      <c r="CO637" s="578"/>
      <c r="CP637" s="578"/>
      <c r="CT637" s="578"/>
      <c r="CU637" s="578"/>
      <c r="CV637" s="578"/>
      <c r="CW637" s="578"/>
      <c r="CX637" s="578"/>
    </row>
    <row r="638" s="428" customFormat="1" ht="31" customHeight="1" spans="1:102">
      <c r="A638" s="547">
        <v>45897</v>
      </c>
      <c r="B638" s="548" t="s">
        <v>1224</v>
      </c>
      <c r="C638" s="539" t="s">
        <v>524</v>
      </c>
      <c r="D638" s="428">
        <v>4500178095</v>
      </c>
      <c r="E638" s="539"/>
      <c r="F638" s="428" t="s">
        <v>4694</v>
      </c>
      <c r="G638" s="549" t="s">
        <v>3541</v>
      </c>
      <c r="H638" s="549" t="s">
        <v>3542</v>
      </c>
      <c r="I638" s="549">
        <v>1800</v>
      </c>
      <c r="J638" s="549">
        <v>0</v>
      </c>
      <c r="K638" s="549">
        <v>50</v>
      </c>
      <c r="L638" s="554">
        <f t="shared" si="200"/>
        <v>36</v>
      </c>
      <c r="M638" s="555">
        <v>45939</v>
      </c>
      <c r="N638" s="555">
        <v>45936</v>
      </c>
      <c r="O638" s="556"/>
      <c r="P638" s="556" t="s">
        <v>103</v>
      </c>
      <c r="Q638" s="549"/>
      <c r="R638" s="562">
        <v>45897</v>
      </c>
      <c r="S638" s="562" t="s">
        <v>66</v>
      </c>
      <c r="T638" s="562">
        <v>45909</v>
      </c>
      <c r="U638" s="562"/>
      <c r="V638" s="566" t="s">
        <v>4695</v>
      </c>
      <c r="W638" s="564" t="s">
        <v>207</v>
      </c>
      <c r="X638" s="564">
        <v>0.992</v>
      </c>
      <c r="Y638" s="513">
        <f t="shared" si="204"/>
        <v>1785.6</v>
      </c>
      <c r="Z638" s="549"/>
      <c r="AA638" s="549" t="s">
        <v>3541</v>
      </c>
      <c r="AB638" s="549" t="s">
        <v>76</v>
      </c>
      <c r="AC638" s="549"/>
      <c r="AD638" s="549"/>
      <c r="AE638" s="549"/>
      <c r="AF638" s="549"/>
      <c r="AG638" s="549">
        <f t="shared" si="203"/>
        <v>-1800</v>
      </c>
      <c r="AH638" s="575"/>
      <c r="AI638" s="549"/>
      <c r="AJ638" s="549"/>
      <c r="AK638" s="549"/>
      <c r="AL638" s="428">
        <f>I638</f>
        <v>1800</v>
      </c>
      <c r="AQ638" s="428">
        <f t="shared" si="205"/>
        <v>1800</v>
      </c>
      <c r="AR638" s="568"/>
      <c r="AS638" s="568"/>
      <c r="AT638" s="578"/>
      <c r="AU638" s="568"/>
      <c r="AW638" s="428">
        <f>I638</f>
        <v>1800</v>
      </c>
      <c r="AY638" s="576">
        <f>I638/24*2</f>
        <v>150</v>
      </c>
      <c r="AZ638" s="577"/>
      <c r="BS638" s="428">
        <f>I638/25</f>
        <v>72</v>
      </c>
      <c r="BT638" s="578"/>
      <c r="BV638" s="578"/>
      <c r="CK638" s="428">
        <f t="shared" si="184"/>
        <v>72</v>
      </c>
      <c r="CL638" s="428">
        <f t="shared" si="206"/>
        <v>0</v>
      </c>
      <c r="CM638" s="428">
        <f t="shared" si="207"/>
        <v>0</v>
      </c>
      <c r="CN638" s="578"/>
      <c r="CO638" s="578"/>
      <c r="CP638" s="578"/>
      <c r="CT638" s="578"/>
      <c r="CU638" s="578"/>
      <c r="CV638" s="578"/>
      <c r="CW638" s="578"/>
      <c r="CX638" s="578"/>
    </row>
    <row r="639" s="428" customFormat="1" ht="31" customHeight="1" spans="1:102">
      <c r="A639" s="547">
        <v>45891</v>
      </c>
      <c r="B639" s="548" t="s">
        <v>152</v>
      </c>
      <c r="C639" s="539" t="s">
        <v>153</v>
      </c>
      <c r="D639" s="428">
        <v>4500177606</v>
      </c>
      <c r="E639" s="539">
        <v>2700954648</v>
      </c>
      <c r="F639" s="428" t="s">
        <v>4696</v>
      </c>
      <c r="G639" s="549" t="s">
        <v>3198</v>
      </c>
      <c r="H639" s="549" t="s">
        <v>3303</v>
      </c>
      <c r="I639" s="560">
        <v>40000</v>
      </c>
      <c r="J639" s="549">
        <v>0</v>
      </c>
      <c r="K639" s="549">
        <v>25</v>
      </c>
      <c r="L639" s="554">
        <f t="shared" si="200"/>
        <v>1600</v>
      </c>
      <c r="M639" s="558">
        <v>45940</v>
      </c>
      <c r="N639" s="558">
        <v>45936</v>
      </c>
      <c r="O639" s="561" t="s">
        <v>4697</v>
      </c>
      <c r="P639" s="556" t="s">
        <v>103</v>
      </c>
      <c r="Q639" s="549"/>
      <c r="R639" s="562">
        <v>45891</v>
      </c>
      <c r="S639" s="562" t="s">
        <v>66</v>
      </c>
      <c r="T639" s="562" t="s">
        <v>66</v>
      </c>
      <c r="U639" s="562"/>
      <c r="V639" s="564" t="s">
        <v>4698</v>
      </c>
      <c r="W639" s="564" t="s">
        <v>1912</v>
      </c>
      <c r="X639" s="567">
        <v>0.9319</v>
      </c>
      <c r="Y639" s="513">
        <f t="shared" si="204"/>
        <v>37276</v>
      </c>
      <c r="Z639" s="549"/>
      <c r="AA639" s="549" t="s">
        <v>3202</v>
      </c>
      <c r="AB639" s="549" t="s">
        <v>76</v>
      </c>
      <c r="AC639" s="549"/>
      <c r="AD639" s="549"/>
      <c r="AE639" s="549"/>
      <c r="AF639" s="549">
        <f>39375+15625</f>
        <v>55000</v>
      </c>
      <c r="AG639" s="549">
        <f t="shared" si="203"/>
        <v>15000</v>
      </c>
      <c r="AH639" s="575"/>
      <c r="AI639" s="549"/>
      <c r="AJ639" s="549"/>
      <c r="AK639" s="549">
        <f>I639</f>
        <v>40000</v>
      </c>
      <c r="AL639" s="568"/>
      <c r="AP639" s="428">
        <f>I639</f>
        <v>40000</v>
      </c>
      <c r="AR639" s="428">
        <f>I639</f>
        <v>40000</v>
      </c>
      <c r="AS639" s="568"/>
      <c r="AT639" s="578"/>
      <c r="AU639" s="568"/>
      <c r="AY639" s="576">
        <f>I639/24</f>
        <v>1666.66666666667</v>
      </c>
      <c r="AZ639" s="577"/>
      <c r="BK639" s="425">
        <f>I639/25</f>
        <v>1600</v>
      </c>
      <c r="BT639" s="578"/>
      <c r="BV639" s="578"/>
      <c r="CK639" s="428">
        <f t="shared" si="184"/>
        <v>1600</v>
      </c>
      <c r="CL639" s="428">
        <f t="shared" si="206"/>
        <v>0</v>
      </c>
      <c r="CM639" s="428">
        <f t="shared" si="207"/>
        <v>0</v>
      </c>
      <c r="CN639" s="578"/>
      <c r="CO639" s="578"/>
      <c r="CP639" s="578"/>
      <c r="CT639" s="578"/>
      <c r="CU639" s="578"/>
      <c r="CV639" s="578"/>
      <c r="CW639" s="578"/>
      <c r="CX639" s="578"/>
    </row>
    <row r="640" s="428" customFormat="1" ht="31" customHeight="1" spans="1:102">
      <c r="A640" s="547">
        <v>45880</v>
      </c>
      <c r="B640" s="548" t="s">
        <v>220</v>
      </c>
      <c r="C640" s="539" t="s">
        <v>90</v>
      </c>
      <c r="D640" s="428">
        <v>4500176564</v>
      </c>
      <c r="E640" s="539" t="s">
        <v>4699</v>
      </c>
      <c r="F640" s="428" t="s">
        <v>4700</v>
      </c>
      <c r="G640" s="549" t="s">
        <v>3198</v>
      </c>
      <c r="H640" s="549" t="s">
        <v>3303</v>
      </c>
      <c r="I640" s="549">
        <v>17975</v>
      </c>
      <c r="J640" s="549">
        <v>0</v>
      </c>
      <c r="K640" s="549">
        <v>25</v>
      </c>
      <c r="L640" s="554">
        <f t="shared" si="200"/>
        <v>719</v>
      </c>
      <c r="M640" s="555">
        <v>45940</v>
      </c>
      <c r="N640" s="555">
        <v>45936</v>
      </c>
      <c r="O640" s="556"/>
      <c r="P640" s="556" t="s">
        <v>103</v>
      </c>
      <c r="Q640" s="549"/>
      <c r="R640" s="562">
        <v>45901</v>
      </c>
      <c r="S640" s="562" t="s">
        <v>96</v>
      </c>
      <c r="T640" s="562">
        <v>45909</v>
      </c>
      <c r="U640" s="562"/>
      <c r="V640" s="564" t="s">
        <v>4456</v>
      </c>
      <c r="W640" s="564" t="s">
        <v>226</v>
      </c>
      <c r="X640" s="567">
        <v>0.5543</v>
      </c>
      <c r="Y640" s="513">
        <f t="shared" si="204"/>
        <v>9963.5425</v>
      </c>
      <c r="Z640" s="549" t="s">
        <v>4701</v>
      </c>
      <c r="AA640" s="549" t="s">
        <v>3198</v>
      </c>
      <c r="AB640" s="549" t="s">
        <v>76</v>
      </c>
      <c r="AC640" s="549"/>
      <c r="AD640" s="549"/>
      <c r="AE640" s="549"/>
      <c r="AF640" s="549">
        <f>16500+1475</f>
        <v>17975</v>
      </c>
      <c r="AG640" s="549">
        <f t="shared" si="203"/>
        <v>0</v>
      </c>
      <c r="AH640" s="575"/>
      <c r="AI640" s="549"/>
      <c r="AJ640" s="549"/>
      <c r="AK640" s="549">
        <f>I640</f>
        <v>17975</v>
      </c>
      <c r="AL640" s="568"/>
      <c r="AM640" s="428">
        <f>I640</f>
        <v>17975</v>
      </c>
      <c r="AR640" s="428">
        <f>I640</f>
        <v>17975</v>
      </c>
      <c r="AS640" s="568"/>
      <c r="AT640" s="578"/>
      <c r="AU640" s="568"/>
      <c r="AY640" s="576">
        <f>I640/24</f>
        <v>748.958333333333</v>
      </c>
      <c r="AZ640" s="577"/>
      <c r="BJ640" s="425">
        <f>I640/25</f>
        <v>719</v>
      </c>
      <c r="BT640" s="578"/>
      <c r="BV640" s="578"/>
      <c r="CK640" s="428">
        <f t="shared" si="184"/>
        <v>719</v>
      </c>
      <c r="CL640" s="428">
        <f t="shared" si="206"/>
        <v>0</v>
      </c>
      <c r="CM640" s="428">
        <f t="shared" si="207"/>
        <v>0</v>
      </c>
      <c r="CN640" s="578"/>
      <c r="CO640" s="578"/>
      <c r="CP640" s="578"/>
      <c r="CT640" s="578"/>
      <c r="CU640" s="578"/>
      <c r="CV640" s="578"/>
      <c r="CW640" s="578"/>
      <c r="CX640" s="578"/>
    </row>
    <row r="641" s="428" customFormat="1" ht="31" customHeight="1" spans="1:102">
      <c r="A641" s="547">
        <v>45897</v>
      </c>
      <c r="B641" s="548" t="s">
        <v>128</v>
      </c>
      <c r="C641" s="539" t="s">
        <v>90</v>
      </c>
      <c r="D641" s="428">
        <v>4500178137</v>
      </c>
      <c r="E641" s="887" t="s">
        <v>4702</v>
      </c>
      <c r="F641" s="428" t="s">
        <v>4703</v>
      </c>
      <c r="G641" s="549" t="s">
        <v>3180</v>
      </c>
      <c r="H641" s="549" t="s">
        <v>3181</v>
      </c>
      <c r="I641" s="549">
        <v>33008</v>
      </c>
      <c r="J641" s="549">
        <v>0</v>
      </c>
      <c r="K641" s="549">
        <v>16</v>
      </c>
      <c r="L641" s="554">
        <f t="shared" si="200"/>
        <v>2063</v>
      </c>
      <c r="M641" s="555">
        <v>45940</v>
      </c>
      <c r="N641" s="555">
        <v>45936</v>
      </c>
      <c r="O641" s="565">
        <v>45940</v>
      </c>
      <c r="P641" s="556" t="s">
        <v>103</v>
      </c>
      <c r="Q641" s="549" t="s">
        <v>4704</v>
      </c>
      <c r="R641" s="562" t="s">
        <v>4194</v>
      </c>
      <c r="S641" s="562" t="s">
        <v>66</v>
      </c>
      <c r="T641" s="562" t="s">
        <v>133</v>
      </c>
      <c r="U641" s="562"/>
      <c r="V641" s="564" t="s">
        <v>4328</v>
      </c>
      <c r="W641" s="564" t="s">
        <v>98</v>
      </c>
      <c r="X641" s="564">
        <v>0.5783</v>
      </c>
      <c r="Y641" s="513">
        <f t="shared" si="204"/>
        <v>19088.5264</v>
      </c>
      <c r="Z641" s="549" t="s">
        <v>4705</v>
      </c>
      <c r="AA641" s="549" t="s">
        <v>3180</v>
      </c>
      <c r="AB641" s="549" t="s">
        <v>76</v>
      </c>
      <c r="AC641" s="549"/>
      <c r="AD641" s="549"/>
      <c r="AE641" s="549"/>
      <c r="AF641" s="549">
        <f>10608+12096+10304</f>
        <v>33008</v>
      </c>
      <c r="AG641" s="549">
        <f t="shared" si="203"/>
        <v>0</v>
      </c>
      <c r="AH641" s="575"/>
      <c r="AI641" s="549"/>
      <c r="AJ641" s="549"/>
      <c r="AK641" s="549">
        <f>I641</f>
        <v>33008</v>
      </c>
      <c r="AL641" s="568"/>
      <c r="AM641" s="428">
        <f>I641</f>
        <v>33008</v>
      </c>
      <c r="AO641" s="578"/>
      <c r="AR641" s="428">
        <f>I641</f>
        <v>33008</v>
      </c>
      <c r="AT641" s="578"/>
      <c r="AY641" s="576">
        <f>I641/24</f>
        <v>1375.33333333333</v>
      </c>
      <c r="BM641" s="428">
        <f>I641/16</f>
        <v>2063</v>
      </c>
      <c r="BT641" s="578"/>
      <c r="BV641" s="578"/>
      <c r="CK641" s="428">
        <f t="shared" si="184"/>
        <v>2063</v>
      </c>
      <c r="CL641" s="428">
        <f t="shared" si="206"/>
        <v>0</v>
      </c>
      <c r="CM641" s="428">
        <f t="shared" si="207"/>
        <v>0</v>
      </c>
      <c r="CN641" s="578"/>
      <c r="CO641" s="578"/>
      <c r="CP641" s="578"/>
      <c r="CT641" s="578"/>
      <c r="CU641" s="578"/>
      <c r="CV641" s="578"/>
      <c r="CW641" s="578"/>
      <c r="CX641" s="578"/>
    </row>
    <row r="642" s="428" customFormat="1" ht="31" customHeight="1" spans="1:102">
      <c r="A642" s="547">
        <v>45898</v>
      </c>
      <c r="B642" s="548" t="s">
        <v>1787</v>
      </c>
      <c r="C642" s="539" t="s">
        <v>377</v>
      </c>
      <c r="D642" s="428">
        <v>4500178337</v>
      </c>
      <c r="E642" s="539"/>
      <c r="F642" s="428" t="s">
        <v>4706</v>
      </c>
      <c r="G642" s="549" t="s">
        <v>3165</v>
      </c>
      <c r="H642" s="549" t="s">
        <v>3303</v>
      </c>
      <c r="I642" s="549">
        <v>2000</v>
      </c>
      <c r="J642" s="549">
        <v>0</v>
      </c>
      <c r="K642" s="549">
        <v>25</v>
      </c>
      <c r="L642" s="554">
        <f t="shared" si="200"/>
        <v>80</v>
      </c>
      <c r="M642" s="555">
        <v>45940</v>
      </c>
      <c r="N642" s="555">
        <v>45936</v>
      </c>
      <c r="O642" s="556"/>
      <c r="P642" s="556" t="s">
        <v>103</v>
      </c>
      <c r="Q642" s="549"/>
      <c r="R642" s="562">
        <v>45905</v>
      </c>
      <c r="S642" s="562" t="s">
        <v>66</v>
      </c>
      <c r="T642" s="562" t="s">
        <v>4707</v>
      </c>
      <c r="U642" s="562"/>
      <c r="V642" s="564" t="s">
        <v>4708</v>
      </c>
      <c r="W642" s="564" t="s">
        <v>620</v>
      </c>
      <c r="X642" s="564">
        <v>0.9245</v>
      </c>
      <c r="Y642" s="513">
        <f t="shared" si="204"/>
        <v>1849</v>
      </c>
      <c r="Z642" s="549"/>
      <c r="AA642" s="549" t="s">
        <v>3165</v>
      </c>
      <c r="AB642" s="549" t="s">
        <v>76</v>
      </c>
      <c r="AC642" s="549"/>
      <c r="AD642" s="549"/>
      <c r="AE642" s="549"/>
      <c r="AF642" s="549">
        <v>2000</v>
      </c>
      <c r="AG642" s="549">
        <f t="shared" si="203"/>
        <v>0</v>
      </c>
      <c r="AH642" s="575"/>
      <c r="AI642" s="549"/>
      <c r="AJ642" s="549"/>
      <c r="AK642" s="549"/>
      <c r="AL642" s="568">
        <f>I642</f>
        <v>2000</v>
      </c>
      <c r="AQ642" s="428">
        <f t="shared" si="205"/>
        <v>2000</v>
      </c>
      <c r="AR642" s="568"/>
      <c r="AS642" s="568">
        <f>I642</f>
        <v>2000</v>
      </c>
      <c r="AT642" s="578"/>
      <c r="AU642" s="568"/>
      <c r="AY642" s="576">
        <f>I642/24*2</f>
        <v>166.666666666667</v>
      </c>
      <c r="AZ642" s="577"/>
      <c r="BL642" s="425">
        <f>I642/25</f>
        <v>80</v>
      </c>
      <c r="BT642" s="578"/>
      <c r="BV642" s="578"/>
      <c r="CK642" s="428">
        <f t="shared" si="184"/>
        <v>80</v>
      </c>
      <c r="CL642" s="428">
        <f t="shared" si="206"/>
        <v>0</v>
      </c>
      <c r="CM642" s="428">
        <f t="shared" si="207"/>
        <v>0</v>
      </c>
      <c r="CN642" s="578"/>
      <c r="CO642" s="578"/>
      <c r="CP642" s="578"/>
      <c r="CT642" s="578"/>
      <c r="CU642" s="578"/>
      <c r="CV642" s="578"/>
      <c r="CW642" s="578"/>
      <c r="CX642" s="578"/>
    </row>
    <row r="643" s="428" customFormat="1" ht="31" customHeight="1" spans="1:102">
      <c r="A643" s="547">
        <v>45882</v>
      </c>
      <c r="B643" s="548" t="s">
        <v>1492</v>
      </c>
      <c r="C643" s="539" t="s">
        <v>249</v>
      </c>
      <c r="D643" s="428">
        <v>4500176570</v>
      </c>
      <c r="E643" s="539" t="s">
        <v>1794</v>
      </c>
      <c r="F643" s="428" t="s">
        <v>4709</v>
      </c>
      <c r="G643" s="549" t="s">
        <v>3165</v>
      </c>
      <c r="H643" s="549" t="s">
        <v>3303</v>
      </c>
      <c r="I643" s="549">
        <v>6000</v>
      </c>
      <c r="J643" s="549">
        <v>0</v>
      </c>
      <c r="K643" s="549">
        <v>25</v>
      </c>
      <c r="L643" s="554">
        <f t="shared" si="200"/>
        <v>240</v>
      </c>
      <c r="M643" s="555">
        <v>45943</v>
      </c>
      <c r="N643" s="555">
        <v>45939</v>
      </c>
      <c r="O643" s="556"/>
      <c r="P643" s="556" t="s">
        <v>103</v>
      </c>
      <c r="Q643" s="549"/>
      <c r="R643" s="562">
        <v>45882</v>
      </c>
      <c r="S643" s="562" t="s">
        <v>66</v>
      </c>
      <c r="T643" s="562" t="s">
        <v>4710</v>
      </c>
      <c r="U643" s="562"/>
      <c r="V643" s="564" t="s">
        <v>4711</v>
      </c>
      <c r="W643" s="564" t="s">
        <v>1424</v>
      </c>
      <c r="X643" s="564">
        <v>0.9365</v>
      </c>
      <c r="Y643" s="513">
        <f t="shared" ref="Y643:Y653" si="208">X643*I643</f>
        <v>5619</v>
      </c>
      <c r="Z643" s="549"/>
      <c r="AA643" s="549" t="s">
        <v>3188</v>
      </c>
      <c r="AB643" s="549" t="s">
        <v>76</v>
      </c>
      <c r="AC643" s="549"/>
      <c r="AD643" s="549"/>
      <c r="AE643" s="549"/>
      <c r="AF643" s="549">
        <f>5975+25</f>
        <v>6000</v>
      </c>
      <c r="AG643" s="549">
        <f t="shared" si="203"/>
        <v>0</v>
      </c>
      <c r="AH643" s="575"/>
      <c r="AI643" s="549"/>
      <c r="AJ643" s="549"/>
      <c r="AK643" s="549"/>
      <c r="AL643" s="568">
        <f t="shared" ref="AL643:AL652" si="209">I643</f>
        <v>6000</v>
      </c>
      <c r="AR643" s="568"/>
      <c r="AS643" s="568">
        <f t="shared" ref="AS643:AS652" si="210">I643</f>
        <v>6000</v>
      </c>
      <c r="AT643" s="578"/>
      <c r="AU643" s="568"/>
      <c r="AY643" s="576">
        <f>I643/24*2</f>
        <v>500</v>
      </c>
      <c r="AZ643" s="577"/>
      <c r="BB643" s="428">
        <f>I643</f>
        <v>6000</v>
      </c>
      <c r="BL643" s="425">
        <f>I643/25</f>
        <v>240</v>
      </c>
      <c r="BT643" s="578"/>
      <c r="BV643" s="578"/>
      <c r="CK643" s="428">
        <f t="shared" ref="CK643:CK670" si="211">BM643+BL643+BK643+BJ643+BS643</f>
        <v>240</v>
      </c>
      <c r="CL643" s="428">
        <f t="shared" si="206"/>
        <v>0</v>
      </c>
      <c r="CM643" s="428">
        <f t="shared" si="207"/>
        <v>0</v>
      </c>
      <c r="CN643" s="578"/>
      <c r="CO643" s="578"/>
      <c r="CP643" s="578"/>
      <c r="CT643" s="578"/>
      <c r="CU643" s="578"/>
      <c r="CV643" s="578"/>
      <c r="CW643" s="578"/>
      <c r="CX643" s="578"/>
    </row>
    <row r="644" s="428" customFormat="1" ht="31" customHeight="1" spans="1:102">
      <c r="A644" s="547">
        <v>45896</v>
      </c>
      <c r="B644" s="548" t="s">
        <v>125</v>
      </c>
      <c r="C644" s="539" t="s">
        <v>71</v>
      </c>
      <c r="D644" s="428">
        <v>4500177974</v>
      </c>
      <c r="E644" s="539">
        <v>21105440</v>
      </c>
      <c r="F644" s="428" t="s">
        <v>4712</v>
      </c>
      <c r="G644" s="549" t="s">
        <v>3206</v>
      </c>
      <c r="H644" s="549" t="s">
        <v>3207</v>
      </c>
      <c r="I644" s="549">
        <v>156</v>
      </c>
      <c r="J644" s="549">
        <v>0</v>
      </c>
      <c r="K644" s="549">
        <v>13</v>
      </c>
      <c r="L644" s="554">
        <f t="shared" si="200"/>
        <v>12</v>
      </c>
      <c r="M644" s="555">
        <v>45943</v>
      </c>
      <c r="N644" s="555">
        <v>45939</v>
      </c>
      <c r="O644" s="556"/>
      <c r="P644" s="556" t="s">
        <v>103</v>
      </c>
      <c r="Q644" s="549"/>
      <c r="R644" s="562">
        <v>45911</v>
      </c>
      <c r="S644" s="562" t="s">
        <v>96</v>
      </c>
      <c r="T644" s="562" t="s">
        <v>4713</v>
      </c>
      <c r="U644" s="562"/>
      <c r="V644" s="564" t="s">
        <v>3831</v>
      </c>
      <c r="W644" s="564" t="s">
        <v>121</v>
      </c>
      <c r="X644" s="567">
        <v>0.9526</v>
      </c>
      <c r="Y644" s="513">
        <f t="shared" si="208"/>
        <v>148.6056</v>
      </c>
      <c r="Z644" s="549"/>
      <c r="AA644" s="549" t="s">
        <v>3206</v>
      </c>
      <c r="AB644" s="549" t="s">
        <v>76</v>
      </c>
      <c r="AC644" s="549"/>
      <c r="AD644" s="549"/>
      <c r="AE644" s="549"/>
      <c r="AF644" s="549">
        <v>156</v>
      </c>
      <c r="AG644" s="549">
        <f t="shared" si="203"/>
        <v>0</v>
      </c>
      <c r="AH644" s="575"/>
      <c r="AI644" s="549"/>
      <c r="AJ644" s="549"/>
      <c r="AK644" s="549"/>
      <c r="AL644" s="568">
        <f t="shared" si="209"/>
        <v>156</v>
      </c>
      <c r="AQ644" s="428">
        <f t="shared" ref="AQ644:AQ652" si="212">I644</f>
        <v>156</v>
      </c>
      <c r="AR644" s="568"/>
      <c r="AS644" s="568">
        <f t="shared" si="210"/>
        <v>156</v>
      </c>
      <c r="AT644" s="578"/>
      <c r="AU644" s="568"/>
      <c r="AY644" s="576">
        <f>I644/24</f>
        <v>6.5</v>
      </c>
      <c r="AZ644" s="577"/>
      <c r="BI644" s="425">
        <f>I644/13</f>
        <v>12</v>
      </c>
      <c r="BT644" s="578"/>
      <c r="BV644" s="578"/>
      <c r="CK644" s="428">
        <f t="shared" si="211"/>
        <v>0</v>
      </c>
      <c r="CL644" s="428">
        <f t="shared" si="206"/>
        <v>0</v>
      </c>
      <c r="CM644" s="428">
        <f t="shared" si="207"/>
        <v>0</v>
      </c>
      <c r="CN644" s="578"/>
      <c r="CO644" s="578"/>
      <c r="CP644" s="578"/>
      <c r="CT644" s="578"/>
      <c r="CU644" s="578"/>
      <c r="CV644" s="578"/>
      <c r="CW644" s="578"/>
      <c r="CX644" s="578"/>
    </row>
    <row r="645" s="428" customFormat="1" ht="31" customHeight="1" spans="1:102">
      <c r="A645" s="547">
        <v>45896</v>
      </c>
      <c r="B645" s="548" t="s">
        <v>122</v>
      </c>
      <c r="C645" s="539" t="s">
        <v>116</v>
      </c>
      <c r="D645" s="428">
        <v>4500177972</v>
      </c>
      <c r="E645" s="539">
        <v>21105437</v>
      </c>
      <c r="F645" s="428" t="s">
        <v>4714</v>
      </c>
      <c r="G645" s="549" t="s">
        <v>3206</v>
      </c>
      <c r="H645" s="549" t="s">
        <v>3207</v>
      </c>
      <c r="I645" s="549">
        <v>6916</v>
      </c>
      <c r="J645" s="549">
        <v>0</v>
      </c>
      <c r="K645" s="549">
        <v>13</v>
      </c>
      <c r="L645" s="554">
        <f t="shared" si="200"/>
        <v>532</v>
      </c>
      <c r="M645" s="555">
        <v>45943</v>
      </c>
      <c r="N645" s="555">
        <v>45939</v>
      </c>
      <c r="O645" s="556"/>
      <c r="P645" s="556" t="s">
        <v>103</v>
      </c>
      <c r="Q645" s="549"/>
      <c r="R645" s="562">
        <v>45896</v>
      </c>
      <c r="S645" s="562" t="s">
        <v>96</v>
      </c>
      <c r="T645" s="562" t="s">
        <v>4713</v>
      </c>
      <c r="U645" s="562"/>
      <c r="V645" s="564" t="s">
        <v>3930</v>
      </c>
      <c r="W645" s="564" t="s">
        <v>121</v>
      </c>
      <c r="X645" s="567">
        <v>0.9423</v>
      </c>
      <c r="Y645" s="513">
        <f t="shared" si="208"/>
        <v>6516.9468</v>
      </c>
      <c r="Z645" s="549"/>
      <c r="AA645" s="549" t="s">
        <v>3206</v>
      </c>
      <c r="AB645" s="549" t="s">
        <v>76</v>
      </c>
      <c r="AC645" s="549"/>
      <c r="AD645" s="549"/>
      <c r="AE645" s="549"/>
      <c r="AF645" s="549">
        <f>6916</f>
        <v>6916</v>
      </c>
      <c r="AG645" s="549">
        <f t="shared" si="203"/>
        <v>0</v>
      </c>
      <c r="AH645" s="575"/>
      <c r="AI645" s="549"/>
      <c r="AJ645" s="549"/>
      <c r="AK645" s="549"/>
      <c r="AL645" s="568">
        <f t="shared" si="209"/>
        <v>6916</v>
      </c>
      <c r="AQ645" s="428">
        <f t="shared" si="212"/>
        <v>6916</v>
      </c>
      <c r="AR645" s="568"/>
      <c r="AS645" s="568">
        <f t="shared" si="210"/>
        <v>6916</v>
      </c>
      <c r="AT645" s="578"/>
      <c r="AU645" s="568"/>
      <c r="AY645" s="576">
        <f>I645/24</f>
        <v>288.166666666667</v>
      </c>
      <c r="AZ645" s="577"/>
      <c r="BI645" s="425">
        <f>I645/13</f>
        <v>532</v>
      </c>
      <c r="BT645" s="578"/>
      <c r="BV645" s="578"/>
      <c r="CK645" s="428">
        <f t="shared" si="211"/>
        <v>0</v>
      </c>
      <c r="CL645" s="428">
        <f t="shared" si="206"/>
        <v>0</v>
      </c>
      <c r="CM645" s="428">
        <f t="shared" si="207"/>
        <v>0</v>
      </c>
      <c r="CN645" s="578"/>
      <c r="CO645" s="578"/>
      <c r="CP645" s="578"/>
      <c r="CT645" s="578"/>
      <c r="CU645" s="578"/>
      <c r="CV645" s="578"/>
      <c r="CW645" s="578"/>
      <c r="CX645" s="578"/>
    </row>
    <row r="646" s="428" customFormat="1" ht="31" customHeight="1" spans="1:102">
      <c r="A646" s="547">
        <v>45898</v>
      </c>
      <c r="B646" s="548" t="s">
        <v>1769</v>
      </c>
      <c r="C646" s="539" t="s">
        <v>139</v>
      </c>
      <c r="D646" s="428">
        <v>4500178223</v>
      </c>
      <c r="E646" s="539">
        <v>5200007581</v>
      </c>
      <c r="F646" s="428" t="s">
        <v>4715</v>
      </c>
      <c r="G646" s="549" t="s">
        <v>3231</v>
      </c>
      <c r="H646" s="549" t="s">
        <v>3207</v>
      </c>
      <c r="I646" s="549">
        <v>8801</v>
      </c>
      <c r="J646" s="549">
        <v>0</v>
      </c>
      <c r="K646" s="549">
        <v>13</v>
      </c>
      <c r="L646" s="554">
        <f t="shared" si="200"/>
        <v>677</v>
      </c>
      <c r="M646" s="555">
        <v>45943</v>
      </c>
      <c r="N646" s="555">
        <v>45939</v>
      </c>
      <c r="O646" s="556"/>
      <c r="P646" s="556" t="s">
        <v>103</v>
      </c>
      <c r="Q646" s="549"/>
      <c r="R646" s="562">
        <v>45905</v>
      </c>
      <c r="S646" s="562" t="s">
        <v>66</v>
      </c>
      <c r="T646" s="562" t="s">
        <v>3232</v>
      </c>
      <c r="U646" s="562"/>
      <c r="V646" s="564" t="s">
        <v>4716</v>
      </c>
      <c r="W646" s="564" t="s">
        <v>1140</v>
      </c>
      <c r="X646" s="567">
        <v>0.8895</v>
      </c>
      <c r="Y646" s="513">
        <f t="shared" si="208"/>
        <v>7828.4895</v>
      </c>
      <c r="Z646" s="549"/>
      <c r="AA646" s="549" t="s">
        <v>3206</v>
      </c>
      <c r="AB646" s="549" t="s">
        <v>76</v>
      </c>
      <c r="AC646" s="549"/>
      <c r="AD646" s="549"/>
      <c r="AE646" s="549"/>
      <c r="AF646" s="549">
        <f>8788+13</f>
        <v>8801</v>
      </c>
      <c r="AG646" s="549">
        <f t="shared" si="203"/>
        <v>0</v>
      </c>
      <c r="AH646" s="575"/>
      <c r="AI646" s="549"/>
      <c r="AJ646" s="549"/>
      <c r="AK646" s="549"/>
      <c r="AL646" s="568">
        <f t="shared" si="209"/>
        <v>8801</v>
      </c>
      <c r="AQ646" s="428">
        <f t="shared" si="212"/>
        <v>8801</v>
      </c>
      <c r="AR646" s="568"/>
      <c r="AS646" s="568">
        <f t="shared" si="210"/>
        <v>8801</v>
      </c>
      <c r="AT646" s="578"/>
      <c r="AU646" s="568"/>
      <c r="AY646" s="576">
        <f>I646/24</f>
        <v>366.708333333333</v>
      </c>
      <c r="AZ646" s="577"/>
      <c r="BI646" s="425">
        <f>I646/13</f>
        <v>677</v>
      </c>
      <c r="BT646" s="578"/>
      <c r="BV646" s="578"/>
      <c r="CK646" s="428">
        <f t="shared" si="211"/>
        <v>0</v>
      </c>
      <c r="CL646" s="428">
        <f t="shared" si="206"/>
        <v>0</v>
      </c>
      <c r="CM646" s="428">
        <f t="shared" si="207"/>
        <v>0</v>
      </c>
      <c r="CN646" s="578"/>
      <c r="CO646" s="578"/>
      <c r="CP646" s="578"/>
      <c r="CT646" s="578"/>
      <c r="CU646" s="578"/>
      <c r="CV646" s="578"/>
      <c r="CW646" s="578"/>
      <c r="CX646" s="578"/>
    </row>
    <row r="647" s="428" customFormat="1" ht="31" customHeight="1" spans="1:102">
      <c r="A647" s="547">
        <v>45897</v>
      </c>
      <c r="B647" s="548" t="s">
        <v>587</v>
      </c>
      <c r="C647" s="539" t="s">
        <v>2665</v>
      </c>
      <c r="D647" s="428">
        <v>4500178155</v>
      </c>
      <c r="E647" s="539"/>
      <c r="F647" s="428" t="s">
        <v>4717</v>
      </c>
      <c r="G647" s="549" t="s">
        <v>3161</v>
      </c>
      <c r="H647" s="549" t="s">
        <v>3221</v>
      </c>
      <c r="I647" s="549">
        <v>500</v>
      </c>
      <c r="J647" s="549">
        <v>0</v>
      </c>
      <c r="K647" s="549">
        <v>50</v>
      </c>
      <c r="L647" s="554">
        <f t="shared" si="200"/>
        <v>10</v>
      </c>
      <c r="M647" s="555">
        <v>45944</v>
      </c>
      <c r="N647" s="555">
        <v>45940</v>
      </c>
      <c r="O647" s="556"/>
      <c r="P647" s="556" t="s">
        <v>103</v>
      </c>
      <c r="Q647" s="549"/>
      <c r="R647" s="562">
        <v>45897</v>
      </c>
      <c r="S647" s="562" t="s">
        <v>66</v>
      </c>
      <c r="T647" s="562">
        <v>45909</v>
      </c>
      <c r="U647" s="562"/>
      <c r="V647" s="566" t="s">
        <v>4718</v>
      </c>
      <c r="W647" s="564" t="s">
        <v>593</v>
      </c>
      <c r="X647" s="564">
        <v>0.9462</v>
      </c>
      <c r="Y647" s="513">
        <f t="shared" si="208"/>
        <v>473.1</v>
      </c>
      <c r="Z647" s="549"/>
      <c r="AA647" s="548" t="s">
        <v>3161</v>
      </c>
      <c r="AB647" s="549" t="s">
        <v>76</v>
      </c>
      <c r="AC647" s="549"/>
      <c r="AD647" s="549"/>
      <c r="AE647" s="549"/>
      <c r="AF647" s="549">
        <v>500</v>
      </c>
      <c r="AG647" s="549">
        <f t="shared" si="203"/>
        <v>0</v>
      </c>
      <c r="AH647" s="575"/>
      <c r="AI647" s="549"/>
      <c r="AJ647" s="549"/>
      <c r="AK647" s="549"/>
      <c r="AL647" s="568">
        <f t="shared" si="209"/>
        <v>500</v>
      </c>
      <c r="AQ647" s="428">
        <f t="shared" si="212"/>
        <v>500</v>
      </c>
      <c r="AS647" s="568">
        <f t="shared" si="210"/>
        <v>500</v>
      </c>
      <c r="AT647" s="578"/>
      <c r="AY647" s="576">
        <f>I647/24</f>
        <v>20.8333333333333</v>
      </c>
      <c r="AZ647" s="577"/>
      <c r="BL647" s="425">
        <f>I647/25</f>
        <v>20</v>
      </c>
      <c r="BT647" s="578"/>
      <c r="BV647" s="578"/>
      <c r="CK647" s="428">
        <f t="shared" si="211"/>
        <v>20</v>
      </c>
      <c r="CL647" s="428">
        <f t="shared" si="206"/>
        <v>0</v>
      </c>
      <c r="CM647" s="428">
        <f t="shared" si="207"/>
        <v>0</v>
      </c>
      <c r="CN647" s="578"/>
      <c r="CO647" s="578"/>
      <c r="CP647" s="578"/>
      <c r="CT647" s="578"/>
      <c r="CU647" s="578"/>
      <c r="CV647" s="578"/>
      <c r="CW647" s="578"/>
      <c r="CX647" s="578"/>
    </row>
    <row r="648" s="428" customFormat="1" ht="31" customHeight="1" spans="1:102">
      <c r="A648" s="547">
        <v>45898</v>
      </c>
      <c r="B648" s="548" t="s">
        <v>115</v>
      </c>
      <c r="C648" s="539" t="s">
        <v>116</v>
      </c>
      <c r="D648" s="428">
        <v>4500178243</v>
      </c>
      <c r="E648" s="539">
        <v>84521</v>
      </c>
      <c r="F648" s="428" t="s">
        <v>4719</v>
      </c>
      <c r="G648" s="549" t="s">
        <v>3165</v>
      </c>
      <c r="H648" s="549" t="s">
        <v>3303</v>
      </c>
      <c r="I648" s="549">
        <v>3000</v>
      </c>
      <c r="J648" s="549">
        <v>0</v>
      </c>
      <c r="K648" s="549">
        <v>25</v>
      </c>
      <c r="L648" s="554">
        <f t="shared" si="200"/>
        <v>120</v>
      </c>
      <c r="M648" s="555">
        <v>45944</v>
      </c>
      <c r="N648" s="555">
        <v>45940</v>
      </c>
      <c r="O648" s="556"/>
      <c r="P648" s="556" t="s">
        <v>103</v>
      </c>
      <c r="Q648" s="549"/>
      <c r="R648" s="562">
        <v>45898</v>
      </c>
      <c r="S648" s="562" t="s">
        <v>66</v>
      </c>
      <c r="T648" s="562" t="s">
        <v>4720</v>
      </c>
      <c r="U648" s="562"/>
      <c r="V648" s="564" t="s">
        <v>4721</v>
      </c>
      <c r="W648" s="564" t="s">
        <v>196</v>
      </c>
      <c r="X648" s="564">
        <v>0.9417</v>
      </c>
      <c r="Y648" s="513">
        <f t="shared" si="208"/>
        <v>2825.1</v>
      </c>
      <c r="Z648" s="549"/>
      <c r="AA648" s="549" t="s">
        <v>3165</v>
      </c>
      <c r="AB648" s="549" t="s">
        <v>76</v>
      </c>
      <c r="AC648" s="549"/>
      <c r="AD648" s="549"/>
      <c r="AE648" s="549"/>
      <c r="AF648" s="549">
        <f>1800+1175+25</f>
        <v>3000</v>
      </c>
      <c r="AG648" s="549">
        <f t="shared" si="203"/>
        <v>0</v>
      </c>
      <c r="AH648" s="575"/>
      <c r="AI648" s="549"/>
      <c r="AJ648" s="549"/>
      <c r="AK648" s="549"/>
      <c r="AL648" s="568">
        <f t="shared" si="209"/>
        <v>3000</v>
      </c>
      <c r="AQ648" s="428">
        <f t="shared" si="212"/>
        <v>3000</v>
      </c>
      <c r="AR648" s="568"/>
      <c r="AS648" s="568">
        <f t="shared" si="210"/>
        <v>3000</v>
      </c>
      <c r="AT648" s="578"/>
      <c r="AU648" s="568"/>
      <c r="AY648" s="576">
        <f>I648/24*2</f>
        <v>250</v>
      </c>
      <c r="AZ648" s="577"/>
      <c r="BL648" s="425">
        <f>I648/25</f>
        <v>120</v>
      </c>
      <c r="BT648" s="578"/>
      <c r="BV648" s="578"/>
      <c r="CK648" s="428">
        <f t="shared" si="211"/>
        <v>120</v>
      </c>
      <c r="CL648" s="428">
        <f t="shared" si="206"/>
        <v>0</v>
      </c>
      <c r="CM648" s="428">
        <f t="shared" si="207"/>
        <v>0</v>
      </c>
      <c r="CN648" s="578"/>
      <c r="CO648" s="578"/>
      <c r="CP648" s="578"/>
      <c r="CT648" s="578"/>
      <c r="CU648" s="578"/>
      <c r="CV648" s="578"/>
      <c r="CW648" s="578"/>
      <c r="CX648" s="578"/>
    </row>
    <row r="649" s="428" customFormat="1" ht="31" customHeight="1" spans="1:102">
      <c r="A649" s="547">
        <v>45904</v>
      </c>
      <c r="B649" s="548" t="s">
        <v>3210</v>
      </c>
      <c r="C649" s="539" t="s">
        <v>116</v>
      </c>
      <c r="D649" s="428">
        <v>4500178827</v>
      </c>
      <c r="E649" s="539">
        <v>47763808</v>
      </c>
      <c r="F649" s="428" t="s">
        <v>4722</v>
      </c>
      <c r="G649" s="549" t="s">
        <v>3213</v>
      </c>
      <c r="H649" s="549" t="s">
        <v>3214</v>
      </c>
      <c r="I649" s="549">
        <v>600</v>
      </c>
      <c r="J649" s="549">
        <v>0</v>
      </c>
      <c r="K649" s="549">
        <v>6</v>
      </c>
      <c r="L649" s="554">
        <f t="shared" si="200"/>
        <v>100</v>
      </c>
      <c r="M649" s="555">
        <v>45944</v>
      </c>
      <c r="N649" s="555">
        <v>45940</v>
      </c>
      <c r="O649" s="556"/>
      <c r="P649" s="556" t="s">
        <v>103</v>
      </c>
      <c r="Q649" s="549"/>
      <c r="R649" s="562" t="s">
        <v>4597</v>
      </c>
      <c r="S649" s="562" t="s">
        <v>66</v>
      </c>
      <c r="T649" s="562" t="s">
        <v>4598</v>
      </c>
      <c r="U649" s="562"/>
      <c r="V649" s="564" t="s">
        <v>4599</v>
      </c>
      <c r="W649" s="564" t="s">
        <v>1602</v>
      </c>
      <c r="X649" s="564">
        <v>0.9569</v>
      </c>
      <c r="Y649" s="513">
        <f t="shared" si="208"/>
        <v>574.14</v>
      </c>
      <c r="Z649" s="549"/>
      <c r="AA649" s="549" t="s">
        <v>3213</v>
      </c>
      <c r="AB649" s="549" t="s">
        <v>76</v>
      </c>
      <c r="AC649" s="549"/>
      <c r="AD649" s="549"/>
      <c r="AE649" s="549"/>
      <c r="AF649" s="549">
        <v>600</v>
      </c>
      <c r="AG649" s="549">
        <f t="shared" si="203"/>
        <v>0</v>
      </c>
      <c r="AH649" s="575"/>
      <c r="AI649" s="549"/>
      <c r="AJ649" s="549"/>
      <c r="AK649" s="549"/>
      <c r="AL649" s="568">
        <f t="shared" si="209"/>
        <v>600</v>
      </c>
      <c r="AQ649" s="428">
        <f t="shared" si="212"/>
        <v>600</v>
      </c>
      <c r="AR649" s="568"/>
      <c r="AS649" s="568">
        <f t="shared" si="210"/>
        <v>600</v>
      </c>
      <c r="AT649" s="578"/>
      <c r="AU649" s="568"/>
      <c r="AY649" s="576">
        <f>I649/24</f>
        <v>25</v>
      </c>
      <c r="AZ649" s="577"/>
      <c r="BP649" s="428">
        <f>I649/6</f>
        <v>100</v>
      </c>
      <c r="BT649" s="578"/>
      <c r="BV649" s="578"/>
      <c r="CK649" s="428">
        <f t="shared" si="211"/>
        <v>0</v>
      </c>
      <c r="CL649" s="428">
        <f t="shared" si="206"/>
        <v>0</v>
      </c>
      <c r="CM649" s="428">
        <f t="shared" si="207"/>
        <v>0</v>
      </c>
      <c r="CN649" s="578"/>
      <c r="CO649" s="578"/>
      <c r="CP649" s="578"/>
      <c r="CT649" s="578"/>
      <c r="CU649" s="578"/>
      <c r="CV649" s="578"/>
      <c r="CW649" s="578"/>
      <c r="CX649" s="578"/>
    </row>
    <row r="650" s="428" customFormat="1" ht="31" customHeight="1" spans="1:102">
      <c r="A650" s="547">
        <v>45904</v>
      </c>
      <c r="B650" s="548" t="s">
        <v>3210</v>
      </c>
      <c r="C650" s="539" t="s">
        <v>116</v>
      </c>
      <c r="D650" s="428">
        <v>4500178827</v>
      </c>
      <c r="E650" s="539">
        <v>47746992</v>
      </c>
      <c r="F650" s="428" t="s">
        <v>4723</v>
      </c>
      <c r="G650" s="549" t="s">
        <v>3213</v>
      </c>
      <c r="H650" s="549" t="s">
        <v>3214</v>
      </c>
      <c r="I650" s="549">
        <v>1200</v>
      </c>
      <c r="J650" s="549">
        <v>0</v>
      </c>
      <c r="K650" s="549">
        <v>6</v>
      </c>
      <c r="L650" s="554">
        <f t="shared" si="200"/>
        <v>200</v>
      </c>
      <c r="M650" s="555">
        <v>45944</v>
      </c>
      <c r="N650" s="555">
        <v>45940</v>
      </c>
      <c r="O650" s="556"/>
      <c r="P650" s="556" t="s">
        <v>103</v>
      </c>
      <c r="Q650" s="549"/>
      <c r="R650" s="562" t="s">
        <v>4597</v>
      </c>
      <c r="S650" s="562" t="s">
        <v>66</v>
      </c>
      <c r="T650" s="562" t="s">
        <v>4598</v>
      </c>
      <c r="U650" s="562"/>
      <c r="V650" s="564" t="s">
        <v>4599</v>
      </c>
      <c r="W650" s="564" t="s">
        <v>1602</v>
      </c>
      <c r="X650" s="564">
        <v>0.9569</v>
      </c>
      <c r="Y650" s="513">
        <f t="shared" si="208"/>
        <v>1148.28</v>
      </c>
      <c r="Z650" s="549"/>
      <c r="AA650" s="549" t="s">
        <v>3213</v>
      </c>
      <c r="AB650" s="549" t="s">
        <v>76</v>
      </c>
      <c r="AC650" s="549"/>
      <c r="AD650" s="549"/>
      <c r="AE650" s="549"/>
      <c r="AF650" s="549">
        <v>1200</v>
      </c>
      <c r="AG650" s="549">
        <f t="shared" si="203"/>
        <v>0</v>
      </c>
      <c r="AH650" s="575"/>
      <c r="AI650" s="549"/>
      <c r="AJ650" s="549"/>
      <c r="AK650" s="549"/>
      <c r="AL650" s="568">
        <f t="shared" si="209"/>
        <v>1200</v>
      </c>
      <c r="AQ650" s="428">
        <f t="shared" si="212"/>
        <v>1200</v>
      </c>
      <c r="AR650" s="568"/>
      <c r="AS650" s="568">
        <f t="shared" si="210"/>
        <v>1200</v>
      </c>
      <c r="AT650" s="578"/>
      <c r="AU650" s="568"/>
      <c r="AY650" s="576">
        <f>I650/24</f>
        <v>50</v>
      </c>
      <c r="AZ650" s="577"/>
      <c r="BP650" s="428">
        <f>I650/6</f>
        <v>200</v>
      </c>
      <c r="BT650" s="578"/>
      <c r="BV650" s="578"/>
      <c r="CK650" s="428">
        <f t="shared" si="211"/>
        <v>0</v>
      </c>
      <c r="CL650" s="428">
        <f t="shared" si="206"/>
        <v>0</v>
      </c>
      <c r="CM650" s="428">
        <f t="shared" si="207"/>
        <v>0</v>
      </c>
      <c r="CN650" s="578"/>
      <c r="CO650" s="578"/>
      <c r="CP650" s="578"/>
      <c r="CT650" s="578"/>
      <c r="CU650" s="578"/>
      <c r="CV650" s="578"/>
      <c r="CW650" s="578"/>
      <c r="CX650" s="578"/>
    </row>
    <row r="651" s="428" customFormat="1" ht="31" customHeight="1" spans="1:102">
      <c r="A651" s="547">
        <v>45904</v>
      </c>
      <c r="B651" s="548" t="s">
        <v>3210</v>
      </c>
      <c r="C651" s="539" t="s">
        <v>116</v>
      </c>
      <c r="D651" s="428">
        <v>4500178827</v>
      </c>
      <c r="E651" s="539">
        <v>47763811</v>
      </c>
      <c r="F651" s="428" t="s">
        <v>4724</v>
      </c>
      <c r="G651" s="549" t="s">
        <v>3213</v>
      </c>
      <c r="H651" s="549" t="s">
        <v>3214</v>
      </c>
      <c r="I651" s="549">
        <v>1200</v>
      </c>
      <c r="J651" s="549">
        <v>0</v>
      </c>
      <c r="K651" s="549">
        <v>6</v>
      </c>
      <c r="L651" s="554">
        <f t="shared" si="200"/>
        <v>200</v>
      </c>
      <c r="M651" s="555">
        <v>45944</v>
      </c>
      <c r="N651" s="555">
        <v>45940</v>
      </c>
      <c r="O651" s="556"/>
      <c r="P651" s="556" t="s">
        <v>103</v>
      </c>
      <c r="Q651" s="549"/>
      <c r="R651" s="562" t="s">
        <v>4597</v>
      </c>
      <c r="S651" s="562" t="s">
        <v>66</v>
      </c>
      <c r="T651" s="562" t="s">
        <v>4598</v>
      </c>
      <c r="U651" s="562"/>
      <c r="V651" s="564" t="s">
        <v>4599</v>
      </c>
      <c r="W651" s="564" t="s">
        <v>1602</v>
      </c>
      <c r="X651" s="564">
        <v>0.9569</v>
      </c>
      <c r="Y651" s="513">
        <f t="shared" si="208"/>
        <v>1148.28</v>
      </c>
      <c r="Z651" s="549"/>
      <c r="AA651" s="549" t="s">
        <v>3213</v>
      </c>
      <c r="AB651" s="549" t="s">
        <v>76</v>
      </c>
      <c r="AC651" s="549"/>
      <c r="AD651" s="549"/>
      <c r="AE651" s="549"/>
      <c r="AF651" s="549">
        <v>1200</v>
      </c>
      <c r="AG651" s="549">
        <f t="shared" si="203"/>
        <v>0</v>
      </c>
      <c r="AH651" s="575"/>
      <c r="AI651" s="549"/>
      <c r="AJ651" s="549"/>
      <c r="AK651" s="549"/>
      <c r="AL651" s="568">
        <f t="shared" si="209"/>
        <v>1200</v>
      </c>
      <c r="AQ651" s="428">
        <f t="shared" si="212"/>
        <v>1200</v>
      </c>
      <c r="AR651" s="568"/>
      <c r="AS651" s="568">
        <f t="shared" si="210"/>
        <v>1200</v>
      </c>
      <c r="AT651" s="578"/>
      <c r="AU651" s="568"/>
      <c r="AY651" s="576">
        <f>I651/24</f>
        <v>50</v>
      </c>
      <c r="AZ651" s="577"/>
      <c r="BP651" s="428">
        <f>I651/6</f>
        <v>200</v>
      </c>
      <c r="BT651" s="578"/>
      <c r="BV651" s="578"/>
      <c r="CK651" s="428">
        <f t="shared" si="211"/>
        <v>0</v>
      </c>
      <c r="CL651" s="428">
        <f t="shared" si="206"/>
        <v>0</v>
      </c>
      <c r="CM651" s="428">
        <f t="shared" si="207"/>
        <v>0</v>
      </c>
      <c r="CN651" s="578"/>
      <c r="CO651" s="578"/>
      <c r="CP651" s="578"/>
      <c r="CT651" s="578"/>
      <c r="CU651" s="578"/>
      <c r="CV651" s="578"/>
      <c r="CW651" s="578"/>
      <c r="CX651" s="578"/>
    </row>
    <row r="652" s="428" customFormat="1" ht="31" customHeight="1" spans="1:102">
      <c r="A652" s="547">
        <v>45903</v>
      </c>
      <c r="B652" s="548" t="s">
        <v>1787</v>
      </c>
      <c r="C652" s="539" t="s">
        <v>377</v>
      </c>
      <c r="D652" s="428">
        <v>4500178665</v>
      </c>
      <c r="E652" s="539"/>
      <c r="F652" s="428" t="s">
        <v>4725</v>
      </c>
      <c r="G652" s="549" t="s">
        <v>3165</v>
      </c>
      <c r="H652" s="549" t="s">
        <v>3303</v>
      </c>
      <c r="I652" s="549">
        <v>1000</v>
      </c>
      <c r="J652" s="549">
        <v>0</v>
      </c>
      <c r="K652" s="549">
        <v>25</v>
      </c>
      <c r="L652" s="554">
        <f t="shared" si="200"/>
        <v>40</v>
      </c>
      <c r="M652" s="555">
        <v>45945</v>
      </c>
      <c r="N652" s="555">
        <v>45943</v>
      </c>
      <c r="O652" s="556"/>
      <c r="P652" s="556" t="s">
        <v>103</v>
      </c>
      <c r="Q652" s="549"/>
      <c r="R652" s="562">
        <v>45910</v>
      </c>
      <c r="S652" s="562" t="s">
        <v>66</v>
      </c>
      <c r="T652" s="585" t="s">
        <v>4726</v>
      </c>
      <c r="U652" s="562"/>
      <c r="V652" s="566" t="s">
        <v>4727</v>
      </c>
      <c r="W652" s="564" t="s">
        <v>381</v>
      </c>
      <c r="X652" s="564">
        <v>0.9417</v>
      </c>
      <c r="Y652" s="513">
        <f t="shared" si="208"/>
        <v>941.7</v>
      </c>
      <c r="Z652" s="549"/>
      <c r="AA652" s="549" t="s">
        <v>3165</v>
      </c>
      <c r="AB652" s="549" t="s">
        <v>76</v>
      </c>
      <c r="AC652" s="549"/>
      <c r="AD652" s="549"/>
      <c r="AE652" s="549"/>
      <c r="AF652" s="549">
        <v>1000</v>
      </c>
      <c r="AG652" s="549">
        <f t="shared" si="203"/>
        <v>0</v>
      </c>
      <c r="AH652" s="575"/>
      <c r="AI652" s="549"/>
      <c r="AJ652" s="549"/>
      <c r="AK652" s="549"/>
      <c r="AL652" s="568">
        <f t="shared" si="209"/>
        <v>1000</v>
      </c>
      <c r="AQ652" s="428">
        <f t="shared" si="212"/>
        <v>1000</v>
      </c>
      <c r="AS652" s="568">
        <f t="shared" si="210"/>
        <v>1000</v>
      </c>
      <c r="AT652" s="578"/>
      <c r="AU652" s="568"/>
      <c r="AY652" s="576">
        <f>I652/24*2</f>
        <v>83.3333333333333</v>
      </c>
      <c r="AZ652" s="577"/>
      <c r="BL652" s="428">
        <f>I652/25</f>
        <v>40</v>
      </c>
      <c r="BT652" s="578"/>
      <c r="BV652" s="578"/>
      <c r="CK652" s="428">
        <f t="shared" si="211"/>
        <v>40</v>
      </c>
      <c r="CL652" s="428">
        <f t="shared" si="206"/>
        <v>0</v>
      </c>
      <c r="CM652" s="428">
        <f t="shared" si="207"/>
        <v>0</v>
      </c>
      <c r="CN652" s="578"/>
      <c r="CO652" s="578"/>
      <c r="CP652" s="578"/>
      <c r="CT652" s="578"/>
      <c r="CU652" s="578"/>
      <c r="CV652" s="578"/>
      <c r="CW652" s="578"/>
      <c r="CX652" s="578"/>
    </row>
    <row r="653" s="428" customFormat="1" ht="31" customHeight="1" spans="1:102">
      <c r="A653" s="547">
        <v>45905</v>
      </c>
      <c r="B653" s="548" t="s">
        <v>4728</v>
      </c>
      <c r="C653" s="539" t="s">
        <v>153</v>
      </c>
      <c r="D653" s="428">
        <v>4500178892</v>
      </c>
      <c r="E653" s="887" t="s">
        <v>4729</v>
      </c>
      <c r="F653" s="428" t="s">
        <v>4730</v>
      </c>
      <c r="G653" s="549" t="s">
        <v>3272</v>
      </c>
      <c r="H653" s="549" t="s">
        <v>3207</v>
      </c>
      <c r="I653" s="549">
        <v>4030</v>
      </c>
      <c r="J653" s="549">
        <v>0</v>
      </c>
      <c r="K653" s="549">
        <v>13</v>
      </c>
      <c r="L653" s="554">
        <f t="shared" si="200"/>
        <v>310</v>
      </c>
      <c r="M653" s="555">
        <v>45945</v>
      </c>
      <c r="N653" s="555">
        <v>45943</v>
      </c>
      <c r="O653" s="556"/>
      <c r="P653" s="556" t="s">
        <v>103</v>
      </c>
      <c r="Q653" s="549"/>
      <c r="R653" s="562">
        <v>45911</v>
      </c>
      <c r="S653" s="562" t="s">
        <v>66</v>
      </c>
      <c r="T653" s="562" t="s">
        <v>66</v>
      </c>
      <c r="U653" s="562"/>
      <c r="V653" s="564" t="s">
        <v>4731</v>
      </c>
      <c r="W653" s="564" t="s">
        <v>1055</v>
      </c>
      <c r="X653" s="567">
        <v>0.9572</v>
      </c>
      <c r="Y653" s="513">
        <f t="shared" si="208"/>
        <v>3857.516</v>
      </c>
      <c r="Z653" s="549"/>
      <c r="AA653" s="549" t="s">
        <v>3272</v>
      </c>
      <c r="AB653" s="549" t="s">
        <v>76</v>
      </c>
      <c r="AC653" s="549"/>
      <c r="AD653" s="549"/>
      <c r="AE653" s="549"/>
      <c r="AF653" s="549">
        <v>4030</v>
      </c>
      <c r="AG653" s="549">
        <f t="shared" si="203"/>
        <v>0</v>
      </c>
      <c r="AH653" s="575"/>
      <c r="AI653" s="549"/>
      <c r="AJ653" s="549"/>
      <c r="AK653" s="549">
        <f>I653</f>
        <v>4030</v>
      </c>
      <c r="AL653" s="568"/>
      <c r="AP653" s="428">
        <f>I653</f>
        <v>4030</v>
      </c>
      <c r="AR653" s="428">
        <f>I653</f>
        <v>4030</v>
      </c>
      <c r="AS653" s="568"/>
      <c r="AT653" s="578"/>
      <c r="AU653" s="568"/>
      <c r="AY653" s="576">
        <f>I653/24</f>
        <v>167.916666666667</v>
      </c>
      <c r="AZ653" s="577"/>
      <c r="BH653" s="428">
        <f>I653/13</f>
        <v>310</v>
      </c>
      <c r="BT653" s="578"/>
      <c r="BV653" s="578"/>
      <c r="CK653" s="428">
        <f t="shared" si="211"/>
        <v>0</v>
      </c>
      <c r="CL653" s="428">
        <f t="shared" si="206"/>
        <v>0</v>
      </c>
      <c r="CM653" s="428">
        <f t="shared" si="207"/>
        <v>0</v>
      </c>
      <c r="CN653" s="578"/>
      <c r="CO653" s="578"/>
      <c r="CP653" s="578"/>
      <c r="CT653" s="578"/>
      <c r="CU653" s="578"/>
      <c r="CV653" s="578"/>
      <c r="CW653" s="578"/>
      <c r="CX653" s="578"/>
    </row>
    <row r="654" s="428" customFormat="1" ht="31" customHeight="1" spans="1:102">
      <c r="A654" s="547">
        <v>45904</v>
      </c>
      <c r="B654" s="548" t="s">
        <v>741</v>
      </c>
      <c r="C654" s="539" t="s">
        <v>468</v>
      </c>
      <c r="D654" s="428">
        <v>4500178828</v>
      </c>
      <c r="E654" s="539" t="s">
        <v>1818</v>
      </c>
      <c r="F654" s="428" t="s">
        <v>1819</v>
      </c>
      <c r="G654" s="549" t="s">
        <v>743</v>
      </c>
      <c r="H654" s="549" t="s">
        <v>744</v>
      </c>
      <c r="I654" s="549">
        <v>64</v>
      </c>
      <c r="J654" s="549">
        <v>0</v>
      </c>
      <c r="K654" s="549">
        <v>1</v>
      </c>
      <c r="L654" s="554">
        <f t="shared" si="200"/>
        <v>64</v>
      </c>
      <c r="M654" s="555">
        <v>45940</v>
      </c>
      <c r="N654" s="555">
        <v>45936</v>
      </c>
      <c r="O654" s="556"/>
      <c r="P654" s="556" t="s">
        <v>103</v>
      </c>
      <c r="Q654" s="549"/>
      <c r="R654" s="562">
        <v>45904</v>
      </c>
      <c r="S654" s="562" t="s">
        <v>66</v>
      </c>
      <c r="T654" s="562" t="s">
        <v>1820</v>
      </c>
      <c r="U654" s="562"/>
      <c r="V654" s="564" t="s">
        <v>1821</v>
      </c>
      <c r="W654" s="564" t="s">
        <v>473</v>
      </c>
      <c r="X654" s="564">
        <v>0</v>
      </c>
      <c r="Y654" s="513">
        <f>X654*J654</f>
        <v>0</v>
      </c>
      <c r="Z654" s="549"/>
      <c r="AA654" s="549" t="s">
        <v>743</v>
      </c>
      <c r="AB654" s="549" t="s">
        <v>76</v>
      </c>
      <c r="AC654" s="549"/>
      <c r="AD654" s="549"/>
      <c r="AE654" s="549"/>
      <c r="AF654" s="549">
        <f>4760+40</f>
        <v>4800</v>
      </c>
      <c r="AG654" s="549">
        <v>0</v>
      </c>
      <c r="AH654" s="575"/>
      <c r="AI654" s="549"/>
      <c r="AJ654" s="549"/>
      <c r="AK654" s="549"/>
      <c r="AL654" s="568"/>
      <c r="AR654" s="568"/>
      <c r="AT654" s="578"/>
      <c r="AU654" s="568"/>
      <c r="AY654" s="576"/>
      <c r="AZ654" s="577"/>
      <c r="BT654" s="578"/>
      <c r="BV654" s="578"/>
      <c r="CK654" s="428">
        <f t="shared" si="211"/>
        <v>0</v>
      </c>
      <c r="CL654" s="428">
        <f t="shared" si="206"/>
        <v>0</v>
      </c>
      <c r="CM654" s="428">
        <f t="shared" si="207"/>
        <v>0</v>
      </c>
      <c r="CN654" s="578"/>
      <c r="CO654" s="578"/>
      <c r="CP654" s="578"/>
      <c r="CT654" s="578"/>
      <c r="CU654" s="578"/>
      <c r="CV654" s="578"/>
      <c r="CW654" s="578"/>
      <c r="CX654" s="578"/>
    </row>
    <row r="655" s="428" customFormat="1" ht="31" customHeight="1" spans="1:102">
      <c r="A655" s="547">
        <v>45904</v>
      </c>
      <c r="B655" s="548" t="s">
        <v>741</v>
      </c>
      <c r="C655" s="539" t="s">
        <v>468</v>
      </c>
      <c r="D655" s="428">
        <v>4500178828</v>
      </c>
      <c r="E655" s="539" t="s">
        <v>1818</v>
      </c>
      <c r="F655" s="428" t="s">
        <v>1819</v>
      </c>
      <c r="G655" s="549">
        <v>77711</v>
      </c>
      <c r="H655" s="549" t="s">
        <v>3151</v>
      </c>
      <c r="I655" s="549">
        <v>4800</v>
      </c>
      <c r="J655" s="549">
        <v>0</v>
      </c>
      <c r="K655" s="549">
        <v>75</v>
      </c>
      <c r="L655" s="554">
        <f t="shared" si="200"/>
        <v>64</v>
      </c>
      <c r="M655" s="555">
        <v>45940</v>
      </c>
      <c r="N655" s="555">
        <v>45936</v>
      </c>
      <c r="O655" s="556"/>
      <c r="P655" s="556" t="s">
        <v>103</v>
      </c>
      <c r="Q655" s="549"/>
      <c r="R655" s="562">
        <v>45904</v>
      </c>
      <c r="S655" s="562" t="s">
        <v>66</v>
      </c>
      <c r="T655" s="562" t="s">
        <v>1820</v>
      </c>
      <c r="U655" s="562"/>
      <c r="V655" s="564" t="s">
        <v>1821</v>
      </c>
      <c r="W655" s="564" t="s">
        <v>473</v>
      </c>
      <c r="X655" s="564">
        <v>588.0268</v>
      </c>
      <c r="Y655" s="513">
        <f>X655*L655</f>
        <v>37633.7152</v>
      </c>
      <c r="Z655" s="549"/>
      <c r="AA655" s="549" t="s">
        <v>743</v>
      </c>
      <c r="AB655" s="549" t="s">
        <v>76</v>
      </c>
      <c r="AC655" s="549"/>
      <c r="AD655" s="549"/>
      <c r="AE655" s="549"/>
      <c r="AF655" s="549">
        <v>0</v>
      </c>
      <c r="AG655" s="549">
        <v>0</v>
      </c>
      <c r="AH655" s="575"/>
      <c r="AI655" s="549"/>
      <c r="AJ655" s="549"/>
      <c r="AK655" s="549">
        <f>I655*3</f>
        <v>14400</v>
      </c>
      <c r="AL655" s="568"/>
      <c r="AR655" s="568"/>
      <c r="AT655" s="578"/>
      <c r="AU655" s="568"/>
      <c r="AY655" s="576"/>
      <c r="AZ655" s="577"/>
      <c r="BC655" s="428">
        <f>I655</f>
        <v>4800</v>
      </c>
      <c r="BD655" s="428">
        <f>I655</f>
        <v>4800</v>
      </c>
      <c r="BE655" s="428">
        <f>I655</f>
        <v>4800</v>
      </c>
      <c r="BF655" s="428">
        <f>I655/5</f>
        <v>960</v>
      </c>
      <c r="BT655" s="578"/>
      <c r="BV655" s="578"/>
      <c r="CK655" s="428">
        <f t="shared" si="211"/>
        <v>0</v>
      </c>
      <c r="CL655" s="428">
        <f t="shared" si="206"/>
        <v>0</v>
      </c>
      <c r="CM655" s="428">
        <f t="shared" si="207"/>
        <v>0</v>
      </c>
      <c r="CN655" s="578"/>
      <c r="CO655" s="578"/>
      <c r="CP655" s="578"/>
      <c r="CT655" s="578"/>
      <c r="CU655" s="578"/>
      <c r="CV655" s="578"/>
      <c r="CW655" s="578"/>
      <c r="CX655" s="578"/>
    </row>
    <row r="656" s="428" customFormat="1" ht="31" customHeight="1" spans="1:102">
      <c r="A656" s="547">
        <v>45896</v>
      </c>
      <c r="B656" s="548" t="s">
        <v>2863</v>
      </c>
      <c r="C656" s="539" t="s">
        <v>90</v>
      </c>
      <c r="D656" s="428">
        <v>4500177930</v>
      </c>
      <c r="E656" s="539">
        <v>4348666466</v>
      </c>
      <c r="F656" s="428" t="s">
        <v>4732</v>
      </c>
      <c r="G656" s="549" t="s">
        <v>3198</v>
      </c>
      <c r="H656" s="549" t="s">
        <v>3303</v>
      </c>
      <c r="I656" s="549">
        <v>10450</v>
      </c>
      <c r="J656" s="549">
        <v>0</v>
      </c>
      <c r="K656" s="549">
        <v>25</v>
      </c>
      <c r="L656" s="554">
        <f t="shared" si="200"/>
        <v>418</v>
      </c>
      <c r="M656" s="555">
        <v>45945</v>
      </c>
      <c r="N656" s="555">
        <v>45941</v>
      </c>
      <c r="O656" s="556"/>
      <c r="P656" s="556" t="s">
        <v>103</v>
      </c>
      <c r="Q656" s="549"/>
      <c r="R656" s="562">
        <v>45910</v>
      </c>
      <c r="S656" s="562" t="s">
        <v>66</v>
      </c>
      <c r="T656" s="562" t="s">
        <v>4733</v>
      </c>
      <c r="U656" s="562"/>
      <c r="V656" s="564" t="s">
        <v>4734</v>
      </c>
      <c r="W656" s="564" t="s">
        <v>2868</v>
      </c>
      <c r="X656" s="567">
        <v>0.5646</v>
      </c>
      <c r="Y656" s="513">
        <f t="shared" ref="Y656:Y663" si="213">X656*I656</f>
        <v>5900.07</v>
      </c>
      <c r="Z656" s="549" t="s">
        <v>4735</v>
      </c>
      <c r="AA656" s="549" t="s">
        <v>3198</v>
      </c>
      <c r="AB656" s="549" t="s">
        <v>76</v>
      </c>
      <c r="AC656" s="549"/>
      <c r="AD656" s="549"/>
      <c r="AE656" s="549"/>
      <c r="AF656" s="549">
        <v>10450</v>
      </c>
      <c r="AG656" s="549">
        <f>AF656-I656</f>
        <v>0</v>
      </c>
      <c r="AH656" s="575"/>
      <c r="AI656" s="549"/>
      <c r="AJ656" s="549"/>
      <c r="AK656" s="549">
        <f>I656</f>
        <v>10450</v>
      </c>
      <c r="AL656" s="568"/>
      <c r="AM656" s="428">
        <f>I656</f>
        <v>10450</v>
      </c>
      <c r="AR656" s="428">
        <f>I656</f>
        <v>10450</v>
      </c>
      <c r="AS656" s="568"/>
      <c r="AT656" s="578"/>
      <c r="AU656" s="568"/>
      <c r="AY656" s="576">
        <f>I656/24</f>
        <v>435.416666666667</v>
      </c>
      <c r="AZ656" s="577"/>
      <c r="BJ656" s="428">
        <f>I656/25</f>
        <v>418</v>
      </c>
      <c r="BT656" s="578"/>
      <c r="BV656" s="578"/>
      <c r="CK656" s="428">
        <f t="shared" si="211"/>
        <v>418</v>
      </c>
      <c r="CL656" s="428">
        <f t="shared" si="206"/>
        <v>0</v>
      </c>
      <c r="CM656" s="428">
        <f t="shared" si="207"/>
        <v>0</v>
      </c>
      <c r="CN656" s="578"/>
      <c r="CO656" s="578"/>
      <c r="CP656" s="578"/>
      <c r="CT656" s="578"/>
      <c r="CU656" s="578"/>
      <c r="CV656" s="578"/>
      <c r="CW656" s="578"/>
      <c r="CX656" s="578"/>
    </row>
    <row r="657" s="428" customFormat="1" ht="31" customHeight="1" spans="1:102">
      <c r="A657" s="547">
        <v>45896</v>
      </c>
      <c r="B657" s="548" t="s">
        <v>2863</v>
      </c>
      <c r="C657" s="539" t="s">
        <v>90</v>
      </c>
      <c r="D657" s="428">
        <v>4500177891</v>
      </c>
      <c r="E657" s="539" t="s">
        <v>4736</v>
      </c>
      <c r="F657" s="428" t="s">
        <v>4737</v>
      </c>
      <c r="G657" s="549" t="s">
        <v>3198</v>
      </c>
      <c r="H657" s="549" t="s">
        <v>3303</v>
      </c>
      <c r="I657" s="549">
        <v>12800</v>
      </c>
      <c r="J657" s="549">
        <v>0</v>
      </c>
      <c r="K657" s="549">
        <v>25</v>
      </c>
      <c r="L657" s="554">
        <f t="shared" si="200"/>
        <v>512</v>
      </c>
      <c r="M657" s="555">
        <v>45945</v>
      </c>
      <c r="N657" s="555">
        <v>45943</v>
      </c>
      <c r="O657" s="556"/>
      <c r="P657" s="556" t="s">
        <v>103</v>
      </c>
      <c r="Q657" s="549"/>
      <c r="R657" s="562">
        <v>45910</v>
      </c>
      <c r="S657" s="562" t="s">
        <v>66</v>
      </c>
      <c r="T657" s="562" t="s">
        <v>4733</v>
      </c>
      <c r="U657" s="562"/>
      <c r="V657" s="564" t="s">
        <v>4734</v>
      </c>
      <c r="W657" s="564" t="s">
        <v>2868</v>
      </c>
      <c r="X657" s="567">
        <v>0.5646</v>
      </c>
      <c r="Y657" s="513">
        <f t="shared" si="213"/>
        <v>7226.88</v>
      </c>
      <c r="Z657" s="549" t="s">
        <v>4738</v>
      </c>
      <c r="AA657" s="549" t="s">
        <v>3198</v>
      </c>
      <c r="AB657" s="549" t="s">
        <v>76</v>
      </c>
      <c r="AC657" s="549"/>
      <c r="AD657" s="549"/>
      <c r="AE657" s="549"/>
      <c r="AF657" s="549">
        <v>12800</v>
      </c>
      <c r="AG657" s="549">
        <f>AF657-I657</f>
        <v>0</v>
      </c>
      <c r="AH657" s="575"/>
      <c r="AI657" s="549"/>
      <c r="AJ657" s="549"/>
      <c r="AK657" s="549">
        <f>I657</f>
        <v>12800</v>
      </c>
      <c r="AL657" s="568"/>
      <c r="AM657" s="428">
        <f>I657</f>
        <v>12800</v>
      </c>
      <c r="AR657" s="428">
        <f>I657</f>
        <v>12800</v>
      </c>
      <c r="AS657" s="568"/>
      <c r="AT657" s="578"/>
      <c r="AU657" s="568"/>
      <c r="AY657" s="576">
        <f>I657/24</f>
        <v>533.333333333333</v>
      </c>
      <c r="AZ657" s="577"/>
      <c r="BJ657" s="428">
        <f>I657/25</f>
        <v>512</v>
      </c>
      <c r="BT657" s="578"/>
      <c r="BV657" s="578"/>
      <c r="CK657" s="428">
        <f t="shared" si="211"/>
        <v>512</v>
      </c>
      <c r="CL657" s="428">
        <f t="shared" si="206"/>
        <v>0</v>
      </c>
      <c r="CM657" s="428">
        <f t="shared" si="207"/>
        <v>0</v>
      </c>
      <c r="CN657" s="578"/>
      <c r="CO657" s="578"/>
      <c r="CP657" s="578"/>
      <c r="CT657" s="578"/>
      <c r="CU657" s="578"/>
      <c r="CV657" s="578"/>
      <c r="CW657" s="578"/>
      <c r="CX657" s="578"/>
    </row>
    <row r="658" s="428" customFormat="1" ht="31" customHeight="1" spans="1:102">
      <c r="A658" s="547">
        <v>45910</v>
      </c>
      <c r="B658" s="548" t="s">
        <v>398</v>
      </c>
      <c r="C658" s="539" t="s">
        <v>356</v>
      </c>
      <c r="D658" s="428">
        <v>4500179231</v>
      </c>
      <c r="E658" s="539"/>
      <c r="F658" s="428" t="s">
        <v>4739</v>
      </c>
      <c r="G658" s="549" t="s">
        <v>3206</v>
      </c>
      <c r="H658" s="549" t="s">
        <v>3207</v>
      </c>
      <c r="I658" s="549">
        <v>4810</v>
      </c>
      <c r="J658" s="549">
        <v>0</v>
      </c>
      <c r="K658" s="549">
        <v>13</v>
      </c>
      <c r="L658" s="554">
        <f t="shared" si="200"/>
        <v>370</v>
      </c>
      <c r="M658" s="555">
        <v>45952</v>
      </c>
      <c r="N658" s="555">
        <v>45948</v>
      </c>
      <c r="O658" s="556"/>
      <c r="P658" s="556" t="s">
        <v>103</v>
      </c>
      <c r="Q658" s="549"/>
      <c r="R658" s="562">
        <v>45915</v>
      </c>
      <c r="S658" s="562" t="s">
        <v>66</v>
      </c>
      <c r="T658" s="562" t="s">
        <v>4586</v>
      </c>
      <c r="U658" s="562"/>
      <c r="V658" s="564" t="s">
        <v>4740</v>
      </c>
      <c r="W658" s="564" t="s">
        <v>395</v>
      </c>
      <c r="X658" s="567">
        <v>0.8947</v>
      </c>
      <c r="Y658" s="513">
        <f t="shared" si="213"/>
        <v>4303.507</v>
      </c>
      <c r="Z658" s="549"/>
      <c r="AA658" s="549" t="s">
        <v>3206</v>
      </c>
      <c r="AB658" s="549" t="s">
        <v>76</v>
      </c>
      <c r="AC658" s="549"/>
      <c r="AD658" s="549"/>
      <c r="AE658" s="549"/>
      <c r="AF658" s="549">
        <v>4810</v>
      </c>
      <c r="AG658" s="549">
        <f>AF658-I658</f>
        <v>0</v>
      </c>
      <c r="AH658" s="575"/>
      <c r="AI658" s="549"/>
      <c r="AJ658" s="549"/>
      <c r="AK658" s="549"/>
      <c r="AL658" s="568">
        <f>I658</f>
        <v>4810</v>
      </c>
      <c r="AQ658" s="428">
        <f>I658</f>
        <v>4810</v>
      </c>
      <c r="AR658" s="568"/>
      <c r="AS658" s="568">
        <f>I658</f>
        <v>4810</v>
      </c>
      <c r="AT658" s="578"/>
      <c r="AU658" s="568"/>
      <c r="AY658" s="576">
        <f>I658/24</f>
        <v>200.416666666667</v>
      </c>
      <c r="AZ658" s="577"/>
      <c r="BI658" s="428">
        <f>I658/13</f>
        <v>370</v>
      </c>
      <c r="BT658" s="578"/>
      <c r="BV658" s="578"/>
      <c r="CK658" s="428">
        <f t="shared" si="211"/>
        <v>0</v>
      </c>
      <c r="CL658" s="428">
        <f t="shared" si="206"/>
        <v>0</v>
      </c>
      <c r="CM658" s="428">
        <f t="shared" si="207"/>
        <v>0</v>
      </c>
      <c r="CN658" s="578"/>
      <c r="CO658" s="578"/>
      <c r="CP658" s="578"/>
      <c r="CT658" s="578"/>
      <c r="CU658" s="578"/>
      <c r="CV658" s="578"/>
      <c r="CW658" s="578"/>
      <c r="CX658" s="578"/>
    </row>
    <row r="659" s="428" customFormat="1" ht="31" customHeight="1" spans="1:102">
      <c r="A659" s="547">
        <v>45941</v>
      </c>
      <c r="B659" s="548" t="s">
        <v>159</v>
      </c>
      <c r="C659" s="539" t="s">
        <v>153</v>
      </c>
      <c r="D659" s="428">
        <v>4500181466</v>
      </c>
      <c r="E659" s="539" t="s">
        <v>1827</v>
      </c>
      <c r="F659" s="428" t="s">
        <v>4741</v>
      </c>
      <c r="G659" s="549" t="s">
        <v>3198</v>
      </c>
      <c r="H659" s="549" t="s">
        <v>3303</v>
      </c>
      <c r="I659" s="549">
        <v>15000</v>
      </c>
      <c r="J659" s="549">
        <v>0</v>
      </c>
      <c r="K659" s="549">
        <v>25</v>
      </c>
      <c r="L659" s="554">
        <f t="shared" si="200"/>
        <v>600</v>
      </c>
      <c r="M659" s="555">
        <v>45941</v>
      </c>
      <c r="N659" s="555">
        <v>45937</v>
      </c>
      <c r="O659" s="556" t="s">
        <v>4742</v>
      </c>
      <c r="P659" s="556" t="s">
        <v>103</v>
      </c>
      <c r="Q659" s="549"/>
      <c r="R659" s="562" t="s">
        <v>1829</v>
      </c>
      <c r="S659" s="562" t="s">
        <v>66</v>
      </c>
      <c r="T659" s="562" t="s">
        <v>66</v>
      </c>
      <c r="U659" s="562"/>
      <c r="V659" s="564" t="s">
        <v>4743</v>
      </c>
      <c r="W659" s="564" t="s">
        <v>1213</v>
      </c>
      <c r="X659" s="567">
        <v>0.941</v>
      </c>
      <c r="Y659" s="513">
        <f t="shared" si="213"/>
        <v>14115</v>
      </c>
      <c r="Z659" s="549"/>
      <c r="AA659" s="549" t="s">
        <v>3202</v>
      </c>
      <c r="AB659" s="549" t="s">
        <v>76</v>
      </c>
      <c r="AC659" s="549"/>
      <c r="AD659" s="549"/>
      <c r="AE659" s="549"/>
      <c r="AF659" s="549"/>
      <c r="AG659" s="549"/>
      <c r="AH659" s="575"/>
      <c r="AI659" s="549"/>
      <c r="AJ659" s="549"/>
      <c r="AK659" s="549">
        <f>I659</f>
        <v>15000</v>
      </c>
      <c r="AL659" s="568"/>
      <c r="AP659" s="428">
        <f>I659</f>
        <v>15000</v>
      </c>
      <c r="AR659" s="428">
        <f>I659</f>
        <v>15000</v>
      </c>
      <c r="AT659" s="578"/>
      <c r="AU659" s="568"/>
      <c r="AY659" s="576">
        <f>I659/24</f>
        <v>625</v>
      </c>
      <c r="AZ659" s="577"/>
      <c r="BK659" s="428">
        <f>I659/25</f>
        <v>600</v>
      </c>
      <c r="BT659" s="578"/>
      <c r="BV659" s="578"/>
      <c r="CK659" s="428">
        <f t="shared" si="211"/>
        <v>600</v>
      </c>
      <c r="CL659" s="428">
        <f t="shared" si="206"/>
        <v>0</v>
      </c>
      <c r="CM659" s="428">
        <f t="shared" si="207"/>
        <v>0</v>
      </c>
      <c r="CN659" s="578"/>
      <c r="CO659" s="578"/>
      <c r="CP659" s="578"/>
      <c r="CT659" s="578"/>
      <c r="CU659" s="578"/>
      <c r="CV659" s="578"/>
      <c r="CW659" s="578"/>
      <c r="CX659" s="578"/>
    </row>
    <row r="660" s="428" customFormat="1" ht="31" customHeight="1" spans="1:102">
      <c r="A660" s="547">
        <v>45910</v>
      </c>
      <c r="B660" s="548" t="s">
        <v>152</v>
      </c>
      <c r="C660" s="539" t="s">
        <v>153</v>
      </c>
      <c r="D660" s="428">
        <v>4500179215</v>
      </c>
      <c r="E660" s="539">
        <v>2700956545</v>
      </c>
      <c r="F660" s="428" t="s">
        <v>4744</v>
      </c>
      <c r="G660" s="549" t="s">
        <v>3198</v>
      </c>
      <c r="H660" s="549" t="s">
        <v>3303</v>
      </c>
      <c r="I660" s="549">
        <v>25000</v>
      </c>
      <c r="J660" s="549">
        <v>0</v>
      </c>
      <c r="K660" s="549">
        <v>25</v>
      </c>
      <c r="L660" s="554">
        <f t="shared" si="200"/>
        <v>1000</v>
      </c>
      <c r="M660" s="555">
        <v>45952</v>
      </c>
      <c r="N660" s="555">
        <v>45948</v>
      </c>
      <c r="O660" s="556" t="s">
        <v>4745</v>
      </c>
      <c r="P660" s="556" t="s">
        <v>103</v>
      </c>
      <c r="Q660" s="549"/>
      <c r="R660" s="562">
        <v>45910</v>
      </c>
      <c r="S660" s="562" t="s">
        <v>66</v>
      </c>
      <c r="T660" s="562" t="s">
        <v>66</v>
      </c>
      <c r="U660" s="562"/>
      <c r="V660" s="564" t="s">
        <v>4746</v>
      </c>
      <c r="W660" s="564" t="s">
        <v>1912</v>
      </c>
      <c r="X660" s="567">
        <v>0.9319</v>
      </c>
      <c r="Y660" s="513">
        <f t="shared" si="213"/>
        <v>23297.5</v>
      </c>
      <c r="Z660" s="549" t="s">
        <v>4747</v>
      </c>
      <c r="AA660" s="549" t="s">
        <v>3202</v>
      </c>
      <c r="AB660" s="549" t="s">
        <v>76</v>
      </c>
      <c r="AC660" s="549"/>
      <c r="AD660" s="549"/>
      <c r="AE660" s="549"/>
      <c r="AF660" s="549">
        <v>25000</v>
      </c>
      <c r="AG660" s="549">
        <f t="shared" ref="AG660:AG665" si="214">AF660-I660</f>
        <v>0</v>
      </c>
      <c r="AH660" s="575"/>
      <c r="AI660" s="549"/>
      <c r="AJ660" s="549"/>
      <c r="AK660" s="549">
        <f>I660</f>
        <v>25000</v>
      </c>
      <c r="AL660" s="568"/>
      <c r="AP660" s="428">
        <f>I660</f>
        <v>25000</v>
      </c>
      <c r="AR660" s="568">
        <f>I660</f>
        <v>25000</v>
      </c>
      <c r="AS660" s="568"/>
      <c r="AT660" s="578"/>
      <c r="AU660" s="568"/>
      <c r="AY660" s="576">
        <f>I660/24</f>
        <v>1041.66666666667</v>
      </c>
      <c r="AZ660" s="577"/>
      <c r="BK660" s="428">
        <f>I660/25</f>
        <v>1000</v>
      </c>
      <c r="BT660" s="578"/>
      <c r="BV660" s="578"/>
      <c r="CK660" s="428">
        <f t="shared" si="211"/>
        <v>1000</v>
      </c>
      <c r="CL660" s="428">
        <f t="shared" si="206"/>
        <v>0</v>
      </c>
      <c r="CM660" s="428">
        <f t="shared" si="207"/>
        <v>0</v>
      </c>
      <c r="CN660" s="578"/>
      <c r="CO660" s="578"/>
      <c r="CP660" s="578"/>
      <c r="CT660" s="578"/>
      <c r="CU660" s="578"/>
      <c r="CV660" s="578"/>
      <c r="CW660" s="578"/>
      <c r="CX660" s="578"/>
    </row>
    <row r="661" s="428" customFormat="1" ht="31" customHeight="1" spans="1:102">
      <c r="A661" s="547">
        <v>45911</v>
      </c>
      <c r="B661" s="548" t="s">
        <v>1419</v>
      </c>
      <c r="C661" s="539" t="s">
        <v>231</v>
      </c>
      <c r="D661" s="428">
        <v>4500179307</v>
      </c>
      <c r="E661" s="539" t="s">
        <v>4748</v>
      </c>
      <c r="F661" s="428" t="s">
        <v>4749</v>
      </c>
      <c r="G661" s="549" t="s">
        <v>3165</v>
      </c>
      <c r="H661" s="549" t="s">
        <v>3303</v>
      </c>
      <c r="I661" s="549">
        <v>5000</v>
      </c>
      <c r="J661" s="549">
        <v>0</v>
      </c>
      <c r="K661" s="549">
        <v>25</v>
      </c>
      <c r="L661" s="554">
        <f t="shared" si="200"/>
        <v>200</v>
      </c>
      <c r="M661" s="555">
        <v>45954</v>
      </c>
      <c r="N661" s="555">
        <v>45950</v>
      </c>
      <c r="O661" s="556"/>
      <c r="P661" s="556" t="s">
        <v>103</v>
      </c>
      <c r="Q661" s="549"/>
      <c r="R661" s="562">
        <v>45911</v>
      </c>
      <c r="S661" s="562" t="s">
        <v>66</v>
      </c>
      <c r="T661" s="562" t="s">
        <v>4688</v>
      </c>
      <c r="U661" s="562"/>
      <c r="V661" s="564" t="s">
        <v>4750</v>
      </c>
      <c r="W661" s="564" t="s">
        <v>1424</v>
      </c>
      <c r="X661" s="564">
        <v>0.9365</v>
      </c>
      <c r="Y661" s="513">
        <f t="shared" si="213"/>
        <v>4682.5</v>
      </c>
      <c r="Z661" s="549"/>
      <c r="AA661" s="549" t="s">
        <v>3188</v>
      </c>
      <c r="AB661" s="549" t="s">
        <v>76</v>
      </c>
      <c r="AC661" s="549"/>
      <c r="AD661" s="549"/>
      <c r="AE661" s="549"/>
      <c r="AF661" s="549">
        <v>5000</v>
      </c>
      <c r="AG661" s="549">
        <f t="shared" si="214"/>
        <v>0</v>
      </c>
      <c r="AH661" s="575"/>
      <c r="AI661" s="549"/>
      <c r="AJ661" s="549"/>
      <c r="AK661" s="549"/>
      <c r="AL661" s="568">
        <f>I661</f>
        <v>5000</v>
      </c>
      <c r="AR661" s="568"/>
      <c r="AS661" s="568">
        <f>I661</f>
        <v>5000</v>
      </c>
      <c r="AT661" s="578"/>
      <c r="AU661" s="568"/>
      <c r="AY661" s="576">
        <f>I661/24*2</f>
        <v>416.666666666667</v>
      </c>
      <c r="AZ661" s="577"/>
      <c r="BB661" s="428">
        <f>I661</f>
        <v>5000</v>
      </c>
      <c r="BL661" s="428">
        <f>I661/25</f>
        <v>200</v>
      </c>
      <c r="BT661" s="578"/>
      <c r="BV661" s="578"/>
      <c r="CK661" s="428">
        <f t="shared" si="211"/>
        <v>200</v>
      </c>
      <c r="CL661" s="428">
        <f t="shared" si="206"/>
        <v>0</v>
      </c>
      <c r="CM661" s="428">
        <f t="shared" si="207"/>
        <v>0</v>
      </c>
      <c r="CN661" s="578"/>
      <c r="CO661" s="578"/>
      <c r="CP661" s="578"/>
      <c r="CT661" s="578"/>
      <c r="CU661" s="578"/>
      <c r="CV661" s="578"/>
      <c r="CW661" s="578"/>
      <c r="CX661" s="578"/>
    </row>
    <row r="662" s="428" customFormat="1" ht="31" customHeight="1" spans="1:102">
      <c r="A662" s="547">
        <v>45912</v>
      </c>
      <c r="B662" s="548" t="s">
        <v>360</v>
      </c>
      <c r="C662" s="539" t="s">
        <v>249</v>
      </c>
      <c r="D662" s="428">
        <v>4500179432</v>
      </c>
      <c r="E662" s="539">
        <v>122991</v>
      </c>
      <c r="F662" s="428" t="s">
        <v>4751</v>
      </c>
      <c r="G662" s="549" t="s">
        <v>3143</v>
      </c>
      <c r="H662" s="549" t="s">
        <v>3144</v>
      </c>
      <c r="I662" s="549">
        <v>504</v>
      </c>
      <c r="J662" s="549">
        <v>0</v>
      </c>
      <c r="K662" s="549">
        <v>24</v>
      </c>
      <c r="L662" s="554">
        <f t="shared" si="200"/>
        <v>21</v>
      </c>
      <c r="M662" s="555">
        <v>45954</v>
      </c>
      <c r="N662" s="555">
        <v>45950</v>
      </c>
      <c r="O662" s="556"/>
      <c r="P662" s="556" t="s">
        <v>103</v>
      </c>
      <c r="Q662" s="549" t="s">
        <v>4752</v>
      </c>
      <c r="R662" s="562">
        <v>45912</v>
      </c>
      <c r="S662" s="562" t="s">
        <v>66</v>
      </c>
      <c r="T662" s="562" t="s">
        <v>2795</v>
      </c>
      <c r="U662" s="562"/>
      <c r="V662" s="564" t="s">
        <v>4753</v>
      </c>
      <c r="W662" s="564" t="s">
        <v>451</v>
      </c>
      <c r="X662" s="564">
        <v>0.901</v>
      </c>
      <c r="Y662" s="513">
        <f t="shared" si="213"/>
        <v>454.104</v>
      </c>
      <c r="Z662" s="549"/>
      <c r="AA662" s="549" t="s">
        <v>3143</v>
      </c>
      <c r="AB662" s="549" t="s">
        <v>76</v>
      </c>
      <c r="AC662" s="549"/>
      <c r="AD662" s="549"/>
      <c r="AE662" s="549"/>
      <c r="AF662" s="549">
        <v>504</v>
      </c>
      <c r="AG662" s="549">
        <f t="shared" si="214"/>
        <v>0</v>
      </c>
      <c r="AH662" s="575"/>
      <c r="AI662" s="549"/>
      <c r="AJ662" s="549"/>
      <c r="AK662" s="549"/>
      <c r="AL662" s="577">
        <f>I662</f>
        <v>504</v>
      </c>
      <c r="AQ662" s="428">
        <f>I662</f>
        <v>504</v>
      </c>
      <c r="AR662" s="568"/>
      <c r="AS662" s="428">
        <f>I662</f>
        <v>504</v>
      </c>
      <c r="AT662" s="578"/>
      <c r="AU662" s="568"/>
      <c r="AY662" s="428">
        <f>I662/24</f>
        <v>21</v>
      </c>
      <c r="AZ662" s="577"/>
      <c r="BT662" s="578"/>
      <c r="BV662" s="578"/>
      <c r="CK662" s="428">
        <f t="shared" si="211"/>
        <v>0</v>
      </c>
      <c r="CL662" s="428">
        <f t="shared" si="206"/>
        <v>0</v>
      </c>
      <c r="CM662" s="428">
        <f t="shared" si="207"/>
        <v>0</v>
      </c>
      <c r="CN662" s="578"/>
      <c r="CO662" s="578"/>
      <c r="CP662" s="578"/>
      <c r="CT662" s="578"/>
      <c r="CU662" s="578"/>
      <c r="CV662" s="578"/>
      <c r="CW662" s="578"/>
      <c r="CX662" s="578"/>
    </row>
    <row r="663" s="428" customFormat="1" ht="31" customHeight="1" spans="1:102">
      <c r="A663" s="547">
        <v>45916</v>
      </c>
      <c r="B663" s="548" t="s">
        <v>4754</v>
      </c>
      <c r="C663" s="539" t="s">
        <v>90</v>
      </c>
      <c r="D663" s="428">
        <v>4500179630</v>
      </c>
      <c r="E663" s="539" t="s">
        <v>4755</v>
      </c>
      <c r="F663" s="428" t="s">
        <v>4756</v>
      </c>
      <c r="G663" s="549" t="s">
        <v>3150</v>
      </c>
      <c r="H663" s="549" t="s">
        <v>3151</v>
      </c>
      <c r="I663" s="549">
        <v>832</v>
      </c>
      <c r="J663" s="549">
        <v>0</v>
      </c>
      <c r="K663" s="549">
        <v>52</v>
      </c>
      <c r="L663" s="554">
        <f t="shared" si="200"/>
        <v>16</v>
      </c>
      <c r="M663" s="555">
        <v>45954</v>
      </c>
      <c r="N663" s="555">
        <v>45950</v>
      </c>
      <c r="O663" s="556"/>
      <c r="P663" s="556" t="s">
        <v>103</v>
      </c>
      <c r="Q663" s="549"/>
      <c r="R663" s="562">
        <v>916</v>
      </c>
      <c r="S663" s="562" t="s">
        <v>66</v>
      </c>
      <c r="T663" s="562" t="s">
        <v>4757</v>
      </c>
      <c r="U663" s="562"/>
      <c r="V663" s="564" t="s">
        <v>4758</v>
      </c>
      <c r="W663" s="564" t="s">
        <v>734</v>
      </c>
      <c r="X663" s="567">
        <v>0.5567</v>
      </c>
      <c r="Y663" s="513">
        <f t="shared" si="213"/>
        <v>463.1744</v>
      </c>
      <c r="Z663" s="549" t="s">
        <v>4759</v>
      </c>
      <c r="AA663" s="549" t="s">
        <v>3150</v>
      </c>
      <c r="AB663" s="549" t="s">
        <v>76</v>
      </c>
      <c r="AC663" s="549"/>
      <c r="AD663" s="549"/>
      <c r="AE663" s="549"/>
      <c r="AF663" s="549">
        <v>832</v>
      </c>
      <c r="AG663" s="549">
        <f t="shared" si="214"/>
        <v>0</v>
      </c>
      <c r="AH663" s="575"/>
      <c r="AI663" s="549"/>
      <c r="AJ663" s="549"/>
      <c r="AK663" s="549">
        <f>I663</f>
        <v>832</v>
      </c>
      <c r="AL663" s="577"/>
      <c r="AM663" s="428">
        <f>I663</f>
        <v>832</v>
      </c>
      <c r="AR663" s="428">
        <f>I663</f>
        <v>832</v>
      </c>
      <c r="AT663" s="578"/>
      <c r="AU663" s="568"/>
      <c r="AY663" s="576">
        <f>I663/24</f>
        <v>34.6666666666667</v>
      </c>
      <c r="AZ663" s="577"/>
      <c r="BG663" s="428">
        <f>I663/13</f>
        <v>64</v>
      </c>
      <c r="BT663" s="578"/>
      <c r="BV663" s="578"/>
      <c r="CK663" s="428">
        <f t="shared" si="211"/>
        <v>0</v>
      </c>
      <c r="CL663" s="428">
        <f t="shared" si="206"/>
        <v>0</v>
      </c>
      <c r="CM663" s="428">
        <f t="shared" si="207"/>
        <v>0</v>
      </c>
      <c r="CN663" s="578"/>
      <c r="CO663" s="578"/>
      <c r="CP663" s="578"/>
      <c r="CT663" s="578"/>
      <c r="CU663" s="578"/>
      <c r="CV663" s="578"/>
      <c r="CW663" s="578"/>
      <c r="CX663" s="578"/>
    </row>
    <row r="664" s="428" customFormat="1" ht="31" customHeight="1" spans="1:102">
      <c r="A664" s="547">
        <v>45881</v>
      </c>
      <c r="B664" s="548"/>
      <c r="C664" s="539"/>
      <c r="D664" s="428" t="s">
        <v>4760</v>
      </c>
      <c r="E664" s="539"/>
      <c r="G664" s="549" t="s">
        <v>3138</v>
      </c>
      <c r="H664" s="549" t="s">
        <v>3139</v>
      </c>
      <c r="I664" s="549" t="s">
        <v>4761</v>
      </c>
      <c r="J664" s="549">
        <v>0</v>
      </c>
      <c r="K664" s="549">
        <v>24</v>
      </c>
      <c r="L664" s="554" t="e">
        <f t="shared" si="200"/>
        <v>#VALUE!</v>
      </c>
      <c r="M664" s="555">
        <v>45902</v>
      </c>
      <c r="N664" s="555">
        <f>M664-4</f>
        <v>45898</v>
      </c>
      <c r="O664" s="556"/>
      <c r="P664" s="556"/>
      <c r="Q664" s="549"/>
      <c r="R664" s="565">
        <v>45881</v>
      </c>
      <c r="S664" s="562"/>
      <c r="T664" s="562" t="s">
        <v>66</v>
      </c>
      <c r="U664" s="562"/>
      <c r="V664" s="564" t="s">
        <v>4762</v>
      </c>
      <c r="W664" s="564" t="s">
        <v>79</v>
      </c>
      <c r="X664" s="567"/>
      <c r="Y664" s="513"/>
      <c r="Z664" s="549" t="s">
        <v>4763</v>
      </c>
      <c r="AA664" s="549" t="s">
        <v>68</v>
      </c>
      <c r="AB664" s="549" t="s">
        <v>68</v>
      </c>
      <c r="AC664" s="549"/>
      <c r="AD664" s="549"/>
      <c r="AE664" s="549"/>
      <c r="AF664" s="549">
        <v>50</v>
      </c>
      <c r="AG664" s="549" t="e">
        <f t="shared" si="214"/>
        <v>#VALUE!</v>
      </c>
      <c r="AH664" s="575"/>
      <c r="AI664" s="549"/>
      <c r="AJ664" s="549"/>
      <c r="AK664" s="549"/>
      <c r="AL664" s="568"/>
      <c r="AR664" s="568"/>
      <c r="AS664" s="568"/>
      <c r="AT664" s="578"/>
      <c r="AU664" s="568"/>
      <c r="AW664" s="568"/>
      <c r="AX664" s="568"/>
      <c r="AY664" s="576"/>
      <c r="AZ664" s="577"/>
      <c r="BT664" s="578"/>
      <c r="BV664" s="578"/>
      <c r="CK664" s="428">
        <f t="shared" si="211"/>
        <v>0</v>
      </c>
      <c r="CL664" s="428">
        <f t="shared" si="206"/>
        <v>0</v>
      </c>
      <c r="CM664" s="428">
        <f t="shared" si="207"/>
        <v>0</v>
      </c>
      <c r="CN664" s="578"/>
      <c r="CO664" s="578"/>
      <c r="CP664" s="578"/>
      <c r="CT664" s="578"/>
      <c r="CU664" s="578"/>
      <c r="CV664" s="578"/>
      <c r="CW664" s="578"/>
      <c r="CX664" s="578"/>
    </row>
    <row r="665" s="428" customFormat="1" ht="31" customHeight="1" spans="1:102">
      <c r="A665" s="547">
        <v>45881</v>
      </c>
      <c r="B665" s="548"/>
      <c r="C665" s="539"/>
      <c r="D665" s="428" t="s">
        <v>4760</v>
      </c>
      <c r="E665" s="539"/>
      <c r="G665" s="549" t="s">
        <v>3143</v>
      </c>
      <c r="H665" s="549" t="s">
        <v>3144</v>
      </c>
      <c r="I665" s="549" t="s">
        <v>4761</v>
      </c>
      <c r="J665" s="549">
        <v>0</v>
      </c>
      <c r="K665" s="549">
        <v>24</v>
      </c>
      <c r="L665" s="554" t="e">
        <f t="shared" si="200"/>
        <v>#VALUE!</v>
      </c>
      <c r="M665" s="555">
        <v>45902</v>
      </c>
      <c r="N665" s="555">
        <f>M665-4</f>
        <v>45898</v>
      </c>
      <c r="O665" s="556"/>
      <c r="P665" s="556"/>
      <c r="Q665" s="549"/>
      <c r="R665" s="565">
        <v>45881</v>
      </c>
      <c r="S665" s="562" t="s">
        <v>66</v>
      </c>
      <c r="T665" s="562" t="s">
        <v>66</v>
      </c>
      <c r="U665" s="562"/>
      <c r="V665" s="564" t="s">
        <v>4764</v>
      </c>
      <c r="W665" s="564" t="s">
        <v>79</v>
      </c>
      <c r="X665" s="567"/>
      <c r="Y665" s="513"/>
      <c r="Z665" s="549" t="s">
        <v>4763</v>
      </c>
      <c r="AA665" s="549" t="s">
        <v>68</v>
      </c>
      <c r="AB665" s="549" t="s">
        <v>68</v>
      </c>
      <c r="AC665" s="549"/>
      <c r="AD665" s="549"/>
      <c r="AE665" s="549"/>
      <c r="AF665" s="549">
        <v>50</v>
      </c>
      <c r="AG665" s="549" t="e">
        <f t="shared" si="214"/>
        <v>#VALUE!</v>
      </c>
      <c r="AH665" s="575"/>
      <c r="AI665" s="549"/>
      <c r="AJ665" s="549"/>
      <c r="AK665" s="549"/>
      <c r="AL665" s="568"/>
      <c r="AR665" s="568"/>
      <c r="AS665" s="568"/>
      <c r="AT665" s="578"/>
      <c r="AU665" s="568"/>
      <c r="AW665" s="568"/>
      <c r="AX665" s="568"/>
      <c r="AY665" s="576"/>
      <c r="AZ665" s="577"/>
      <c r="BT665" s="578"/>
      <c r="BV665" s="578"/>
      <c r="CK665" s="428">
        <f t="shared" si="211"/>
        <v>0</v>
      </c>
      <c r="CL665" s="428">
        <f t="shared" si="206"/>
        <v>0</v>
      </c>
      <c r="CM665" s="428">
        <f t="shared" si="207"/>
        <v>0</v>
      </c>
      <c r="CN665" s="578"/>
      <c r="CO665" s="578"/>
      <c r="CP665" s="578"/>
      <c r="CT665" s="578"/>
      <c r="CU665" s="578"/>
      <c r="CV665" s="578"/>
      <c r="CW665" s="578"/>
      <c r="CX665" s="578"/>
    </row>
    <row r="666" s="428" customFormat="1" ht="31" customHeight="1" spans="1:102">
      <c r="A666" s="547">
        <v>45903</v>
      </c>
      <c r="B666" s="548"/>
      <c r="C666" s="539"/>
      <c r="D666" s="428" t="s">
        <v>4765</v>
      </c>
      <c r="E666" s="584"/>
      <c r="G666" s="549" t="s">
        <v>3138</v>
      </c>
      <c r="H666" s="549" t="s">
        <v>3139</v>
      </c>
      <c r="I666" s="549" t="s">
        <v>4766</v>
      </c>
      <c r="J666" s="549">
        <v>0</v>
      </c>
      <c r="K666" s="549">
        <v>24</v>
      </c>
      <c r="L666" s="554" t="e">
        <f t="shared" si="200"/>
        <v>#VALUE!</v>
      </c>
      <c r="M666" s="555">
        <v>45910</v>
      </c>
      <c r="N666" s="555">
        <v>45906</v>
      </c>
      <c r="O666" s="556"/>
      <c r="P666" s="556"/>
      <c r="Q666" s="549"/>
      <c r="R666" s="562">
        <v>45903</v>
      </c>
      <c r="S666" s="562" t="s">
        <v>66</v>
      </c>
      <c r="T666" s="562" t="s">
        <v>66</v>
      </c>
      <c r="U666" s="562"/>
      <c r="V666" s="564" t="s">
        <v>4767</v>
      </c>
      <c r="W666" s="564" t="s">
        <v>79</v>
      </c>
      <c r="X666" s="567"/>
      <c r="Y666" s="513"/>
      <c r="Z666" s="549" t="s">
        <v>4768</v>
      </c>
      <c r="AA666" s="549" t="s">
        <v>68</v>
      </c>
      <c r="AB666" s="549" t="s">
        <v>68</v>
      </c>
      <c r="AC666" s="549"/>
      <c r="AD666" s="549"/>
      <c r="AE666" s="549"/>
      <c r="AF666" s="549">
        <v>50</v>
      </c>
      <c r="AG666" s="549">
        <v>0</v>
      </c>
      <c r="AH666" s="575"/>
      <c r="AI666" s="549"/>
      <c r="AJ666" s="549"/>
      <c r="AK666" s="549"/>
      <c r="AL666" s="568"/>
      <c r="AO666" s="578"/>
      <c r="AR666" s="568"/>
      <c r="AS666" s="568"/>
      <c r="AT666" s="578"/>
      <c r="AU666" s="568"/>
      <c r="AW666" s="568"/>
      <c r="AX666" s="568"/>
      <c r="AY666" s="576"/>
      <c r="AZ666" s="577"/>
      <c r="BT666" s="578"/>
      <c r="BV666" s="578"/>
      <c r="CK666" s="428">
        <f t="shared" si="211"/>
        <v>0</v>
      </c>
      <c r="CL666" s="428">
        <f t="shared" si="206"/>
        <v>0</v>
      </c>
      <c r="CM666" s="428">
        <f t="shared" si="207"/>
        <v>0</v>
      </c>
      <c r="CN666" s="578"/>
      <c r="CO666" s="578"/>
      <c r="CP666" s="578"/>
      <c r="CT666" s="578"/>
      <c r="CU666" s="578"/>
      <c r="CV666" s="578"/>
      <c r="CW666" s="578"/>
      <c r="CX666" s="578"/>
    </row>
    <row r="667" s="428" customFormat="1" ht="31" customHeight="1" spans="1:102">
      <c r="A667" s="547">
        <v>45915</v>
      </c>
      <c r="B667" s="548"/>
      <c r="C667" s="539"/>
      <c r="D667" s="428" t="s">
        <v>1969</v>
      </c>
      <c r="E667" s="539"/>
      <c r="G667" s="549" t="s">
        <v>3459</v>
      </c>
      <c r="H667" s="549" t="s">
        <v>424</v>
      </c>
      <c r="I667" s="549">
        <v>60</v>
      </c>
      <c r="J667" s="549">
        <v>0</v>
      </c>
      <c r="K667" s="549">
        <v>6</v>
      </c>
      <c r="L667" s="554">
        <f t="shared" si="200"/>
        <v>10</v>
      </c>
      <c r="M667" s="555">
        <v>45929</v>
      </c>
      <c r="N667" s="555">
        <v>45925</v>
      </c>
      <c r="O667" s="556"/>
      <c r="P667" s="556"/>
      <c r="Q667" s="549"/>
      <c r="R667" s="562">
        <v>45915</v>
      </c>
      <c r="S667" s="562" t="s">
        <v>66</v>
      </c>
      <c r="T667" s="562" t="s">
        <v>66</v>
      </c>
      <c r="U667" s="562"/>
      <c r="V667" s="564" t="s">
        <v>425</v>
      </c>
      <c r="W667" s="564" t="s">
        <v>79</v>
      </c>
      <c r="X667" s="564"/>
      <c r="Y667" s="513"/>
      <c r="Z667" s="549"/>
      <c r="AA667" s="549" t="s">
        <v>427</v>
      </c>
      <c r="AB667" s="549" t="s">
        <v>76</v>
      </c>
      <c r="AC667" s="549"/>
      <c r="AD667" s="549"/>
      <c r="AE667" s="549"/>
      <c r="AF667" s="549"/>
      <c r="AG667" s="549">
        <f>AF667-I667</f>
        <v>-60</v>
      </c>
      <c r="AH667" s="575"/>
      <c r="AI667" s="549"/>
      <c r="AJ667" s="549"/>
      <c r="AK667" s="549"/>
      <c r="AL667" s="428">
        <f>I667*2</f>
        <v>120</v>
      </c>
      <c r="AO667" s="578"/>
      <c r="AQ667" s="428">
        <f>I667*2</f>
        <v>120</v>
      </c>
      <c r="AR667" s="568"/>
      <c r="AS667" s="428">
        <f>I667*2</f>
        <v>120</v>
      </c>
      <c r="AT667" s="578"/>
      <c r="AU667" s="568"/>
      <c r="AY667" s="576">
        <f>I667/24*2</f>
        <v>5</v>
      </c>
      <c r="AZ667" s="577"/>
      <c r="BT667" s="495"/>
      <c r="BU667" s="425">
        <f>I667</f>
        <v>60</v>
      </c>
      <c r="BV667" s="578"/>
      <c r="CK667" s="428">
        <f t="shared" si="211"/>
        <v>0</v>
      </c>
      <c r="CL667" s="428">
        <f t="shared" si="206"/>
        <v>0</v>
      </c>
      <c r="CM667" s="428">
        <f t="shared" si="207"/>
        <v>0</v>
      </c>
      <c r="CN667" s="578"/>
      <c r="CO667" s="578"/>
      <c r="CP667" s="578"/>
      <c r="CT667" s="578"/>
      <c r="CU667" s="578"/>
      <c r="CV667" s="578"/>
      <c r="CW667" s="578"/>
      <c r="CX667" s="578"/>
    </row>
    <row r="668" s="428" customFormat="1" ht="31" customHeight="1" spans="1:102">
      <c r="A668" s="547">
        <v>45925</v>
      </c>
      <c r="B668" s="548"/>
      <c r="C668" s="539"/>
      <c r="D668" s="428" t="s">
        <v>4769</v>
      </c>
      <c r="E668" s="539"/>
      <c r="G668" s="549" t="s">
        <v>3378</v>
      </c>
      <c r="H668" s="549" t="s">
        <v>3379</v>
      </c>
      <c r="I668" s="549">
        <v>50</v>
      </c>
      <c r="J668" s="549">
        <v>0</v>
      </c>
      <c r="K668" s="549">
        <v>50</v>
      </c>
      <c r="L668" s="554">
        <f t="shared" si="200"/>
        <v>1</v>
      </c>
      <c r="M668" s="555">
        <v>45929</v>
      </c>
      <c r="N668" s="555">
        <v>45925</v>
      </c>
      <c r="O668" s="556"/>
      <c r="P668" s="556"/>
      <c r="Q668" s="549"/>
      <c r="R668" s="562"/>
      <c r="S668" s="562"/>
      <c r="T668" s="562"/>
      <c r="U668" s="562"/>
      <c r="V668" s="564" t="s">
        <v>4770</v>
      </c>
      <c r="W668" s="564" t="s">
        <v>79</v>
      </c>
      <c r="X668" s="564"/>
      <c r="Y668" s="513"/>
      <c r="Z668" s="549"/>
      <c r="AA668" s="549" t="s">
        <v>3378</v>
      </c>
      <c r="AB668" s="549" t="s">
        <v>76</v>
      </c>
      <c r="AC668" s="549"/>
      <c r="AD668" s="549"/>
      <c r="AE668" s="549"/>
      <c r="AF668" s="549">
        <v>50</v>
      </c>
      <c r="AG668" s="549">
        <f>AF668-I668</f>
        <v>0</v>
      </c>
      <c r="AH668" s="575"/>
      <c r="AI668" s="549"/>
      <c r="AJ668" s="549"/>
      <c r="AK668" s="549"/>
      <c r="AL668" s="428">
        <f t="shared" ref="AL668:AL674" si="215">I668</f>
        <v>50</v>
      </c>
      <c r="AO668" s="578"/>
      <c r="AR668" s="568"/>
      <c r="AT668" s="578"/>
      <c r="AU668" s="568"/>
      <c r="AY668" s="581">
        <f>I668/24*2</f>
        <v>4.16666666666667</v>
      </c>
      <c r="AZ668" s="577"/>
      <c r="BQ668" s="428">
        <f>I668</f>
        <v>50</v>
      </c>
      <c r="BR668" s="428">
        <f>I668</f>
        <v>50</v>
      </c>
      <c r="BS668" s="425">
        <f>I668/25</f>
        <v>2</v>
      </c>
      <c r="BT668" s="578"/>
      <c r="BV668" s="578"/>
      <c r="CK668" s="428">
        <f t="shared" si="211"/>
        <v>2</v>
      </c>
      <c r="CL668" s="428">
        <f t="shared" si="206"/>
        <v>0</v>
      </c>
      <c r="CM668" s="428">
        <f t="shared" si="207"/>
        <v>0</v>
      </c>
      <c r="CN668" s="578"/>
      <c r="CO668" s="578"/>
      <c r="CP668" s="578"/>
      <c r="CT668" s="578"/>
      <c r="CU668" s="578"/>
      <c r="CV668" s="578"/>
      <c r="CW668" s="578"/>
      <c r="CX668" s="578"/>
    </row>
    <row r="669" s="428" customFormat="1" ht="31" customHeight="1" spans="1:102">
      <c r="A669" s="547">
        <v>45875</v>
      </c>
      <c r="B669" s="548" t="s">
        <v>4771</v>
      </c>
      <c r="C669" s="539"/>
      <c r="D669" s="428" t="s">
        <v>4772</v>
      </c>
      <c r="E669" s="539"/>
      <c r="G669" s="549" t="s">
        <v>3206</v>
      </c>
      <c r="H669" s="549" t="s">
        <v>3207</v>
      </c>
      <c r="I669" s="549">
        <v>4758</v>
      </c>
      <c r="J669" s="549">
        <v>0</v>
      </c>
      <c r="K669" s="549">
        <v>13</v>
      </c>
      <c r="L669" s="554">
        <f t="shared" si="200"/>
        <v>366</v>
      </c>
      <c r="M669" s="555">
        <v>45953</v>
      </c>
      <c r="N669" s="555">
        <v>45950</v>
      </c>
      <c r="O669" s="556"/>
      <c r="P669" s="556"/>
      <c r="Q669" s="549"/>
      <c r="R669" s="562" t="s">
        <v>4773</v>
      </c>
      <c r="S669" s="562" t="s">
        <v>66</v>
      </c>
      <c r="T669" s="562">
        <v>45903</v>
      </c>
      <c r="U669" s="562"/>
      <c r="V669" s="564" t="s">
        <v>4774</v>
      </c>
      <c r="W669" s="564" t="s">
        <v>4775</v>
      </c>
      <c r="X669" s="564">
        <v>0.87</v>
      </c>
      <c r="Y669" s="513">
        <f t="shared" ref="Y669:Y674" si="216">X669*I669</f>
        <v>4139.46</v>
      </c>
      <c r="Z669" s="549" t="s">
        <v>4776</v>
      </c>
      <c r="AA669" s="549" t="s">
        <v>3158</v>
      </c>
      <c r="AB669" s="549" t="s">
        <v>76</v>
      </c>
      <c r="AC669" s="549"/>
      <c r="AD669" s="549"/>
      <c r="AE669" s="549"/>
      <c r="AF669" s="549">
        <v>4758</v>
      </c>
      <c r="AG669" s="549">
        <f>AF669-I669</f>
        <v>0</v>
      </c>
      <c r="AH669" s="575"/>
      <c r="AI669" s="549"/>
      <c r="AJ669" s="549"/>
      <c r="AK669" s="549"/>
      <c r="AL669" s="428">
        <f t="shared" si="215"/>
        <v>4758</v>
      </c>
      <c r="AO669" s="578"/>
      <c r="AQ669" s="428">
        <f t="shared" ref="AQ669:AQ674" si="217">I669</f>
        <v>4758</v>
      </c>
      <c r="AR669" s="568"/>
      <c r="AS669" s="428">
        <f t="shared" ref="AS669:AS674" si="218">I669</f>
        <v>4758</v>
      </c>
      <c r="AT669" s="578"/>
      <c r="AU669" s="568"/>
      <c r="AY669" s="576">
        <f t="shared" ref="AY669:AY675" si="219">I669/24</f>
        <v>198.25</v>
      </c>
      <c r="AZ669" s="577"/>
      <c r="BI669" s="428">
        <f t="shared" ref="BI669:BI674" si="220">I669/13</f>
        <v>366</v>
      </c>
      <c r="BT669" s="578"/>
      <c r="BV669" s="578"/>
      <c r="CK669" s="428">
        <f t="shared" si="211"/>
        <v>0</v>
      </c>
      <c r="CL669" s="428">
        <f t="shared" si="206"/>
        <v>0</v>
      </c>
      <c r="CM669" s="428">
        <f t="shared" si="207"/>
        <v>0</v>
      </c>
      <c r="CN669" s="578"/>
      <c r="CO669" s="578"/>
      <c r="CP669" s="578"/>
      <c r="CT669" s="578"/>
      <c r="CU669" s="578"/>
      <c r="CV669" s="578"/>
      <c r="CW669" s="578"/>
      <c r="CX669" s="578"/>
    </row>
    <row r="670" s="428" customFormat="1" ht="31" customHeight="1" spans="1:102">
      <c r="A670" s="547">
        <v>45875</v>
      </c>
      <c r="B670" s="548" t="s">
        <v>4771</v>
      </c>
      <c r="C670" s="539"/>
      <c r="D670" s="428" t="s">
        <v>4772</v>
      </c>
      <c r="E670" s="539"/>
      <c r="G670" s="549" t="s">
        <v>3206</v>
      </c>
      <c r="H670" s="549" t="s">
        <v>3207</v>
      </c>
      <c r="I670" s="549">
        <v>2730</v>
      </c>
      <c r="J670" s="549">
        <v>0</v>
      </c>
      <c r="K670" s="549">
        <v>13</v>
      </c>
      <c r="L670" s="554">
        <f t="shared" si="200"/>
        <v>210</v>
      </c>
      <c r="M670" s="555">
        <v>45953</v>
      </c>
      <c r="N670" s="555">
        <v>45950</v>
      </c>
      <c r="O670" s="556"/>
      <c r="P670" s="556"/>
      <c r="Q670" s="565">
        <v>45956</v>
      </c>
      <c r="R670" s="562" t="s">
        <v>4773</v>
      </c>
      <c r="S670" s="562" t="s">
        <v>66</v>
      </c>
      <c r="T670" s="562">
        <v>45903</v>
      </c>
      <c r="U670" s="562"/>
      <c r="V670" s="564" t="s">
        <v>4774</v>
      </c>
      <c r="W670" s="564" t="s">
        <v>4775</v>
      </c>
      <c r="X670" s="564">
        <v>0.87</v>
      </c>
      <c r="Y670" s="513">
        <f t="shared" si="216"/>
        <v>2375.1</v>
      </c>
      <c r="Z670" s="549" t="s">
        <v>4776</v>
      </c>
      <c r="AA670" s="548" t="s">
        <v>3158</v>
      </c>
      <c r="AB670" s="549" t="s">
        <v>76</v>
      </c>
      <c r="AC670" s="549"/>
      <c r="AD670" s="549"/>
      <c r="AE670" s="549"/>
      <c r="AF670" s="549">
        <v>2730</v>
      </c>
      <c r="AG670" s="549">
        <f>AF670-I670</f>
        <v>0</v>
      </c>
      <c r="AH670" s="575"/>
      <c r="AI670" s="549"/>
      <c r="AJ670" s="549"/>
      <c r="AK670" s="549"/>
      <c r="AL670" s="568">
        <f t="shared" si="215"/>
        <v>2730</v>
      </c>
      <c r="AQ670" s="428">
        <f t="shared" si="217"/>
        <v>2730</v>
      </c>
      <c r="AR670" s="568"/>
      <c r="AS670" s="568">
        <f t="shared" si="218"/>
        <v>2730</v>
      </c>
      <c r="AT670" s="578"/>
      <c r="AU670" s="568"/>
      <c r="AY670" s="576">
        <f t="shared" si="219"/>
        <v>113.75</v>
      </c>
      <c r="AZ670" s="577"/>
      <c r="BI670" s="428">
        <f t="shared" si="220"/>
        <v>210</v>
      </c>
      <c r="BT670" s="578"/>
      <c r="BV670" s="578"/>
      <c r="CK670" s="428">
        <f t="shared" si="211"/>
        <v>0</v>
      </c>
      <c r="CL670" s="428">
        <f t="shared" si="206"/>
        <v>0</v>
      </c>
      <c r="CM670" s="428">
        <f t="shared" si="207"/>
        <v>0</v>
      </c>
      <c r="CN670" s="578"/>
      <c r="CO670" s="578"/>
      <c r="CP670" s="578"/>
      <c r="CT670" s="578"/>
      <c r="CU670" s="578"/>
      <c r="CV670" s="578"/>
      <c r="CW670" s="578"/>
      <c r="CX670" s="578"/>
    </row>
    <row r="671" s="428" customFormat="1" ht="31" customHeight="1" spans="1:102">
      <c r="A671" s="547">
        <v>45912</v>
      </c>
      <c r="B671" s="548" t="s">
        <v>125</v>
      </c>
      <c r="C671" s="539" t="s">
        <v>71</v>
      </c>
      <c r="D671" s="428">
        <v>4500179341</v>
      </c>
      <c r="E671" s="539">
        <v>21105442</v>
      </c>
      <c r="F671" s="428" t="s">
        <v>4777</v>
      </c>
      <c r="G671" s="549" t="s">
        <v>3206</v>
      </c>
      <c r="H671" s="549" t="s">
        <v>3207</v>
      </c>
      <c r="I671" s="549">
        <v>65</v>
      </c>
      <c r="J671" s="549">
        <v>0</v>
      </c>
      <c r="K671" s="549">
        <v>13</v>
      </c>
      <c r="L671" s="554">
        <f t="shared" si="200"/>
        <v>5</v>
      </c>
      <c r="M671" s="555">
        <v>45957</v>
      </c>
      <c r="N671" s="555">
        <v>45953</v>
      </c>
      <c r="O671" s="556"/>
      <c r="P671" s="556" t="s">
        <v>103</v>
      </c>
      <c r="Q671" s="549"/>
      <c r="R671" s="562">
        <v>45925</v>
      </c>
      <c r="S671" s="562" t="s">
        <v>96</v>
      </c>
      <c r="T671" s="562" t="s">
        <v>4778</v>
      </c>
      <c r="U671" s="562"/>
      <c r="V671" s="564" t="s">
        <v>3831</v>
      </c>
      <c r="W671" s="564" t="s">
        <v>121</v>
      </c>
      <c r="X671" s="564">
        <v>0.9526</v>
      </c>
      <c r="Y671" s="513">
        <f t="shared" si="216"/>
        <v>61.919</v>
      </c>
      <c r="Z671" s="549"/>
      <c r="AA671" s="549" t="s">
        <v>3206</v>
      </c>
      <c r="AB671" s="549" t="s">
        <v>76</v>
      </c>
      <c r="AC671" s="549"/>
      <c r="AD671" s="549"/>
      <c r="AE671" s="549"/>
      <c r="AF671" s="549">
        <v>65</v>
      </c>
      <c r="AG671" s="549">
        <f t="shared" ref="AG671:AG687" si="221">AF671-I671</f>
        <v>0</v>
      </c>
      <c r="AH671" s="575"/>
      <c r="AI671" s="549"/>
      <c r="AJ671" s="549"/>
      <c r="AK671" s="549"/>
      <c r="AL671" s="568">
        <f t="shared" si="215"/>
        <v>65</v>
      </c>
      <c r="AQ671" s="428">
        <f t="shared" si="217"/>
        <v>65</v>
      </c>
      <c r="AR671" s="568"/>
      <c r="AS671" s="568">
        <f t="shared" si="218"/>
        <v>65</v>
      </c>
      <c r="AT671" s="578"/>
      <c r="AU671" s="568"/>
      <c r="AY671" s="576">
        <f t="shared" si="219"/>
        <v>2.70833333333333</v>
      </c>
      <c r="AZ671" s="577"/>
      <c r="BI671" s="428">
        <f t="shared" si="220"/>
        <v>5</v>
      </c>
      <c r="BT671" s="578"/>
      <c r="BV671" s="578"/>
      <c r="CK671" s="428">
        <f t="shared" ref="CK671:CK734" si="222">BM671+BL671+BK671+BJ671+BS671</f>
        <v>0</v>
      </c>
      <c r="CL671" s="428">
        <f t="shared" si="206"/>
        <v>0</v>
      </c>
      <c r="CM671" s="428">
        <f t="shared" si="207"/>
        <v>0</v>
      </c>
      <c r="CN671" s="578"/>
      <c r="CO671" s="578"/>
      <c r="CP671" s="578"/>
      <c r="CT671" s="578"/>
      <c r="CU671" s="578"/>
      <c r="CV671" s="578"/>
      <c r="CW671" s="578"/>
      <c r="CX671" s="578"/>
    </row>
    <row r="672" s="428" customFormat="1" ht="31" customHeight="1" spans="1:102">
      <c r="A672" s="547">
        <v>45912</v>
      </c>
      <c r="B672" s="548" t="s">
        <v>125</v>
      </c>
      <c r="C672" s="539" t="s">
        <v>71</v>
      </c>
      <c r="D672" s="428">
        <v>4500179341</v>
      </c>
      <c r="E672" s="539">
        <v>21168763</v>
      </c>
      <c r="F672" s="428" t="s">
        <v>4779</v>
      </c>
      <c r="G672" s="549" t="s">
        <v>3206</v>
      </c>
      <c r="H672" s="549" t="s">
        <v>3207</v>
      </c>
      <c r="I672" s="549">
        <v>403</v>
      </c>
      <c r="J672" s="549">
        <v>0</v>
      </c>
      <c r="K672" s="549">
        <v>13</v>
      </c>
      <c r="L672" s="554">
        <f t="shared" si="200"/>
        <v>31</v>
      </c>
      <c r="M672" s="555">
        <v>45957</v>
      </c>
      <c r="N672" s="555">
        <v>45953</v>
      </c>
      <c r="O672" s="556"/>
      <c r="P672" s="556" t="s">
        <v>103</v>
      </c>
      <c r="Q672" s="549"/>
      <c r="R672" s="562">
        <v>45939</v>
      </c>
      <c r="S672" s="562" t="s">
        <v>96</v>
      </c>
      <c r="T672" s="562" t="s">
        <v>4778</v>
      </c>
      <c r="U672" s="562"/>
      <c r="V672" s="564" t="s">
        <v>3831</v>
      </c>
      <c r="W672" s="564" t="s">
        <v>121</v>
      </c>
      <c r="X672" s="564">
        <v>0.9526</v>
      </c>
      <c r="Y672" s="513">
        <f t="shared" si="216"/>
        <v>383.8978</v>
      </c>
      <c r="Z672" s="549"/>
      <c r="AA672" s="549" t="s">
        <v>3206</v>
      </c>
      <c r="AB672" s="549" t="s">
        <v>76</v>
      </c>
      <c r="AC672" s="549"/>
      <c r="AD672" s="549"/>
      <c r="AE672" s="549"/>
      <c r="AF672" s="549">
        <v>403</v>
      </c>
      <c r="AG672" s="549">
        <f t="shared" si="221"/>
        <v>0</v>
      </c>
      <c r="AH672" s="575"/>
      <c r="AI672" s="549"/>
      <c r="AJ672" s="549"/>
      <c r="AK672" s="549"/>
      <c r="AL672" s="568">
        <f t="shared" si="215"/>
        <v>403</v>
      </c>
      <c r="AQ672" s="428">
        <f t="shared" si="217"/>
        <v>403</v>
      </c>
      <c r="AR672" s="568"/>
      <c r="AS672" s="568">
        <f t="shared" si="218"/>
        <v>403</v>
      </c>
      <c r="AT672" s="578"/>
      <c r="AU672" s="568"/>
      <c r="AY672" s="576">
        <f t="shared" si="219"/>
        <v>16.7916666666667</v>
      </c>
      <c r="AZ672" s="577"/>
      <c r="BI672" s="428">
        <f t="shared" si="220"/>
        <v>31</v>
      </c>
      <c r="BT672" s="578"/>
      <c r="BV672" s="578"/>
      <c r="CK672" s="428">
        <f t="shared" si="222"/>
        <v>0</v>
      </c>
      <c r="CL672" s="428">
        <f t="shared" si="206"/>
        <v>0</v>
      </c>
      <c r="CM672" s="428">
        <f t="shared" si="207"/>
        <v>0</v>
      </c>
      <c r="CN672" s="578"/>
      <c r="CO672" s="578"/>
      <c r="CP672" s="578"/>
      <c r="CT672" s="578"/>
      <c r="CU672" s="578"/>
      <c r="CV672" s="578"/>
      <c r="CW672" s="578"/>
      <c r="CX672" s="578"/>
    </row>
    <row r="673" s="428" customFormat="1" ht="31" customHeight="1" spans="1:102">
      <c r="A673" s="547">
        <v>45912</v>
      </c>
      <c r="B673" s="548" t="s">
        <v>122</v>
      </c>
      <c r="C673" s="539" t="s">
        <v>116</v>
      </c>
      <c r="D673" s="428">
        <v>4500179340</v>
      </c>
      <c r="E673" s="539">
        <v>21105439</v>
      </c>
      <c r="F673" s="428" t="s">
        <v>4780</v>
      </c>
      <c r="G673" s="549" t="s">
        <v>3206</v>
      </c>
      <c r="H673" s="549" t="s">
        <v>3207</v>
      </c>
      <c r="I673" s="549">
        <v>1443</v>
      </c>
      <c r="J673" s="549">
        <v>0</v>
      </c>
      <c r="K673" s="549">
        <v>13</v>
      </c>
      <c r="L673" s="554">
        <f t="shared" si="200"/>
        <v>111</v>
      </c>
      <c r="M673" s="555">
        <v>45957</v>
      </c>
      <c r="N673" s="555">
        <v>45953</v>
      </c>
      <c r="O673" s="556"/>
      <c r="P673" s="556" t="s">
        <v>103</v>
      </c>
      <c r="Q673" s="549"/>
      <c r="R673" s="562">
        <v>45939</v>
      </c>
      <c r="S673" s="562" t="s">
        <v>96</v>
      </c>
      <c r="T673" s="562" t="s">
        <v>4778</v>
      </c>
      <c r="U673" s="562"/>
      <c r="V673" s="564" t="s">
        <v>3930</v>
      </c>
      <c r="W673" s="564" t="s">
        <v>121</v>
      </c>
      <c r="X673" s="564">
        <v>0.9475</v>
      </c>
      <c r="Y673" s="513">
        <f t="shared" si="216"/>
        <v>1367.2425</v>
      </c>
      <c r="Z673" s="549"/>
      <c r="AA673" s="549" t="s">
        <v>3206</v>
      </c>
      <c r="AB673" s="549" t="s">
        <v>76</v>
      </c>
      <c r="AC673" s="549"/>
      <c r="AD673" s="549"/>
      <c r="AE673" s="549"/>
      <c r="AF673" s="549">
        <v>1443</v>
      </c>
      <c r="AG673" s="549">
        <f t="shared" si="221"/>
        <v>0</v>
      </c>
      <c r="AH673" s="575"/>
      <c r="AI673" s="549"/>
      <c r="AJ673" s="549"/>
      <c r="AK673" s="549"/>
      <c r="AL673" s="568">
        <f t="shared" si="215"/>
        <v>1443</v>
      </c>
      <c r="AQ673" s="428">
        <f t="shared" si="217"/>
        <v>1443</v>
      </c>
      <c r="AR673" s="568"/>
      <c r="AS673" s="568">
        <f t="shared" si="218"/>
        <v>1443</v>
      </c>
      <c r="AT673" s="578"/>
      <c r="AU673" s="568"/>
      <c r="AY673" s="576">
        <f t="shared" si="219"/>
        <v>60.125</v>
      </c>
      <c r="AZ673" s="577"/>
      <c r="BI673" s="428">
        <f t="shared" si="220"/>
        <v>111</v>
      </c>
      <c r="BT673" s="578"/>
      <c r="BV673" s="578"/>
      <c r="CK673" s="428">
        <f t="shared" si="222"/>
        <v>0</v>
      </c>
      <c r="CL673" s="428">
        <f t="shared" si="206"/>
        <v>0</v>
      </c>
      <c r="CM673" s="428">
        <f t="shared" si="207"/>
        <v>0</v>
      </c>
      <c r="CN673" s="578"/>
      <c r="CO673" s="578"/>
      <c r="CP673" s="578"/>
      <c r="CT673" s="578"/>
      <c r="CU673" s="578"/>
      <c r="CV673" s="578"/>
      <c r="CW673" s="578"/>
      <c r="CX673" s="578"/>
    </row>
    <row r="674" s="428" customFormat="1" ht="31" customHeight="1" spans="1:102">
      <c r="A674" s="547">
        <v>45912</v>
      </c>
      <c r="B674" s="548" t="s">
        <v>122</v>
      </c>
      <c r="C674" s="539" t="s">
        <v>116</v>
      </c>
      <c r="D674" s="428">
        <v>4500179340</v>
      </c>
      <c r="E674" s="539">
        <v>21168762</v>
      </c>
      <c r="F674" s="428" t="s">
        <v>4781</v>
      </c>
      <c r="G674" s="549" t="s">
        <v>3206</v>
      </c>
      <c r="H674" s="549" t="s">
        <v>3207</v>
      </c>
      <c r="I674" s="549">
        <v>5408</v>
      </c>
      <c r="J674" s="549">
        <v>0</v>
      </c>
      <c r="K674" s="549">
        <v>13</v>
      </c>
      <c r="L674" s="554">
        <f t="shared" si="200"/>
        <v>416</v>
      </c>
      <c r="M674" s="555">
        <v>45957</v>
      </c>
      <c r="N674" s="555">
        <v>45953</v>
      </c>
      <c r="O674" s="556"/>
      <c r="P674" s="556" t="s">
        <v>103</v>
      </c>
      <c r="Q674" s="549"/>
      <c r="R674" s="562">
        <v>45939</v>
      </c>
      <c r="S674" s="562" t="s">
        <v>96</v>
      </c>
      <c r="T674" s="562" t="s">
        <v>4778</v>
      </c>
      <c r="U674" s="562"/>
      <c r="V674" s="564" t="s">
        <v>3930</v>
      </c>
      <c r="W674" s="564" t="s">
        <v>121</v>
      </c>
      <c r="X674" s="564">
        <v>0.9423</v>
      </c>
      <c r="Y674" s="513">
        <f t="shared" si="216"/>
        <v>5095.9584</v>
      </c>
      <c r="Z674" s="549"/>
      <c r="AA674" s="549" t="s">
        <v>3206</v>
      </c>
      <c r="AB674" s="549" t="s">
        <v>76</v>
      </c>
      <c r="AC674" s="549"/>
      <c r="AD674" s="549"/>
      <c r="AE674" s="549"/>
      <c r="AF674" s="549">
        <v>5408</v>
      </c>
      <c r="AG674" s="549">
        <f t="shared" si="221"/>
        <v>0</v>
      </c>
      <c r="AH674" s="575"/>
      <c r="AI674" s="549"/>
      <c r="AJ674" s="549"/>
      <c r="AK674" s="549"/>
      <c r="AL674" s="568">
        <f t="shared" si="215"/>
        <v>5408</v>
      </c>
      <c r="AQ674" s="428">
        <f t="shared" si="217"/>
        <v>5408</v>
      </c>
      <c r="AR674" s="568"/>
      <c r="AS674" s="568">
        <f t="shared" si="218"/>
        <v>5408</v>
      </c>
      <c r="AT674" s="578"/>
      <c r="AU674" s="568"/>
      <c r="AY674" s="576">
        <f t="shared" si="219"/>
        <v>225.333333333333</v>
      </c>
      <c r="AZ674" s="577"/>
      <c r="BI674" s="428">
        <f t="shared" si="220"/>
        <v>416</v>
      </c>
      <c r="BT674" s="578"/>
      <c r="BV674" s="578"/>
      <c r="CK674" s="428">
        <f t="shared" si="222"/>
        <v>0</v>
      </c>
      <c r="CL674" s="428">
        <f t="shared" si="206"/>
        <v>0</v>
      </c>
      <c r="CM674" s="428">
        <f t="shared" si="207"/>
        <v>0</v>
      </c>
      <c r="CN674" s="578"/>
      <c r="CO674" s="578"/>
      <c r="CP674" s="578"/>
      <c r="CT674" s="578"/>
      <c r="CU674" s="578"/>
      <c r="CV674" s="578"/>
      <c r="CW674" s="578"/>
      <c r="CX674" s="578"/>
    </row>
    <row r="675" s="428" customFormat="1" ht="31" customHeight="1" spans="1:102">
      <c r="A675" s="547">
        <v>45898</v>
      </c>
      <c r="B675" s="548" t="s">
        <v>275</v>
      </c>
      <c r="C675" s="539" t="s">
        <v>90</v>
      </c>
      <c r="D675" s="428">
        <v>4500178273</v>
      </c>
      <c r="E675" s="887" t="s">
        <v>1885</v>
      </c>
      <c r="F675" s="428" t="s">
        <v>4782</v>
      </c>
      <c r="G675" s="549" t="s">
        <v>3150</v>
      </c>
      <c r="H675" s="549" t="s">
        <v>3151</v>
      </c>
      <c r="I675" s="549">
        <v>13572</v>
      </c>
      <c r="J675" s="549">
        <v>0</v>
      </c>
      <c r="K675" s="549">
        <v>52</v>
      </c>
      <c r="L675" s="554">
        <f t="shared" ref="L675:L701" si="223">I675/K675</f>
        <v>261</v>
      </c>
      <c r="M675" s="555">
        <v>45958</v>
      </c>
      <c r="N675" s="555">
        <v>45954</v>
      </c>
      <c r="O675" s="556"/>
      <c r="P675" s="556" t="s">
        <v>103</v>
      </c>
      <c r="Q675" s="549" t="s">
        <v>1887</v>
      </c>
      <c r="R675" s="562">
        <v>45901</v>
      </c>
      <c r="S675" s="562" t="s">
        <v>66</v>
      </c>
      <c r="T675" s="562" t="s">
        <v>66</v>
      </c>
      <c r="U675" s="562"/>
      <c r="V675" s="564" t="s">
        <v>1888</v>
      </c>
      <c r="W675" s="564" t="s">
        <v>794</v>
      </c>
      <c r="X675" s="567">
        <v>0.5459</v>
      </c>
      <c r="Y675" s="513">
        <f t="shared" ref="Y675:Y685" si="224">X675*I675</f>
        <v>7408.9548</v>
      </c>
      <c r="Z675" s="549" t="s">
        <v>1889</v>
      </c>
      <c r="AA675" s="549" t="s">
        <v>3150</v>
      </c>
      <c r="AB675" s="549" t="s">
        <v>76</v>
      </c>
      <c r="AC675" s="549"/>
      <c r="AD675" s="549"/>
      <c r="AE675" s="549"/>
      <c r="AF675" s="549">
        <v>13572</v>
      </c>
      <c r="AG675" s="549">
        <f t="shared" si="221"/>
        <v>0</v>
      </c>
      <c r="AH675" s="575"/>
      <c r="AI675" s="549"/>
      <c r="AJ675" s="549"/>
      <c r="AK675" s="549">
        <f>I675</f>
        <v>13572</v>
      </c>
      <c r="AL675" s="568"/>
      <c r="AM675" s="428">
        <f>I675</f>
        <v>13572</v>
      </c>
      <c r="AR675" s="552">
        <f>I675</f>
        <v>13572</v>
      </c>
      <c r="AT675" s="578"/>
      <c r="AU675" s="568"/>
      <c r="AY675" s="576">
        <f t="shared" si="219"/>
        <v>565.5</v>
      </c>
      <c r="AZ675" s="577"/>
      <c r="BG675" s="428">
        <f>I675/13</f>
        <v>1044</v>
      </c>
      <c r="BT675" s="578"/>
      <c r="BV675" s="578"/>
      <c r="CK675" s="428">
        <f t="shared" si="222"/>
        <v>0</v>
      </c>
      <c r="CL675" s="428">
        <f t="shared" si="206"/>
        <v>0</v>
      </c>
      <c r="CM675" s="428">
        <f t="shared" si="207"/>
        <v>0</v>
      </c>
      <c r="CN675" s="578"/>
      <c r="CO675" s="578"/>
      <c r="CP675" s="578"/>
      <c r="CT675" s="578"/>
      <c r="CU675" s="578"/>
      <c r="CV675" s="578"/>
      <c r="CW675" s="578"/>
      <c r="CX675" s="578"/>
    </row>
    <row r="676" s="428" customFormat="1" ht="31" customHeight="1" spans="1:102">
      <c r="A676" s="547">
        <v>45912</v>
      </c>
      <c r="B676" s="548" t="s">
        <v>128</v>
      </c>
      <c r="C676" s="539" t="s">
        <v>90</v>
      </c>
      <c r="D676" s="428">
        <v>4500179405</v>
      </c>
      <c r="E676" s="887" t="s">
        <v>4783</v>
      </c>
      <c r="F676" s="428" t="s">
        <v>4784</v>
      </c>
      <c r="G676" s="549" t="s">
        <v>3180</v>
      </c>
      <c r="H676" s="549" t="s">
        <v>3181</v>
      </c>
      <c r="I676" s="549">
        <v>15360</v>
      </c>
      <c r="J676" s="549">
        <v>0</v>
      </c>
      <c r="K676" s="549">
        <v>16</v>
      </c>
      <c r="L676" s="554">
        <f t="shared" si="223"/>
        <v>960</v>
      </c>
      <c r="M676" s="558">
        <v>45945</v>
      </c>
      <c r="N676" s="555">
        <v>45943</v>
      </c>
      <c r="O676" s="565" t="s">
        <v>4785</v>
      </c>
      <c r="P676" s="556" t="s">
        <v>103</v>
      </c>
      <c r="Q676" s="549" t="s">
        <v>1694</v>
      </c>
      <c r="R676" s="562" t="s">
        <v>4194</v>
      </c>
      <c r="S676" s="562" t="s">
        <v>66</v>
      </c>
      <c r="T676" s="562" t="s">
        <v>133</v>
      </c>
      <c r="U676" s="562"/>
      <c r="V676" s="564" t="s">
        <v>4195</v>
      </c>
      <c r="W676" s="564" t="s">
        <v>98</v>
      </c>
      <c r="X676" s="564">
        <v>0.5905</v>
      </c>
      <c r="Y676" s="513">
        <f t="shared" si="224"/>
        <v>9070.08</v>
      </c>
      <c r="Z676" s="549" t="s">
        <v>4786</v>
      </c>
      <c r="AA676" s="549" t="s">
        <v>3180</v>
      </c>
      <c r="AB676" s="549" t="s">
        <v>76</v>
      </c>
      <c r="AC676" s="549"/>
      <c r="AD676" s="549"/>
      <c r="AE676" s="549"/>
      <c r="AF676" s="549">
        <f>160+15200</f>
        <v>15360</v>
      </c>
      <c r="AG676" s="549">
        <f t="shared" ref="AG676:AG714" si="225">AF676-I676</f>
        <v>0</v>
      </c>
      <c r="AH676" s="575"/>
      <c r="AI676" s="549"/>
      <c r="AJ676" s="549"/>
      <c r="AK676" s="549">
        <f>I676</f>
        <v>15360</v>
      </c>
      <c r="AL676" s="568"/>
      <c r="AM676" s="428">
        <f>I676</f>
        <v>15360</v>
      </c>
      <c r="AR676" s="428">
        <f>I676</f>
        <v>15360</v>
      </c>
      <c r="AS676" s="568"/>
      <c r="AT676" s="578"/>
      <c r="AU676" s="568"/>
      <c r="AY676" s="576">
        <f t="shared" ref="AY676:AY690" si="226">I676/24</f>
        <v>640</v>
      </c>
      <c r="AZ676" s="577"/>
      <c r="BM676" s="428">
        <f>I676/16</f>
        <v>960</v>
      </c>
      <c r="BT676" s="578"/>
      <c r="BV676" s="578"/>
      <c r="CK676" s="428">
        <f t="shared" si="222"/>
        <v>960</v>
      </c>
      <c r="CL676" s="428">
        <f t="shared" ref="CL676:CL739" si="227">CA676+CB676+CC676+CD676+CE676+CG676+CF676</f>
        <v>0</v>
      </c>
      <c r="CM676" s="428">
        <f t="shared" ref="CM676:CM739" si="228">BY676+BZ676</f>
        <v>0</v>
      </c>
      <c r="CN676" s="578"/>
      <c r="CO676" s="578"/>
      <c r="CP676" s="578"/>
      <c r="CT676" s="578"/>
      <c r="CU676" s="578"/>
      <c r="CV676" s="578"/>
      <c r="CW676" s="578"/>
      <c r="CX676" s="578"/>
    </row>
    <row r="677" s="428" customFormat="1" ht="31" customHeight="1" spans="1:102">
      <c r="A677" s="547">
        <v>45912</v>
      </c>
      <c r="B677" s="548" t="s">
        <v>128</v>
      </c>
      <c r="C677" s="539" t="s">
        <v>90</v>
      </c>
      <c r="D677" s="428">
        <v>4500179405</v>
      </c>
      <c r="E677" s="887" t="s">
        <v>4787</v>
      </c>
      <c r="F677" s="428" t="s">
        <v>4788</v>
      </c>
      <c r="G677" s="549" t="s">
        <v>3180</v>
      </c>
      <c r="H677" s="549" t="s">
        <v>3181</v>
      </c>
      <c r="I677" s="549">
        <v>13440</v>
      </c>
      <c r="J677" s="549">
        <v>0</v>
      </c>
      <c r="K677" s="549">
        <v>16</v>
      </c>
      <c r="L677" s="554">
        <f t="shared" si="223"/>
        <v>840</v>
      </c>
      <c r="M677" s="558">
        <v>45945</v>
      </c>
      <c r="N677" s="555">
        <v>45943</v>
      </c>
      <c r="O677" s="565" t="s">
        <v>4785</v>
      </c>
      <c r="P677" s="556" t="s">
        <v>103</v>
      </c>
      <c r="Q677" s="549" t="s">
        <v>1694</v>
      </c>
      <c r="R677" s="562" t="s">
        <v>4194</v>
      </c>
      <c r="S677" s="562" t="s">
        <v>66</v>
      </c>
      <c r="T677" s="562" t="s">
        <v>133</v>
      </c>
      <c r="U677" s="562"/>
      <c r="V677" s="564" t="s">
        <v>4195</v>
      </c>
      <c r="W677" s="564" t="s">
        <v>98</v>
      </c>
      <c r="X677" s="564">
        <v>0.5905</v>
      </c>
      <c r="Y677" s="513">
        <f t="shared" si="224"/>
        <v>7936.32</v>
      </c>
      <c r="Z677" s="549" t="s">
        <v>4789</v>
      </c>
      <c r="AA677" s="549" t="s">
        <v>3180</v>
      </c>
      <c r="AB677" s="549" t="s">
        <v>76</v>
      </c>
      <c r="AC677" s="549"/>
      <c r="AD677" s="549"/>
      <c r="AE677" s="549"/>
      <c r="AF677" s="549">
        <v>13440</v>
      </c>
      <c r="AG677" s="549">
        <f t="shared" si="225"/>
        <v>0</v>
      </c>
      <c r="AH677" s="575"/>
      <c r="AI677" s="549"/>
      <c r="AJ677" s="549"/>
      <c r="AK677" s="549">
        <f>I677</f>
        <v>13440</v>
      </c>
      <c r="AL677" s="568"/>
      <c r="AM677" s="428">
        <f>I677</f>
        <v>13440</v>
      </c>
      <c r="AR677" s="428">
        <f>I677</f>
        <v>13440</v>
      </c>
      <c r="AS677" s="568"/>
      <c r="AT677" s="578"/>
      <c r="AU677" s="568"/>
      <c r="AY677" s="576">
        <f t="shared" si="226"/>
        <v>560</v>
      </c>
      <c r="AZ677" s="577"/>
      <c r="BM677" s="428">
        <f>I677/16</f>
        <v>840</v>
      </c>
      <c r="BT677" s="578"/>
      <c r="BV677" s="578"/>
      <c r="CK677" s="428">
        <f t="shared" si="222"/>
        <v>840</v>
      </c>
      <c r="CL677" s="428">
        <f t="shared" si="227"/>
        <v>0</v>
      </c>
      <c r="CM677" s="428">
        <f t="shared" si="228"/>
        <v>0</v>
      </c>
      <c r="CN677" s="578"/>
      <c r="CO677" s="578"/>
      <c r="CP677" s="578"/>
      <c r="CT677" s="578"/>
      <c r="CU677" s="578"/>
      <c r="CV677" s="578"/>
      <c r="CW677" s="578"/>
      <c r="CX677" s="578"/>
    </row>
    <row r="678" s="428" customFormat="1" ht="31" customHeight="1" spans="1:102">
      <c r="A678" s="547">
        <v>45912</v>
      </c>
      <c r="B678" s="548" t="s">
        <v>128</v>
      </c>
      <c r="C678" s="539" t="s">
        <v>90</v>
      </c>
      <c r="D678" s="428">
        <v>4500179405</v>
      </c>
      <c r="E678" s="887" t="s">
        <v>4790</v>
      </c>
      <c r="F678" s="428" t="s">
        <v>4791</v>
      </c>
      <c r="G678" s="549" t="s">
        <v>3180</v>
      </c>
      <c r="H678" s="549" t="s">
        <v>3181</v>
      </c>
      <c r="I678" s="549">
        <v>24000</v>
      </c>
      <c r="J678" s="549">
        <v>0</v>
      </c>
      <c r="K678" s="549">
        <v>16</v>
      </c>
      <c r="L678" s="554">
        <f t="shared" si="223"/>
        <v>1500</v>
      </c>
      <c r="M678" s="558">
        <v>45945</v>
      </c>
      <c r="N678" s="555">
        <v>45943</v>
      </c>
      <c r="O678" s="565" t="s">
        <v>4785</v>
      </c>
      <c r="P678" s="556" t="s">
        <v>103</v>
      </c>
      <c r="Q678" s="549" t="s">
        <v>1694</v>
      </c>
      <c r="R678" s="562" t="s">
        <v>4194</v>
      </c>
      <c r="S678" s="562" t="s">
        <v>66</v>
      </c>
      <c r="T678" s="562" t="s">
        <v>133</v>
      </c>
      <c r="U678" s="562"/>
      <c r="V678" s="564" t="s">
        <v>4195</v>
      </c>
      <c r="W678" s="564" t="s">
        <v>98</v>
      </c>
      <c r="X678" s="564">
        <v>0.5837</v>
      </c>
      <c r="Y678" s="513">
        <f t="shared" si="224"/>
        <v>14008.8</v>
      </c>
      <c r="Z678" s="549" t="s">
        <v>4792</v>
      </c>
      <c r="AA678" s="549" t="s">
        <v>3180</v>
      </c>
      <c r="AB678" s="549" t="s">
        <v>76</v>
      </c>
      <c r="AC678" s="549"/>
      <c r="AD678" s="549"/>
      <c r="AE678" s="549"/>
      <c r="AF678" s="549">
        <v>24000</v>
      </c>
      <c r="AG678" s="549">
        <f t="shared" si="225"/>
        <v>0</v>
      </c>
      <c r="AH678" s="575"/>
      <c r="AI678" s="549"/>
      <c r="AJ678" s="549"/>
      <c r="AK678" s="549">
        <f>I678</f>
        <v>24000</v>
      </c>
      <c r="AL678" s="568"/>
      <c r="AM678" s="428">
        <f>I678</f>
        <v>24000</v>
      </c>
      <c r="AR678" s="428">
        <f>I678</f>
        <v>24000</v>
      </c>
      <c r="AS678" s="568"/>
      <c r="AT678" s="578"/>
      <c r="AU678" s="568"/>
      <c r="AY678" s="576">
        <f t="shared" si="226"/>
        <v>1000</v>
      </c>
      <c r="AZ678" s="577"/>
      <c r="BM678" s="428">
        <f>I678/16</f>
        <v>1500</v>
      </c>
      <c r="BT678" s="578"/>
      <c r="BV678" s="578"/>
      <c r="CK678" s="428">
        <f t="shared" si="222"/>
        <v>1500</v>
      </c>
      <c r="CL678" s="428">
        <f t="shared" si="227"/>
        <v>0</v>
      </c>
      <c r="CM678" s="428">
        <f t="shared" si="228"/>
        <v>0</v>
      </c>
      <c r="CN678" s="578"/>
      <c r="CO678" s="578"/>
      <c r="CP678" s="578"/>
      <c r="CT678" s="578"/>
      <c r="CU678" s="578"/>
      <c r="CV678" s="578"/>
      <c r="CW678" s="578"/>
      <c r="CX678" s="578"/>
    </row>
    <row r="679" s="428" customFormat="1" ht="31" customHeight="1" spans="1:102">
      <c r="A679" s="547">
        <v>45912</v>
      </c>
      <c r="B679" s="548" t="s">
        <v>128</v>
      </c>
      <c r="C679" s="539" t="s">
        <v>90</v>
      </c>
      <c r="D679" s="428">
        <v>4500179405</v>
      </c>
      <c r="E679" s="887" t="s">
        <v>4793</v>
      </c>
      <c r="F679" s="428" t="s">
        <v>4794</v>
      </c>
      <c r="G679" s="549" t="s">
        <v>3180</v>
      </c>
      <c r="H679" s="549" t="s">
        <v>3181</v>
      </c>
      <c r="I679" s="549">
        <v>10560</v>
      </c>
      <c r="J679" s="549">
        <v>0</v>
      </c>
      <c r="K679" s="549">
        <v>16</v>
      </c>
      <c r="L679" s="554">
        <f t="shared" si="223"/>
        <v>660</v>
      </c>
      <c r="M679" s="558">
        <v>45945</v>
      </c>
      <c r="N679" s="555">
        <v>45943</v>
      </c>
      <c r="O679" s="565" t="s">
        <v>4785</v>
      </c>
      <c r="P679" s="556" t="s">
        <v>103</v>
      </c>
      <c r="Q679" s="549" t="s">
        <v>1694</v>
      </c>
      <c r="R679" s="562" t="s">
        <v>4194</v>
      </c>
      <c r="S679" s="562" t="s">
        <v>66</v>
      </c>
      <c r="T679" s="562" t="s">
        <v>133</v>
      </c>
      <c r="U679" s="562"/>
      <c r="V679" s="564" t="s">
        <v>4195</v>
      </c>
      <c r="W679" s="564" t="s">
        <v>98</v>
      </c>
      <c r="X679" s="564">
        <v>0.5905</v>
      </c>
      <c r="Y679" s="513">
        <f t="shared" si="224"/>
        <v>6235.68</v>
      </c>
      <c r="Z679" s="549" t="s">
        <v>4795</v>
      </c>
      <c r="AA679" s="549" t="s">
        <v>3180</v>
      </c>
      <c r="AB679" s="549" t="s">
        <v>76</v>
      </c>
      <c r="AC679" s="549"/>
      <c r="AD679" s="549"/>
      <c r="AE679" s="549"/>
      <c r="AF679" s="549">
        <v>10560</v>
      </c>
      <c r="AG679" s="549">
        <f t="shared" si="225"/>
        <v>0</v>
      </c>
      <c r="AH679" s="575"/>
      <c r="AI679" s="549"/>
      <c r="AJ679" s="549"/>
      <c r="AK679" s="549">
        <f>I679</f>
        <v>10560</v>
      </c>
      <c r="AL679" s="568"/>
      <c r="AM679" s="428">
        <f>I679</f>
        <v>10560</v>
      </c>
      <c r="AR679" s="428">
        <f>I679</f>
        <v>10560</v>
      </c>
      <c r="AS679" s="568"/>
      <c r="AT679" s="578"/>
      <c r="AU679" s="568"/>
      <c r="AY679" s="576">
        <f t="shared" si="226"/>
        <v>440</v>
      </c>
      <c r="AZ679" s="577"/>
      <c r="BM679" s="428">
        <f>I679/16</f>
        <v>660</v>
      </c>
      <c r="BT679" s="578"/>
      <c r="BV679" s="578"/>
      <c r="CK679" s="428">
        <f t="shared" si="222"/>
        <v>660</v>
      </c>
      <c r="CL679" s="428">
        <f t="shared" si="227"/>
        <v>0</v>
      </c>
      <c r="CM679" s="428">
        <f t="shared" si="228"/>
        <v>0</v>
      </c>
      <c r="CN679" s="578"/>
      <c r="CO679" s="578"/>
      <c r="CP679" s="578"/>
      <c r="CT679" s="578"/>
      <c r="CU679" s="578"/>
      <c r="CV679" s="578"/>
      <c r="CW679" s="578"/>
      <c r="CX679" s="578"/>
    </row>
    <row r="680" s="428" customFormat="1" ht="31" customHeight="1" spans="1:102">
      <c r="A680" s="547">
        <v>45881</v>
      </c>
      <c r="B680" s="548" t="s">
        <v>489</v>
      </c>
      <c r="C680" s="539" t="s">
        <v>249</v>
      </c>
      <c r="D680" s="428">
        <v>4500176637</v>
      </c>
      <c r="E680" s="539" t="s">
        <v>1832</v>
      </c>
      <c r="F680" s="428" t="s">
        <v>1833</v>
      </c>
      <c r="G680" s="549" t="s">
        <v>3436</v>
      </c>
      <c r="H680" s="549" t="s">
        <v>424</v>
      </c>
      <c r="I680" s="559">
        <v>1182</v>
      </c>
      <c r="J680" s="549">
        <v>0</v>
      </c>
      <c r="K680" s="549">
        <v>6</v>
      </c>
      <c r="L680" s="554">
        <f t="shared" si="223"/>
        <v>197</v>
      </c>
      <c r="M680" s="555">
        <v>45946</v>
      </c>
      <c r="N680" s="555">
        <v>45943</v>
      </c>
      <c r="O680" s="556"/>
      <c r="P680" s="556" t="s">
        <v>103</v>
      </c>
      <c r="Q680" s="549" t="s">
        <v>4796</v>
      </c>
      <c r="R680" s="562" t="s">
        <v>411</v>
      </c>
      <c r="S680" s="562" t="s">
        <v>96</v>
      </c>
      <c r="T680" s="562">
        <v>45904</v>
      </c>
      <c r="U680" s="562" t="s">
        <v>4797</v>
      </c>
      <c r="V680" s="566" t="s">
        <v>1835</v>
      </c>
      <c r="W680" s="564" t="s">
        <v>414</v>
      </c>
      <c r="X680" s="564">
        <v>6.8326</v>
      </c>
      <c r="Y680" s="513">
        <f t="shared" ref="Y680:Y696" si="229">X680*I680</f>
        <v>8076.1332</v>
      </c>
      <c r="Z680" s="549"/>
      <c r="AA680" s="548" t="s">
        <v>4685</v>
      </c>
      <c r="AB680" s="549" t="s">
        <v>76</v>
      </c>
      <c r="AC680" s="549"/>
      <c r="AD680" s="549"/>
      <c r="AE680" s="549"/>
      <c r="AF680" s="549">
        <v>1182</v>
      </c>
      <c r="AG680" s="549">
        <f t="shared" si="225"/>
        <v>0</v>
      </c>
      <c r="AH680" s="575"/>
      <c r="AI680" s="549"/>
      <c r="AJ680" s="549"/>
      <c r="AK680" s="549"/>
      <c r="AL680" s="568">
        <f>I680*2</f>
        <v>2364</v>
      </c>
      <c r="AM680" s="428">
        <f>I680*2</f>
        <v>2364</v>
      </c>
      <c r="AR680" s="568"/>
      <c r="AS680" s="568">
        <f>I680*2</f>
        <v>2364</v>
      </c>
      <c r="AT680" s="578"/>
      <c r="AU680" s="568"/>
      <c r="AY680" s="580">
        <f t="shared" si="226"/>
        <v>49.25</v>
      </c>
      <c r="AZ680" s="577"/>
      <c r="BT680" s="495"/>
      <c r="BU680" s="425">
        <f>I680</f>
        <v>1182</v>
      </c>
      <c r="BV680" s="578"/>
      <c r="CK680" s="428">
        <f t="shared" si="222"/>
        <v>0</v>
      </c>
      <c r="CL680" s="428">
        <f t="shared" si="227"/>
        <v>0</v>
      </c>
      <c r="CM680" s="428">
        <f t="shared" si="228"/>
        <v>0</v>
      </c>
      <c r="CN680" s="578"/>
      <c r="CO680" s="578"/>
      <c r="CP680" s="578"/>
      <c r="CT680" s="578"/>
      <c r="CU680" s="578"/>
      <c r="CV680" s="578"/>
      <c r="CW680" s="578"/>
      <c r="CX680" s="578"/>
    </row>
    <row r="681" s="428" customFormat="1" ht="31" customHeight="1" spans="1:102">
      <c r="A681" s="547">
        <v>45881</v>
      </c>
      <c r="B681" s="548" t="s">
        <v>489</v>
      </c>
      <c r="C681" s="539" t="s">
        <v>139</v>
      </c>
      <c r="D681" s="428">
        <v>4500176637</v>
      </c>
      <c r="E681" s="539" t="s">
        <v>1814</v>
      </c>
      <c r="F681" s="428" t="s">
        <v>1836</v>
      </c>
      <c r="G681" s="549" t="s">
        <v>3436</v>
      </c>
      <c r="H681" s="549" t="s">
        <v>424</v>
      </c>
      <c r="I681" s="559">
        <v>780</v>
      </c>
      <c r="J681" s="549">
        <v>0</v>
      </c>
      <c r="K681" s="549">
        <v>6</v>
      </c>
      <c r="L681" s="554">
        <f t="shared" si="223"/>
        <v>130</v>
      </c>
      <c r="M681" s="555">
        <v>45946</v>
      </c>
      <c r="N681" s="555">
        <v>45943</v>
      </c>
      <c r="O681" s="556"/>
      <c r="P681" s="556" t="s">
        <v>103</v>
      </c>
      <c r="Q681" s="549"/>
      <c r="R681" s="562" t="s">
        <v>411</v>
      </c>
      <c r="S681" s="562" t="s">
        <v>96</v>
      </c>
      <c r="T681" s="562">
        <v>45904</v>
      </c>
      <c r="U681" s="562"/>
      <c r="V681" s="566" t="s">
        <v>1835</v>
      </c>
      <c r="W681" s="564" t="s">
        <v>414</v>
      </c>
      <c r="X681" s="564">
        <v>7.1628</v>
      </c>
      <c r="Y681" s="513">
        <f t="shared" si="229"/>
        <v>5586.984</v>
      </c>
      <c r="Z681" s="549"/>
      <c r="AA681" s="548" t="s">
        <v>4685</v>
      </c>
      <c r="AB681" s="549" t="s">
        <v>76</v>
      </c>
      <c r="AC681" s="549"/>
      <c r="AD681" s="549"/>
      <c r="AE681" s="549"/>
      <c r="AF681" s="549">
        <v>780</v>
      </c>
      <c r="AG681" s="549">
        <f t="shared" si="225"/>
        <v>0</v>
      </c>
      <c r="AH681" s="575"/>
      <c r="AI681" s="549"/>
      <c r="AJ681" s="549"/>
      <c r="AK681" s="549"/>
      <c r="AL681" s="568">
        <f>I681*2</f>
        <v>1560</v>
      </c>
      <c r="AM681" s="428">
        <f>I681*2</f>
        <v>1560</v>
      </c>
      <c r="AR681" s="568"/>
      <c r="AS681" s="568">
        <f>I681*2</f>
        <v>1560</v>
      </c>
      <c r="AT681" s="578"/>
      <c r="AU681" s="568"/>
      <c r="AY681" s="580">
        <f t="shared" si="226"/>
        <v>32.5</v>
      </c>
      <c r="AZ681" s="577"/>
      <c r="BT681" s="495"/>
      <c r="BU681" s="425">
        <f>I681</f>
        <v>780</v>
      </c>
      <c r="BV681" s="578"/>
      <c r="CK681" s="428">
        <f t="shared" si="222"/>
        <v>0</v>
      </c>
      <c r="CL681" s="428">
        <f t="shared" si="227"/>
        <v>0</v>
      </c>
      <c r="CM681" s="428">
        <f t="shared" si="228"/>
        <v>0</v>
      </c>
      <c r="CN681" s="578"/>
      <c r="CO681" s="578"/>
      <c r="CP681" s="578"/>
      <c r="CT681" s="578"/>
      <c r="CU681" s="578"/>
      <c r="CV681" s="578"/>
      <c r="CW681" s="578"/>
      <c r="CX681" s="578"/>
    </row>
    <row r="682" s="428" customFormat="1" ht="31" customHeight="1" spans="1:102">
      <c r="A682" s="547">
        <v>45890</v>
      </c>
      <c r="B682" s="548" t="s">
        <v>1837</v>
      </c>
      <c r="C682" s="539" t="s">
        <v>249</v>
      </c>
      <c r="D682" s="428">
        <v>4500177504</v>
      </c>
      <c r="E682" s="539" t="s">
        <v>1838</v>
      </c>
      <c r="F682" s="428" t="s">
        <v>1839</v>
      </c>
      <c r="G682" s="549" t="s">
        <v>3436</v>
      </c>
      <c r="H682" s="549" t="s">
        <v>424</v>
      </c>
      <c r="I682" s="549">
        <v>720</v>
      </c>
      <c r="J682" s="549">
        <v>0</v>
      </c>
      <c r="K682" s="549">
        <v>6</v>
      </c>
      <c r="L682" s="554">
        <f t="shared" si="223"/>
        <v>120</v>
      </c>
      <c r="M682" s="555">
        <v>45946</v>
      </c>
      <c r="N682" s="555">
        <v>45943</v>
      </c>
      <c r="O682" s="556"/>
      <c r="P682" s="556" t="s">
        <v>103</v>
      </c>
      <c r="Q682" s="549" t="s">
        <v>4798</v>
      </c>
      <c r="R682" s="562" t="s">
        <v>1840</v>
      </c>
      <c r="S682" s="562" t="s">
        <v>96</v>
      </c>
      <c r="T682" s="562">
        <v>45915</v>
      </c>
      <c r="U682" s="562"/>
      <c r="V682" s="564" t="s">
        <v>1842</v>
      </c>
      <c r="W682" s="564" t="s">
        <v>414</v>
      </c>
      <c r="X682" s="564">
        <v>7.1628</v>
      </c>
      <c r="Y682" s="513">
        <f t="shared" si="229"/>
        <v>5157.216</v>
      </c>
      <c r="Z682" s="549"/>
      <c r="AA682" s="549" t="s">
        <v>427</v>
      </c>
      <c r="AB682" s="549" t="s">
        <v>76</v>
      </c>
      <c r="AC682" s="549"/>
      <c r="AD682" s="549"/>
      <c r="AE682" s="549"/>
      <c r="AF682" s="549"/>
      <c r="AG682" s="549">
        <f t="shared" si="225"/>
        <v>-720</v>
      </c>
      <c r="AH682" s="575"/>
      <c r="AI682" s="549"/>
      <c r="AJ682" s="549"/>
      <c r="AK682" s="549"/>
      <c r="AL682" s="568">
        <f>I682*2</f>
        <v>1440</v>
      </c>
      <c r="AQ682" s="428">
        <f>I682*2</f>
        <v>1440</v>
      </c>
      <c r="AR682" s="568"/>
      <c r="AS682" s="568">
        <f>I682*2</f>
        <v>1440</v>
      </c>
      <c r="AT682" s="578"/>
      <c r="AU682" s="568"/>
      <c r="AY682" s="580">
        <f t="shared" si="226"/>
        <v>30</v>
      </c>
      <c r="AZ682" s="577"/>
      <c r="BT682" s="495"/>
      <c r="BU682" s="425">
        <f>I682</f>
        <v>720</v>
      </c>
      <c r="BV682" s="578"/>
      <c r="CK682" s="428">
        <f t="shared" si="222"/>
        <v>0</v>
      </c>
      <c r="CL682" s="428">
        <f t="shared" si="227"/>
        <v>0</v>
      </c>
      <c r="CM682" s="428">
        <f t="shared" si="228"/>
        <v>0</v>
      </c>
      <c r="CN682" s="578"/>
      <c r="CO682" s="578"/>
      <c r="CP682" s="578"/>
      <c r="CT682" s="578"/>
      <c r="CU682" s="578"/>
      <c r="CV682" s="578"/>
      <c r="CW682" s="578"/>
      <c r="CX682" s="578"/>
    </row>
    <row r="683" s="428" customFormat="1" ht="31" customHeight="1" spans="1:102">
      <c r="A683" s="547">
        <v>45898</v>
      </c>
      <c r="B683" s="548" t="s">
        <v>4799</v>
      </c>
      <c r="C683" s="539" t="s">
        <v>249</v>
      </c>
      <c r="D683" s="428">
        <v>4500178200</v>
      </c>
      <c r="E683" s="539">
        <v>13937817</v>
      </c>
      <c r="F683" s="428" t="s">
        <v>4800</v>
      </c>
      <c r="G683" s="549" t="s">
        <v>3245</v>
      </c>
      <c r="H683" s="549" t="s">
        <v>3246</v>
      </c>
      <c r="I683" s="549">
        <v>2808</v>
      </c>
      <c r="J683" s="549">
        <v>13</v>
      </c>
      <c r="K683" s="549">
        <f>J683*8</f>
        <v>104</v>
      </c>
      <c r="L683" s="554">
        <f t="shared" si="223"/>
        <v>27</v>
      </c>
      <c r="M683" s="555">
        <v>45947</v>
      </c>
      <c r="N683" s="555">
        <v>45943</v>
      </c>
      <c r="O683" s="556"/>
      <c r="P683" s="556" t="s">
        <v>103</v>
      </c>
      <c r="Q683" s="549"/>
      <c r="R683" s="562">
        <v>45912</v>
      </c>
      <c r="S683" s="562" t="s">
        <v>66</v>
      </c>
      <c r="T683" s="562">
        <v>45910</v>
      </c>
      <c r="U683" s="562"/>
      <c r="V683" s="564" t="s">
        <v>4801</v>
      </c>
      <c r="W683" s="564" t="s">
        <v>1424</v>
      </c>
      <c r="X683" s="564">
        <v>0.9077</v>
      </c>
      <c r="Y683" s="513">
        <f t="shared" si="229"/>
        <v>2548.8216</v>
      </c>
      <c r="Z683" s="549" t="s">
        <v>4802</v>
      </c>
      <c r="AA683" s="549" t="s">
        <v>3245</v>
      </c>
      <c r="AB683" s="549" t="s">
        <v>76</v>
      </c>
      <c r="AC683" s="549"/>
      <c r="AD683" s="549"/>
      <c r="AE683" s="549"/>
      <c r="AF683" s="549">
        <f>2704+104</f>
        <v>2808</v>
      </c>
      <c r="AG683" s="549">
        <f t="shared" si="225"/>
        <v>0</v>
      </c>
      <c r="AH683" s="575"/>
      <c r="AI683" s="549"/>
      <c r="AJ683" s="549"/>
      <c r="AK683" s="549"/>
      <c r="AL683" s="568">
        <f>I683</f>
        <v>2808</v>
      </c>
      <c r="AQ683" s="428">
        <f>I683</f>
        <v>2808</v>
      </c>
      <c r="AR683" s="568"/>
      <c r="AS683" s="428">
        <f>I683</f>
        <v>2808</v>
      </c>
      <c r="AT683" s="578"/>
      <c r="AU683" s="568"/>
      <c r="AY683" s="576">
        <f t="shared" si="226"/>
        <v>117</v>
      </c>
      <c r="AZ683" s="577"/>
      <c r="BI683" s="428">
        <f>I683/13</f>
        <v>216</v>
      </c>
      <c r="BT683" s="578"/>
      <c r="BV683" s="578"/>
      <c r="CK683" s="428">
        <f t="shared" si="222"/>
        <v>0</v>
      </c>
      <c r="CL683" s="428">
        <f t="shared" si="227"/>
        <v>0</v>
      </c>
      <c r="CM683" s="428">
        <f t="shared" si="228"/>
        <v>0</v>
      </c>
      <c r="CN683" s="578"/>
      <c r="CO683" s="578"/>
      <c r="CP683" s="578"/>
      <c r="CT683" s="578"/>
      <c r="CU683" s="578"/>
      <c r="CV683" s="578"/>
      <c r="CW683" s="578"/>
      <c r="CX683" s="578"/>
    </row>
    <row r="684" s="428" customFormat="1" ht="31" customHeight="1" spans="1:102">
      <c r="A684" s="547">
        <v>45902</v>
      </c>
      <c r="B684" s="548" t="s">
        <v>220</v>
      </c>
      <c r="C684" s="539" t="s">
        <v>90</v>
      </c>
      <c r="D684" s="428">
        <v>4500178501</v>
      </c>
      <c r="E684" s="539" t="s">
        <v>4803</v>
      </c>
      <c r="F684" s="428" t="s">
        <v>4804</v>
      </c>
      <c r="G684" s="549" t="s">
        <v>3198</v>
      </c>
      <c r="H684" s="549" t="s">
        <v>3303</v>
      </c>
      <c r="I684" s="549">
        <v>34825</v>
      </c>
      <c r="J684" s="549">
        <v>0</v>
      </c>
      <c r="K684" s="549">
        <v>25</v>
      </c>
      <c r="L684" s="554">
        <f t="shared" si="223"/>
        <v>1393</v>
      </c>
      <c r="M684" s="555">
        <v>45947</v>
      </c>
      <c r="N684" s="555">
        <v>45943</v>
      </c>
      <c r="O684" s="556"/>
      <c r="P684" s="556" t="s">
        <v>103</v>
      </c>
      <c r="Q684" s="549"/>
      <c r="R684" s="562">
        <v>45909</v>
      </c>
      <c r="S684" s="562" t="s">
        <v>96</v>
      </c>
      <c r="T684" s="562">
        <v>45919</v>
      </c>
      <c r="U684" s="562"/>
      <c r="V684" s="566" t="s">
        <v>4805</v>
      </c>
      <c r="W684" s="564" t="s">
        <v>226</v>
      </c>
      <c r="X684" s="567">
        <v>0.5488</v>
      </c>
      <c r="Y684" s="513">
        <f t="shared" si="229"/>
        <v>19111.96</v>
      </c>
      <c r="Z684" s="549" t="s">
        <v>4806</v>
      </c>
      <c r="AA684" s="549" t="s">
        <v>3198</v>
      </c>
      <c r="AB684" s="549" t="s">
        <v>76</v>
      </c>
      <c r="AC684" s="549"/>
      <c r="AD684" s="549"/>
      <c r="AE684" s="549"/>
      <c r="AF684" s="549">
        <f>22700+12075+50</f>
        <v>34825</v>
      </c>
      <c r="AG684" s="549">
        <f t="shared" si="225"/>
        <v>0</v>
      </c>
      <c r="AH684" s="575"/>
      <c r="AI684" s="549"/>
      <c r="AJ684" s="549"/>
      <c r="AK684" s="549">
        <f>I684</f>
        <v>34825</v>
      </c>
      <c r="AL684" s="568"/>
      <c r="AM684" s="428">
        <f>I684</f>
        <v>34825</v>
      </c>
      <c r="AR684" s="428">
        <f>I684</f>
        <v>34825</v>
      </c>
      <c r="AT684" s="578"/>
      <c r="AU684" s="568"/>
      <c r="AY684" s="576">
        <f t="shared" si="226"/>
        <v>1451.04166666667</v>
      </c>
      <c r="AZ684" s="577"/>
      <c r="BJ684" s="428">
        <f>I684/25</f>
        <v>1393</v>
      </c>
      <c r="BT684" s="578"/>
      <c r="BV684" s="578"/>
      <c r="CK684" s="428">
        <f t="shared" si="222"/>
        <v>1393</v>
      </c>
      <c r="CL684" s="428">
        <f t="shared" si="227"/>
        <v>0</v>
      </c>
      <c r="CM684" s="428">
        <f t="shared" si="228"/>
        <v>0</v>
      </c>
      <c r="CN684" s="578"/>
      <c r="CO684" s="578"/>
      <c r="CP684" s="578"/>
      <c r="CT684" s="578"/>
      <c r="CU684" s="578"/>
      <c r="CV684" s="578"/>
      <c r="CW684" s="578"/>
      <c r="CX684" s="578"/>
    </row>
    <row r="685" s="428" customFormat="1" ht="31" customHeight="1" spans="1:102">
      <c r="A685" s="547">
        <v>45902</v>
      </c>
      <c r="B685" s="548" t="s">
        <v>2852</v>
      </c>
      <c r="C685" s="539" t="s">
        <v>153</v>
      </c>
      <c r="D685" s="428">
        <v>4500178548</v>
      </c>
      <c r="E685" s="539">
        <v>378456</v>
      </c>
      <c r="F685" s="428" t="s">
        <v>4807</v>
      </c>
      <c r="G685" s="549" t="s">
        <v>3198</v>
      </c>
      <c r="H685" s="549" t="s">
        <v>3303</v>
      </c>
      <c r="I685" s="549">
        <v>500</v>
      </c>
      <c r="J685" s="549">
        <v>0</v>
      </c>
      <c r="K685" s="549">
        <v>25</v>
      </c>
      <c r="L685" s="554">
        <f t="shared" si="223"/>
        <v>20</v>
      </c>
      <c r="M685" s="555">
        <v>45947</v>
      </c>
      <c r="N685" s="555">
        <v>45943</v>
      </c>
      <c r="O685" s="556"/>
      <c r="P685" s="556" t="s">
        <v>103</v>
      </c>
      <c r="Q685" s="549"/>
      <c r="R685" s="562">
        <v>45911</v>
      </c>
      <c r="S685" s="562" t="s">
        <v>66</v>
      </c>
      <c r="T685" s="562" t="s">
        <v>66</v>
      </c>
      <c r="U685" s="562"/>
      <c r="V685" s="564" t="s">
        <v>4808</v>
      </c>
      <c r="W685" s="564" t="s">
        <v>1055</v>
      </c>
      <c r="X685" s="567">
        <v>0.9394</v>
      </c>
      <c r="Y685" s="513">
        <f t="shared" si="229"/>
        <v>469.7</v>
      </c>
      <c r="Z685" s="549"/>
      <c r="AA685" s="549" t="s">
        <v>3202</v>
      </c>
      <c r="AB685" s="549" t="s">
        <v>76</v>
      </c>
      <c r="AC685" s="549"/>
      <c r="AD685" s="549"/>
      <c r="AE685" s="549"/>
      <c r="AF685" s="549">
        <v>500</v>
      </c>
      <c r="AG685" s="549">
        <f t="shared" si="225"/>
        <v>0</v>
      </c>
      <c r="AH685" s="575"/>
      <c r="AI685" s="549"/>
      <c r="AJ685" s="549"/>
      <c r="AK685" s="549">
        <f>I685</f>
        <v>500</v>
      </c>
      <c r="AL685" s="568"/>
      <c r="AP685" s="428">
        <f>I685</f>
        <v>500</v>
      </c>
      <c r="AR685" s="568">
        <f>I685</f>
        <v>500</v>
      </c>
      <c r="AT685" s="578"/>
      <c r="AU685" s="568"/>
      <c r="AY685" s="576">
        <f t="shared" si="226"/>
        <v>20.8333333333333</v>
      </c>
      <c r="AZ685" s="577"/>
      <c r="BK685" s="428">
        <f>I685/25</f>
        <v>20</v>
      </c>
      <c r="BT685" s="578"/>
      <c r="BV685" s="578"/>
      <c r="CK685" s="428">
        <f t="shared" si="222"/>
        <v>20</v>
      </c>
      <c r="CL685" s="428">
        <f t="shared" si="227"/>
        <v>0</v>
      </c>
      <c r="CM685" s="428">
        <f t="shared" si="228"/>
        <v>0</v>
      </c>
      <c r="CN685" s="578"/>
      <c r="CO685" s="578"/>
      <c r="CP685" s="578"/>
      <c r="CT685" s="578"/>
      <c r="CU685" s="578"/>
      <c r="CV685" s="578"/>
      <c r="CW685" s="578"/>
      <c r="CX685" s="578"/>
    </row>
    <row r="686" s="428" customFormat="1" ht="31" customHeight="1" spans="1:102">
      <c r="A686" s="547">
        <v>45910</v>
      </c>
      <c r="B686" s="548" t="s">
        <v>1822</v>
      </c>
      <c r="C686" s="539" t="s">
        <v>726</v>
      </c>
      <c r="D686" s="428">
        <v>4500179170</v>
      </c>
      <c r="E686" s="539"/>
      <c r="F686" s="428" t="s">
        <v>4809</v>
      </c>
      <c r="G686" s="549" t="s">
        <v>3161</v>
      </c>
      <c r="H686" s="549" t="s">
        <v>3221</v>
      </c>
      <c r="I686" s="549">
        <v>3000</v>
      </c>
      <c r="J686" s="549">
        <v>0</v>
      </c>
      <c r="K686" s="549">
        <v>50</v>
      </c>
      <c r="L686" s="554">
        <f t="shared" si="223"/>
        <v>60</v>
      </c>
      <c r="M686" s="555">
        <v>45947</v>
      </c>
      <c r="N686" s="555">
        <v>45943</v>
      </c>
      <c r="O686" s="556"/>
      <c r="P686" s="556" t="s">
        <v>103</v>
      </c>
      <c r="Q686" s="549"/>
      <c r="R686" s="562">
        <v>45910</v>
      </c>
      <c r="S686" s="562" t="s">
        <v>66</v>
      </c>
      <c r="T686" s="562" t="s">
        <v>4810</v>
      </c>
      <c r="U686" s="562"/>
      <c r="V686" s="566" t="s">
        <v>4811</v>
      </c>
      <c r="W686" s="564" t="s">
        <v>207</v>
      </c>
      <c r="X686" s="564">
        <v>0.9771</v>
      </c>
      <c r="Y686" s="513">
        <f t="shared" si="229"/>
        <v>2931.3</v>
      </c>
      <c r="Z686" s="549"/>
      <c r="AA686" s="549" t="s">
        <v>4470</v>
      </c>
      <c r="AB686" s="549" t="s">
        <v>76</v>
      </c>
      <c r="AC686" s="549"/>
      <c r="AD686" s="549"/>
      <c r="AE686" s="549"/>
      <c r="AF686" s="549">
        <f>2900+100</f>
        <v>3000</v>
      </c>
      <c r="AG686" s="549">
        <f t="shared" si="225"/>
        <v>0</v>
      </c>
      <c r="AH686" s="575"/>
      <c r="AI686" s="549"/>
      <c r="AJ686" s="549"/>
      <c r="AK686" s="549"/>
      <c r="AL686" s="568">
        <f>I686</f>
        <v>3000</v>
      </c>
      <c r="AM686" s="428">
        <f>I686</f>
        <v>3000</v>
      </c>
      <c r="AR686" s="568"/>
      <c r="AS686" s="568">
        <f>I686</f>
        <v>3000</v>
      </c>
      <c r="AT686" s="578"/>
      <c r="AU686" s="568"/>
      <c r="AY686" s="576">
        <f t="shared" si="226"/>
        <v>125</v>
      </c>
      <c r="AZ686" s="577"/>
      <c r="BJ686" s="428">
        <f>I686/25</f>
        <v>120</v>
      </c>
      <c r="BT686" s="578"/>
      <c r="BV686" s="578"/>
      <c r="CK686" s="428">
        <f t="shared" si="222"/>
        <v>120</v>
      </c>
      <c r="CL686" s="428">
        <f t="shared" si="227"/>
        <v>0</v>
      </c>
      <c r="CM686" s="428">
        <f t="shared" si="228"/>
        <v>0</v>
      </c>
      <c r="CN686" s="578"/>
      <c r="CO686" s="578"/>
      <c r="CP686" s="578"/>
      <c r="CT686" s="578"/>
      <c r="CU686" s="578"/>
      <c r="CV686" s="578"/>
      <c r="CW686" s="578"/>
      <c r="CX686" s="578"/>
    </row>
    <row r="687" s="428" customFormat="1" ht="31" customHeight="1" spans="1:102">
      <c r="A687" s="547">
        <v>45902</v>
      </c>
      <c r="B687" s="548" t="s">
        <v>4812</v>
      </c>
      <c r="C687" s="539" t="s">
        <v>249</v>
      </c>
      <c r="D687" s="428">
        <v>4500178312</v>
      </c>
      <c r="E687" s="539" t="s">
        <v>4813</v>
      </c>
      <c r="F687" s="428" t="s">
        <v>4814</v>
      </c>
      <c r="G687" s="549" t="s">
        <v>3161</v>
      </c>
      <c r="H687" s="549" t="s">
        <v>3221</v>
      </c>
      <c r="I687" s="549">
        <v>500</v>
      </c>
      <c r="J687" s="549">
        <v>0</v>
      </c>
      <c r="K687" s="549">
        <v>50</v>
      </c>
      <c r="L687" s="554">
        <f t="shared" si="223"/>
        <v>10</v>
      </c>
      <c r="M687" s="555">
        <v>45950</v>
      </c>
      <c r="N687" s="555">
        <v>45946</v>
      </c>
      <c r="O687" s="556"/>
      <c r="P687" s="556" t="s">
        <v>103</v>
      </c>
      <c r="Q687" s="549"/>
      <c r="R687" s="562" t="s">
        <v>4664</v>
      </c>
      <c r="S687" s="562" t="s">
        <v>66</v>
      </c>
      <c r="T687" s="562">
        <v>45917</v>
      </c>
      <c r="U687" s="562"/>
      <c r="V687" s="564" t="s">
        <v>4815</v>
      </c>
      <c r="W687" s="564" t="s">
        <v>1759</v>
      </c>
      <c r="X687" s="564">
        <v>0.9823</v>
      </c>
      <c r="Y687" s="513">
        <f t="shared" si="229"/>
        <v>491.15</v>
      </c>
      <c r="Z687" s="549" t="s">
        <v>4816</v>
      </c>
      <c r="AA687" s="548" t="s">
        <v>3161</v>
      </c>
      <c r="AB687" s="549" t="s">
        <v>76</v>
      </c>
      <c r="AC687" s="549"/>
      <c r="AD687" s="549"/>
      <c r="AE687" s="549"/>
      <c r="AF687" s="549">
        <f>450+50</f>
        <v>500</v>
      </c>
      <c r="AG687" s="549">
        <f t="shared" si="225"/>
        <v>0</v>
      </c>
      <c r="AH687" s="575"/>
      <c r="AI687" s="549"/>
      <c r="AJ687" s="549"/>
      <c r="AK687" s="549"/>
      <c r="AL687" s="568">
        <f>I687</f>
        <v>500</v>
      </c>
      <c r="AQ687" s="428">
        <f>I687</f>
        <v>500</v>
      </c>
      <c r="AR687" s="568"/>
      <c r="AS687" s="428">
        <f>I687</f>
        <v>500</v>
      </c>
      <c r="AT687" s="578"/>
      <c r="AU687" s="568"/>
      <c r="AY687" s="576">
        <f t="shared" si="226"/>
        <v>20.8333333333333</v>
      </c>
      <c r="AZ687" s="577"/>
      <c r="BL687" s="428">
        <f>I687/25</f>
        <v>20</v>
      </c>
      <c r="BT687" s="578"/>
      <c r="BV687" s="578"/>
      <c r="CK687" s="428">
        <f t="shared" si="222"/>
        <v>20</v>
      </c>
      <c r="CL687" s="428">
        <f t="shared" si="227"/>
        <v>0</v>
      </c>
      <c r="CM687" s="428">
        <f t="shared" si="228"/>
        <v>0</v>
      </c>
      <c r="CN687" s="578"/>
      <c r="CO687" s="578"/>
      <c r="CP687" s="578"/>
      <c r="CT687" s="578"/>
      <c r="CU687" s="578"/>
      <c r="CV687" s="578"/>
      <c r="CW687" s="578"/>
      <c r="CX687" s="578"/>
    </row>
    <row r="688" s="428" customFormat="1" ht="31" customHeight="1" spans="1:102">
      <c r="A688" s="547">
        <v>45902</v>
      </c>
      <c r="B688" s="548" t="s">
        <v>783</v>
      </c>
      <c r="C688" s="539" t="s">
        <v>90</v>
      </c>
      <c r="D688" s="428">
        <v>4500178510</v>
      </c>
      <c r="E688" s="539" t="s">
        <v>4817</v>
      </c>
      <c r="F688" s="428" t="s">
        <v>4818</v>
      </c>
      <c r="G688" s="549" t="s">
        <v>3198</v>
      </c>
      <c r="H688" s="549" t="s">
        <v>3303</v>
      </c>
      <c r="I688" s="549">
        <v>4000</v>
      </c>
      <c r="J688" s="549">
        <v>0</v>
      </c>
      <c r="K688" s="549">
        <v>25</v>
      </c>
      <c r="L688" s="554">
        <f t="shared" si="223"/>
        <v>160</v>
      </c>
      <c r="M688" s="555">
        <v>45950</v>
      </c>
      <c r="N688" s="555">
        <v>45946</v>
      </c>
      <c r="O688" s="556"/>
      <c r="P688" s="556" t="s">
        <v>103</v>
      </c>
      <c r="Q688" s="549"/>
      <c r="R688" s="562">
        <v>45902</v>
      </c>
      <c r="S688" s="562" t="s">
        <v>66</v>
      </c>
      <c r="T688" s="562" t="s">
        <v>66</v>
      </c>
      <c r="U688" s="562"/>
      <c r="V688" s="564" t="s">
        <v>315</v>
      </c>
      <c r="W688" s="564" t="s">
        <v>316</v>
      </c>
      <c r="X688" s="567">
        <v>0.5708</v>
      </c>
      <c r="Y688" s="513">
        <f t="shared" si="229"/>
        <v>2283.2</v>
      </c>
      <c r="Z688" s="549" t="s">
        <v>4819</v>
      </c>
      <c r="AA688" s="549" t="s">
        <v>3198</v>
      </c>
      <c r="AB688" s="549" t="s">
        <v>76</v>
      </c>
      <c r="AC688" s="549"/>
      <c r="AD688" s="549"/>
      <c r="AE688" s="549"/>
      <c r="AF688" s="549">
        <v>4000</v>
      </c>
      <c r="AG688" s="549">
        <f t="shared" si="225"/>
        <v>0</v>
      </c>
      <c r="AH688" s="575"/>
      <c r="AI688" s="549"/>
      <c r="AJ688" s="549"/>
      <c r="AK688" s="549">
        <f>I688</f>
        <v>4000</v>
      </c>
      <c r="AL688" s="568"/>
      <c r="AM688" s="428">
        <f>I688</f>
        <v>4000</v>
      </c>
      <c r="AR688" s="568">
        <f>I688</f>
        <v>4000</v>
      </c>
      <c r="AT688" s="578"/>
      <c r="AU688" s="568"/>
      <c r="AY688" s="576">
        <f t="shared" si="226"/>
        <v>166.666666666667</v>
      </c>
      <c r="AZ688" s="577"/>
      <c r="BJ688" s="428">
        <f>I688/25</f>
        <v>160</v>
      </c>
      <c r="BT688" s="578"/>
      <c r="BV688" s="578"/>
      <c r="CK688" s="428">
        <f t="shared" si="222"/>
        <v>160</v>
      </c>
      <c r="CL688" s="428">
        <f t="shared" si="227"/>
        <v>0</v>
      </c>
      <c r="CM688" s="428">
        <f t="shared" si="228"/>
        <v>0</v>
      </c>
      <c r="CN688" s="578"/>
      <c r="CO688" s="578"/>
      <c r="CP688" s="578"/>
      <c r="CT688" s="578"/>
      <c r="CU688" s="578"/>
      <c r="CV688" s="578"/>
      <c r="CW688" s="578"/>
      <c r="CX688" s="578"/>
    </row>
    <row r="689" s="428" customFormat="1" ht="31" customHeight="1" spans="1:102">
      <c r="A689" s="547">
        <v>45905</v>
      </c>
      <c r="B689" s="548" t="s">
        <v>125</v>
      </c>
      <c r="C689" s="539" t="s">
        <v>71</v>
      </c>
      <c r="D689" s="428">
        <v>4500178926</v>
      </c>
      <c r="E689" s="539">
        <v>21105441</v>
      </c>
      <c r="F689" s="428" t="s">
        <v>4820</v>
      </c>
      <c r="G689" s="549" t="s">
        <v>3206</v>
      </c>
      <c r="H689" s="549" t="s">
        <v>3207</v>
      </c>
      <c r="I689" s="549">
        <v>117</v>
      </c>
      <c r="J689" s="549">
        <v>0</v>
      </c>
      <c r="K689" s="549">
        <v>13</v>
      </c>
      <c r="L689" s="554">
        <f t="shared" si="223"/>
        <v>9</v>
      </c>
      <c r="M689" s="555">
        <v>45950</v>
      </c>
      <c r="N689" s="555">
        <v>45946</v>
      </c>
      <c r="O689" s="556"/>
      <c r="P689" s="556" t="s">
        <v>103</v>
      </c>
      <c r="Q689" s="549"/>
      <c r="R689" s="562">
        <v>45905</v>
      </c>
      <c r="S689" s="562" t="s">
        <v>96</v>
      </c>
      <c r="T689" s="562">
        <v>45923</v>
      </c>
      <c r="U689" s="562"/>
      <c r="V689" s="564" t="s">
        <v>4143</v>
      </c>
      <c r="W689" s="564" t="s">
        <v>121</v>
      </c>
      <c r="X689" s="567">
        <v>0.8999</v>
      </c>
      <c r="Y689" s="513">
        <f t="shared" si="229"/>
        <v>105.2883</v>
      </c>
      <c r="Z689" s="549"/>
      <c r="AA689" s="549" t="s">
        <v>3206</v>
      </c>
      <c r="AB689" s="549" t="s">
        <v>76</v>
      </c>
      <c r="AC689" s="549"/>
      <c r="AD689" s="549"/>
      <c r="AE689" s="549"/>
      <c r="AF689" s="549">
        <v>117</v>
      </c>
      <c r="AG689" s="549">
        <f t="shared" si="225"/>
        <v>0</v>
      </c>
      <c r="AH689" s="575"/>
      <c r="AI689" s="549"/>
      <c r="AJ689" s="549"/>
      <c r="AK689" s="549"/>
      <c r="AL689" s="568">
        <f>I689</f>
        <v>117</v>
      </c>
      <c r="AQ689" s="428">
        <f>I689</f>
        <v>117</v>
      </c>
      <c r="AR689" s="568"/>
      <c r="AS689" s="568">
        <f>I689</f>
        <v>117</v>
      </c>
      <c r="AT689" s="578"/>
      <c r="AU689" s="568"/>
      <c r="AY689" s="576">
        <f t="shared" si="226"/>
        <v>4.875</v>
      </c>
      <c r="AZ689" s="577"/>
      <c r="BI689" s="428">
        <f>I689/13</f>
        <v>9</v>
      </c>
      <c r="BT689" s="578"/>
      <c r="BV689" s="578"/>
      <c r="CK689" s="428">
        <f t="shared" si="222"/>
        <v>0</v>
      </c>
      <c r="CL689" s="428">
        <f t="shared" si="227"/>
        <v>0</v>
      </c>
      <c r="CM689" s="428">
        <f t="shared" si="228"/>
        <v>0</v>
      </c>
      <c r="CN689" s="578"/>
      <c r="CO689" s="578"/>
      <c r="CP689" s="578"/>
      <c r="CT689" s="578"/>
      <c r="CU689" s="578"/>
      <c r="CV689" s="578"/>
      <c r="CW689" s="578"/>
      <c r="CX689" s="578"/>
    </row>
    <row r="690" s="428" customFormat="1" ht="31" customHeight="1" spans="1:102">
      <c r="A690" s="547">
        <v>45905</v>
      </c>
      <c r="B690" s="548" t="s">
        <v>122</v>
      </c>
      <c r="C690" s="539" t="s">
        <v>116</v>
      </c>
      <c r="D690" s="428">
        <v>4500178925</v>
      </c>
      <c r="E690" s="539">
        <v>21105438</v>
      </c>
      <c r="F690" s="428" t="s">
        <v>4821</v>
      </c>
      <c r="G690" s="549" t="s">
        <v>3206</v>
      </c>
      <c r="H690" s="549" t="s">
        <v>3207</v>
      </c>
      <c r="I690" s="549">
        <v>2080</v>
      </c>
      <c r="J690" s="549">
        <v>0</v>
      </c>
      <c r="K690" s="549">
        <v>13</v>
      </c>
      <c r="L690" s="554">
        <f t="shared" si="223"/>
        <v>160</v>
      </c>
      <c r="M690" s="555">
        <v>45950</v>
      </c>
      <c r="N690" s="555">
        <v>45946</v>
      </c>
      <c r="O690" s="556"/>
      <c r="P690" s="556" t="s">
        <v>103</v>
      </c>
      <c r="Q690" s="549"/>
      <c r="R690" s="562">
        <v>45905</v>
      </c>
      <c r="S690" s="562" t="s">
        <v>96</v>
      </c>
      <c r="T690" s="562">
        <v>45923</v>
      </c>
      <c r="U690" s="562"/>
      <c r="V690" s="564" t="s">
        <v>3390</v>
      </c>
      <c r="W690" s="564" t="s">
        <v>121</v>
      </c>
      <c r="X690" s="567">
        <v>0.8947</v>
      </c>
      <c r="Y690" s="513">
        <f t="shared" si="229"/>
        <v>1860.976</v>
      </c>
      <c r="Z690" s="549"/>
      <c r="AA690" s="549" t="s">
        <v>3206</v>
      </c>
      <c r="AB690" s="549" t="s">
        <v>76</v>
      </c>
      <c r="AC690" s="549"/>
      <c r="AD690" s="549"/>
      <c r="AE690" s="549"/>
      <c r="AF690" s="549">
        <v>2080</v>
      </c>
      <c r="AG690" s="549">
        <f t="shared" si="225"/>
        <v>0</v>
      </c>
      <c r="AH690" s="575"/>
      <c r="AI690" s="549"/>
      <c r="AJ690" s="549"/>
      <c r="AK690" s="549"/>
      <c r="AL690" s="568">
        <f>I690</f>
        <v>2080</v>
      </c>
      <c r="AQ690" s="428">
        <f>I690</f>
        <v>2080</v>
      </c>
      <c r="AR690" s="568"/>
      <c r="AS690" s="568">
        <f>I690</f>
        <v>2080</v>
      </c>
      <c r="AT690" s="578"/>
      <c r="AU690" s="568"/>
      <c r="AY690" s="576">
        <f t="shared" si="226"/>
        <v>86.6666666666667</v>
      </c>
      <c r="AZ690" s="577"/>
      <c r="BI690" s="428">
        <f>I690/13</f>
        <v>160</v>
      </c>
      <c r="BT690" s="578"/>
      <c r="BV690" s="578"/>
      <c r="CK690" s="428">
        <f t="shared" si="222"/>
        <v>0</v>
      </c>
      <c r="CL690" s="428">
        <f t="shared" si="227"/>
        <v>0</v>
      </c>
      <c r="CM690" s="428">
        <f t="shared" si="228"/>
        <v>0</v>
      </c>
      <c r="CN690" s="578"/>
      <c r="CO690" s="578"/>
      <c r="CP690" s="578"/>
      <c r="CT690" s="578"/>
      <c r="CU690" s="578"/>
      <c r="CV690" s="578"/>
      <c r="CW690" s="578"/>
      <c r="CX690" s="578"/>
    </row>
    <row r="691" s="428" customFormat="1" ht="31" customHeight="1" spans="1:102">
      <c r="A691" s="547">
        <v>45905</v>
      </c>
      <c r="B691" s="548" t="s">
        <v>331</v>
      </c>
      <c r="C691" s="539" t="s">
        <v>216</v>
      </c>
      <c r="D691" s="428">
        <v>4500178606</v>
      </c>
      <c r="E691" s="539" t="s">
        <v>4822</v>
      </c>
      <c r="F691" s="428" t="s">
        <v>4823</v>
      </c>
      <c r="G691" s="549" t="s">
        <v>3165</v>
      </c>
      <c r="H691" s="549" t="s">
        <v>3303</v>
      </c>
      <c r="I691" s="549">
        <v>1000</v>
      </c>
      <c r="J691" s="549">
        <v>0</v>
      </c>
      <c r="K691" s="549">
        <v>25</v>
      </c>
      <c r="L691" s="554">
        <f t="shared" si="223"/>
        <v>40</v>
      </c>
      <c r="M691" s="555">
        <v>45950</v>
      </c>
      <c r="N691" s="555">
        <v>45946</v>
      </c>
      <c r="O691" s="556"/>
      <c r="P691" s="556" t="s">
        <v>103</v>
      </c>
      <c r="Q691" s="549"/>
      <c r="R691" s="562">
        <v>45905</v>
      </c>
      <c r="S691" s="562" t="s">
        <v>66</v>
      </c>
      <c r="T691" s="562" t="s">
        <v>4824</v>
      </c>
      <c r="U691" s="562"/>
      <c r="V691" s="566" t="s">
        <v>4825</v>
      </c>
      <c r="W691" s="564" t="s">
        <v>269</v>
      </c>
      <c r="X691" s="567">
        <v>0.9781</v>
      </c>
      <c r="Y691" s="513">
        <f t="shared" si="229"/>
        <v>978.1</v>
      </c>
      <c r="Z691" s="549" t="s">
        <v>4826</v>
      </c>
      <c r="AA691" s="549" t="s">
        <v>3165</v>
      </c>
      <c r="AB691" s="549" t="s">
        <v>76</v>
      </c>
      <c r="AC691" s="549"/>
      <c r="AD691" s="549"/>
      <c r="AE691" s="549"/>
      <c r="AF691" s="549">
        <v>1000</v>
      </c>
      <c r="AG691" s="549">
        <f t="shared" si="225"/>
        <v>0</v>
      </c>
      <c r="AH691" s="575"/>
      <c r="AI691" s="549"/>
      <c r="AJ691" s="549"/>
      <c r="AK691" s="549"/>
      <c r="AL691" s="568">
        <f>I691</f>
        <v>1000</v>
      </c>
      <c r="AQ691" s="428">
        <f>I691</f>
        <v>1000</v>
      </c>
      <c r="AR691" s="568"/>
      <c r="AS691" s="568">
        <f>I691</f>
        <v>1000</v>
      </c>
      <c r="AT691" s="578"/>
      <c r="AU691" s="568"/>
      <c r="AY691" s="576">
        <f>I691/24*2</f>
        <v>83.3333333333333</v>
      </c>
      <c r="AZ691" s="577"/>
      <c r="BL691" s="428">
        <f>I691/25</f>
        <v>40</v>
      </c>
      <c r="BT691" s="578"/>
      <c r="BV691" s="578"/>
      <c r="CK691" s="428">
        <f t="shared" si="222"/>
        <v>40</v>
      </c>
      <c r="CL691" s="428">
        <f t="shared" si="227"/>
        <v>0</v>
      </c>
      <c r="CM691" s="428">
        <f t="shared" si="228"/>
        <v>0</v>
      </c>
      <c r="CN691" s="578"/>
      <c r="CO691" s="578"/>
      <c r="CP691" s="578"/>
      <c r="CT691" s="578"/>
      <c r="CU691" s="578"/>
      <c r="CV691" s="578"/>
      <c r="CW691" s="578"/>
      <c r="CX691" s="578"/>
    </row>
    <row r="692" s="428" customFormat="1" ht="31" customHeight="1" spans="1:102">
      <c r="A692" s="547">
        <v>45912</v>
      </c>
      <c r="B692" s="548" t="s">
        <v>128</v>
      </c>
      <c r="C692" s="539" t="s">
        <v>90</v>
      </c>
      <c r="D692" s="428">
        <v>4500179417</v>
      </c>
      <c r="E692" s="887" t="s">
        <v>4827</v>
      </c>
      <c r="F692" s="428" t="s">
        <v>4828</v>
      </c>
      <c r="G692" s="549" t="s">
        <v>3180</v>
      </c>
      <c r="H692" s="549" t="s">
        <v>3181</v>
      </c>
      <c r="I692" s="549">
        <v>19200</v>
      </c>
      <c r="J692" s="549">
        <v>0</v>
      </c>
      <c r="K692" s="549">
        <v>16</v>
      </c>
      <c r="L692" s="554">
        <f t="shared" si="223"/>
        <v>1200</v>
      </c>
      <c r="M692" s="558">
        <v>45945</v>
      </c>
      <c r="N692" s="555">
        <v>45943</v>
      </c>
      <c r="O692" s="565" t="s">
        <v>4785</v>
      </c>
      <c r="P692" s="556" t="s">
        <v>103</v>
      </c>
      <c r="Q692" s="549" t="s">
        <v>1694</v>
      </c>
      <c r="R692" s="562" t="s">
        <v>4194</v>
      </c>
      <c r="S692" s="562" t="s">
        <v>66</v>
      </c>
      <c r="T692" s="562" t="s">
        <v>133</v>
      </c>
      <c r="U692" s="562"/>
      <c r="V692" s="564" t="s">
        <v>4195</v>
      </c>
      <c r="W692" s="564" t="s">
        <v>98</v>
      </c>
      <c r="X692" s="564">
        <v>0.5905</v>
      </c>
      <c r="Y692" s="513">
        <f t="shared" si="229"/>
        <v>11337.6</v>
      </c>
      <c r="Z692" s="549" t="s">
        <v>4829</v>
      </c>
      <c r="AA692" s="549" t="s">
        <v>3180</v>
      </c>
      <c r="AB692" s="549" t="s">
        <v>76</v>
      </c>
      <c r="AC692" s="549"/>
      <c r="AD692" s="549"/>
      <c r="AE692" s="549"/>
      <c r="AF692" s="549">
        <v>19200</v>
      </c>
      <c r="AG692" s="549">
        <f t="shared" si="225"/>
        <v>0</v>
      </c>
      <c r="AH692" s="575"/>
      <c r="AI692" s="549"/>
      <c r="AJ692" s="549"/>
      <c r="AK692" s="549">
        <f>I692</f>
        <v>19200</v>
      </c>
      <c r="AL692" s="568"/>
      <c r="AM692" s="428">
        <f>I692</f>
        <v>19200</v>
      </c>
      <c r="AR692" s="428">
        <f>I692</f>
        <v>19200</v>
      </c>
      <c r="AS692" s="568"/>
      <c r="AT692" s="578"/>
      <c r="AU692" s="568"/>
      <c r="AY692" s="576">
        <f t="shared" ref="AY692:AY699" si="230">I692/24</f>
        <v>800</v>
      </c>
      <c r="AZ692" s="577"/>
      <c r="BM692" s="428">
        <f>I692/16</f>
        <v>1200</v>
      </c>
      <c r="BT692" s="578"/>
      <c r="BV692" s="578"/>
      <c r="CK692" s="428">
        <f t="shared" si="222"/>
        <v>1200</v>
      </c>
      <c r="CL692" s="428">
        <f t="shared" si="227"/>
        <v>0</v>
      </c>
      <c r="CM692" s="428">
        <f t="shared" si="228"/>
        <v>0</v>
      </c>
      <c r="CN692" s="578"/>
      <c r="CO692" s="578"/>
      <c r="CP692" s="578"/>
      <c r="CT692" s="578"/>
      <c r="CU692" s="578"/>
      <c r="CV692" s="578"/>
      <c r="CW692" s="578"/>
      <c r="CX692" s="578"/>
    </row>
    <row r="693" s="428" customFormat="1" ht="31" customHeight="1" spans="1:102">
      <c r="A693" s="547">
        <v>45912</v>
      </c>
      <c r="B693" s="548" t="s">
        <v>128</v>
      </c>
      <c r="C693" s="539" t="s">
        <v>90</v>
      </c>
      <c r="D693" s="428">
        <v>4500179417</v>
      </c>
      <c r="E693" s="887" t="s">
        <v>4830</v>
      </c>
      <c r="F693" s="428" t="s">
        <v>4831</v>
      </c>
      <c r="G693" s="549" t="s">
        <v>3180</v>
      </c>
      <c r="H693" s="549" t="s">
        <v>3181</v>
      </c>
      <c r="I693" s="549">
        <v>13440</v>
      </c>
      <c r="J693" s="549">
        <v>0</v>
      </c>
      <c r="K693" s="549">
        <v>16</v>
      </c>
      <c r="L693" s="554">
        <f t="shared" si="223"/>
        <v>840</v>
      </c>
      <c r="M693" s="558">
        <v>45945</v>
      </c>
      <c r="N693" s="555">
        <v>45943</v>
      </c>
      <c r="O693" s="565" t="s">
        <v>4785</v>
      </c>
      <c r="P693" s="556" t="s">
        <v>103</v>
      </c>
      <c r="Q693" s="549" t="s">
        <v>1694</v>
      </c>
      <c r="R693" s="562" t="s">
        <v>4194</v>
      </c>
      <c r="S693" s="562" t="s">
        <v>66</v>
      </c>
      <c r="T693" s="562" t="s">
        <v>133</v>
      </c>
      <c r="U693" s="562"/>
      <c r="V693" s="564" t="s">
        <v>4195</v>
      </c>
      <c r="W693" s="564" t="s">
        <v>98</v>
      </c>
      <c r="X693" s="564">
        <v>0.5905</v>
      </c>
      <c r="Y693" s="513">
        <f t="shared" si="229"/>
        <v>7936.32</v>
      </c>
      <c r="Z693" s="549" t="s">
        <v>4832</v>
      </c>
      <c r="AA693" s="549" t="s">
        <v>3180</v>
      </c>
      <c r="AB693" s="549" t="s">
        <v>76</v>
      </c>
      <c r="AC693" s="549"/>
      <c r="AD693" s="549"/>
      <c r="AE693" s="549"/>
      <c r="AF693" s="549">
        <f>2112+11328</f>
        <v>13440</v>
      </c>
      <c r="AG693" s="549">
        <f t="shared" si="225"/>
        <v>0</v>
      </c>
      <c r="AH693" s="575"/>
      <c r="AI693" s="549"/>
      <c r="AJ693" s="549"/>
      <c r="AK693" s="549">
        <f>I693</f>
        <v>13440</v>
      </c>
      <c r="AL693" s="568"/>
      <c r="AM693" s="428">
        <f>I693</f>
        <v>13440</v>
      </c>
      <c r="AR693" s="428">
        <f>I693</f>
        <v>13440</v>
      </c>
      <c r="AS693" s="568"/>
      <c r="AT693" s="578"/>
      <c r="AU693" s="568"/>
      <c r="AY693" s="576">
        <f t="shared" si="230"/>
        <v>560</v>
      </c>
      <c r="AZ693" s="577"/>
      <c r="BM693" s="428">
        <f>I693/16</f>
        <v>840</v>
      </c>
      <c r="BT693" s="578"/>
      <c r="BV693" s="578"/>
      <c r="CK693" s="428">
        <f t="shared" si="222"/>
        <v>840</v>
      </c>
      <c r="CL693" s="428">
        <f t="shared" si="227"/>
        <v>0</v>
      </c>
      <c r="CM693" s="428">
        <f t="shared" si="228"/>
        <v>0</v>
      </c>
      <c r="CN693" s="578"/>
      <c r="CO693" s="578"/>
      <c r="CP693" s="578"/>
      <c r="CT693" s="578"/>
      <c r="CU693" s="578"/>
      <c r="CV693" s="578"/>
      <c r="CW693" s="578"/>
      <c r="CX693" s="578"/>
    </row>
    <row r="694" s="428" customFormat="1" ht="31" customHeight="1" spans="1:102">
      <c r="A694" s="547">
        <v>45912</v>
      </c>
      <c r="B694" s="548" t="s">
        <v>128</v>
      </c>
      <c r="C694" s="539" t="s">
        <v>90</v>
      </c>
      <c r="D694" s="428">
        <v>4500179417</v>
      </c>
      <c r="E694" s="887" t="s">
        <v>4833</v>
      </c>
      <c r="F694" s="428" t="s">
        <v>4834</v>
      </c>
      <c r="G694" s="549" t="s">
        <v>3180</v>
      </c>
      <c r="H694" s="549" t="s">
        <v>3181</v>
      </c>
      <c r="I694" s="549">
        <v>10560</v>
      </c>
      <c r="J694" s="549">
        <v>0</v>
      </c>
      <c r="K694" s="549">
        <v>16</v>
      </c>
      <c r="L694" s="554">
        <f t="shared" si="223"/>
        <v>660</v>
      </c>
      <c r="M694" s="558">
        <v>45945</v>
      </c>
      <c r="N694" s="555">
        <v>45943</v>
      </c>
      <c r="O694" s="565" t="s">
        <v>4785</v>
      </c>
      <c r="P694" s="556" t="s">
        <v>103</v>
      </c>
      <c r="Q694" s="549" t="s">
        <v>1694</v>
      </c>
      <c r="R694" s="562" t="s">
        <v>4194</v>
      </c>
      <c r="S694" s="562" t="s">
        <v>66</v>
      </c>
      <c r="T694" s="562" t="s">
        <v>133</v>
      </c>
      <c r="U694" s="562"/>
      <c r="V694" s="564" t="s">
        <v>4195</v>
      </c>
      <c r="W694" s="564" t="s">
        <v>98</v>
      </c>
      <c r="X694" s="564">
        <v>0.5905</v>
      </c>
      <c r="Y694" s="513">
        <f t="shared" si="229"/>
        <v>6235.68</v>
      </c>
      <c r="Z694" s="549" t="s">
        <v>4835</v>
      </c>
      <c r="AA694" s="549" t="s">
        <v>3180</v>
      </c>
      <c r="AB694" s="549" t="s">
        <v>76</v>
      </c>
      <c r="AC694" s="549"/>
      <c r="AD694" s="549"/>
      <c r="AE694" s="549"/>
      <c r="AF694" s="549">
        <v>10560</v>
      </c>
      <c r="AG694" s="549">
        <f t="shared" si="225"/>
        <v>0</v>
      </c>
      <c r="AH694" s="575"/>
      <c r="AI694" s="549"/>
      <c r="AJ694" s="549"/>
      <c r="AK694" s="549">
        <f>I694</f>
        <v>10560</v>
      </c>
      <c r="AL694" s="568"/>
      <c r="AM694" s="428">
        <f>I694</f>
        <v>10560</v>
      </c>
      <c r="AR694" s="428">
        <f>I694</f>
        <v>10560</v>
      </c>
      <c r="AS694" s="568"/>
      <c r="AT694" s="578"/>
      <c r="AU694" s="568"/>
      <c r="AY694" s="576">
        <f t="shared" si="230"/>
        <v>440</v>
      </c>
      <c r="AZ694" s="577"/>
      <c r="BM694" s="428">
        <f>I694/16</f>
        <v>660</v>
      </c>
      <c r="BT694" s="578"/>
      <c r="BV694" s="578"/>
      <c r="CK694" s="428">
        <f t="shared" si="222"/>
        <v>660</v>
      </c>
      <c r="CL694" s="428">
        <f t="shared" si="227"/>
        <v>0</v>
      </c>
      <c r="CM694" s="428">
        <f t="shared" si="228"/>
        <v>0</v>
      </c>
      <c r="CN694" s="578"/>
      <c r="CO694" s="578"/>
      <c r="CP694" s="578"/>
      <c r="CT694" s="578"/>
      <c r="CU694" s="578"/>
      <c r="CV694" s="578"/>
      <c r="CW694" s="578"/>
      <c r="CX694" s="578"/>
    </row>
    <row r="695" s="428" customFormat="1" ht="31" customHeight="1" spans="1:102">
      <c r="A695" s="547">
        <v>45919</v>
      </c>
      <c r="B695" s="548" t="s">
        <v>128</v>
      </c>
      <c r="C695" s="539" t="s">
        <v>90</v>
      </c>
      <c r="D695" s="428">
        <v>4500179943</v>
      </c>
      <c r="E695" s="887" t="s">
        <v>4836</v>
      </c>
      <c r="F695" s="428" t="s">
        <v>4837</v>
      </c>
      <c r="G695" s="549" t="s">
        <v>3180</v>
      </c>
      <c r="H695" s="549" t="s">
        <v>3181</v>
      </c>
      <c r="I695" s="559">
        <v>21120</v>
      </c>
      <c r="J695" s="549">
        <v>0</v>
      </c>
      <c r="K695" s="549">
        <v>16</v>
      </c>
      <c r="L695" s="554">
        <f t="shared" si="223"/>
        <v>1320</v>
      </c>
      <c r="M695" s="558">
        <v>45950</v>
      </c>
      <c r="N695" s="558">
        <v>45946</v>
      </c>
      <c r="O695" s="556" t="s">
        <v>4838</v>
      </c>
      <c r="P695" s="556" t="s">
        <v>103</v>
      </c>
      <c r="Q695" s="549" t="s">
        <v>1694</v>
      </c>
      <c r="R695" s="562" t="s">
        <v>4194</v>
      </c>
      <c r="S695" s="562" t="s">
        <v>66</v>
      </c>
      <c r="T695" s="562" t="s">
        <v>133</v>
      </c>
      <c r="U695" s="562"/>
      <c r="V695" s="564" t="s">
        <v>4839</v>
      </c>
      <c r="W695" s="564" t="s">
        <v>98</v>
      </c>
      <c r="X695" s="564">
        <v>0.5671</v>
      </c>
      <c r="Y695" s="513">
        <f t="shared" si="229"/>
        <v>11977.152</v>
      </c>
      <c r="Z695" s="549" t="s">
        <v>4840</v>
      </c>
      <c r="AA695" s="549" t="s">
        <v>3180</v>
      </c>
      <c r="AB695" s="549" t="s">
        <v>76</v>
      </c>
      <c r="AC695" s="549"/>
      <c r="AD695" s="549"/>
      <c r="AE695" s="549"/>
      <c r="AF695" s="549">
        <f>10208+32+10880</f>
        <v>21120</v>
      </c>
      <c r="AG695" s="549">
        <f t="shared" si="225"/>
        <v>0</v>
      </c>
      <c r="AH695" s="575"/>
      <c r="AI695" s="549"/>
      <c r="AJ695" s="549"/>
      <c r="AK695" s="549">
        <f>I695</f>
        <v>21120</v>
      </c>
      <c r="AL695" s="568"/>
      <c r="AM695" s="428">
        <f>I695</f>
        <v>21120</v>
      </c>
      <c r="AR695" s="428">
        <f>I695</f>
        <v>21120</v>
      </c>
      <c r="AT695" s="578"/>
      <c r="AU695" s="568"/>
      <c r="AY695" s="576">
        <f t="shared" si="230"/>
        <v>880</v>
      </c>
      <c r="AZ695" s="577"/>
      <c r="BM695" s="428">
        <f>I695/16</f>
        <v>1320</v>
      </c>
      <c r="BT695" s="578"/>
      <c r="BV695" s="578"/>
      <c r="CK695" s="428">
        <f t="shared" si="222"/>
        <v>1320</v>
      </c>
      <c r="CL695" s="428">
        <f t="shared" si="227"/>
        <v>0</v>
      </c>
      <c r="CM695" s="428">
        <f t="shared" si="228"/>
        <v>0</v>
      </c>
      <c r="CN695" s="578"/>
      <c r="CO695" s="578"/>
      <c r="CP695" s="578"/>
      <c r="CT695" s="578"/>
      <c r="CU695" s="578"/>
      <c r="CV695" s="578"/>
      <c r="CW695" s="578"/>
      <c r="CX695" s="578"/>
    </row>
    <row r="696" s="428" customFormat="1" ht="31" customHeight="1" spans="1:102">
      <c r="A696" s="547">
        <v>45919</v>
      </c>
      <c r="B696" s="548" t="s">
        <v>128</v>
      </c>
      <c r="C696" s="539" t="s">
        <v>90</v>
      </c>
      <c r="D696" s="428">
        <v>4500179943</v>
      </c>
      <c r="E696" s="887" t="s">
        <v>4841</v>
      </c>
      <c r="F696" s="428" t="s">
        <v>4842</v>
      </c>
      <c r="G696" s="549" t="s">
        <v>3180</v>
      </c>
      <c r="H696" s="549" t="s">
        <v>3181</v>
      </c>
      <c r="I696" s="559">
        <v>5760</v>
      </c>
      <c r="J696" s="549">
        <v>0</v>
      </c>
      <c r="K696" s="549">
        <v>16</v>
      </c>
      <c r="L696" s="554">
        <f t="shared" si="223"/>
        <v>360</v>
      </c>
      <c r="M696" s="558">
        <v>45951</v>
      </c>
      <c r="N696" s="558">
        <v>45947</v>
      </c>
      <c r="O696" s="556" t="s">
        <v>4843</v>
      </c>
      <c r="P696" s="556" t="s">
        <v>103</v>
      </c>
      <c r="Q696" s="549" t="s">
        <v>1694</v>
      </c>
      <c r="R696" s="562" t="s">
        <v>4194</v>
      </c>
      <c r="S696" s="562" t="s">
        <v>66</v>
      </c>
      <c r="T696" s="562" t="s">
        <v>133</v>
      </c>
      <c r="U696" s="562"/>
      <c r="V696" s="564" t="s">
        <v>4839</v>
      </c>
      <c r="W696" s="564" t="s">
        <v>98</v>
      </c>
      <c r="X696" s="564">
        <v>0.5671</v>
      </c>
      <c r="Y696" s="513">
        <f t="shared" si="229"/>
        <v>3266.496</v>
      </c>
      <c r="Z696" s="549" t="s">
        <v>4844</v>
      </c>
      <c r="AA696" s="549" t="s">
        <v>3180</v>
      </c>
      <c r="AB696" s="549" t="s">
        <v>76</v>
      </c>
      <c r="AC696" s="549"/>
      <c r="AD696" s="549"/>
      <c r="AE696" s="549"/>
      <c r="AF696" s="549">
        <f>32+5728</f>
        <v>5760</v>
      </c>
      <c r="AG696" s="549">
        <f t="shared" si="225"/>
        <v>0</v>
      </c>
      <c r="AH696" s="575"/>
      <c r="AI696" s="549"/>
      <c r="AJ696" s="549"/>
      <c r="AK696" s="549">
        <f>I696</f>
        <v>5760</v>
      </c>
      <c r="AL696" s="568"/>
      <c r="AM696" s="428">
        <f>I696</f>
        <v>5760</v>
      </c>
      <c r="AR696" s="428">
        <f>I696</f>
        <v>5760</v>
      </c>
      <c r="AT696" s="578"/>
      <c r="AU696" s="568"/>
      <c r="AY696" s="576">
        <f t="shared" si="230"/>
        <v>240</v>
      </c>
      <c r="AZ696" s="577"/>
      <c r="BM696" s="428">
        <f>I696/16</f>
        <v>360</v>
      </c>
      <c r="BT696" s="578"/>
      <c r="BV696" s="578"/>
      <c r="CK696" s="428">
        <f t="shared" si="222"/>
        <v>360</v>
      </c>
      <c r="CL696" s="428">
        <f t="shared" si="227"/>
        <v>0</v>
      </c>
      <c r="CM696" s="428">
        <f t="shared" si="228"/>
        <v>0</v>
      </c>
      <c r="CN696" s="578"/>
      <c r="CO696" s="578"/>
      <c r="CP696" s="578"/>
      <c r="CT696" s="578"/>
      <c r="CU696" s="578"/>
      <c r="CV696" s="578"/>
      <c r="CW696" s="578"/>
      <c r="CX696" s="578"/>
    </row>
    <row r="697" s="428" customFormat="1" ht="31" customHeight="1" spans="1:102">
      <c r="A697" s="547">
        <v>45902</v>
      </c>
      <c r="B697" s="548" t="s">
        <v>1877</v>
      </c>
      <c r="C697" s="539" t="s">
        <v>356</v>
      </c>
      <c r="D697" s="428">
        <v>4500178401</v>
      </c>
      <c r="E697" s="539">
        <v>5200007619</v>
      </c>
      <c r="F697" s="428" t="s">
        <v>4845</v>
      </c>
      <c r="G697" s="549" t="s">
        <v>3560</v>
      </c>
      <c r="H697" s="549" t="s">
        <v>3194</v>
      </c>
      <c r="I697" s="549">
        <v>3000</v>
      </c>
      <c r="J697" s="549">
        <v>0</v>
      </c>
      <c r="K697" s="549">
        <v>30</v>
      </c>
      <c r="L697" s="554">
        <f t="shared" si="223"/>
        <v>100</v>
      </c>
      <c r="M697" s="555">
        <v>45957</v>
      </c>
      <c r="N697" s="555">
        <v>45953</v>
      </c>
      <c r="O697" s="556"/>
      <c r="P697" s="556" t="s">
        <v>103</v>
      </c>
      <c r="Q697" s="565">
        <v>45956</v>
      </c>
      <c r="R697" s="562">
        <v>45924</v>
      </c>
      <c r="S697" s="562" t="s">
        <v>66</v>
      </c>
      <c r="T697" s="562" t="s">
        <v>3441</v>
      </c>
      <c r="U697" s="562"/>
      <c r="V697" s="564" t="s">
        <v>4846</v>
      </c>
      <c r="W697" s="564" t="s">
        <v>391</v>
      </c>
      <c r="X697" s="564">
        <v>40.6757</v>
      </c>
      <c r="Y697" s="513">
        <f>X697*L697</f>
        <v>4067.57</v>
      </c>
      <c r="Z697" s="549"/>
      <c r="AA697" s="549" t="s">
        <v>3328</v>
      </c>
      <c r="AB697" s="549" t="s">
        <v>76</v>
      </c>
      <c r="AC697" s="549"/>
      <c r="AD697" s="549"/>
      <c r="AE697" s="549"/>
      <c r="AF697" s="549">
        <v>3000</v>
      </c>
      <c r="AG697" s="549">
        <f t="shared" si="225"/>
        <v>0</v>
      </c>
      <c r="AH697" s="575"/>
      <c r="AI697" s="549"/>
      <c r="AJ697" s="549"/>
      <c r="AK697" s="549"/>
      <c r="AL697" s="568">
        <f>I697</f>
        <v>3000</v>
      </c>
      <c r="AQ697" s="428">
        <f>I697</f>
        <v>3000</v>
      </c>
      <c r="AR697" s="568"/>
      <c r="AS697" s="428">
        <f>I697</f>
        <v>3000</v>
      </c>
      <c r="AT697" s="578"/>
      <c r="AU697" s="568"/>
      <c r="AY697" s="576">
        <f t="shared" si="230"/>
        <v>125</v>
      </c>
      <c r="AZ697" s="577"/>
      <c r="BT697" s="578"/>
      <c r="BV697" s="578"/>
      <c r="CF697" s="428">
        <f>I697/30</f>
        <v>100</v>
      </c>
      <c r="CK697" s="428">
        <f t="shared" si="222"/>
        <v>0</v>
      </c>
      <c r="CL697" s="428">
        <f t="shared" si="227"/>
        <v>100</v>
      </c>
      <c r="CM697" s="428">
        <f t="shared" si="228"/>
        <v>0</v>
      </c>
      <c r="CN697" s="578"/>
      <c r="CO697" s="578"/>
      <c r="CP697" s="578"/>
      <c r="CT697" s="578"/>
      <c r="CU697" s="578"/>
      <c r="CV697" s="578"/>
      <c r="CW697" s="578"/>
      <c r="CX697" s="578"/>
    </row>
    <row r="698" s="428" customFormat="1" ht="31" customHeight="1" spans="1:102">
      <c r="A698" s="547">
        <v>45902</v>
      </c>
      <c r="B698" s="548" t="s">
        <v>1877</v>
      </c>
      <c r="C698" s="539" t="s">
        <v>356</v>
      </c>
      <c r="D698" s="428">
        <v>4500178401</v>
      </c>
      <c r="E698" s="539">
        <v>5200007619</v>
      </c>
      <c r="F698" s="428" t="s">
        <v>4847</v>
      </c>
      <c r="G698" s="549" t="s">
        <v>3231</v>
      </c>
      <c r="H698" s="549" t="s">
        <v>3207</v>
      </c>
      <c r="I698" s="549">
        <v>7540</v>
      </c>
      <c r="J698" s="549">
        <v>0</v>
      </c>
      <c r="K698" s="549">
        <v>13</v>
      </c>
      <c r="L698" s="554">
        <f t="shared" si="223"/>
        <v>580</v>
      </c>
      <c r="M698" s="555">
        <v>45957</v>
      </c>
      <c r="N698" s="555">
        <v>45953</v>
      </c>
      <c r="O698" s="556" t="s">
        <v>4848</v>
      </c>
      <c r="P698" s="556" t="s">
        <v>103</v>
      </c>
      <c r="Q698" s="549"/>
      <c r="R698" s="562">
        <v>45924</v>
      </c>
      <c r="S698" s="562" t="s">
        <v>66</v>
      </c>
      <c r="T698" s="562" t="s">
        <v>3441</v>
      </c>
      <c r="U698" s="562" t="s">
        <v>4849</v>
      </c>
      <c r="V698" s="564" t="s">
        <v>4850</v>
      </c>
      <c r="W698" s="564" t="s">
        <v>391</v>
      </c>
      <c r="X698" s="567">
        <v>0.9116</v>
      </c>
      <c r="Y698" s="513">
        <f>X698*I698</f>
        <v>6873.464</v>
      </c>
      <c r="Z698" s="549"/>
      <c r="AA698" s="549" t="s">
        <v>3206</v>
      </c>
      <c r="AB698" s="549" t="s">
        <v>76</v>
      </c>
      <c r="AC698" s="549"/>
      <c r="AD698" s="549"/>
      <c r="AE698" s="549"/>
      <c r="AF698" s="549">
        <v>7540</v>
      </c>
      <c r="AG698" s="549">
        <f t="shared" si="225"/>
        <v>0</v>
      </c>
      <c r="AH698" s="575"/>
      <c r="AI698" s="549"/>
      <c r="AJ698" s="549"/>
      <c r="AK698" s="549"/>
      <c r="AL698" s="568">
        <f>I698</f>
        <v>7540</v>
      </c>
      <c r="AQ698" s="428">
        <f>I698</f>
        <v>7540</v>
      </c>
      <c r="AR698" s="568"/>
      <c r="AS698" s="568">
        <f>I698</f>
        <v>7540</v>
      </c>
      <c r="AT698" s="578"/>
      <c r="AU698" s="568"/>
      <c r="AY698" s="576">
        <f t="shared" si="230"/>
        <v>314.166666666667</v>
      </c>
      <c r="AZ698" s="577"/>
      <c r="BI698" s="428">
        <f>I698/13</f>
        <v>580</v>
      </c>
      <c r="BT698" s="578"/>
      <c r="BV698" s="578"/>
      <c r="CK698" s="428">
        <f t="shared" si="222"/>
        <v>0</v>
      </c>
      <c r="CL698" s="428">
        <f t="shared" si="227"/>
        <v>0</v>
      </c>
      <c r="CM698" s="428">
        <f t="shared" si="228"/>
        <v>0</v>
      </c>
      <c r="CN698" s="578"/>
      <c r="CO698" s="578"/>
      <c r="CP698" s="578"/>
      <c r="CT698" s="578"/>
      <c r="CU698" s="578"/>
      <c r="CV698" s="578"/>
      <c r="CW698" s="578"/>
      <c r="CX698" s="578"/>
    </row>
    <row r="699" s="428" customFormat="1" ht="31" customHeight="1" spans="1:102">
      <c r="A699" s="547">
        <v>45902</v>
      </c>
      <c r="B699" s="548" t="s">
        <v>1877</v>
      </c>
      <c r="C699" s="539" t="s">
        <v>356</v>
      </c>
      <c r="D699" s="428">
        <v>4500178401</v>
      </c>
      <c r="E699" s="539">
        <v>5200007619</v>
      </c>
      <c r="F699" s="428" t="s">
        <v>1881</v>
      </c>
      <c r="G699" s="549" t="s">
        <v>3459</v>
      </c>
      <c r="H699" s="549" t="s">
        <v>424</v>
      </c>
      <c r="I699" s="549">
        <v>1500</v>
      </c>
      <c r="J699" s="549">
        <v>0</v>
      </c>
      <c r="K699" s="549">
        <v>6</v>
      </c>
      <c r="L699" s="554">
        <f t="shared" si="223"/>
        <v>250</v>
      </c>
      <c r="M699" s="555">
        <v>45957</v>
      </c>
      <c r="N699" s="555">
        <v>45953</v>
      </c>
      <c r="O699" s="556" t="s">
        <v>4851</v>
      </c>
      <c r="P699" s="556" t="s">
        <v>103</v>
      </c>
      <c r="Q699" s="549"/>
      <c r="R699" s="562">
        <v>45924</v>
      </c>
      <c r="S699" s="562" t="s">
        <v>66</v>
      </c>
      <c r="T699" s="562" t="s">
        <v>4852</v>
      </c>
      <c r="U699" s="562"/>
      <c r="V699" s="564" t="s">
        <v>4853</v>
      </c>
      <c r="W699" s="564" t="s">
        <v>391</v>
      </c>
      <c r="X699" s="564">
        <v>6.8326</v>
      </c>
      <c r="Y699" s="513">
        <f>X699*I699</f>
        <v>10248.9</v>
      </c>
      <c r="Z699" s="549"/>
      <c r="AA699" s="549" t="s">
        <v>4854</v>
      </c>
      <c r="AB699" s="549" t="s">
        <v>76</v>
      </c>
      <c r="AC699" s="549"/>
      <c r="AD699" s="549"/>
      <c r="AE699" s="549"/>
      <c r="AF699" s="549">
        <v>1500</v>
      </c>
      <c r="AG699" s="549">
        <f t="shared" si="225"/>
        <v>0</v>
      </c>
      <c r="AH699" s="575"/>
      <c r="AI699" s="549"/>
      <c r="AJ699" s="549"/>
      <c r="AK699" s="549"/>
      <c r="AL699" s="428">
        <f>I699*2</f>
        <v>3000</v>
      </c>
      <c r="AQ699" s="428">
        <f>I699*2</f>
        <v>3000</v>
      </c>
      <c r="AR699" s="568"/>
      <c r="AS699" s="568">
        <f>I699*2</f>
        <v>3000</v>
      </c>
      <c r="AT699" s="578"/>
      <c r="AU699" s="568"/>
      <c r="AY699" s="580">
        <f t="shared" si="230"/>
        <v>62.5</v>
      </c>
      <c r="AZ699" s="577"/>
      <c r="BT699" s="495"/>
      <c r="BU699" s="425">
        <f>I699</f>
        <v>1500</v>
      </c>
      <c r="BV699" s="578"/>
      <c r="CK699" s="428">
        <f t="shared" si="222"/>
        <v>0</v>
      </c>
      <c r="CL699" s="428">
        <f t="shared" si="227"/>
        <v>0</v>
      </c>
      <c r="CM699" s="428">
        <f t="shared" si="228"/>
        <v>0</v>
      </c>
      <c r="CN699" s="578"/>
      <c r="CO699" s="578"/>
      <c r="CP699" s="578"/>
      <c r="CT699" s="578"/>
      <c r="CU699" s="578"/>
      <c r="CV699" s="578"/>
      <c r="CW699" s="578"/>
      <c r="CX699" s="578"/>
    </row>
    <row r="700" s="428" customFormat="1" ht="31" customHeight="1" spans="1:102">
      <c r="A700" s="547">
        <v>45904</v>
      </c>
      <c r="B700" s="548" t="s">
        <v>2211</v>
      </c>
      <c r="C700" s="539" t="s">
        <v>2212</v>
      </c>
      <c r="D700" s="428">
        <v>4500178799</v>
      </c>
      <c r="E700" s="539"/>
      <c r="F700" s="428" t="s">
        <v>4855</v>
      </c>
      <c r="G700" s="549" t="s">
        <v>3541</v>
      </c>
      <c r="H700" s="549" t="s">
        <v>3542</v>
      </c>
      <c r="I700" s="549">
        <v>5000</v>
      </c>
      <c r="J700" s="549">
        <v>0</v>
      </c>
      <c r="K700" s="549">
        <v>50</v>
      </c>
      <c r="L700" s="554">
        <f t="shared" si="223"/>
        <v>100</v>
      </c>
      <c r="M700" s="555">
        <v>45947</v>
      </c>
      <c r="N700" s="555">
        <v>45943</v>
      </c>
      <c r="O700" s="556"/>
      <c r="P700" s="556" t="s">
        <v>103</v>
      </c>
      <c r="Q700" s="549"/>
      <c r="R700" s="562">
        <v>45909</v>
      </c>
      <c r="S700" s="562" t="s">
        <v>66</v>
      </c>
      <c r="T700" s="562">
        <v>45922</v>
      </c>
      <c r="U700" s="562"/>
      <c r="V700" s="564" t="s">
        <v>4856</v>
      </c>
      <c r="W700" s="564" t="s">
        <v>2216</v>
      </c>
      <c r="X700" s="564">
        <v>0.9491</v>
      </c>
      <c r="Y700" s="513">
        <f t="shared" ref="Y700:Y714" si="231">X700*I700</f>
        <v>4745.5</v>
      </c>
      <c r="Z700" s="549"/>
      <c r="AA700" s="549" t="s">
        <v>3541</v>
      </c>
      <c r="AB700" s="549" t="s">
        <v>76</v>
      </c>
      <c r="AC700" s="549"/>
      <c r="AD700" s="549"/>
      <c r="AE700" s="549"/>
      <c r="AF700" s="549">
        <v>5000</v>
      </c>
      <c r="AG700" s="549">
        <f t="shared" si="225"/>
        <v>0</v>
      </c>
      <c r="AH700" s="575"/>
      <c r="AI700" s="549"/>
      <c r="AJ700" s="549"/>
      <c r="AK700" s="549"/>
      <c r="AL700" s="428">
        <f>I700</f>
        <v>5000</v>
      </c>
      <c r="AQ700" s="428">
        <f>I700</f>
        <v>5000</v>
      </c>
      <c r="AR700" s="568"/>
      <c r="AT700" s="578"/>
      <c r="AU700" s="568"/>
      <c r="AW700" s="428">
        <f>I700</f>
        <v>5000</v>
      </c>
      <c r="AY700" s="576">
        <f>I700/24*2</f>
        <v>416.666666666667</v>
      </c>
      <c r="AZ700" s="577"/>
      <c r="BS700" s="428">
        <f>I700/25</f>
        <v>200</v>
      </c>
      <c r="BT700" s="578"/>
      <c r="BV700" s="578"/>
      <c r="CK700" s="428">
        <f t="shared" si="222"/>
        <v>200</v>
      </c>
      <c r="CL700" s="428">
        <f t="shared" si="227"/>
        <v>0</v>
      </c>
      <c r="CM700" s="428">
        <f t="shared" si="228"/>
        <v>0</v>
      </c>
      <c r="CN700" s="578"/>
      <c r="CO700" s="578"/>
      <c r="CP700" s="578"/>
      <c r="CT700" s="578"/>
      <c r="CU700" s="578"/>
      <c r="CV700" s="578"/>
      <c r="CW700" s="578"/>
      <c r="CX700" s="578"/>
    </row>
    <row r="701" s="428" customFormat="1" ht="31" customHeight="1" spans="1:102">
      <c r="A701" s="547">
        <v>45919</v>
      </c>
      <c r="B701" s="548" t="s">
        <v>128</v>
      </c>
      <c r="C701" s="539" t="s">
        <v>90</v>
      </c>
      <c r="D701" s="428">
        <v>4500179943</v>
      </c>
      <c r="E701" s="887" t="s">
        <v>4857</v>
      </c>
      <c r="F701" s="428" t="s">
        <v>4858</v>
      </c>
      <c r="G701" s="549" t="s">
        <v>3180</v>
      </c>
      <c r="H701" s="549" t="s">
        <v>3181</v>
      </c>
      <c r="I701" s="559">
        <v>32640</v>
      </c>
      <c r="J701" s="549">
        <v>0</v>
      </c>
      <c r="K701" s="549">
        <v>16</v>
      </c>
      <c r="L701" s="554">
        <f t="shared" ref="L701:L714" si="232">I701/K701</f>
        <v>2040</v>
      </c>
      <c r="M701" s="558">
        <v>45955</v>
      </c>
      <c r="N701" s="558">
        <v>45951</v>
      </c>
      <c r="O701" s="556" t="s">
        <v>4859</v>
      </c>
      <c r="P701" s="556" t="s">
        <v>103</v>
      </c>
      <c r="Q701" s="549" t="s">
        <v>1694</v>
      </c>
      <c r="R701" s="562" t="s">
        <v>4194</v>
      </c>
      <c r="S701" s="562" t="s">
        <v>66</v>
      </c>
      <c r="T701" s="562" t="s">
        <v>133</v>
      </c>
      <c r="U701" s="562"/>
      <c r="V701" s="564" t="s">
        <v>4839</v>
      </c>
      <c r="W701" s="564" t="s">
        <v>98</v>
      </c>
      <c r="X701" s="564">
        <v>0.5671</v>
      </c>
      <c r="Y701" s="513">
        <f t="shared" si="231"/>
        <v>18510.144</v>
      </c>
      <c r="Z701" s="549" t="s">
        <v>4860</v>
      </c>
      <c r="AA701" s="549" t="s">
        <v>3180</v>
      </c>
      <c r="AB701" s="549" t="s">
        <v>76</v>
      </c>
      <c r="AC701" s="549"/>
      <c r="AD701" s="549"/>
      <c r="AE701" s="549"/>
      <c r="AF701" s="549">
        <f>32624+16</f>
        <v>32640</v>
      </c>
      <c r="AG701" s="549">
        <f t="shared" si="225"/>
        <v>0</v>
      </c>
      <c r="AH701" s="575"/>
      <c r="AI701" s="549"/>
      <c r="AJ701" s="549"/>
      <c r="AK701" s="549">
        <f>I701</f>
        <v>32640</v>
      </c>
      <c r="AL701" s="568"/>
      <c r="AM701" s="428">
        <f>I701</f>
        <v>32640</v>
      </c>
      <c r="AR701" s="428">
        <f>I701</f>
        <v>32640</v>
      </c>
      <c r="AT701" s="578"/>
      <c r="AU701" s="568"/>
      <c r="AY701" s="576">
        <f>I701/24</f>
        <v>1360</v>
      </c>
      <c r="AZ701" s="577"/>
      <c r="BM701" s="428">
        <f>I701/16</f>
        <v>2040</v>
      </c>
      <c r="BT701" s="578"/>
      <c r="BV701" s="578"/>
      <c r="CK701" s="428">
        <f t="shared" si="222"/>
        <v>2040</v>
      </c>
      <c r="CL701" s="428">
        <f t="shared" si="227"/>
        <v>0</v>
      </c>
      <c r="CM701" s="428">
        <f t="shared" si="228"/>
        <v>0</v>
      </c>
      <c r="CN701" s="578"/>
      <c r="CO701" s="578"/>
      <c r="CP701" s="578"/>
      <c r="CT701" s="578"/>
      <c r="CU701" s="578"/>
      <c r="CV701" s="578"/>
      <c r="CW701" s="578"/>
      <c r="CX701" s="578"/>
    </row>
    <row r="702" s="428" customFormat="1" ht="31" customHeight="1" spans="1:102">
      <c r="A702" s="547">
        <v>45919</v>
      </c>
      <c r="B702" s="548" t="s">
        <v>128</v>
      </c>
      <c r="C702" s="539" t="s">
        <v>90</v>
      </c>
      <c r="D702" s="428">
        <v>4500179943</v>
      </c>
      <c r="E702" s="887" t="s">
        <v>4861</v>
      </c>
      <c r="F702" s="428" t="s">
        <v>4862</v>
      </c>
      <c r="G702" s="549" t="s">
        <v>3180</v>
      </c>
      <c r="H702" s="549" t="s">
        <v>3181</v>
      </c>
      <c r="I702" s="559">
        <v>55680</v>
      </c>
      <c r="J702" s="549">
        <v>0</v>
      </c>
      <c r="K702" s="549">
        <v>16</v>
      </c>
      <c r="L702" s="554">
        <f t="shared" si="232"/>
        <v>3480</v>
      </c>
      <c r="M702" s="555">
        <v>45958</v>
      </c>
      <c r="N702" s="555">
        <v>45954</v>
      </c>
      <c r="O702" s="555" t="s">
        <v>4863</v>
      </c>
      <c r="P702" s="556" t="s">
        <v>103</v>
      </c>
      <c r="Q702" s="549" t="s">
        <v>1694</v>
      </c>
      <c r="R702" s="562" t="s">
        <v>4194</v>
      </c>
      <c r="S702" s="562" t="s">
        <v>66</v>
      </c>
      <c r="T702" s="562" t="s">
        <v>133</v>
      </c>
      <c r="U702" s="562"/>
      <c r="V702" s="564" t="s">
        <v>4839</v>
      </c>
      <c r="W702" s="564" t="s">
        <v>98</v>
      </c>
      <c r="X702" s="564">
        <v>0.5671</v>
      </c>
      <c r="Y702" s="513">
        <f t="shared" si="231"/>
        <v>31576.128</v>
      </c>
      <c r="Z702" s="549" t="s">
        <v>4864</v>
      </c>
      <c r="AA702" s="549" t="s">
        <v>3180</v>
      </c>
      <c r="AB702" s="549" t="s">
        <v>76</v>
      </c>
      <c r="AC702" s="549"/>
      <c r="AD702" s="549"/>
      <c r="AE702" s="549"/>
      <c r="AF702" s="549">
        <f>24752+30912+16</f>
        <v>55680</v>
      </c>
      <c r="AG702" s="549">
        <f t="shared" si="225"/>
        <v>0</v>
      </c>
      <c r="AH702" s="575"/>
      <c r="AI702" s="549"/>
      <c r="AJ702" s="549"/>
      <c r="AK702" s="549">
        <f>I702</f>
        <v>55680</v>
      </c>
      <c r="AL702" s="568"/>
      <c r="AM702" s="428">
        <f>I702</f>
        <v>55680</v>
      </c>
      <c r="AR702" s="428">
        <f>I702</f>
        <v>55680</v>
      </c>
      <c r="AT702" s="578"/>
      <c r="AU702" s="568"/>
      <c r="AY702" s="576">
        <f>I702/24</f>
        <v>2320</v>
      </c>
      <c r="AZ702" s="577"/>
      <c r="BM702" s="428">
        <f>I702/16</f>
        <v>3480</v>
      </c>
      <c r="BT702" s="578"/>
      <c r="BV702" s="578"/>
      <c r="CK702" s="428">
        <f t="shared" si="222"/>
        <v>3480</v>
      </c>
      <c r="CL702" s="428">
        <f t="shared" si="227"/>
        <v>0</v>
      </c>
      <c r="CM702" s="428">
        <f t="shared" si="228"/>
        <v>0</v>
      </c>
      <c r="CN702" s="578"/>
      <c r="CO702" s="578"/>
      <c r="CP702" s="578"/>
      <c r="CT702" s="578"/>
      <c r="CU702" s="578"/>
      <c r="CV702" s="578"/>
      <c r="CW702" s="578"/>
      <c r="CX702" s="578"/>
    </row>
    <row r="703" s="428" customFormat="1" ht="31" customHeight="1" spans="1:102">
      <c r="A703" s="547">
        <v>45919</v>
      </c>
      <c r="B703" s="548" t="s">
        <v>128</v>
      </c>
      <c r="C703" s="539" t="s">
        <v>90</v>
      </c>
      <c r="D703" s="428">
        <v>4500179943</v>
      </c>
      <c r="E703" s="887" t="s">
        <v>4865</v>
      </c>
      <c r="F703" s="428" t="s">
        <v>4866</v>
      </c>
      <c r="G703" s="549" t="s">
        <v>3180</v>
      </c>
      <c r="H703" s="549" t="s">
        <v>3181</v>
      </c>
      <c r="I703" s="559">
        <v>25920</v>
      </c>
      <c r="J703" s="549">
        <v>0</v>
      </c>
      <c r="K703" s="549">
        <v>16</v>
      </c>
      <c r="L703" s="554">
        <f t="shared" si="232"/>
        <v>1620</v>
      </c>
      <c r="M703" s="555">
        <v>45958</v>
      </c>
      <c r="N703" s="555">
        <v>45954</v>
      </c>
      <c r="O703" s="555" t="s">
        <v>4863</v>
      </c>
      <c r="P703" s="556" t="s">
        <v>103</v>
      </c>
      <c r="Q703" s="549" t="s">
        <v>1694</v>
      </c>
      <c r="R703" s="562" t="s">
        <v>4194</v>
      </c>
      <c r="S703" s="562" t="s">
        <v>66</v>
      </c>
      <c r="T703" s="562" t="s">
        <v>133</v>
      </c>
      <c r="U703" s="562"/>
      <c r="V703" s="564" t="s">
        <v>4839</v>
      </c>
      <c r="W703" s="564" t="s">
        <v>98</v>
      </c>
      <c r="X703" s="564">
        <v>0.5671</v>
      </c>
      <c r="Y703" s="513">
        <f t="shared" si="231"/>
        <v>14699.232</v>
      </c>
      <c r="Z703" s="549" t="s">
        <v>4867</v>
      </c>
      <c r="AA703" s="549" t="s">
        <v>3180</v>
      </c>
      <c r="AB703" s="549" t="s">
        <v>76</v>
      </c>
      <c r="AC703" s="549"/>
      <c r="AD703" s="549"/>
      <c r="AE703" s="549"/>
      <c r="AF703" s="549">
        <f>19648+6272</f>
        <v>25920</v>
      </c>
      <c r="AG703" s="549">
        <f t="shared" si="225"/>
        <v>0</v>
      </c>
      <c r="AH703" s="575"/>
      <c r="AI703" s="549"/>
      <c r="AJ703" s="549"/>
      <c r="AK703" s="549">
        <f>I703</f>
        <v>25920</v>
      </c>
      <c r="AL703" s="568"/>
      <c r="AM703" s="428">
        <f>I703</f>
        <v>25920</v>
      </c>
      <c r="AR703" s="428">
        <f>I703</f>
        <v>25920</v>
      </c>
      <c r="AT703" s="578"/>
      <c r="AU703" s="568"/>
      <c r="AY703" s="576">
        <f>I703/24</f>
        <v>1080</v>
      </c>
      <c r="AZ703" s="577"/>
      <c r="BM703" s="428">
        <f>I703/16</f>
        <v>1620</v>
      </c>
      <c r="BT703" s="578"/>
      <c r="BV703" s="578"/>
      <c r="CK703" s="428">
        <f t="shared" si="222"/>
        <v>1620</v>
      </c>
      <c r="CL703" s="428">
        <f t="shared" si="227"/>
        <v>0</v>
      </c>
      <c r="CM703" s="428">
        <f t="shared" si="228"/>
        <v>0</v>
      </c>
      <c r="CN703" s="578"/>
      <c r="CO703" s="578"/>
      <c r="CP703" s="578"/>
      <c r="CT703" s="578"/>
      <c r="CU703" s="578"/>
      <c r="CV703" s="578"/>
      <c r="CW703" s="578"/>
      <c r="CX703" s="578"/>
    </row>
    <row r="704" s="428" customFormat="1" ht="31" customHeight="1" spans="1:102">
      <c r="A704" s="547">
        <v>45919</v>
      </c>
      <c r="B704" s="548" t="s">
        <v>128</v>
      </c>
      <c r="C704" s="539" t="s">
        <v>90</v>
      </c>
      <c r="D704" s="428">
        <v>4500179943</v>
      </c>
      <c r="E704" s="887" t="s">
        <v>4868</v>
      </c>
      <c r="F704" s="428" t="s">
        <v>4869</v>
      </c>
      <c r="G704" s="549" t="s">
        <v>3180</v>
      </c>
      <c r="H704" s="549" t="s">
        <v>3181</v>
      </c>
      <c r="I704" s="559">
        <v>9600</v>
      </c>
      <c r="J704" s="549">
        <v>0</v>
      </c>
      <c r="K704" s="549">
        <v>16</v>
      </c>
      <c r="L704" s="554">
        <f t="shared" si="232"/>
        <v>600</v>
      </c>
      <c r="M704" s="555">
        <v>45958</v>
      </c>
      <c r="N704" s="555">
        <v>45954</v>
      </c>
      <c r="O704" s="555" t="s">
        <v>4863</v>
      </c>
      <c r="P704" s="556" t="s">
        <v>103</v>
      </c>
      <c r="Q704" s="549" t="s">
        <v>1694</v>
      </c>
      <c r="R704" s="562" t="s">
        <v>4194</v>
      </c>
      <c r="S704" s="562" t="s">
        <v>66</v>
      </c>
      <c r="T704" s="562" t="s">
        <v>133</v>
      </c>
      <c r="U704" s="562"/>
      <c r="V704" s="564" t="s">
        <v>4839</v>
      </c>
      <c r="W704" s="564" t="s">
        <v>98</v>
      </c>
      <c r="X704" s="564">
        <v>0.5671</v>
      </c>
      <c r="Y704" s="513">
        <f t="shared" si="231"/>
        <v>5444.16</v>
      </c>
      <c r="Z704" s="549" t="s">
        <v>4870</v>
      </c>
      <c r="AA704" s="549" t="s">
        <v>3180</v>
      </c>
      <c r="AB704" s="549" t="s">
        <v>76</v>
      </c>
      <c r="AC704" s="549"/>
      <c r="AD704" s="549"/>
      <c r="AE704" s="549"/>
      <c r="AF704" s="549">
        <v>9600</v>
      </c>
      <c r="AG704" s="549">
        <f t="shared" si="225"/>
        <v>0</v>
      </c>
      <c r="AH704" s="575"/>
      <c r="AI704" s="549"/>
      <c r="AJ704" s="549"/>
      <c r="AK704" s="549">
        <f>I704</f>
        <v>9600</v>
      </c>
      <c r="AL704" s="568"/>
      <c r="AM704" s="428">
        <f>I704</f>
        <v>9600</v>
      </c>
      <c r="AR704" s="428">
        <f>I704</f>
        <v>9600</v>
      </c>
      <c r="AT704" s="578"/>
      <c r="AU704" s="568"/>
      <c r="AY704" s="576">
        <f>I704/24</f>
        <v>400</v>
      </c>
      <c r="AZ704" s="577"/>
      <c r="BM704" s="428">
        <f>I704/16</f>
        <v>600</v>
      </c>
      <c r="BT704" s="578"/>
      <c r="BV704" s="578"/>
      <c r="CK704" s="428">
        <f t="shared" si="222"/>
        <v>600</v>
      </c>
      <c r="CL704" s="428">
        <f t="shared" si="227"/>
        <v>0</v>
      </c>
      <c r="CM704" s="428">
        <f t="shared" si="228"/>
        <v>0</v>
      </c>
      <c r="CN704" s="578"/>
      <c r="CO704" s="578"/>
      <c r="CP704" s="578"/>
      <c r="CT704" s="578"/>
      <c r="CU704" s="578"/>
      <c r="CV704" s="578"/>
      <c r="CW704" s="578"/>
      <c r="CX704" s="578"/>
    </row>
    <row r="705" s="428" customFormat="1" ht="31" customHeight="1" spans="1:102">
      <c r="A705" s="547">
        <v>45919</v>
      </c>
      <c r="B705" s="548" t="s">
        <v>128</v>
      </c>
      <c r="C705" s="539" t="s">
        <v>90</v>
      </c>
      <c r="D705" s="428">
        <v>4500179943</v>
      </c>
      <c r="E705" s="887" t="s">
        <v>4871</v>
      </c>
      <c r="F705" s="428" t="s">
        <v>4872</v>
      </c>
      <c r="G705" s="549" t="s">
        <v>3180</v>
      </c>
      <c r="H705" s="549" t="s">
        <v>3181</v>
      </c>
      <c r="I705" s="559">
        <v>43200</v>
      </c>
      <c r="J705" s="549">
        <v>0</v>
      </c>
      <c r="K705" s="549">
        <v>16</v>
      </c>
      <c r="L705" s="554">
        <f t="shared" si="232"/>
        <v>2700</v>
      </c>
      <c r="M705" s="555">
        <v>45958</v>
      </c>
      <c r="N705" s="555">
        <v>45954</v>
      </c>
      <c r="O705" s="555" t="s">
        <v>4863</v>
      </c>
      <c r="P705" s="556" t="s">
        <v>103</v>
      </c>
      <c r="Q705" s="549" t="s">
        <v>1694</v>
      </c>
      <c r="R705" s="562" t="s">
        <v>4194</v>
      </c>
      <c r="S705" s="562" t="s">
        <v>66</v>
      </c>
      <c r="T705" s="562" t="s">
        <v>133</v>
      </c>
      <c r="U705" s="562"/>
      <c r="V705" s="564" t="s">
        <v>4839</v>
      </c>
      <c r="W705" s="564" t="s">
        <v>98</v>
      </c>
      <c r="X705" s="564">
        <v>0.5671</v>
      </c>
      <c r="Y705" s="513">
        <f t="shared" si="231"/>
        <v>24498.72</v>
      </c>
      <c r="Z705" s="549" t="s">
        <v>4873</v>
      </c>
      <c r="AA705" s="549" t="s">
        <v>3180</v>
      </c>
      <c r="AB705" s="549" t="s">
        <v>76</v>
      </c>
      <c r="AC705" s="549"/>
      <c r="AD705" s="549"/>
      <c r="AE705" s="549"/>
      <c r="AF705" s="549">
        <f>160+22720+20320</f>
        <v>43200</v>
      </c>
      <c r="AG705" s="549">
        <f t="shared" si="225"/>
        <v>0</v>
      </c>
      <c r="AH705" s="575"/>
      <c r="AI705" s="549"/>
      <c r="AJ705" s="549"/>
      <c r="AK705" s="549">
        <f>I705</f>
        <v>43200</v>
      </c>
      <c r="AL705" s="568"/>
      <c r="AM705" s="428">
        <f>I705</f>
        <v>43200</v>
      </c>
      <c r="AR705" s="428">
        <f>I705</f>
        <v>43200</v>
      </c>
      <c r="AT705" s="578"/>
      <c r="AU705" s="568"/>
      <c r="AY705" s="576">
        <f>I705/24</f>
        <v>1800</v>
      </c>
      <c r="AZ705" s="577"/>
      <c r="BM705" s="428">
        <f>I705/16</f>
        <v>2700</v>
      </c>
      <c r="BT705" s="578"/>
      <c r="BV705" s="578"/>
      <c r="CK705" s="428">
        <f t="shared" si="222"/>
        <v>2700</v>
      </c>
      <c r="CL705" s="428">
        <f t="shared" si="227"/>
        <v>0</v>
      </c>
      <c r="CM705" s="428">
        <f t="shared" si="228"/>
        <v>0</v>
      </c>
      <c r="CN705" s="578"/>
      <c r="CO705" s="578"/>
      <c r="CP705" s="578"/>
      <c r="CT705" s="578"/>
      <c r="CU705" s="578"/>
      <c r="CV705" s="578"/>
      <c r="CW705" s="578"/>
      <c r="CX705" s="578"/>
    </row>
    <row r="706" s="428" customFormat="1" ht="31" customHeight="1" spans="1:102">
      <c r="A706" s="547">
        <v>45919</v>
      </c>
      <c r="B706" s="548" t="s">
        <v>1595</v>
      </c>
      <c r="C706" s="539" t="s">
        <v>139</v>
      </c>
      <c r="D706" s="428">
        <v>4500179859</v>
      </c>
      <c r="E706" s="539" t="s">
        <v>4874</v>
      </c>
      <c r="F706" s="428" t="s">
        <v>4875</v>
      </c>
      <c r="G706" s="549" t="s">
        <v>3165</v>
      </c>
      <c r="H706" s="549" t="s">
        <v>3303</v>
      </c>
      <c r="I706" s="549">
        <v>8000</v>
      </c>
      <c r="J706" s="549">
        <v>0</v>
      </c>
      <c r="K706" s="549">
        <v>25</v>
      </c>
      <c r="L706" s="554">
        <f t="shared" si="232"/>
        <v>320</v>
      </c>
      <c r="M706" s="555">
        <v>45959</v>
      </c>
      <c r="N706" s="555">
        <v>45955</v>
      </c>
      <c r="O706" s="556"/>
      <c r="P706" s="556" t="s">
        <v>103</v>
      </c>
      <c r="Q706" s="549"/>
      <c r="R706" s="562">
        <v>45927</v>
      </c>
      <c r="S706" s="562" t="s">
        <v>66</v>
      </c>
      <c r="T706" s="562" t="s">
        <v>4876</v>
      </c>
      <c r="U706" s="562"/>
      <c r="V706" s="564" t="s">
        <v>4877</v>
      </c>
      <c r="W706" s="564" t="s">
        <v>1424</v>
      </c>
      <c r="X706" s="564">
        <v>0.9365</v>
      </c>
      <c r="Y706" s="513">
        <f t="shared" si="231"/>
        <v>7492</v>
      </c>
      <c r="Z706" s="549"/>
      <c r="AA706" s="549" t="s">
        <v>3188</v>
      </c>
      <c r="AB706" s="549" t="s">
        <v>76</v>
      </c>
      <c r="AC706" s="549"/>
      <c r="AD706" s="549"/>
      <c r="AE706" s="549"/>
      <c r="AF706" s="549">
        <v>8000</v>
      </c>
      <c r="AG706" s="549">
        <f t="shared" si="225"/>
        <v>0</v>
      </c>
      <c r="AH706" s="575"/>
      <c r="AI706" s="549"/>
      <c r="AJ706" s="549"/>
      <c r="AK706" s="549"/>
      <c r="AL706" s="568">
        <f>I706</f>
        <v>8000</v>
      </c>
      <c r="AS706" s="568">
        <f>I706</f>
        <v>8000</v>
      </c>
      <c r="AT706" s="578"/>
      <c r="AU706" s="568"/>
      <c r="AY706" s="576">
        <f>I706/24*2</f>
        <v>666.666666666667</v>
      </c>
      <c r="AZ706" s="577"/>
      <c r="BB706" s="428">
        <f>I706</f>
        <v>8000</v>
      </c>
      <c r="BL706" s="428">
        <f>I706/25</f>
        <v>320</v>
      </c>
      <c r="BT706" s="578"/>
      <c r="BV706" s="578"/>
      <c r="CK706" s="428">
        <f t="shared" si="222"/>
        <v>320</v>
      </c>
      <c r="CL706" s="428">
        <f t="shared" si="227"/>
        <v>0</v>
      </c>
      <c r="CM706" s="428">
        <f t="shared" si="228"/>
        <v>0</v>
      </c>
      <c r="CN706" s="578"/>
      <c r="CO706" s="578"/>
      <c r="CP706" s="578"/>
      <c r="CT706" s="578"/>
      <c r="CU706" s="578"/>
      <c r="CV706" s="578"/>
      <c r="CW706" s="578"/>
      <c r="CX706" s="578"/>
    </row>
    <row r="707" s="428" customFormat="1" ht="31" customHeight="1" spans="1:102">
      <c r="A707" s="547">
        <v>45918</v>
      </c>
      <c r="B707" s="548" t="s">
        <v>4878</v>
      </c>
      <c r="C707" s="539" t="s">
        <v>153</v>
      </c>
      <c r="D707" s="428">
        <v>4500179765</v>
      </c>
      <c r="E707" s="539">
        <v>41984</v>
      </c>
      <c r="F707" s="428" t="s">
        <v>4879</v>
      </c>
      <c r="G707" s="549" t="s">
        <v>3198</v>
      </c>
      <c r="H707" s="549" t="s">
        <v>3303</v>
      </c>
      <c r="I707" s="549">
        <v>5000</v>
      </c>
      <c r="J707" s="549">
        <v>0</v>
      </c>
      <c r="K707" s="549">
        <v>25</v>
      </c>
      <c r="L707" s="554">
        <f t="shared" si="232"/>
        <v>200</v>
      </c>
      <c r="M707" s="555">
        <v>45960</v>
      </c>
      <c r="N707" s="555">
        <v>45957</v>
      </c>
      <c r="O707" s="556"/>
      <c r="P707" s="556" t="s">
        <v>103</v>
      </c>
      <c r="Q707" s="549"/>
      <c r="R707" s="562">
        <v>45918</v>
      </c>
      <c r="S707" s="562" t="s">
        <v>66</v>
      </c>
      <c r="T707" s="562" t="s">
        <v>66</v>
      </c>
      <c r="U707" s="562"/>
      <c r="V707" s="564" t="s">
        <v>4880</v>
      </c>
      <c r="W707" s="564" t="s">
        <v>1055</v>
      </c>
      <c r="X707" s="567">
        <v>0.929</v>
      </c>
      <c r="Y707" s="513">
        <f t="shared" si="231"/>
        <v>4645</v>
      </c>
      <c r="Z707" s="549" t="s">
        <v>4881</v>
      </c>
      <c r="AA707" s="549" t="s">
        <v>3202</v>
      </c>
      <c r="AB707" s="549" t="s">
        <v>76</v>
      </c>
      <c r="AC707" s="549"/>
      <c r="AD707" s="549"/>
      <c r="AE707" s="549"/>
      <c r="AF707" s="549">
        <v>5000</v>
      </c>
      <c r="AG707" s="549">
        <f t="shared" si="225"/>
        <v>0</v>
      </c>
      <c r="AH707" s="575"/>
      <c r="AI707" s="549"/>
      <c r="AJ707" s="549"/>
      <c r="AK707" s="549">
        <f>I707</f>
        <v>5000</v>
      </c>
      <c r="AL707" s="568"/>
      <c r="AP707" s="428">
        <f>I707</f>
        <v>5000</v>
      </c>
      <c r="AR707" s="428">
        <f>I707</f>
        <v>5000</v>
      </c>
      <c r="AT707" s="578"/>
      <c r="AU707" s="568"/>
      <c r="AY707" s="576">
        <f>I707/24</f>
        <v>208.333333333333</v>
      </c>
      <c r="AZ707" s="577"/>
      <c r="BK707" s="428">
        <f>I707/25</f>
        <v>200</v>
      </c>
      <c r="BT707" s="578"/>
      <c r="BV707" s="578"/>
      <c r="CK707" s="428">
        <f t="shared" si="222"/>
        <v>200</v>
      </c>
      <c r="CL707" s="428">
        <f t="shared" si="227"/>
        <v>0</v>
      </c>
      <c r="CM707" s="428">
        <f t="shared" si="228"/>
        <v>0</v>
      </c>
      <c r="CN707" s="578"/>
      <c r="CO707" s="578"/>
      <c r="CP707" s="578"/>
      <c r="CT707" s="578"/>
      <c r="CU707" s="578"/>
      <c r="CV707" s="578"/>
      <c r="CW707" s="578"/>
      <c r="CX707" s="578"/>
    </row>
    <row r="708" s="428" customFormat="1" ht="31" customHeight="1" spans="1:102">
      <c r="A708" s="547">
        <v>45904</v>
      </c>
      <c r="B708" s="548" t="s">
        <v>220</v>
      </c>
      <c r="C708" s="539" t="s">
        <v>90</v>
      </c>
      <c r="D708" s="428">
        <v>4500178842</v>
      </c>
      <c r="E708" s="539" t="s">
        <v>4882</v>
      </c>
      <c r="F708" s="428" t="s">
        <v>4883</v>
      </c>
      <c r="G708" s="549" t="s">
        <v>3198</v>
      </c>
      <c r="H708" s="549" t="s">
        <v>3303</v>
      </c>
      <c r="I708" s="549">
        <v>48000</v>
      </c>
      <c r="J708" s="549">
        <v>0</v>
      </c>
      <c r="K708" s="549">
        <v>25</v>
      </c>
      <c r="L708" s="554">
        <f t="shared" si="232"/>
        <v>1920</v>
      </c>
      <c r="M708" s="555">
        <v>45960</v>
      </c>
      <c r="N708" s="555">
        <v>45957</v>
      </c>
      <c r="O708" s="556"/>
      <c r="P708" s="556" t="s">
        <v>103</v>
      </c>
      <c r="Q708" s="549"/>
      <c r="R708" s="562">
        <v>45919</v>
      </c>
      <c r="S708" s="562" t="s">
        <v>96</v>
      </c>
      <c r="T708" s="562">
        <v>45946</v>
      </c>
      <c r="U708" s="562"/>
      <c r="V708" s="564" t="s">
        <v>4884</v>
      </c>
      <c r="W708" s="564" t="s">
        <v>226</v>
      </c>
      <c r="X708" s="567">
        <v>0.5488</v>
      </c>
      <c r="Y708" s="513">
        <f t="shared" si="231"/>
        <v>26342.4</v>
      </c>
      <c r="Z708" s="549" t="s">
        <v>4885</v>
      </c>
      <c r="AA708" s="549" t="s">
        <v>3198</v>
      </c>
      <c r="AB708" s="549" t="s">
        <v>76</v>
      </c>
      <c r="AC708" s="549"/>
      <c r="AD708" s="549"/>
      <c r="AE708" s="549"/>
      <c r="AF708" s="549">
        <f>31500+16500</f>
        <v>48000</v>
      </c>
      <c r="AG708" s="549">
        <f t="shared" si="225"/>
        <v>0</v>
      </c>
      <c r="AH708" s="575"/>
      <c r="AI708" s="549"/>
      <c r="AJ708" s="549"/>
      <c r="AK708" s="549">
        <f>I708</f>
        <v>48000</v>
      </c>
      <c r="AL708" s="568"/>
      <c r="AM708" s="428">
        <f>I708</f>
        <v>48000</v>
      </c>
      <c r="AR708" s="428">
        <f>I708</f>
        <v>48000</v>
      </c>
      <c r="AT708" s="578"/>
      <c r="AU708" s="568"/>
      <c r="AY708" s="576">
        <f>I708/24</f>
        <v>2000</v>
      </c>
      <c r="AZ708" s="577"/>
      <c r="BJ708" s="428">
        <f>I708/25</f>
        <v>1920</v>
      </c>
      <c r="BT708" s="578"/>
      <c r="BV708" s="578"/>
      <c r="CK708" s="428">
        <f t="shared" si="222"/>
        <v>1920</v>
      </c>
      <c r="CL708" s="428">
        <f t="shared" si="227"/>
        <v>0</v>
      </c>
      <c r="CM708" s="428">
        <f t="shared" si="228"/>
        <v>0</v>
      </c>
      <c r="CN708" s="578"/>
      <c r="CO708" s="578"/>
      <c r="CP708" s="578"/>
      <c r="CT708" s="578"/>
      <c r="CU708" s="578"/>
      <c r="CV708" s="578"/>
      <c r="CW708" s="578"/>
      <c r="CX708" s="578"/>
    </row>
    <row r="709" s="428" customFormat="1" ht="31" customHeight="1" spans="1:102">
      <c r="A709" s="547">
        <v>45911</v>
      </c>
      <c r="B709" s="548" t="s">
        <v>1492</v>
      </c>
      <c r="C709" s="539" t="s">
        <v>249</v>
      </c>
      <c r="D709" s="428">
        <v>4500179306</v>
      </c>
      <c r="E709" s="539" t="s">
        <v>4886</v>
      </c>
      <c r="F709" s="428" t="s">
        <v>4887</v>
      </c>
      <c r="G709" s="549" t="s">
        <v>3165</v>
      </c>
      <c r="H709" s="549" t="s">
        <v>3303</v>
      </c>
      <c r="I709" s="549">
        <v>10000</v>
      </c>
      <c r="J709" s="549">
        <v>0</v>
      </c>
      <c r="K709" s="549">
        <v>25</v>
      </c>
      <c r="L709" s="554">
        <f t="shared" si="232"/>
        <v>400</v>
      </c>
      <c r="M709" s="555">
        <v>45961</v>
      </c>
      <c r="N709" s="555">
        <v>45957</v>
      </c>
      <c r="O709" s="556"/>
      <c r="P709" s="556" t="s">
        <v>103</v>
      </c>
      <c r="Q709" s="549"/>
      <c r="R709" s="562">
        <v>45911</v>
      </c>
      <c r="S709" s="562" t="s">
        <v>66</v>
      </c>
      <c r="T709" s="562" t="s">
        <v>4688</v>
      </c>
      <c r="U709" s="562"/>
      <c r="V709" s="564" t="s">
        <v>4888</v>
      </c>
      <c r="W709" s="564" t="s">
        <v>1424</v>
      </c>
      <c r="X709" s="564">
        <v>0.9313</v>
      </c>
      <c r="Y709" s="513">
        <f t="shared" si="231"/>
        <v>9313</v>
      </c>
      <c r="Z709" s="549" t="s">
        <v>4889</v>
      </c>
      <c r="AA709" s="549" t="s">
        <v>3188</v>
      </c>
      <c r="AB709" s="549" t="s">
        <v>76</v>
      </c>
      <c r="AC709" s="549"/>
      <c r="AD709" s="549"/>
      <c r="AE709" s="549"/>
      <c r="AF709" s="549">
        <v>10000</v>
      </c>
      <c r="AG709" s="549">
        <f t="shared" si="225"/>
        <v>0</v>
      </c>
      <c r="AH709" s="575"/>
      <c r="AI709" s="549"/>
      <c r="AJ709" s="549"/>
      <c r="AK709" s="549"/>
      <c r="AL709" s="568">
        <f>I709</f>
        <v>10000</v>
      </c>
      <c r="AS709" s="568">
        <f>I709</f>
        <v>10000</v>
      </c>
      <c r="AT709" s="578"/>
      <c r="AU709" s="568"/>
      <c r="AY709" s="576">
        <f>I709/24*2</f>
        <v>833.333333333333</v>
      </c>
      <c r="AZ709" s="577"/>
      <c r="BB709" s="428">
        <f>I709</f>
        <v>10000</v>
      </c>
      <c r="BL709" s="428">
        <f>I709/25</f>
        <v>400</v>
      </c>
      <c r="BT709" s="578"/>
      <c r="BV709" s="578"/>
      <c r="CK709" s="428">
        <f t="shared" si="222"/>
        <v>400</v>
      </c>
      <c r="CL709" s="428">
        <f t="shared" si="227"/>
        <v>0</v>
      </c>
      <c r="CM709" s="428">
        <f t="shared" si="228"/>
        <v>0</v>
      </c>
      <c r="CN709" s="578"/>
      <c r="CO709" s="578"/>
      <c r="CP709" s="578"/>
      <c r="CT709" s="578"/>
      <c r="CU709" s="578"/>
      <c r="CV709" s="578"/>
      <c r="CW709" s="578"/>
      <c r="CX709" s="578"/>
    </row>
    <row r="710" s="428" customFormat="1" ht="31" customHeight="1" spans="1:102">
      <c r="A710" s="547">
        <v>45918</v>
      </c>
      <c r="B710" s="548" t="s">
        <v>190</v>
      </c>
      <c r="C710" s="539" t="s">
        <v>191</v>
      </c>
      <c r="D710" s="428">
        <v>4500179824</v>
      </c>
      <c r="E710" s="539" t="s">
        <v>4890</v>
      </c>
      <c r="F710" s="428" t="s">
        <v>4891</v>
      </c>
      <c r="G710" s="549" t="s">
        <v>3158</v>
      </c>
      <c r="H710" s="549" t="s">
        <v>3159</v>
      </c>
      <c r="I710" s="549">
        <v>1040</v>
      </c>
      <c r="J710" s="549">
        <v>0</v>
      </c>
      <c r="K710" s="549">
        <v>52</v>
      </c>
      <c r="L710" s="554">
        <f t="shared" si="232"/>
        <v>20</v>
      </c>
      <c r="M710" s="555">
        <v>45964</v>
      </c>
      <c r="N710" s="555">
        <f t="shared" ref="N710:N718" si="233">M710-4</f>
        <v>45960</v>
      </c>
      <c r="O710" s="556"/>
      <c r="P710" s="556" t="s">
        <v>103</v>
      </c>
      <c r="Q710" s="549"/>
      <c r="R710" s="562">
        <v>45918</v>
      </c>
      <c r="S710" s="562" t="s">
        <v>66</v>
      </c>
      <c r="T710" s="562" t="s">
        <v>4892</v>
      </c>
      <c r="U710" s="562"/>
      <c r="V710" s="564" t="s">
        <v>4893</v>
      </c>
      <c r="W710" s="564" t="s">
        <v>1663</v>
      </c>
      <c r="X710" s="567">
        <v>0.8951</v>
      </c>
      <c r="Y710" s="513">
        <f t="shared" si="231"/>
        <v>930.904</v>
      </c>
      <c r="Z710" s="549" t="s">
        <v>4894</v>
      </c>
      <c r="AA710" s="549" t="s">
        <v>3158</v>
      </c>
      <c r="AB710" s="549" t="s">
        <v>76</v>
      </c>
      <c r="AC710" s="549"/>
      <c r="AD710" s="549"/>
      <c r="AE710" s="549"/>
      <c r="AF710" s="549">
        <v>1040</v>
      </c>
      <c r="AG710" s="549">
        <f t="shared" si="225"/>
        <v>0</v>
      </c>
      <c r="AH710" s="575"/>
      <c r="AI710" s="549"/>
      <c r="AJ710" s="549"/>
      <c r="AK710" s="549"/>
      <c r="AL710" s="568">
        <f>I710</f>
        <v>1040</v>
      </c>
      <c r="AQ710" s="428">
        <f>I710</f>
        <v>1040</v>
      </c>
      <c r="AS710" s="568">
        <f>I710</f>
        <v>1040</v>
      </c>
      <c r="AT710" s="578"/>
      <c r="AU710" s="568"/>
      <c r="AY710" s="580">
        <f>I710/24*2</f>
        <v>86.6666666666667</v>
      </c>
      <c r="AZ710" s="577"/>
      <c r="BI710" s="428">
        <f>I710/13</f>
        <v>80</v>
      </c>
      <c r="BT710" s="578"/>
      <c r="BV710" s="578"/>
      <c r="CK710" s="428">
        <f t="shared" si="222"/>
        <v>0</v>
      </c>
      <c r="CL710" s="428">
        <f t="shared" si="227"/>
        <v>0</v>
      </c>
      <c r="CM710" s="428">
        <f t="shared" si="228"/>
        <v>0</v>
      </c>
      <c r="CN710" s="578"/>
      <c r="CO710" s="578"/>
      <c r="CP710" s="578"/>
      <c r="CT710" s="578"/>
      <c r="CU710" s="578"/>
      <c r="CV710" s="578"/>
      <c r="CW710" s="578"/>
      <c r="CX710" s="578"/>
    </row>
    <row r="711" s="428" customFormat="1" ht="31" customHeight="1" spans="1:102">
      <c r="A711" s="547">
        <v>45919</v>
      </c>
      <c r="B711" s="548" t="s">
        <v>122</v>
      </c>
      <c r="C711" s="539" t="s">
        <v>116</v>
      </c>
      <c r="D711" s="428">
        <v>4500179977</v>
      </c>
      <c r="E711" s="539" t="s">
        <v>4895</v>
      </c>
      <c r="F711" s="428" t="s">
        <v>4896</v>
      </c>
      <c r="G711" s="549" t="s">
        <v>3206</v>
      </c>
      <c r="H711" s="549" t="s">
        <v>3207</v>
      </c>
      <c r="I711" s="549">
        <v>260</v>
      </c>
      <c r="J711" s="549">
        <v>0</v>
      </c>
      <c r="K711" s="549">
        <v>13</v>
      </c>
      <c r="L711" s="554">
        <f t="shared" si="232"/>
        <v>20</v>
      </c>
      <c r="M711" s="555">
        <v>45964</v>
      </c>
      <c r="N711" s="555">
        <f t="shared" si="233"/>
        <v>45960</v>
      </c>
      <c r="O711" s="556"/>
      <c r="P711" s="556" t="s">
        <v>103</v>
      </c>
      <c r="Q711" s="549"/>
      <c r="R711" s="562">
        <v>45929</v>
      </c>
      <c r="S711" s="562" t="s">
        <v>96</v>
      </c>
      <c r="T711" s="562" t="s">
        <v>4897</v>
      </c>
      <c r="U711" s="562"/>
      <c r="V711" s="564" t="s">
        <v>3313</v>
      </c>
      <c r="W711" s="564" t="s">
        <v>121</v>
      </c>
      <c r="X711" s="564">
        <v>0.8999</v>
      </c>
      <c r="Y711" s="513">
        <f t="shared" si="231"/>
        <v>233.974</v>
      </c>
      <c r="Z711" s="549" t="s">
        <v>4898</v>
      </c>
      <c r="AA711" s="549" t="s">
        <v>3206</v>
      </c>
      <c r="AB711" s="549" t="s">
        <v>76</v>
      </c>
      <c r="AC711" s="549"/>
      <c r="AD711" s="549"/>
      <c r="AE711" s="549"/>
      <c r="AF711" s="549">
        <v>260</v>
      </c>
      <c r="AG711" s="549">
        <f t="shared" si="225"/>
        <v>0</v>
      </c>
      <c r="AH711" s="575"/>
      <c r="AI711" s="549"/>
      <c r="AJ711" s="549"/>
      <c r="AK711" s="549"/>
      <c r="AL711" s="568">
        <f>I711</f>
        <v>260</v>
      </c>
      <c r="AQ711" s="428">
        <f>I711</f>
        <v>260</v>
      </c>
      <c r="AS711" s="568">
        <f>I711</f>
        <v>260</v>
      </c>
      <c r="AT711" s="578"/>
      <c r="AU711" s="568"/>
      <c r="AY711" s="576">
        <f>I711/24</f>
        <v>10.8333333333333</v>
      </c>
      <c r="AZ711" s="577"/>
      <c r="BI711" s="428">
        <f>I711/13</f>
        <v>20</v>
      </c>
      <c r="BT711" s="578"/>
      <c r="BV711" s="578"/>
      <c r="CK711" s="428">
        <f t="shared" si="222"/>
        <v>0</v>
      </c>
      <c r="CL711" s="428">
        <f t="shared" si="227"/>
        <v>0</v>
      </c>
      <c r="CM711" s="428">
        <f t="shared" si="228"/>
        <v>0</v>
      </c>
      <c r="CN711" s="578"/>
      <c r="CO711" s="578"/>
      <c r="CP711" s="578"/>
      <c r="CT711" s="578"/>
      <c r="CU711" s="578"/>
      <c r="CV711" s="578"/>
      <c r="CW711" s="578"/>
      <c r="CX711" s="578"/>
    </row>
    <row r="712" s="428" customFormat="1" ht="31" customHeight="1" spans="1:102">
      <c r="A712" s="547">
        <v>45919</v>
      </c>
      <c r="B712" s="548" t="s">
        <v>125</v>
      </c>
      <c r="C712" s="539" t="s">
        <v>71</v>
      </c>
      <c r="D712" s="428">
        <v>4500179979</v>
      </c>
      <c r="E712" s="539">
        <v>21169560</v>
      </c>
      <c r="F712" s="428" t="s">
        <v>4899</v>
      </c>
      <c r="G712" s="549" t="s">
        <v>3206</v>
      </c>
      <c r="H712" s="549" t="s">
        <v>3207</v>
      </c>
      <c r="I712" s="549">
        <v>1248</v>
      </c>
      <c r="J712" s="549">
        <v>0</v>
      </c>
      <c r="K712" s="549">
        <v>13</v>
      </c>
      <c r="L712" s="554">
        <f t="shared" si="232"/>
        <v>96</v>
      </c>
      <c r="M712" s="555">
        <v>45964</v>
      </c>
      <c r="N712" s="555">
        <f t="shared" si="233"/>
        <v>45960</v>
      </c>
      <c r="O712" s="556"/>
      <c r="P712" s="556" t="s">
        <v>103</v>
      </c>
      <c r="Q712" s="549"/>
      <c r="R712" s="562">
        <v>45929</v>
      </c>
      <c r="S712" s="562" t="s">
        <v>96</v>
      </c>
      <c r="T712" s="562" t="s">
        <v>4897</v>
      </c>
      <c r="U712" s="562"/>
      <c r="V712" s="564" t="s">
        <v>3927</v>
      </c>
      <c r="W712" s="564" t="s">
        <v>121</v>
      </c>
      <c r="X712" s="564">
        <v>0.9475</v>
      </c>
      <c r="Y712" s="513">
        <f t="shared" si="231"/>
        <v>1182.48</v>
      </c>
      <c r="Z712" s="549" t="s">
        <v>4900</v>
      </c>
      <c r="AA712" s="549" t="s">
        <v>3206</v>
      </c>
      <c r="AB712" s="549" t="s">
        <v>76</v>
      </c>
      <c r="AC712" s="549"/>
      <c r="AD712" s="549"/>
      <c r="AE712" s="549"/>
      <c r="AF712" s="549">
        <v>1248</v>
      </c>
      <c r="AG712" s="549">
        <f t="shared" si="225"/>
        <v>0</v>
      </c>
      <c r="AH712" s="575"/>
      <c r="AI712" s="549"/>
      <c r="AJ712" s="549"/>
      <c r="AK712" s="549"/>
      <c r="AL712" s="568">
        <f>I712</f>
        <v>1248</v>
      </c>
      <c r="AQ712" s="428">
        <f>I712</f>
        <v>1248</v>
      </c>
      <c r="AS712" s="568">
        <f>I712</f>
        <v>1248</v>
      </c>
      <c r="AT712" s="578"/>
      <c r="AU712" s="568"/>
      <c r="AY712" s="576">
        <f>I712/24</f>
        <v>52</v>
      </c>
      <c r="AZ712" s="577"/>
      <c r="BI712" s="428">
        <f>I712/13</f>
        <v>96</v>
      </c>
      <c r="BT712" s="578"/>
      <c r="BV712" s="578"/>
      <c r="CK712" s="428">
        <f t="shared" si="222"/>
        <v>0</v>
      </c>
      <c r="CL712" s="428">
        <f t="shared" si="227"/>
        <v>0</v>
      </c>
      <c r="CM712" s="428">
        <f t="shared" si="228"/>
        <v>0</v>
      </c>
      <c r="CN712" s="578"/>
      <c r="CO712" s="578"/>
      <c r="CP712" s="578"/>
      <c r="CT712" s="578"/>
      <c r="CU712" s="578"/>
      <c r="CV712" s="578"/>
      <c r="CW712" s="578"/>
      <c r="CX712" s="578"/>
    </row>
    <row r="713" s="428" customFormat="1" ht="31" customHeight="1" spans="1:102">
      <c r="A713" s="547">
        <v>45925</v>
      </c>
      <c r="B713" s="548" t="s">
        <v>128</v>
      </c>
      <c r="C713" s="539" t="s">
        <v>90</v>
      </c>
      <c r="D713" s="428">
        <v>4500180349</v>
      </c>
      <c r="E713" s="887" t="s">
        <v>4901</v>
      </c>
      <c r="F713" s="428" t="s">
        <v>4902</v>
      </c>
      <c r="G713" s="549" t="s">
        <v>3180</v>
      </c>
      <c r="H713" s="549" t="s">
        <v>3181</v>
      </c>
      <c r="I713" s="549">
        <v>6720</v>
      </c>
      <c r="J713" s="549">
        <v>0</v>
      </c>
      <c r="K713" s="549">
        <v>16</v>
      </c>
      <c r="L713" s="554">
        <f t="shared" ref="L713:L760" si="234">I713/K713</f>
        <v>420</v>
      </c>
      <c r="M713" s="558">
        <v>45961</v>
      </c>
      <c r="N713" s="558">
        <f t="shared" si="233"/>
        <v>45957</v>
      </c>
      <c r="O713" s="556" t="s">
        <v>4903</v>
      </c>
      <c r="P713" s="556" t="s">
        <v>103</v>
      </c>
      <c r="Q713" s="549"/>
      <c r="R713" s="562" t="s">
        <v>4194</v>
      </c>
      <c r="S713" s="562" t="s">
        <v>66</v>
      </c>
      <c r="T713" s="562" t="s">
        <v>133</v>
      </c>
      <c r="U713" s="562"/>
      <c r="V713" s="564" t="s">
        <v>4195</v>
      </c>
      <c r="W713" s="564" t="s">
        <v>98</v>
      </c>
      <c r="X713" s="564">
        <v>0.5837</v>
      </c>
      <c r="Y713" s="513">
        <f t="shared" ref="Y713:Y723" si="235">X713*I713</f>
        <v>3922.464</v>
      </c>
      <c r="Z713" s="549" t="s">
        <v>4904</v>
      </c>
      <c r="AA713" s="549" t="s">
        <v>3180</v>
      </c>
      <c r="AB713" s="549" t="s">
        <v>76</v>
      </c>
      <c r="AC713" s="549"/>
      <c r="AD713" s="549"/>
      <c r="AE713" s="549"/>
      <c r="AF713" s="549">
        <v>6720</v>
      </c>
      <c r="AG713" s="549">
        <f t="shared" ref="AG713:AG727" si="236">AF713-I713</f>
        <v>0</v>
      </c>
      <c r="AH713" s="575"/>
      <c r="AI713" s="549"/>
      <c r="AJ713" s="549"/>
      <c r="AK713" s="549">
        <f t="shared" ref="AK713:AK718" si="237">I713</f>
        <v>6720</v>
      </c>
      <c r="AL713" s="568"/>
      <c r="AM713" s="428">
        <f t="shared" ref="AM713:AM718" si="238">I713</f>
        <v>6720</v>
      </c>
      <c r="AR713" s="428">
        <f t="shared" ref="AR713:AR718" si="239">I713</f>
        <v>6720</v>
      </c>
      <c r="AS713" s="568"/>
      <c r="AT713" s="578"/>
      <c r="AU713" s="568"/>
      <c r="AY713" s="576">
        <f t="shared" ref="AY713:AY726" si="240">I713/24</f>
        <v>280</v>
      </c>
      <c r="AZ713" s="577"/>
      <c r="BM713" s="428">
        <f t="shared" ref="BM713:BM718" si="241">I713/16</f>
        <v>420</v>
      </c>
      <c r="BT713" s="578"/>
      <c r="BV713" s="578"/>
      <c r="CK713" s="428">
        <f t="shared" si="222"/>
        <v>420</v>
      </c>
      <c r="CL713" s="428">
        <f t="shared" si="227"/>
        <v>0</v>
      </c>
      <c r="CM713" s="428">
        <f t="shared" si="228"/>
        <v>0</v>
      </c>
      <c r="CN713" s="578"/>
      <c r="CO713" s="578"/>
      <c r="CP713" s="578"/>
      <c r="CT713" s="578"/>
      <c r="CU713" s="578"/>
      <c r="CV713" s="578"/>
      <c r="CW713" s="578"/>
      <c r="CX713" s="578"/>
    </row>
    <row r="714" s="428" customFormat="1" ht="31" customHeight="1" spans="1:102">
      <c r="A714" s="547">
        <v>45925</v>
      </c>
      <c r="B714" s="548" t="s">
        <v>128</v>
      </c>
      <c r="C714" s="539" t="s">
        <v>90</v>
      </c>
      <c r="D714" s="428">
        <v>4500180349</v>
      </c>
      <c r="E714" s="887" t="s">
        <v>4905</v>
      </c>
      <c r="F714" s="428" t="s">
        <v>4906</v>
      </c>
      <c r="G714" s="549" t="s">
        <v>3180</v>
      </c>
      <c r="H714" s="549" t="s">
        <v>3181</v>
      </c>
      <c r="I714" s="549">
        <v>1920</v>
      </c>
      <c r="J714" s="549">
        <v>0</v>
      </c>
      <c r="K714" s="549">
        <v>16</v>
      </c>
      <c r="L714" s="554">
        <f t="shared" si="234"/>
        <v>120</v>
      </c>
      <c r="M714" s="558">
        <v>45961</v>
      </c>
      <c r="N714" s="558">
        <f t="shared" si="233"/>
        <v>45957</v>
      </c>
      <c r="O714" s="556" t="s">
        <v>4903</v>
      </c>
      <c r="P714" s="556" t="s">
        <v>103</v>
      </c>
      <c r="Q714" s="549"/>
      <c r="R714" s="562" t="s">
        <v>4194</v>
      </c>
      <c r="S714" s="562" t="s">
        <v>66</v>
      </c>
      <c r="T714" s="562" t="s">
        <v>133</v>
      </c>
      <c r="U714" s="562"/>
      <c r="V714" s="564" t="s">
        <v>4195</v>
      </c>
      <c r="W714" s="564" t="s">
        <v>98</v>
      </c>
      <c r="X714" s="564">
        <v>0.5837</v>
      </c>
      <c r="Y714" s="513">
        <f t="shared" si="235"/>
        <v>1120.704</v>
      </c>
      <c r="Z714" s="428" t="s">
        <v>4907</v>
      </c>
      <c r="AA714" s="549" t="s">
        <v>3180</v>
      </c>
      <c r="AB714" s="549" t="s">
        <v>76</v>
      </c>
      <c r="AC714" s="549"/>
      <c r="AD714" s="549"/>
      <c r="AE714" s="549"/>
      <c r="AF714" s="549">
        <v>1920</v>
      </c>
      <c r="AG714" s="549">
        <f t="shared" si="236"/>
        <v>0</v>
      </c>
      <c r="AH714" s="575"/>
      <c r="AI714" s="549"/>
      <c r="AJ714" s="549"/>
      <c r="AK714" s="549">
        <f t="shared" si="237"/>
        <v>1920</v>
      </c>
      <c r="AL714" s="568"/>
      <c r="AM714" s="428">
        <f t="shared" si="238"/>
        <v>1920</v>
      </c>
      <c r="AR714" s="428">
        <f t="shared" si="239"/>
        <v>1920</v>
      </c>
      <c r="AS714" s="568"/>
      <c r="AT714" s="578"/>
      <c r="AU714" s="568"/>
      <c r="AY714" s="576">
        <f t="shared" si="240"/>
        <v>80</v>
      </c>
      <c r="AZ714" s="577"/>
      <c r="BM714" s="428">
        <f t="shared" si="241"/>
        <v>120</v>
      </c>
      <c r="BT714" s="578"/>
      <c r="BV714" s="578"/>
      <c r="CK714" s="428">
        <f t="shared" si="222"/>
        <v>120</v>
      </c>
      <c r="CL714" s="428">
        <f t="shared" si="227"/>
        <v>0</v>
      </c>
      <c r="CM714" s="428">
        <f t="shared" si="228"/>
        <v>0</v>
      </c>
      <c r="CN714" s="578"/>
      <c r="CO714" s="578"/>
      <c r="CP714" s="578"/>
      <c r="CT714" s="578"/>
      <c r="CU714" s="578"/>
      <c r="CV714" s="578"/>
      <c r="CW714" s="578"/>
      <c r="CX714" s="578"/>
    </row>
    <row r="715" s="428" customFormat="1" ht="31" customHeight="1" spans="1:102">
      <c r="A715" s="547">
        <v>45925</v>
      </c>
      <c r="B715" s="548" t="s">
        <v>128</v>
      </c>
      <c r="C715" s="539" t="s">
        <v>90</v>
      </c>
      <c r="D715" s="428">
        <v>4500180349</v>
      </c>
      <c r="E715" s="887" t="s">
        <v>4908</v>
      </c>
      <c r="F715" s="428" t="s">
        <v>4909</v>
      </c>
      <c r="G715" s="549" t="s">
        <v>3180</v>
      </c>
      <c r="H715" s="549" t="s">
        <v>3181</v>
      </c>
      <c r="I715" s="549">
        <v>3840</v>
      </c>
      <c r="J715" s="549">
        <v>0</v>
      </c>
      <c r="K715" s="549">
        <v>16</v>
      </c>
      <c r="L715" s="554">
        <f t="shared" si="234"/>
        <v>240</v>
      </c>
      <c r="M715" s="558">
        <v>45961</v>
      </c>
      <c r="N715" s="558">
        <f t="shared" si="233"/>
        <v>45957</v>
      </c>
      <c r="O715" s="556" t="s">
        <v>4903</v>
      </c>
      <c r="P715" s="556" t="s">
        <v>103</v>
      </c>
      <c r="Q715" s="549" t="s">
        <v>4910</v>
      </c>
      <c r="R715" s="562" t="s">
        <v>4194</v>
      </c>
      <c r="S715" s="562" t="s">
        <v>66</v>
      </c>
      <c r="T715" s="562" t="s">
        <v>133</v>
      </c>
      <c r="U715" s="562"/>
      <c r="V715" s="564" t="s">
        <v>4195</v>
      </c>
      <c r="W715" s="564" t="s">
        <v>98</v>
      </c>
      <c r="X715" s="564">
        <v>0.5837</v>
      </c>
      <c r="Y715" s="513">
        <f t="shared" si="235"/>
        <v>2241.408</v>
      </c>
      <c r="Z715" s="549" t="s">
        <v>4911</v>
      </c>
      <c r="AA715" s="549" t="s">
        <v>3180</v>
      </c>
      <c r="AB715" s="549" t="s">
        <v>76</v>
      </c>
      <c r="AC715" s="549"/>
      <c r="AD715" s="549"/>
      <c r="AE715" s="549"/>
      <c r="AF715" s="549">
        <v>3840</v>
      </c>
      <c r="AG715" s="549">
        <f t="shared" si="236"/>
        <v>0</v>
      </c>
      <c r="AH715" s="575"/>
      <c r="AI715" s="549"/>
      <c r="AJ715" s="549"/>
      <c r="AK715" s="549">
        <f t="shared" si="237"/>
        <v>3840</v>
      </c>
      <c r="AL715" s="568"/>
      <c r="AM715" s="428">
        <f t="shared" si="238"/>
        <v>3840</v>
      </c>
      <c r="AR715" s="428">
        <f t="shared" si="239"/>
        <v>3840</v>
      </c>
      <c r="AS715" s="568"/>
      <c r="AT715" s="578"/>
      <c r="AU715" s="568"/>
      <c r="AY715" s="576">
        <f t="shared" si="240"/>
        <v>160</v>
      </c>
      <c r="AZ715" s="577"/>
      <c r="BM715" s="428">
        <f t="shared" si="241"/>
        <v>240</v>
      </c>
      <c r="BT715" s="578"/>
      <c r="BV715" s="578"/>
      <c r="CK715" s="428">
        <f t="shared" si="222"/>
        <v>240</v>
      </c>
      <c r="CL715" s="428">
        <f t="shared" si="227"/>
        <v>0</v>
      </c>
      <c r="CM715" s="428">
        <f t="shared" si="228"/>
        <v>0</v>
      </c>
      <c r="CN715" s="578"/>
      <c r="CO715" s="578"/>
      <c r="CP715" s="578"/>
      <c r="CT715" s="578"/>
      <c r="CU715" s="578"/>
      <c r="CV715" s="578"/>
      <c r="CW715" s="578"/>
      <c r="CX715" s="578"/>
    </row>
    <row r="716" s="428" customFormat="1" ht="31" customHeight="1" spans="1:102">
      <c r="A716" s="547">
        <v>45925</v>
      </c>
      <c r="B716" s="548" t="s">
        <v>128</v>
      </c>
      <c r="C716" s="539" t="s">
        <v>90</v>
      </c>
      <c r="D716" s="428">
        <v>4500180349</v>
      </c>
      <c r="E716" s="887" t="s">
        <v>4912</v>
      </c>
      <c r="F716" s="428" t="s">
        <v>4913</v>
      </c>
      <c r="G716" s="549" t="s">
        <v>3180</v>
      </c>
      <c r="H716" s="549" t="s">
        <v>3181</v>
      </c>
      <c r="I716" s="549">
        <v>2880</v>
      </c>
      <c r="J716" s="549">
        <v>0</v>
      </c>
      <c r="K716" s="549">
        <v>16</v>
      </c>
      <c r="L716" s="554">
        <f t="shared" si="234"/>
        <v>180</v>
      </c>
      <c r="M716" s="558">
        <v>45961</v>
      </c>
      <c r="N716" s="558">
        <f t="shared" si="233"/>
        <v>45957</v>
      </c>
      <c r="O716" s="556" t="s">
        <v>4903</v>
      </c>
      <c r="P716" s="556" t="s">
        <v>103</v>
      </c>
      <c r="Q716" s="549"/>
      <c r="R716" s="562" t="s">
        <v>4194</v>
      </c>
      <c r="S716" s="562" t="s">
        <v>66</v>
      </c>
      <c r="T716" s="562" t="s">
        <v>133</v>
      </c>
      <c r="U716" s="562"/>
      <c r="V716" s="564" t="s">
        <v>4195</v>
      </c>
      <c r="W716" s="564" t="s">
        <v>98</v>
      </c>
      <c r="X716" s="564">
        <v>0.5837</v>
      </c>
      <c r="Y716" s="513">
        <f t="shared" si="235"/>
        <v>1681.056</v>
      </c>
      <c r="Z716" s="549" t="s">
        <v>4911</v>
      </c>
      <c r="AA716" s="549" t="s">
        <v>3180</v>
      </c>
      <c r="AB716" s="549" t="s">
        <v>76</v>
      </c>
      <c r="AC716" s="549"/>
      <c r="AD716" s="549"/>
      <c r="AE716" s="549"/>
      <c r="AF716" s="549">
        <v>2880</v>
      </c>
      <c r="AG716" s="549">
        <f t="shared" si="236"/>
        <v>0</v>
      </c>
      <c r="AH716" s="575"/>
      <c r="AI716" s="549"/>
      <c r="AJ716" s="549"/>
      <c r="AK716" s="549">
        <f t="shared" si="237"/>
        <v>2880</v>
      </c>
      <c r="AL716" s="568"/>
      <c r="AM716" s="428">
        <f t="shared" si="238"/>
        <v>2880</v>
      </c>
      <c r="AR716" s="428">
        <f t="shared" si="239"/>
        <v>2880</v>
      </c>
      <c r="AS716" s="568"/>
      <c r="AT716" s="578"/>
      <c r="AU716" s="568"/>
      <c r="AY716" s="576">
        <f t="shared" si="240"/>
        <v>120</v>
      </c>
      <c r="AZ716" s="577"/>
      <c r="BM716" s="428">
        <f t="shared" si="241"/>
        <v>180</v>
      </c>
      <c r="BT716" s="578"/>
      <c r="BV716" s="578"/>
      <c r="CK716" s="428">
        <f t="shared" si="222"/>
        <v>180</v>
      </c>
      <c r="CL716" s="428">
        <f t="shared" si="227"/>
        <v>0</v>
      </c>
      <c r="CM716" s="428">
        <f t="shared" si="228"/>
        <v>0</v>
      </c>
      <c r="CN716" s="578"/>
      <c r="CO716" s="578"/>
      <c r="CP716" s="578"/>
      <c r="CT716" s="578"/>
      <c r="CU716" s="578"/>
      <c r="CV716" s="578"/>
      <c r="CW716" s="578"/>
      <c r="CX716" s="578"/>
    </row>
    <row r="717" s="428" customFormat="1" ht="31" customHeight="1" spans="1:102">
      <c r="A717" s="547">
        <v>45925</v>
      </c>
      <c r="B717" s="548" t="s">
        <v>128</v>
      </c>
      <c r="C717" s="539" t="s">
        <v>90</v>
      </c>
      <c r="D717" s="428">
        <v>4500180349</v>
      </c>
      <c r="E717" s="887" t="s">
        <v>4914</v>
      </c>
      <c r="F717" s="428" t="s">
        <v>4915</v>
      </c>
      <c r="G717" s="549" t="s">
        <v>3180</v>
      </c>
      <c r="H717" s="549" t="s">
        <v>3181</v>
      </c>
      <c r="I717" s="549">
        <v>8640</v>
      </c>
      <c r="J717" s="549">
        <v>0</v>
      </c>
      <c r="K717" s="549">
        <v>16</v>
      </c>
      <c r="L717" s="554">
        <f t="shared" si="234"/>
        <v>540</v>
      </c>
      <c r="M717" s="558">
        <v>45961</v>
      </c>
      <c r="N717" s="558">
        <f t="shared" si="233"/>
        <v>45957</v>
      </c>
      <c r="O717" s="556" t="s">
        <v>4903</v>
      </c>
      <c r="P717" s="556" t="s">
        <v>103</v>
      </c>
      <c r="Q717" s="549"/>
      <c r="R717" s="562" t="s">
        <v>4194</v>
      </c>
      <c r="S717" s="562" t="s">
        <v>66</v>
      </c>
      <c r="T717" s="562" t="s">
        <v>133</v>
      </c>
      <c r="U717" s="562"/>
      <c r="V717" s="564" t="s">
        <v>4195</v>
      </c>
      <c r="W717" s="564" t="s">
        <v>98</v>
      </c>
      <c r="X717" s="564">
        <v>0.5837</v>
      </c>
      <c r="Y717" s="513">
        <f t="shared" si="235"/>
        <v>5043.168</v>
      </c>
      <c r="Z717" s="549" t="s">
        <v>4916</v>
      </c>
      <c r="AA717" s="549" t="s">
        <v>3180</v>
      </c>
      <c r="AB717" s="549" t="s">
        <v>76</v>
      </c>
      <c r="AC717" s="549"/>
      <c r="AD717" s="549"/>
      <c r="AE717" s="549"/>
      <c r="AF717" s="549">
        <v>8640</v>
      </c>
      <c r="AG717" s="549">
        <f t="shared" si="236"/>
        <v>0</v>
      </c>
      <c r="AH717" s="575"/>
      <c r="AI717" s="549"/>
      <c r="AJ717" s="549"/>
      <c r="AK717" s="549">
        <f t="shared" si="237"/>
        <v>8640</v>
      </c>
      <c r="AL717" s="568"/>
      <c r="AM717" s="428">
        <f t="shared" si="238"/>
        <v>8640</v>
      </c>
      <c r="AR717" s="428">
        <f t="shared" si="239"/>
        <v>8640</v>
      </c>
      <c r="AS717" s="568"/>
      <c r="AT717" s="578"/>
      <c r="AU717" s="568"/>
      <c r="AY717" s="576">
        <f t="shared" si="240"/>
        <v>360</v>
      </c>
      <c r="AZ717" s="577"/>
      <c r="BM717" s="428">
        <f t="shared" si="241"/>
        <v>540</v>
      </c>
      <c r="BT717" s="578"/>
      <c r="BV717" s="578"/>
      <c r="CK717" s="428">
        <f t="shared" si="222"/>
        <v>540</v>
      </c>
      <c r="CL717" s="428">
        <f t="shared" si="227"/>
        <v>0</v>
      </c>
      <c r="CM717" s="428">
        <f t="shared" si="228"/>
        <v>0</v>
      </c>
      <c r="CN717" s="578"/>
      <c r="CO717" s="578"/>
      <c r="CP717" s="578"/>
      <c r="CT717" s="578"/>
      <c r="CU717" s="578"/>
      <c r="CV717" s="578"/>
      <c r="CW717" s="578"/>
      <c r="CX717" s="578"/>
    </row>
    <row r="718" s="428" customFormat="1" ht="31" customHeight="1" spans="1:102">
      <c r="A718" s="547">
        <v>45925</v>
      </c>
      <c r="B718" s="548" t="s">
        <v>128</v>
      </c>
      <c r="C718" s="539" t="s">
        <v>90</v>
      </c>
      <c r="D718" s="428">
        <v>4500180349</v>
      </c>
      <c r="E718" s="887" t="s">
        <v>4917</v>
      </c>
      <c r="F718" s="428" t="s">
        <v>4918</v>
      </c>
      <c r="G718" s="549" t="s">
        <v>3180</v>
      </c>
      <c r="H718" s="549" t="s">
        <v>3181</v>
      </c>
      <c r="I718" s="549">
        <v>2880</v>
      </c>
      <c r="J718" s="549">
        <v>0</v>
      </c>
      <c r="K718" s="549">
        <v>16</v>
      </c>
      <c r="L718" s="554">
        <f t="shared" si="234"/>
        <v>180</v>
      </c>
      <c r="M718" s="558">
        <v>45961</v>
      </c>
      <c r="N718" s="558">
        <f t="shared" si="233"/>
        <v>45957</v>
      </c>
      <c r="O718" s="556" t="s">
        <v>4903</v>
      </c>
      <c r="P718" s="556" t="s">
        <v>103</v>
      </c>
      <c r="Q718" s="549"/>
      <c r="R718" s="562" t="s">
        <v>4194</v>
      </c>
      <c r="S718" s="562" t="s">
        <v>66</v>
      </c>
      <c r="T718" s="562" t="s">
        <v>133</v>
      </c>
      <c r="U718" s="562"/>
      <c r="V718" s="564" t="s">
        <v>4195</v>
      </c>
      <c r="W718" s="564" t="s">
        <v>98</v>
      </c>
      <c r="X718" s="564">
        <v>0.5837</v>
      </c>
      <c r="Y718" s="513">
        <f t="shared" si="235"/>
        <v>1681.056</v>
      </c>
      <c r="Z718" s="549" t="s">
        <v>4919</v>
      </c>
      <c r="AA718" s="549" t="s">
        <v>3180</v>
      </c>
      <c r="AB718" s="549" t="s">
        <v>76</v>
      </c>
      <c r="AC718" s="549"/>
      <c r="AD718" s="549"/>
      <c r="AE718" s="549"/>
      <c r="AF718" s="549">
        <v>2880</v>
      </c>
      <c r="AG718" s="549">
        <f t="shared" si="236"/>
        <v>0</v>
      </c>
      <c r="AH718" s="575"/>
      <c r="AI718" s="549"/>
      <c r="AJ718" s="549"/>
      <c r="AK718" s="549">
        <f t="shared" si="237"/>
        <v>2880</v>
      </c>
      <c r="AL718" s="568"/>
      <c r="AM718" s="428">
        <f t="shared" si="238"/>
        <v>2880</v>
      </c>
      <c r="AR718" s="428">
        <f t="shared" si="239"/>
        <v>2880</v>
      </c>
      <c r="AS718" s="568"/>
      <c r="AT718" s="578"/>
      <c r="AU718" s="568"/>
      <c r="AY718" s="576">
        <f t="shared" si="240"/>
        <v>120</v>
      </c>
      <c r="AZ718" s="577"/>
      <c r="BM718" s="428">
        <f t="shared" si="241"/>
        <v>180</v>
      </c>
      <c r="BT718" s="578"/>
      <c r="BV718" s="578"/>
      <c r="CK718" s="428">
        <f t="shared" si="222"/>
        <v>180</v>
      </c>
      <c r="CL718" s="428">
        <f t="shared" si="227"/>
        <v>0</v>
      </c>
      <c r="CM718" s="428">
        <f t="shared" si="228"/>
        <v>0</v>
      </c>
      <c r="CN718" s="578"/>
      <c r="CO718" s="578"/>
      <c r="CP718" s="578"/>
      <c r="CT718" s="578"/>
      <c r="CU718" s="578"/>
      <c r="CV718" s="578"/>
      <c r="CW718" s="578"/>
      <c r="CX718" s="578"/>
    </row>
    <row r="719" s="428" customFormat="1" ht="31" customHeight="1" spans="1:102">
      <c r="A719" s="547">
        <v>45917</v>
      </c>
      <c r="B719" s="896" t="s">
        <v>4857</v>
      </c>
      <c r="C719" s="539" t="s">
        <v>335</v>
      </c>
      <c r="D719" s="428">
        <v>4500179713</v>
      </c>
      <c r="E719" s="539"/>
      <c r="F719" s="428" t="s">
        <v>4920</v>
      </c>
      <c r="G719" s="549" t="s">
        <v>3206</v>
      </c>
      <c r="H719" s="549" t="s">
        <v>3207</v>
      </c>
      <c r="I719" s="549">
        <v>312</v>
      </c>
      <c r="J719" s="549">
        <v>0</v>
      </c>
      <c r="K719" s="549">
        <v>13</v>
      </c>
      <c r="L719" s="554">
        <f t="shared" si="234"/>
        <v>24</v>
      </c>
      <c r="M719" s="555">
        <v>45966</v>
      </c>
      <c r="N719" s="555">
        <v>45962</v>
      </c>
      <c r="O719" s="556"/>
      <c r="P719" s="556" t="s">
        <v>103</v>
      </c>
      <c r="Q719" s="549"/>
      <c r="R719" s="562">
        <v>45919</v>
      </c>
      <c r="S719" s="562" t="s">
        <v>66</v>
      </c>
      <c r="T719" s="562" t="s">
        <v>4921</v>
      </c>
      <c r="U719" s="562"/>
      <c r="V719" s="564" t="s">
        <v>4922</v>
      </c>
      <c r="W719" s="564" t="s">
        <v>219</v>
      </c>
      <c r="X719" s="564">
        <v>0.9168</v>
      </c>
      <c r="Y719" s="513">
        <f t="shared" si="235"/>
        <v>286.0416</v>
      </c>
      <c r="Z719" s="549" t="s">
        <v>4923</v>
      </c>
      <c r="AA719" s="549" t="s">
        <v>3206</v>
      </c>
      <c r="AB719" s="549" t="s">
        <v>76</v>
      </c>
      <c r="AC719" s="549"/>
      <c r="AD719" s="549"/>
      <c r="AE719" s="549"/>
      <c r="AF719" s="549">
        <v>312</v>
      </c>
      <c r="AG719" s="549">
        <f t="shared" si="236"/>
        <v>0</v>
      </c>
      <c r="AH719" s="575"/>
      <c r="AI719" s="549"/>
      <c r="AJ719" s="549"/>
      <c r="AK719" s="549"/>
      <c r="AL719" s="568">
        <f>I719</f>
        <v>312</v>
      </c>
      <c r="AQ719" s="428">
        <f>I719</f>
        <v>312</v>
      </c>
      <c r="AS719" s="568">
        <f>I719</f>
        <v>312</v>
      </c>
      <c r="AT719" s="578"/>
      <c r="AU719" s="568"/>
      <c r="AY719" s="576">
        <f t="shared" si="240"/>
        <v>13</v>
      </c>
      <c r="AZ719" s="577"/>
      <c r="BI719" s="428">
        <f>I719/13</f>
        <v>24</v>
      </c>
      <c r="BT719" s="578"/>
      <c r="BV719" s="578"/>
      <c r="CK719" s="428">
        <f t="shared" si="222"/>
        <v>0</v>
      </c>
      <c r="CL719" s="428">
        <f t="shared" si="227"/>
        <v>0</v>
      </c>
      <c r="CM719" s="428">
        <f t="shared" si="228"/>
        <v>0</v>
      </c>
      <c r="CN719" s="578"/>
      <c r="CO719" s="578"/>
      <c r="CP719" s="578"/>
      <c r="CT719" s="578"/>
      <c r="CU719" s="578"/>
      <c r="CV719" s="578"/>
      <c r="CW719" s="578"/>
      <c r="CX719" s="578"/>
    </row>
    <row r="720" s="428" customFormat="1" ht="31" customHeight="1" spans="1:102">
      <c r="A720" s="547">
        <v>45923</v>
      </c>
      <c r="B720" s="548" t="s">
        <v>2406</v>
      </c>
      <c r="C720" s="539" t="s">
        <v>416</v>
      </c>
      <c r="D720" s="428">
        <v>4500180174</v>
      </c>
      <c r="E720" s="539">
        <v>4500155176</v>
      </c>
      <c r="F720" s="428" t="s">
        <v>4924</v>
      </c>
      <c r="G720" s="549" t="s">
        <v>3161</v>
      </c>
      <c r="H720" s="549" t="s">
        <v>3221</v>
      </c>
      <c r="I720" s="549">
        <v>5000</v>
      </c>
      <c r="J720" s="549">
        <v>0</v>
      </c>
      <c r="K720" s="549">
        <v>50</v>
      </c>
      <c r="L720" s="554">
        <f t="shared" si="234"/>
        <v>100</v>
      </c>
      <c r="M720" s="555">
        <v>45966</v>
      </c>
      <c r="N720" s="555">
        <v>45964</v>
      </c>
      <c r="O720" s="556"/>
      <c r="P720" s="556" t="s">
        <v>103</v>
      </c>
      <c r="Q720" s="549"/>
      <c r="R720" s="562">
        <v>45923</v>
      </c>
      <c r="S720" s="562" t="s">
        <v>66</v>
      </c>
      <c r="T720" s="562" t="s">
        <v>4925</v>
      </c>
      <c r="U720" s="562"/>
      <c r="V720" s="566" t="s">
        <v>4926</v>
      </c>
      <c r="W720" s="564" t="s">
        <v>451</v>
      </c>
      <c r="X720" s="564">
        <v>0.9358</v>
      </c>
      <c r="Y720" s="513">
        <f t="shared" si="235"/>
        <v>4679</v>
      </c>
      <c r="Z720" s="549" t="s">
        <v>4927</v>
      </c>
      <c r="AA720" s="548" t="s">
        <v>3161</v>
      </c>
      <c r="AB720" s="549" t="s">
        <v>76</v>
      </c>
      <c r="AC720" s="549"/>
      <c r="AD720" s="549"/>
      <c r="AE720" s="549"/>
      <c r="AF720" s="549">
        <v>5000</v>
      </c>
      <c r="AG720" s="549">
        <f t="shared" si="236"/>
        <v>0</v>
      </c>
      <c r="AH720" s="575"/>
      <c r="AI720" s="549"/>
      <c r="AJ720" s="549"/>
      <c r="AK720" s="549"/>
      <c r="AL720" s="568">
        <f>I720</f>
        <v>5000</v>
      </c>
      <c r="AQ720" s="428">
        <f>I720</f>
        <v>5000</v>
      </c>
      <c r="AS720" s="428">
        <f>I720</f>
        <v>5000</v>
      </c>
      <c r="AT720" s="578"/>
      <c r="AU720" s="568"/>
      <c r="AY720" s="576">
        <f t="shared" si="240"/>
        <v>208.333333333333</v>
      </c>
      <c r="AZ720" s="577"/>
      <c r="BL720" s="428">
        <f>I720/25</f>
        <v>200</v>
      </c>
      <c r="BT720" s="578"/>
      <c r="BV720" s="578"/>
      <c r="CK720" s="428">
        <f t="shared" si="222"/>
        <v>200</v>
      </c>
      <c r="CL720" s="428">
        <f t="shared" si="227"/>
        <v>0</v>
      </c>
      <c r="CM720" s="428">
        <f t="shared" si="228"/>
        <v>0</v>
      </c>
      <c r="CN720" s="578"/>
      <c r="CO720" s="578"/>
      <c r="CP720" s="578"/>
      <c r="CT720" s="578"/>
      <c r="CU720" s="578"/>
      <c r="CV720" s="578"/>
      <c r="CW720" s="578"/>
      <c r="CX720" s="578"/>
    </row>
    <row r="721" s="428" customFormat="1" ht="31" customHeight="1" spans="1:102">
      <c r="A721" s="547">
        <v>45925</v>
      </c>
      <c r="B721" s="548" t="s">
        <v>1643</v>
      </c>
      <c r="C721" s="539" t="s">
        <v>249</v>
      </c>
      <c r="D721" s="428">
        <v>4500180233</v>
      </c>
      <c r="E721" s="539" t="s">
        <v>4928</v>
      </c>
      <c r="F721" s="428" t="s">
        <v>4929</v>
      </c>
      <c r="G721" s="549" t="s">
        <v>3419</v>
      </c>
      <c r="H721" s="549" t="s">
        <v>3221</v>
      </c>
      <c r="I721" s="549">
        <v>1500</v>
      </c>
      <c r="J721" s="549">
        <v>25</v>
      </c>
      <c r="K721" s="549">
        <v>50</v>
      </c>
      <c r="L721" s="554">
        <f t="shared" si="234"/>
        <v>30</v>
      </c>
      <c r="M721" s="555">
        <v>45967</v>
      </c>
      <c r="N721" s="555">
        <v>45965</v>
      </c>
      <c r="O721" s="556"/>
      <c r="P721" s="556" t="s">
        <v>103</v>
      </c>
      <c r="Q721" s="549"/>
      <c r="R721" s="562">
        <v>45925</v>
      </c>
      <c r="S721" s="562" t="s">
        <v>66</v>
      </c>
      <c r="T721" s="562" t="s">
        <v>4930</v>
      </c>
      <c r="U721" s="562"/>
      <c r="V721" s="564" t="s">
        <v>4931</v>
      </c>
      <c r="W721" s="564" t="s">
        <v>269</v>
      </c>
      <c r="X721" s="564">
        <v>0.9678</v>
      </c>
      <c r="Y721" s="513">
        <f t="shared" si="235"/>
        <v>1451.7</v>
      </c>
      <c r="Z721" s="549" t="s">
        <v>4932</v>
      </c>
      <c r="AA721" s="549" t="s">
        <v>3419</v>
      </c>
      <c r="AB721" s="549" t="s">
        <v>76</v>
      </c>
      <c r="AC721" s="549"/>
      <c r="AD721" s="549"/>
      <c r="AE721" s="549"/>
      <c r="AF721" s="549">
        <v>1500</v>
      </c>
      <c r="AG721" s="549">
        <f t="shared" ref="AG721:AG784" si="242">AF721-I721</f>
        <v>0</v>
      </c>
      <c r="AH721" s="575"/>
      <c r="AI721" s="549"/>
      <c r="AJ721" s="549"/>
      <c r="AK721" s="549"/>
      <c r="AL721" s="568">
        <f>I721</f>
        <v>1500</v>
      </c>
      <c r="AQ721" s="428">
        <f>I721</f>
        <v>1500</v>
      </c>
      <c r="AS721" s="568">
        <f>I721</f>
        <v>1500</v>
      </c>
      <c r="AT721" s="578"/>
      <c r="AU721" s="568"/>
      <c r="AY721" s="576">
        <f t="shared" si="240"/>
        <v>62.5</v>
      </c>
      <c r="AZ721" s="577"/>
      <c r="BL721" s="428">
        <f>I721/25</f>
        <v>60</v>
      </c>
      <c r="BT721" s="578"/>
      <c r="BV721" s="578"/>
      <c r="CK721" s="428">
        <f t="shared" si="222"/>
        <v>60</v>
      </c>
      <c r="CL721" s="428">
        <f t="shared" si="227"/>
        <v>0</v>
      </c>
      <c r="CM721" s="428">
        <f t="shared" si="228"/>
        <v>0</v>
      </c>
      <c r="CN721" s="578"/>
      <c r="CO721" s="578"/>
      <c r="CP721" s="578"/>
      <c r="CT721" s="578"/>
      <c r="CU721" s="578"/>
      <c r="CV721" s="578"/>
      <c r="CW721" s="578"/>
      <c r="CX721" s="578"/>
    </row>
    <row r="722" s="428" customFormat="1" ht="31" customHeight="1" spans="1:102">
      <c r="A722" s="547">
        <v>45925</v>
      </c>
      <c r="B722" s="548" t="s">
        <v>539</v>
      </c>
      <c r="C722" s="539" t="s">
        <v>356</v>
      </c>
      <c r="D722" s="428">
        <v>4500180284</v>
      </c>
      <c r="E722" s="550">
        <v>2236250205</v>
      </c>
      <c r="F722" s="428" t="s">
        <v>4933</v>
      </c>
      <c r="G722" s="549" t="s">
        <v>3161</v>
      </c>
      <c r="H722" s="549" t="s">
        <v>3221</v>
      </c>
      <c r="I722" s="549">
        <v>8000</v>
      </c>
      <c r="J722" s="549">
        <v>0</v>
      </c>
      <c r="K722" s="549">
        <v>50</v>
      </c>
      <c r="L722" s="554">
        <f t="shared" si="234"/>
        <v>160</v>
      </c>
      <c r="M722" s="558">
        <v>45967</v>
      </c>
      <c r="N722" s="558">
        <v>45964</v>
      </c>
      <c r="O722" s="556" t="s">
        <v>4934</v>
      </c>
      <c r="P722" s="556" t="s">
        <v>103</v>
      </c>
      <c r="Q722" s="549"/>
      <c r="R722" s="562" t="s">
        <v>66</v>
      </c>
      <c r="S722" s="562" t="s">
        <v>66</v>
      </c>
      <c r="T722" s="562" t="s">
        <v>4935</v>
      </c>
      <c r="U722" s="562"/>
      <c r="V722" s="566" t="s">
        <v>4936</v>
      </c>
      <c r="W722" s="564" t="s">
        <v>395</v>
      </c>
      <c r="X722" s="564">
        <v>0.9358</v>
      </c>
      <c r="Y722" s="513">
        <f t="shared" si="235"/>
        <v>7486.4</v>
      </c>
      <c r="Z722" s="549"/>
      <c r="AA722" s="548" t="s">
        <v>3161</v>
      </c>
      <c r="AB722" s="549" t="s">
        <v>76</v>
      </c>
      <c r="AC722" s="549"/>
      <c r="AD722" s="549"/>
      <c r="AE722" s="549"/>
      <c r="AF722" s="549">
        <v>8000</v>
      </c>
      <c r="AG722" s="549">
        <f t="shared" si="242"/>
        <v>0</v>
      </c>
      <c r="AH722" s="575"/>
      <c r="AI722" s="549"/>
      <c r="AJ722" s="549"/>
      <c r="AK722" s="549"/>
      <c r="AL722" s="568">
        <f>I722</f>
        <v>8000</v>
      </c>
      <c r="AQ722" s="428">
        <f>I722</f>
        <v>8000</v>
      </c>
      <c r="AS722" s="428">
        <f>I722</f>
        <v>8000</v>
      </c>
      <c r="AT722" s="578"/>
      <c r="AU722" s="568"/>
      <c r="AY722" s="576">
        <f t="shared" si="240"/>
        <v>333.333333333333</v>
      </c>
      <c r="AZ722" s="577"/>
      <c r="BL722" s="428">
        <f>I722/25</f>
        <v>320</v>
      </c>
      <c r="BT722" s="578"/>
      <c r="BV722" s="578"/>
      <c r="CK722" s="428">
        <f t="shared" si="222"/>
        <v>320</v>
      </c>
      <c r="CL722" s="428">
        <f t="shared" si="227"/>
        <v>0</v>
      </c>
      <c r="CM722" s="428">
        <f t="shared" si="228"/>
        <v>0</v>
      </c>
      <c r="CN722" s="578"/>
      <c r="CO722" s="578"/>
      <c r="CP722" s="578"/>
      <c r="CT722" s="578"/>
      <c r="CU722" s="578"/>
      <c r="CV722" s="578"/>
      <c r="CW722" s="578"/>
      <c r="CX722" s="578"/>
    </row>
    <row r="723" s="428" customFormat="1" ht="31" customHeight="1" spans="1:102">
      <c r="A723" s="547">
        <v>45905</v>
      </c>
      <c r="B723" s="548" t="s">
        <v>275</v>
      </c>
      <c r="C723" s="539" t="s">
        <v>90</v>
      </c>
      <c r="D723" s="428">
        <v>4500178974</v>
      </c>
      <c r="E723" s="887" t="s">
        <v>1919</v>
      </c>
      <c r="F723" s="428" t="s">
        <v>4937</v>
      </c>
      <c r="G723" s="549" t="s">
        <v>3150</v>
      </c>
      <c r="H723" s="549" t="s">
        <v>3151</v>
      </c>
      <c r="I723" s="549">
        <v>2964</v>
      </c>
      <c r="J723" s="549">
        <v>0</v>
      </c>
      <c r="K723" s="549">
        <v>52</v>
      </c>
      <c r="L723" s="554">
        <f t="shared" si="234"/>
        <v>57</v>
      </c>
      <c r="M723" s="555">
        <v>45968</v>
      </c>
      <c r="N723" s="555">
        <v>45964</v>
      </c>
      <c r="O723" s="556"/>
      <c r="P723" s="556" t="s">
        <v>103</v>
      </c>
      <c r="Q723" s="549"/>
      <c r="R723" s="562">
        <v>45917</v>
      </c>
      <c r="S723" s="562" t="s">
        <v>66</v>
      </c>
      <c r="T723" s="562" t="s">
        <v>66</v>
      </c>
      <c r="U723" s="562"/>
      <c r="V723" s="564" t="s">
        <v>1921</v>
      </c>
      <c r="W723" s="564" t="s">
        <v>794</v>
      </c>
      <c r="X723" s="567">
        <v>0.5536</v>
      </c>
      <c r="Y723" s="513">
        <f t="shared" ref="Y723:Y747" si="243">X723*I723</f>
        <v>1640.8704</v>
      </c>
      <c r="Z723" s="549" t="s">
        <v>1922</v>
      </c>
      <c r="AA723" s="549" t="s">
        <v>3150</v>
      </c>
      <c r="AB723" s="549" t="s">
        <v>76</v>
      </c>
      <c r="AC723" s="549"/>
      <c r="AD723" s="549"/>
      <c r="AE723" s="549"/>
      <c r="AF723" s="549">
        <f>2912+52</f>
        <v>2964</v>
      </c>
      <c r="AG723" s="549">
        <f t="shared" si="242"/>
        <v>0</v>
      </c>
      <c r="AH723" s="575"/>
      <c r="AI723" s="549"/>
      <c r="AJ723" s="549"/>
      <c r="AK723" s="549">
        <f>I723</f>
        <v>2964</v>
      </c>
      <c r="AL723" s="568"/>
      <c r="AM723" s="428">
        <f>I723</f>
        <v>2964</v>
      </c>
      <c r="AR723" s="428">
        <f>I723</f>
        <v>2964</v>
      </c>
      <c r="AT723" s="578"/>
      <c r="AU723" s="568"/>
      <c r="AY723" s="576">
        <f t="shared" si="240"/>
        <v>123.5</v>
      </c>
      <c r="AZ723" s="577"/>
      <c r="BG723" s="428">
        <f>I723/13</f>
        <v>228</v>
      </c>
      <c r="BT723" s="578"/>
      <c r="BV723" s="578"/>
      <c r="CK723" s="428">
        <f t="shared" si="222"/>
        <v>0</v>
      </c>
      <c r="CL723" s="428">
        <f t="shared" si="227"/>
        <v>0</v>
      </c>
      <c r="CM723" s="428">
        <f t="shared" si="228"/>
        <v>0</v>
      </c>
      <c r="CN723" s="578"/>
      <c r="CO723" s="578"/>
      <c r="CP723" s="578"/>
      <c r="CT723" s="578"/>
      <c r="CU723" s="578"/>
      <c r="CV723" s="578"/>
      <c r="CW723" s="578"/>
      <c r="CX723" s="578"/>
    </row>
    <row r="724" s="428" customFormat="1" ht="31" customHeight="1" spans="1:102">
      <c r="A724" s="547">
        <v>45909</v>
      </c>
      <c r="B724" s="548" t="s">
        <v>1669</v>
      </c>
      <c r="C724" s="539" t="s">
        <v>663</v>
      </c>
      <c r="D724" s="428">
        <v>4500178919</v>
      </c>
      <c r="E724" s="539">
        <v>5000001988</v>
      </c>
      <c r="F724" s="428" t="s">
        <v>4938</v>
      </c>
      <c r="G724" s="549" t="s">
        <v>3206</v>
      </c>
      <c r="H724" s="586" t="s">
        <v>4939</v>
      </c>
      <c r="I724" s="549">
        <v>1560</v>
      </c>
      <c r="J724" s="549">
        <v>0</v>
      </c>
      <c r="K724" s="549">
        <v>13</v>
      </c>
      <c r="L724" s="554">
        <f t="shared" si="234"/>
        <v>120</v>
      </c>
      <c r="M724" s="555">
        <v>45968</v>
      </c>
      <c r="N724" s="555">
        <v>45964</v>
      </c>
      <c r="O724" s="556"/>
      <c r="P724" s="556" t="s">
        <v>103</v>
      </c>
      <c r="Q724" s="549"/>
      <c r="R724" s="562" t="s">
        <v>4940</v>
      </c>
      <c r="S724" s="562" t="s">
        <v>66</v>
      </c>
      <c r="T724" s="562" t="s">
        <v>66</v>
      </c>
      <c r="U724" s="562"/>
      <c r="V724" s="566" t="s">
        <v>4941</v>
      </c>
      <c r="W724" s="564" t="s">
        <v>1674</v>
      </c>
      <c r="X724" s="564">
        <v>0.8947</v>
      </c>
      <c r="Y724" s="513">
        <f t="shared" si="243"/>
        <v>1395.732</v>
      </c>
      <c r="Z724" s="549" t="s">
        <v>4942</v>
      </c>
      <c r="AA724" s="586" t="s">
        <v>4943</v>
      </c>
      <c r="AB724" s="549" t="s">
        <v>76</v>
      </c>
      <c r="AC724" s="549"/>
      <c r="AD724" s="549"/>
      <c r="AE724" s="549"/>
      <c r="AF724" s="549">
        <v>1560</v>
      </c>
      <c r="AG724" s="549">
        <f t="shared" si="242"/>
        <v>0</v>
      </c>
      <c r="AH724" s="575"/>
      <c r="AI724" s="549"/>
      <c r="AJ724" s="549"/>
      <c r="AK724" s="549"/>
      <c r="AL724" s="568">
        <f>I724</f>
        <v>1560</v>
      </c>
      <c r="AM724" s="428">
        <f>I724</f>
        <v>1560</v>
      </c>
      <c r="AS724" s="568"/>
      <c r="AT724" s="578"/>
      <c r="AU724" s="428">
        <f>I724</f>
        <v>1560</v>
      </c>
      <c r="AX724" s="428">
        <f>I724/24</f>
        <v>65</v>
      </c>
      <c r="AY724" s="576"/>
      <c r="AZ724" s="577"/>
      <c r="BI724" s="428">
        <f>I724/13</f>
        <v>120</v>
      </c>
      <c r="BT724" s="578"/>
      <c r="BV724" s="578"/>
      <c r="CK724" s="428">
        <f t="shared" si="222"/>
        <v>0</v>
      </c>
      <c r="CL724" s="428">
        <f t="shared" si="227"/>
        <v>0</v>
      </c>
      <c r="CM724" s="428">
        <f t="shared" si="228"/>
        <v>0</v>
      </c>
      <c r="CN724" s="578"/>
      <c r="CO724" s="578"/>
      <c r="CP724" s="578"/>
      <c r="CT724" s="578"/>
      <c r="CU724" s="578"/>
      <c r="CV724" s="578"/>
      <c r="CW724" s="578"/>
      <c r="CX724" s="578"/>
    </row>
    <row r="725" s="428" customFormat="1" ht="31" customHeight="1" spans="1:102">
      <c r="A725" s="547">
        <v>45909</v>
      </c>
      <c r="B725" s="548" t="s">
        <v>1669</v>
      </c>
      <c r="C725" s="539" t="s">
        <v>663</v>
      </c>
      <c r="D725" s="428">
        <v>4500178919</v>
      </c>
      <c r="E725" s="539">
        <v>5000001988</v>
      </c>
      <c r="F725" s="428" t="s">
        <v>4944</v>
      </c>
      <c r="G725" s="549" t="s">
        <v>3206</v>
      </c>
      <c r="H725" s="586" t="s">
        <v>4939</v>
      </c>
      <c r="I725" s="549">
        <v>2509</v>
      </c>
      <c r="J725" s="549">
        <v>0</v>
      </c>
      <c r="K725" s="549">
        <v>13</v>
      </c>
      <c r="L725" s="554">
        <f t="shared" si="234"/>
        <v>193</v>
      </c>
      <c r="M725" s="555">
        <v>45968</v>
      </c>
      <c r="N725" s="555">
        <v>45964</v>
      </c>
      <c r="O725" s="556"/>
      <c r="P725" s="556" t="s">
        <v>103</v>
      </c>
      <c r="Q725" s="549"/>
      <c r="R725" s="562" t="s">
        <v>4940</v>
      </c>
      <c r="S725" s="562" t="s">
        <v>66</v>
      </c>
      <c r="T725" s="562" t="s">
        <v>66</v>
      </c>
      <c r="U725" s="562"/>
      <c r="V725" s="566" t="s">
        <v>4941</v>
      </c>
      <c r="W725" s="564" t="s">
        <v>1674</v>
      </c>
      <c r="X725" s="564">
        <v>0.8947</v>
      </c>
      <c r="Y725" s="513">
        <f t="shared" si="243"/>
        <v>2244.8023</v>
      </c>
      <c r="Z725" s="549" t="s">
        <v>4942</v>
      </c>
      <c r="AA725" s="586" t="s">
        <v>4943</v>
      </c>
      <c r="AB725" s="549" t="s">
        <v>76</v>
      </c>
      <c r="AC725" s="549"/>
      <c r="AD725" s="549"/>
      <c r="AE725" s="549"/>
      <c r="AF725" s="549">
        <f>2483+26</f>
        <v>2509</v>
      </c>
      <c r="AG725" s="549">
        <f t="shared" si="242"/>
        <v>0</v>
      </c>
      <c r="AH725" s="575"/>
      <c r="AI725" s="549"/>
      <c r="AJ725" s="549"/>
      <c r="AK725" s="549"/>
      <c r="AL725" s="568">
        <f>I725</f>
        <v>2509</v>
      </c>
      <c r="AM725" s="428">
        <f>I725</f>
        <v>2509</v>
      </c>
      <c r="AS725" s="568"/>
      <c r="AT725" s="578"/>
      <c r="AU725" s="428">
        <f>I725</f>
        <v>2509</v>
      </c>
      <c r="AX725" s="428">
        <f>I725/13</f>
        <v>193</v>
      </c>
      <c r="AY725" s="576"/>
      <c r="AZ725" s="577"/>
      <c r="BI725" s="428">
        <f>I725/13</f>
        <v>193</v>
      </c>
      <c r="BT725" s="578"/>
      <c r="BV725" s="578"/>
      <c r="CK725" s="428">
        <f t="shared" si="222"/>
        <v>0</v>
      </c>
      <c r="CL725" s="428">
        <f t="shared" si="227"/>
        <v>0</v>
      </c>
      <c r="CM725" s="428">
        <f t="shared" si="228"/>
        <v>0</v>
      </c>
      <c r="CN725" s="578"/>
      <c r="CO725" s="578"/>
      <c r="CP725" s="578"/>
      <c r="CT725" s="578"/>
      <c r="CU725" s="578"/>
      <c r="CV725" s="578"/>
      <c r="CW725" s="578"/>
      <c r="CX725" s="578"/>
    </row>
    <row r="726" s="428" customFormat="1" ht="31" customHeight="1" spans="1:102">
      <c r="A726" s="547">
        <v>45919</v>
      </c>
      <c r="B726" s="548" t="s">
        <v>115</v>
      </c>
      <c r="C726" s="539" t="s">
        <v>116</v>
      </c>
      <c r="D726" s="428">
        <v>4500179872</v>
      </c>
      <c r="E726" s="539">
        <v>85018</v>
      </c>
      <c r="F726" s="428" t="s">
        <v>4945</v>
      </c>
      <c r="G726" s="549" t="s">
        <v>3165</v>
      </c>
      <c r="H726" s="549" t="s">
        <v>3303</v>
      </c>
      <c r="I726" s="549">
        <v>7200</v>
      </c>
      <c r="J726" s="549">
        <v>0</v>
      </c>
      <c r="K726" s="549">
        <v>25</v>
      </c>
      <c r="L726" s="554">
        <f t="shared" si="234"/>
        <v>288</v>
      </c>
      <c r="M726" s="555">
        <v>45968</v>
      </c>
      <c r="N726" s="555">
        <v>45964</v>
      </c>
      <c r="O726" s="556"/>
      <c r="P726" s="556" t="s">
        <v>103</v>
      </c>
      <c r="Q726" s="549"/>
      <c r="R726" s="562">
        <v>45919</v>
      </c>
      <c r="S726" s="562" t="s">
        <v>66</v>
      </c>
      <c r="T726" s="562" t="s">
        <v>4946</v>
      </c>
      <c r="U726" s="562"/>
      <c r="V726" s="564" t="s">
        <v>4947</v>
      </c>
      <c r="W726" s="564" t="s">
        <v>196</v>
      </c>
      <c r="X726" s="564">
        <v>0.9365</v>
      </c>
      <c r="Y726" s="513">
        <f t="shared" si="243"/>
        <v>6742.8</v>
      </c>
      <c r="Z726" s="549" t="s">
        <v>1933</v>
      </c>
      <c r="AA726" s="549" t="s">
        <v>3165</v>
      </c>
      <c r="AB726" s="549" t="s">
        <v>76</v>
      </c>
      <c r="AC726" s="549"/>
      <c r="AD726" s="549"/>
      <c r="AE726" s="549"/>
      <c r="AF726" s="549">
        <v>7200</v>
      </c>
      <c r="AG726" s="549">
        <f t="shared" si="242"/>
        <v>0</v>
      </c>
      <c r="AH726" s="575"/>
      <c r="AI726" s="549"/>
      <c r="AJ726" s="549"/>
      <c r="AK726" s="549"/>
      <c r="AL726" s="568">
        <f>I726</f>
        <v>7200</v>
      </c>
      <c r="AQ726" s="428">
        <f>I726</f>
        <v>7200</v>
      </c>
      <c r="AS726" s="568">
        <f>I726</f>
        <v>7200</v>
      </c>
      <c r="AT726" s="578"/>
      <c r="AY726" s="576">
        <f t="shared" ref="AY726:AY731" si="244">I726/24*2</f>
        <v>600</v>
      </c>
      <c r="AZ726" s="577"/>
      <c r="BL726" s="428">
        <f>I726/25</f>
        <v>288</v>
      </c>
      <c r="BT726" s="578"/>
      <c r="BV726" s="578"/>
      <c r="CK726" s="428">
        <f t="shared" si="222"/>
        <v>288</v>
      </c>
      <c r="CL726" s="428">
        <f t="shared" si="227"/>
        <v>0</v>
      </c>
      <c r="CM726" s="428">
        <f t="shared" si="228"/>
        <v>0</v>
      </c>
      <c r="CN726" s="578"/>
      <c r="CO726" s="578"/>
      <c r="CP726" s="578"/>
      <c r="CT726" s="578"/>
      <c r="CU726" s="578"/>
      <c r="CV726" s="578"/>
      <c r="CW726" s="578"/>
      <c r="CX726" s="578"/>
    </row>
    <row r="727" s="428" customFormat="1" ht="31" customHeight="1" spans="1:102">
      <c r="A727" s="547">
        <v>45917</v>
      </c>
      <c r="B727" s="548" t="s">
        <v>489</v>
      </c>
      <c r="C727" s="539" t="s">
        <v>139</v>
      </c>
      <c r="D727" s="428">
        <v>4500179736</v>
      </c>
      <c r="E727" s="539" t="s">
        <v>4948</v>
      </c>
      <c r="F727" s="428" t="s">
        <v>4949</v>
      </c>
      <c r="G727" s="549" t="s">
        <v>3464</v>
      </c>
      <c r="H727" s="549" t="s">
        <v>3237</v>
      </c>
      <c r="I727" s="549">
        <v>1800</v>
      </c>
      <c r="J727" s="549">
        <v>0</v>
      </c>
      <c r="K727" s="549">
        <v>12</v>
      </c>
      <c r="L727" s="554">
        <f t="shared" si="234"/>
        <v>150</v>
      </c>
      <c r="M727" s="555">
        <v>45968</v>
      </c>
      <c r="N727" s="555">
        <v>45964</v>
      </c>
      <c r="O727" s="556"/>
      <c r="P727" s="556" t="s">
        <v>103</v>
      </c>
      <c r="Q727" s="549"/>
      <c r="R727" s="562" t="s">
        <v>4950</v>
      </c>
      <c r="S727" s="562" t="s">
        <v>96</v>
      </c>
      <c r="T727" s="562" t="s">
        <v>4951</v>
      </c>
      <c r="U727" s="562"/>
      <c r="V727" s="564" t="s">
        <v>4952</v>
      </c>
      <c r="W727" s="564" t="s">
        <v>414</v>
      </c>
      <c r="X727" s="567">
        <v>2.1629</v>
      </c>
      <c r="Y727" s="513">
        <f t="shared" si="243"/>
        <v>3893.22</v>
      </c>
      <c r="Z727" s="549"/>
      <c r="AA727" s="549" t="s">
        <v>3464</v>
      </c>
      <c r="AB727" s="549" t="s">
        <v>76</v>
      </c>
      <c r="AC727" s="549"/>
      <c r="AD727" s="549"/>
      <c r="AE727" s="549"/>
      <c r="AF727" s="549">
        <v>1800</v>
      </c>
      <c r="AG727" s="549">
        <f t="shared" si="242"/>
        <v>0</v>
      </c>
      <c r="AH727" s="575"/>
      <c r="AI727" s="549"/>
      <c r="AJ727" s="549"/>
      <c r="AK727" s="549"/>
      <c r="AL727" s="428">
        <f>I727*2</f>
        <v>3600</v>
      </c>
      <c r="AQ727" s="428">
        <f>I727*2</f>
        <v>3600</v>
      </c>
      <c r="AS727" s="568">
        <f>I727*2</f>
        <v>3600</v>
      </c>
      <c r="AT727" s="578"/>
      <c r="AY727" s="576">
        <f t="shared" si="244"/>
        <v>150</v>
      </c>
      <c r="AZ727" s="577"/>
      <c r="BT727" s="578"/>
      <c r="BV727" s="578"/>
      <c r="CH727" s="428">
        <f>I727</f>
        <v>1800</v>
      </c>
      <c r="CI727" s="428">
        <f>I727</f>
        <v>1800</v>
      </c>
      <c r="CJ727" s="428">
        <f>I727</f>
        <v>1800</v>
      </c>
      <c r="CK727" s="428">
        <f t="shared" si="222"/>
        <v>0</v>
      </c>
      <c r="CL727" s="428">
        <f t="shared" si="227"/>
        <v>0</v>
      </c>
      <c r="CM727" s="428">
        <f t="shared" si="228"/>
        <v>0</v>
      </c>
      <c r="CN727" s="578"/>
      <c r="CO727" s="578"/>
      <c r="CP727" s="578"/>
      <c r="CT727" s="578"/>
      <c r="CU727" s="578"/>
      <c r="CV727" s="578"/>
      <c r="CW727" s="578"/>
      <c r="CX727" s="578"/>
    </row>
    <row r="728" s="428" customFormat="1" ht="31" customHeight="1" spans="1:102">
      <c r="A728" s="547">
        <v>45917</v>
      </c>
      <c r="B728" s="548" t="s">
        <v>489</v>
      </c>
      <c r="C728" s="539" t="s">
        <v>139</v>
      </c>
      <c r="D728" s="428">
        <v>4500179736</v>
      </c>
      <c r="E728" s="539" t="s">
        <v>4953</v>
      </c>
      <c r="F728" s="428" t="s">
        <v>4954</v>
      </c>
      <c r="G728" s="549" t="s">
        <v>3464</v>
      </c>
      <c r="H728" s="549" t="s">
        <v>3237</v>
      </c>
      <c r="I728" s="549">
        <v>3408</v>
      </c>
      <c r="J728" s="549">
        <v>0</v>
      </c>
      <c r="K728" s="549">
        <v>12</v>
      </c>
      <c r="L728" s="554">
        <f t="shared" si="234"/>
        <v>284</v>
      </c>
      <c r="M728" s="555">
        <v>45968</v>
      </c>
      <c r="N728" s="555">
        <v>45964</v>
      </c>
      <c r="O728" s="556"/>
      <c r="P728" s="556" t="s">
        <v>103</v>
      </c>
      <c r="Q728" s="549"/>
      <c r="R728" s="562" t="s">
        <v>4950</v>
      </c>
      <c r="S728" s="562" t="s">
        <v>96</v>
      </c>
      <c r="T728" s="562" t="s">
        <v>4951</v>
      </c>
      <c r="U728" s="562"/>
      <c r="V728" s="564" t="s">
        <v>4952</v>
      </c>
      <c r="W728" s="564" t="s">
        <v>414</v>
      </c>
      <c r="X728" s="567">
        <v>2.1629</v>
      </c>
      <c r="Y728" s="513">
        <f t="shared" si="243"/>
        <v>7371.1632</v>
      </c>
      <c r="Z728" s="549"/>
      <c r="AA728" s="549" t="s">
        <v>3464</v>
      </c>
      <c r="AB728" s="549" t="s">
        <v>76</v>
      </c>
      <c r="AC728" s="549"/>
      <c r="AD728" s="549"/>
      <c r="AE728" s="549"/>
      <c r="AF728" s="549">
        <v>3408</v>
      </c>
      <c r="AG728" s="549">
        <f t="shared" si="242"/>
        <v>0</v>
      </c>
      <c r="AH728" s="575"/>
      <c r="AI728" s="549"/>
      <c r="AJ728" s="549"/>
      <c r="AK728" s="549"/>
      <c r="AL728" s="428">
        <f>I728*2</f>
        <v>6816</v>
      </c>
      <c r="AQ728" s="428">
        <f>I728*2</f>
        <v>6816</v>
      </c>
      <c r="AS728" s="568">
        <f>I728*2</f>
        <v>6816</v>
      </c>
      <c r="AT728" s="578"/>
      <c r="AY728" s="576">
        <f t="shared" si="244"/>
        <v>284</v>
      </c>
      <c r="AZ728" s="577"/>
      <c r="BT728" s="578"/>
      <c r="BV728" s="578"/>
      <c r="CH728" s="428">
        <f>I728</f>
        <v>3408</v>
      </c>
      <c r="CI728" s="428">
        <f>I728</f>
        <v>3408</v>
      </c>
      <c r="CJ728" s="428">
        <f>I728</f>
        <v>3408</v>
      </c>
      <c r="CK728" s="428">
        <f t="shared" si="222"/>
        <v>0</v>
      </c>
      <c r="CL728" s="428">
        <f t="shared" si="227"/>
        <v>0</v>
      </c>
      <c r="CM728" s="428">
        <f t="shared" si="228"/>
        <v>0</v>
      </c>
      <c r="CN728" s="578"/>
      <c r="CO728" s="578"/>
      <c r="CP728" s="578"/>
      <c r="CT728" s="578"/>
      <c r="CU728" s="578"/>
      <c r="CV728" s="578"/>
      <c r="CW728" s="578"/>
      <c r="CX728" s="578"/>
    </row>
    <row r="729" s="428" customFormat="1" ht="31" customHeight="1" spans="1:102">
      <c r="A729" s="547">
        <v>45917</v>
      </c>
      <c r="B729" s="548" t="s">
        <v>489</v>
      </c>
      <c r="C729" s="539" t="s">
        <v>139</v>
      </c>
      <c r="D729" s="428">
        <v>4500179736</v>
      </c>
      <c r="E729" s="539" t="s">
        <v>1934</v>
      </c>
      <c r="F729" s="428" t="s">
        <v>4955</v>
      </c>
      <c r="G729" s="549" t="s">
        <v>3464</v>
      </c>
      <c r="H729" s="549" t="s">
        <v>3237</v>
      </c>
      <c r="I729" s="549">
        <v>492</v>
      </c>
      <c r="J729" s="549">
        <v>0</v>
      </c>
      <c r="K729" s="549">
        <v>12</v>
      </c>
      <c r="L729" s="554">
        <f t="shared" si="234"/>
        <v>41</v>
      </c>
      <c r="M729" s="555">
        <v>45968</v>
      </c>
      <c r="N729" s="555">
        <v>45964</v>
      </c>
      <c r="O729" s="556"/>
      <c r="P729" s="556" t="s">
        <v>103</v>
      </c>
      <c r="Q729" s="549"/>
      <c r="R729" s="562" t="s">
        <v>4950</v>
      </c>
      <c r="S729" s="562" t="s">
        <v>96</v>
      </c>
      <c r="T729" s="562" t="s">
        <v>4951</v>
      </c>
      <c r="U729" s="562"/>
      <c r="V729" s="564" t="s">
        <v>4952</v>
      </c>
      <c r="W729" s="564" t="s">
        <v>414</v>
      </c>
      <c r="X729" s="567">
        <v>2.1629</v>
      </c>
      <c r="Y729" s="513">
        <f t="shared" si="243"/>
        <v>1064.1468</v>
      </c>
      <c r="Z729" s="549" t="s">
        <v>1939</v>
      </c>
      <c r="AA729" s="549" t="s">
        <v>3464</v>
      </c>
      <c r="AB729" s="549" t="s">
        <v>76</v>
      </c>
      <c r="AC729" s="549"/>
      <c r="AD729" s="549"/>
      <c r="AE729" s="549"/>
      <c r="AF729" s="549">
        <v>492</v>
      </c>
      <c r="AG729" s="549">
        <f t="shared" si="242"/>
        <v>0</v>
      </c>
      <c r="AH729" s="575"/>
      <c r="AI729" s="549"/>
      <c r="AJ729" s="549"/>
      <c r="AK729" s="549"/>
      <c r="AL729" s="428">
        <f>I729*2</f>
        <v>984</v>
      </c>
      <c r="AQ729" s="428">
        <f>I729*2</f>
        <v>984</v>
      </c>
      <c r="AS729" s="568">
        <f>I729*2</f>
        <v>984</v>
      </c>
      <c r="AT729" s="578"/>
      <c r="AY729" s="576">
        <f t="shared" si="244"/>
        <v>41</v>
      </c>
      <c r="AZ729" s="577"/>
      <c r="BT729" s="578"/>
      <c r="BV729" s="578"/>
      <c r="CH729" s="428">
        <f>I729</f>
        <v>492</v>
      </c>
      <c r="CI729" s="428">
        <f>I729</f>
        <v>492</v>
      </c>
      <c r="CJ729" s="428">
        <f>I729</f>
        <v>492</v>
      </c>
      <c r="CK729" s="428">
        <f t="shared" si="222"/>
        <v>0</v>
      </c>
      <c r="CL729" s="428">
        <f t="shared" si="227"/>
        <v>0</v>
      </c>
      <c r="CM729" s="428">
        <f t="shared" si="228"/>
        <v>0</v>
      </c>
      <c r="CN729" s="578"/>
      <c r="CO729" s="578"/>
      <c r="CP729" s="578"/>
      <c r="CT729" s="578"/>
      <c r="CU729" s="578"/>
      <c r="CV729" s="578"/>
      <c r="CW729" s="578"/>
      <c r="CX729" s="578"/>
    </row>
    <row r="730" s="428" customFormat="1" ht="31" customHeight="1" spans="1:102">
      <c r="A730" s="547">
        <v>45918</v>
      </c>
      <c r="B730" s="548" t="s">
        <v>4956</v>
      </c>
      <c r="C730" s="539" t="s">
        <v>366</v>
      </c>
      <c r="D730" s="428">
        <v>4500179692</v>
      </c>
      <c r="E730" s="539" t="s">
        <v>4957</v>
      </c>
      <c r="F730" s="428" t="s">
        <v>4958</v>
      </c>
      <c r="G730" s="549" t="s">
        <v>3464</v>
      </c>
      <c r="H730" s="549" t="s">
        <v>3237</v>
      </c>
      <c r="I730" s="549">
        <v>3240</v>
      </c>
      <c r="J730" s="549">
        <v>0</v>
      </c>
      <c r="K730" s="549">
        <v>12</v>
      </c>
      <c r="L730" s="554">
        <f t="shared" si="234"/>
        <v>270</v>
      </c>
      <c r="M730" s="555">
        <v>45968</v>
      </c>
      <c r="N730" s="555">
        <v>45966</v>
      </c>
      <c r="O730" s="556"/>
      <c r="P730" s="556" t="s">
        <v>103</v>
      </c>
      <c r="Q730" s="549"/>
      <c r="R730" s="562" t="s">
        <v>4950</v>
      </c>
      <c r="S730" s="562" t="s">
        <v>96</v>
      </c>
      <c r="T730" s="562" t="s">
        <v>4951</v>
      </c>
      <c r="U730" s="562"/>
      <c r="V730" s="564" t="s">
        <v>4959</v>
      </c>
      <c r="W730" s="564" t="s">
        <v>485</v>
      </c>
      <c r="X730" s="567">
        <v>2.2315</v>
      </c>
      <c r="Y730" s="513">
        <f t="shared" si="243"/>
        <v>7230.06</v>
      </c>
      <c r="Z730" s="549"/>
      <c r="AA730" s="549" t="s">
        <v>3464</v>
      </c>
      <c r="AB730" s="549" t="s">
        <v>76</v>
      </c>
      <c r="AC730" s="549"/>
      <c r="AD730" s="549"/>
      <c r="AE730" s="549"/>
      <c r="AF730" s="549">
        <v>3240</v>
      </c>
      <c r="AG730" s="549">
        <f t="shared" si="242"/>
        <v>0</v>
      </c>
      <c r="AH730" s="575"/>
      <c r="AI730" s="549"/>
      <c r="AJ730" s="549"/>
      <c r="AK730" s="549"/>
      <c r="AL730" s="428">
        <f>I730*2</f>
        <v>6480</v>
      </c>
      <c r="AQ730" s="428">
        <f>I730*2</f>
        <v>6480</v>
      </c>
      <c r="AS730" s="568">
        <f>I730*2</f>
        <v>6480</v>
      </c>
      <c r="AT730" s="578"/>
      <c r="AY730" s="576">
        <f t="shared" si="244"/>
        <v>270</v>
      </c>
      <c r="AZ730" s="577"/>
      <c r="BT730" s="578"/>
      <c r="BV730" s="578"/>
      <c r="CH730" s="428">
        <f>I730</f>
        <v>3240</v>
      </c>
      <c r="CI730" s="428">
        <f>I730</f>
        <v>3240</v>
      </c>
      <c r="CJ730" s="428">
        <f>I730</f>
        <v>3240</v>
      </c>
      <c r="CK730" s="428">
        <f t="shared" si="222"/>
        <v>0</v>
      </c>
      <c r="CL730" s="428">
        <f t="shared" si="227"/>
        <v>0</v>
      </c>
      <c r="CM730" s="428">
        <f t="shared" si="228"/>
        <v>0</v>
      </c>
      <c r="CN730" s="578"/>
      <c r="CO730" s="578"/>
      <c r="CP730" s="578"/>
      <c r="CT730" s="578"/>
      <c r="CU730" s="578"/>
      <c r="CV730" s="578"/>
      <c r="CW730" s="578"/>
      <c r="CX730" s="578"/>
    </row>
    <row r="731" s="428" customFormat="1" ht="31" customHeight="1" spans="1:102">
      <c r="A731" s="547">
        <v>45928</v>
      </c>
      <c r="B731" s="548" t="s">
        <v>489</v>
      </c>
      <c r="C731" s="539" t="s">
        <v>249</v>
      </c>
      <c r="D731" s="428">
        <v>4500180739</v>
      </c>
      <c r="E731" s="539" t="s">
        <v>4960</v>
      </c>
      <c r="F731" s="428" t="s">
        <v>4961</v>
      </c>
      <c r="G731" s="549" t="s">
        <v>4962</v>
      </c>
      <c r="H731" s="549" t="s">
        <v>3237</v>
      </c>
      <c r="I731" s="549">
        <v>1212</v>
      </c>
      <c r="J731" s="549">
        <v>0</v>
      </c>
      <c r="K731" s="549">
        <v>12</v>
      </c>
      <c r="L731" s="554">
        <f t="shared" si="234"/>
        <v>101</v>
      </c>
      <c r="M731" s="555">
        <v>45968</v>
      </c>
      <c r="N731" s="555">
        <v>45964</v>
      </c>
      <c r="O731" s="556"/>
      <c r="P731" s="556" t="s">
        <v>103</v>
      </c>
      <c r="Q731" s="549"/>
      <c r="R731" s="562" t="s">
        <v>4950</v>
      </c>
      <c r="S731" s="562" t="s">
        <v>96</v>
      </c>
      <c r="T731" s="562">
        <v>45940</v>
      </c>
      <c r="U731" s="562"/>
      <c r="V731" s="564" t="s">
        <v>4963</v>
      </c>
      <c r="W731" s="564" t="s">
        <v>414</v>
      </c>
      <c r="X731" s="564">
        <v>2.1629</v>
      </c>
      <c r="Y731" s="513">
        <f t="shared" si="243"/>
        <v>2621.4348</v>
      </c>
      <c r="Z731" s="549"/>
      <c r="AA731" s="549" t="s">
        <v>3464</v>
      </c>
      <c r="AB731" s="549" t="s">
        <v>76</v>
      </c>
      <c r="AC731" s="549"/>
      <c r="AD731" s="549"/>
      <c r="AE731" s="549"/>
      <c r="AF731" s="549">
        <v>1212</v>
      </c>
      <c r="AG731" s="549">
        <f t="shared" si="242"/>
        <v>0</v>
      </c>
      <c r="AH731" s="575"/>
      <c r="AI731" s="549"/>
      <c r="AJ731" s="549"/>
      <c r="AK731" s="549"/>
      <c r="AL731" s="428">
        <f>I731*2</f>
        <v>2424</v>
      </c>
      <c r="AQ731" s="428">
        <f>I731*2</f>
        <v>2424</v>
      </c>
      <c r="AS731" s="568">
        <f>I731*2</f>
        <v>2424</v>
      </c>
      <c r="AT731" s="578"/>
      <c r="AY731" s="576">
        <f t="shared" si="244"/>
        <v>101</v>
      </c>
      <c r="AZ731" s="577"/>
      <c r="BT731" s="578"/>
      <c r="BV731" s="578"/>
      <c r="CH731" s="428">
        <f>I731</f>
        <v>1212</v>
      </c>
      <c r="CI731" s="428">
        <f>I731</f>
        <v>1212</v>
      </c>
      <c r="CJ731" s="428">
        <f>I731</f>
        <v>1212</v>
      </c>
      <c r="CK731" s="428">
        <f t="shared" si="222"/>
        <v>0</v>
      </c>
      <c r="CL731" s="428">
        <f t="shared" si="227"/>
        <v>0</v>
      </c>
      <c r="CM731" s="428">
        <f t="shared" si="228"/>
        <v>0</v>
      </c>
      <c r="CN731" s="578"/>
      <c r="CO731" s="578"/>
      <c r="CP731" s="578"/>
      <c r="CT731" s="578"/>
      <c r="CU731" s="578"/>
      <c r="CV731" s="578"/>
      <c r="CW731" s="578"/>
      <c r="CX731" s="578"/>
    </row>
    <row r="732" s="428" customFormat="1" ht="31" customHeight="1" spans="1:102">
      <c r="A732" s="547">
        <v>45922</v>
      </c>
      <c r="B732" s="548" t="s">
        <v>2296</v>
      </c>
      <c r="C732" s="539" t="s">
        <v>139</v>
      </c>
      <c r="D732" s="428">
        <v>4500180040</v>
      </c>
      <c r="E732" s="539">
        <v>249680</v>
      </c>
      <c r="F732" s="428" t="s">
        <v>4964</v>
      </c>
      <c r="G732" s="549" t="s">
        <v>3143</v>
      </c>
      <c r="H732" s="549" t="s">
        <v>3144</v>
      </c>
      <c r="I732" s="549">
        <v>6240</v>
      </c>
      <c r="J732" s="549">
        <v>0</v>
      </c>
      <c r="K732" s="549">
        <v>24</v>
      </c>
      <c r="L732" s="554">
        <f t="shared" si="234"/>
        <v>260</v>
      </c>
      <c r="M732" s="555">
        <v>45968</v>
      </c>
      <c r="N732" s="555">
        <v>45964</v>
      </c>
      <c r="O732" s="556"/>
      <c r="P732" s="556" t="s">
        <v>103</v>
      </c>
      <c r="Q732" s="549" t="s">
        <v>4965</v>
      </c>
      <c r="R732" s="562">
        <v>45940</v>
      </c>
      <c r="S732" s="562" t="s">
        <v>66</v>
      </c>
      <c r="T732" s="562" t="s">
        <v>4966</v>
      </c>
      <c r="U732" s="562"/>
      <c r="V732" s="564" t="s">
        <v>4967</v>
      </c>
      <c r="W732" s="564" t="s">
        <v>2322</v>
      </c>
      <c r="X732" s="564">
        <v>0.8604</v>
      </c>
      <c r="Y732" s="513">
        <f t="shared" si="243"/>
        <v>5368.896</v>
      </c>
      <c r="Z732" s="549" t="s">
        <v>4968</v>
      </c>
      <c r="AA732" s="549" t="s">
        <v>3143</v>
      </c>
      <c r="AB732" s="549" t="s">
        <v>76</v>
      </c>
      <c r="AC732" s="549"/>
      <c r="AD732" s="549"/>
      <c r="AE732" s="549"/>
      <c r="AF732" s="549">
        <v>6240</v>
      </c>
      <c r="AG732" s="549">
        <f t="shared" si="242"/>
        <v>0</v>
      </c>
      <c r="AH732" s="575"/>
      <c r="AI732" s="549"/>
      <c r="AJ732" s="549"/>
      <c r="AK732" s="549"/>
      <c r="AL732" s="577">
        <f>I732</f>
        <v>6240</v>
      </c>
      <c r="AQ732" s="428">
        <f>I732</f>
        <v>6240</v>
      </c>
      <c r="AS732" s="428">
        <f>I732</f>
        <v>6240</v>
      </c>
      <c r="AT732" s="578"/>
      <c r="AY732" s="428">
        <f>I732/24</f>
        <v>260</v>
      </c>
      <c r="AZ732" s="577"/>
      <c r="BT732" s="578"/>
      <c r="BV732" s="578"/>
      <c r="CK732" s="428">
        <f t="shared" si="222"/>
        <v>0</v>
      </c>
      <c r="CL732" s="428">
        <f t="shared" si="227"/>
        <v>0</v>
      </c>
      <c r="CM732" s="428">
        <f t="shared" si="228"/>
        <v>0</v>
      </c>
      <c r="CN732" s="578"/>
      <c r="CO732" s="578"/>
      <c r="CP732" s="578"/>
      <c r="CT732" s="578"/>
      <c r="CU732" s="578"/>
      <c r="CV732" s="578"/>
      <c r="CW732" s="578"/>
      <c r="CX732" s="578"/>
    </row>
    <row r="733" s="428" customFormat="1" ht="31" customHeight="1" spans="1:102">
      <c r="A733" s="547">
        <v>45926</v>
      </c>
      <c r="B733" s="548" t="s">
        <v>2089</v>
      </c>
      <c r="C733" s="539" t="s">
        <v>1234</v>
      </c>
      <c r="D733" s="428">
        <v>4500180606</v>
      </c>
      <c r="E733" s="539" t="s">
        <v>4969</v>
      </c>
      <c r="F733" s="428" t="s">
        <v>4970</v>
      </c>
      <c r="G733" s="549" t="s">
        <v>3378</v>
      </c>
      <c r="H733" s="549" t="s">
        <v>3379</v>
      </c>
      <c r="I733" s="549">
        <v>1000</v>
      </c>
      <c r="J733" s="549">
        <v>0</v>
      </c>
      <c r="K733" s="549">
        <v>50</v>
      </c>
      <c r="L733" s="554">
        <f t="shared" si="234"/>
        <v>20</v>
      </c>
      <c r="M733" s="555">
        <v>45971</v>
      </c>
      <c r="N733" s="555">
        <v>45967</v>
      </c>
      <c r="O733" s="556"/>
      <c r="P733" s="556" t="s">
        <v>103</v>
      </c>
      <c r="Q733" s="549"/>
      <c r="R733" s="562">
        <v>45926</v>
      </c>
      <c r="S733" s="562" t="s">
        <v>66</v>
      </c>
      <c r="T733" s="562" t="s">
        <v>4971</v>
      </c>
      <c r="U733" s="562"/>
      <c r="V733" s="564" t="s">
        <v>4972</v>
      </c>
      <c r="W733" s="564" t="s">
        <v>196</v>
      </c>
      <c r="X733" s="564">
        <v>0.9061</v>
      </c>
      <c r="Y733" s="513">
        <f t="shared" si="243"/>
        <v>906.1</v>
      </c>
      <c r="Z733" s="549"/>
      <c r="AA733" s="548" t="s">
        <v>3378</v>
      </c>
      <c r="AB733" s="549" t="s">
        <v>76</v>
      </c>
      <c r="AC733" s="549"/>
      <c r="AD733" s="549"/>
      <c r="AE733" s="549"/>
      <c r="AF733" s="549">
        <v>1000</v>
      </c>
      <c r="AG733" s="549">
        <f t="shared" si="242"/>
        <v>0</v>
      </c>
      <c r="AH733" s="575"/>
      <c r="AI733" s="549"/>
      <c r="AJ733" s="549"/>
      <c r="AK733" s="549"/>
      <c r="AL733" s="428">
        <f>I733</f>
        <v>1000</v>
      </c>
      <c r="AT733" s="578"/>
      <c r="AU733" s="568"/>
      <c r="AY733" s="581">
        <f>I733/24*2</f>
        <v>83.3333333333333</v>
      </c>
      <c r="AZ733" s="577"/>
      <c r="BQ733" s="428">
        <f>I733</f>
        <v>1000</v>
      </c>
      <c r="BR733" s="428">
        <f>I733</f>
        <v>1000</v>
      </c>
      <c r="BS733" s="425">
        <f>I733/25</f>
        <v>40</v>
      </c>
      <c r="BT733" s="578"/>
      <c r="BV733" s="578"/>
      <c r="CK733" s="428">
        <f t="shared" si="222"/>
        <v>40</v>
      </c>
      <c r="CL733" s="428">
        <f t="shared" si="227"/>
        <v>0</v>
      </c>
      <c r="CM733" s="428">
        <f t="shared" si="228"/>
        <v>0</v>
      </c>
      <c r="CN733" s="578"/>
      <c r="CO733" s="578"/>
      <c r="CP733" s="578"/>
      <c r="CT733" s="578"/>
      <c r="CU733" s="578"/>
      <c r="CV733" s="578"/>
      <c r="CW733" s="578"/>
      <c r="CX733" s="578"/>
    </row>
    <row r="734" s="428" customFormat="1" ht="31" customHeight="1" spans="1:102">
      <c r="A734" s="547">
        <v>45926</v>
      </c>
      <c r="B734" s="548" t="s">
        <v>2089</v>
      </c>
      <c r="C734" s="539" t="s">
        <v>1234</v>
      </c>
      <c r="D734" s="428">
        <v>4500180606</v>
      </c>
      <c r="E734" s="539" t="s">
        <v>4969</v>
      </c>
      <c r="F734" s="428" t="s">
        <v>4973</v>
      </c>
      <c r="G734" s="549" t="s">
        <v>3378</v>
      </c>
      <c r="H734" s="549" t="s">
        <v>3379</v>
      </c>
      <c r="I734" s="549">
        <v>4000</v>
      </c>
      <c r="J734" s="549">
        <v>0</v>
      </c>
      <c r="K734" s="549">
        <v>50</v>
      </c>
      <c r="L734" s="554">
        <f t="shared" si="234"/>
        <v>80</v>
      </c>
      <c r="M734" s="555">
        <v>45971</v>
      </c>
      <c r="N734" s="555">
        <v>45967</v>
      </c>
      <c r="O734" s="556"/>
      <c r="P734" s="556" t="s">
        <v>103</v>
      </c>
      <c r="Q734" s="549"/>
      <c r="R734" s="562">
        <v>45926</v>
      </c>
      <c r="S734" s="562" t="s">
        <v>66</v>
      </c>
      <c r="T734" s="562" t="s">
        <v>4971</v>
      </c>
      <c r="U734" s="562"/>
      <c r="V734" s="564" t="s">
        <v>4972</v>
      </c>
      <c r="W734" s="564" t="s">
        <v>196</v>
      </c>
      <c r="X734" s="564">
        <v>0.9619</v>
      </c>
      <c r="Y734" s="513">
        <f t="shared" si="243"/>
        <v>3847.6</v>
      </c>
      <c r="Z734" s="549"/>
      <c r="AA734" s="548" t="s">
        <v>3378</v>
      </c>
      <c r="AB734" s="549" t="s">
        <v>76</v>
      </c>
      <c r="AC734" s="549"/>
      <c r="AD734" s="549"/>
      <c r="AE734" s="549"/>
      <c r="AF734" s="549">
        <f>3950+50</f>
        <v>4000</v>
      </c>
      <c r="AG734" s="549">
        <f t="shared" si="242"/>
        <v>0</v>
      </c>
      <c r="AH734" s="575"/>
      <c r="AI734" s="549"/>
      <c r="AJ734" s="549"/>
      <c r="AK734" s="549"/>
      <c r="AL734" s="428">
        <f>I734</f>
        <v>4000</v>
      </c>
      <c r="AT734" s="578"/>
      <c r="AU734" s="568"/>
      <c r="AY734" s="581">
        <f>I734/24*2</f>
        <v>333.333333333333</v>
      </c>
      <c r="AZ734" s="577"/>
      <c r="BQ734" s="428">
        <f>I734</f>
        <v>4000</v>
      </c>
      <c r="BR734" s="428">
        <f>I734</f>
        <v>4000</v>
      </c>
      <c r="BS734" s="425">
        <f>I734/25</f>
        <v>160</v>
      </c>
      <c r="BT734" s="578"/>
      <c r="BV734" s="578"/>
      <c r="CK734" s="428">
        <f t="shared" si="222"/>
        <v>160</v>
      </c>
      <c r="CL734" s="428">
        <f t="shared" si="227"/>
        <v>0</v>
      </c>
      <c r="CM734" s="428">
        <f t="shared" si="228"/>
        <v>0</v>
      </c>
      <c r="CN734" s="578"/>
      <c r="CO734" s="578"/>
      <c r="CP734" s="578"/>
      <c r="CT734" s="578"/>
      <c r="CU734" s="578"/>
      <c r="CV734" s="578"/>
      <c r="CW734" s="578"/>
      <c r="CX734" s="578"/>
    </row>
    <row r="735" s="428" customFormat="1" ht="31" customHeight="1" spans="1:102">
      <c r="A735" s="547">
        <v>45926</v>
      </c>
      <c r="B735" s="548" t="s">
        <v>122</v>
      </c>
      <c r="C735" s="539" t="s">
        <v>116</v>
      </c>
      <c r="D735" s="428">
        <v>4500180534</v>
      </c>
      <c r="E735" s="539">
        <v>21099956</v>
      </c>
      <c r="F735" s="428" t="s">
        <v>4974</v>
      </c>
      <c r="G735" s="549" t="s">
        <v>3206</v>
      </c>
      <c r="H735" s="549" t="s">
        <v>3207</v>
      </c>
      <c r="I735" s="549">
        <v>12636</v>
      </c>
      <c r="J735" s="549">
        <v>0</v>
      </c>
      <c r="K735" s="549">
        <v>13</v>
      </c>
      <c r="L735" s="554">
        <f t="shared" si="234"/>
        <v>972</v>
      </c>
      <c r="M735" s="555">
        <v>45971</v>
      </c>
      <c r="N735" s="555">
        <v>45967</v>
      </c>
      <c r="O735" s="556"/>
      <c r="P735" s="556" t="s">
        <v>103</v>
      </c>
      <c r="Q735" s="549"/>
      <c r="R735" s="562">
        <v>45940</v>
      </c>
      <c r="S735" s="562" t="s">
        <v>96</v>
      </c>
      <c r="T735" s="562" t="s">
        <v>4897</v>
      </c>
      <c r="U735" s="562"/>
      <c r="V735" s="564" t="s">
        <v>3390</v>
      </c>
      <c r="W735" s="564" t="s">
        <v>121</v>
      </c>
      <c r="X735" s="564">
        <v>0.9348</v>
      </c>
      <c r="Y735" s="513">
        <f t="shared" si="243"/>
        <v>11812.1328</v>
      </c>
      <c r="Z735" s="549" t="s">
        <v>4975</v>
      </c>
      <c r="AA735" s="548" t="s">
        <v>3206</v>
      </c>
      <c r="AB735" s="549" t="s">
        <v>76</v>
      </c>
      <c r="AC735" s="549"/>
      <c r="AD735" s="549"/>
      <c r="AE735" s="549"/>
      <c r="AF735" s="549">
        <v>12636</v>
      </c>
      <c r="AG735" s="549">
        <f t="shared" si="242"/>
        <v>0</v>
      </c>
      <c r="AH735" s="575"/>
      <c r="AI735" s="549"/>
      <c r="AJ735" s="549"/>
      <c r="AK735" s="549"/>
      <c r="AL735" s="568">
        <f>I735</f>
        <v>12636</v>
      </c>
      <c r="AQ735" s="428">
        <f>I735</f>
        <v>12636</v>
      </c>
      <c r="AS735" s="568">
        <f>I735</f>
        <v>12636</v>
      </c>
      <c r="AT735" s="578"/>
      <c r="AU735" s="568"/>
      <c r="AY735" s="576">
        <f>I735/24</f>
        <v>526.5</v>
      </c>
      <c r="AZ735" s="577"/>
      <c r="BI735" s="428">
        <f>I735/13</f>
        <v>972</v>
      </c>
      <c r="BT735" s="578"/>
      <c r="BV735" s="578"/>
      <c r="CK735" s="428">
        <f t="shared" ref="CK735:CK760" si="245">BM735+BL735+BK735+BJ735+BS735</f>
        <v>0</v>
      </c>
      <c r="CL735" s="428">
        <f t="shared" si="227"/>
        <v>0</v>
      </c>
      <c r="CM735" s="428">
        <f t="shared" si="228"/>
        <v>0</v>
      </c>
      <c r="CN735" s="578"/>
      <c r="CO735" s="578"/>
      <c r="CP735" s="578"/>
      <c r="CT735" s="578"/>
      <c r="CU735" s="578"/>
      <c r="CV735" s="578"/>
      <c r="CW735" s="578"/>
      <c r="CX735" s="578"/>
    </row>
    <row r="736" s="428" customFormat="1" ht="31" customHeight="1" spans="1:102">
      <c r="A736" s="547">
        <v>45926</v>
      </c>
      <c r="B736" s="548" t="s">
        <v>125</v>
      </c>
      <c r="C736" s="539" t="s">
        <v>71</v>
      </c>
      <c r="D736" s="428">
        <v>4500180535</v>
      </c>
      <c r="E736" s="539">
        <v>21099980</v>
      </c>
      <c r="F736" s="428" t="s">
        <v>4976</v>
      </c>
      <c r="G736" s="549" t="s">
        <v>3206</v>
      </c>
      <c r="H736" s="549" t="s">
        <v>3207</v>
      </c>
      <c r="I736" s="549">
        <v>1404</v>
      </c>
      <c r="J736" s="549">
        <v>0</v>
      </c>
      <c r="K736" s="549">
        <v>13</v>
      </c>
      <c r="L736" s="554">
        <f t="shared" si="234"/>
        <v>108</v>
      </c>
      <c r="M736" s="555">
        <v>45971</v>
      </c>
      <c r="N736" s="555">
        <v>45967</v>
      </c>
      <c r="O736" s="556"/>
      <c r="P736" s="556" t="s">
        <v>103</v>
      </c>
      <c r="Q736" s="549"/>
      <c r="R736" s="562">
        <v>45940</v>
      </c>
      <c r="S736" s="562" t="s">
        <v>96</v>
      </c>
      <c r="T736" s="562" t="s">
        <v>4897</v>
      </c>
      <c r="U736" s="562"/>
      <c r="V736" s="564" t="s">
        <v>4143</v>
      </c>
      <c r="W736" s="564" t="s">
        <v>121</v>
      </c>
      <c r="X736" s="564">
        <v>0.9475</v>
      </c>
      <c r="Y736" s="513">
        <f t="shared" si="243"/>
        <v>1330.29</v>
      </c>
      <c r="Z736" s="549" t="s">
        <v>4977</v>
      </c>
      <c r="AA736" s="548" t="s">
        <v>3206</v>
      </c>
      <c r="AB736" s="549" t="s">
        <v>76</v>
      </c>
      <c r="AC736" s="549"/>
      <c r="AD736" s="549"/>
      <c r="AE736" s="549"/>
      <c r="AF736" s="549">
        <v>1404</v>
      </c>
      <c r="AG736" s="549">
        <f t="shared" si="242"/>
        <v>0</v>
      </c>
      <c r="AH736" s="575"/>
      <c r="AI736" s="549"/>
      <c r="AJ736" s="549"/>
      <c r="AK736" s="549"/>
      <c r="AL736" s="568">
        <f>I736</f>
        <v>1404</v>
      </c>
      <c r="AQ736" s="428">
        <f>I736</f>
        <v>1404</v>
      </c>
      <c r="AS736" s="568">
        <f>I736</f>
        <v>1404</v>
      </c>
      <c r="AT736" s="578"/>
      <c r="AU736" s="568"/>
      <c r="AY736" s="576">
        <f>I736/24</f>
        <v>58.5</v>
      </c>
      <c r="AZ736" s="577"/>
      <c r="BI736" s="428">
        <f>I736/13</f>
        <v>108</v>
      </c>
      <c r="BT736" s="578"/>
      <c r="BV736" s="578"/>
      <c r="CK736" s="428">
        <f t="shared" si="245"/>
        <v>0</v>
      </c>
      <c r="CL736" s="428">
        <f t="shared" si="227"/>
        <v>0</v>
      </c>
      <c r="CM736" s="428">
        <f t="shared" si="228"/>
        <v>0</v>
      </c>
      <c r="CN736" s="578"/>
      <c r="CO736" s="578"/>
      <c r="CP736" s="578"/>
      <c r="CT736" s="578"/>
      <c r="CU736" s="578"/>
      <c r="CV736" s="578"/>
      <c r="CW736" s="578"/>
      <c r="CX736" s="578"/>
    </row>
    <row r="737" s="428" customFormat="1" ht="31" customHeight="1" spans="1:102">
      <c r="A737" s="547">
        <v>45902</v>
      </c>
      <c r="B737" s="548" t="s">
        <v>1951</v>
      </c>
      <c r="C737" s="539" t="s">
        <v>90</v>
      </c>
      <c r="D737" s="428">
        <v>4500178515</v>
      </c>
      <c r="E737" s="428">
        <v>218139599</v>
      </c>
      <c r="F737" s="428" t="s">
        <v>4978</v>
      </c>
      <c r="G737" s="549" t="s">
        <v>3272</v>
      </c>
      <c r="H737" s="549" t="s">
        <v>3207</v>
      </c>
      <c r="I737" s="549">
        <v>9750</v>
      </c>
      <c r="J737" s="549">
        <v>0</v>
      </c>
      <c r="K737" s="549">
        <v>13</v>
      </c>
      <c r="L737" s="554">
        <f t="shared" si="234"/>
        <v>750</v>
      </c>
      <c r="M737" s="555">
        <v>45972</v>
      </c>
      <c r="N737" s="555">
        <v>45968</v>
      </c>
      <c r="O737" s="556"/>
      <c r="P737" s="556" t="s">
        <v>103</v>
      </c>
      <c r="Q737" s="549"/>
      <c r="R737" s="562">
        <v>45902</v>
      </c>
      <c r="S737" s="562" t="s">
        <v>66</v>
      </c>
      <c r="T737" s="562" t="s">
        <v>66</v>
      </c>
      <c r="U737" s="562"/>
      <c r="V737" s="564" t="s">
        <v>4979</v>
      </c>
      <c r="W737" s="564" t="s">
        <v>1850</v>
      </c>
      <c r="X737" s="567">
        <v>0.5712</v>
      </c>
      <c r="Y737" s="513">
        <f t="shared" si="243"/>
        <v>5569.2</v>
      </c>
      <c r="Z737" s="549" t="s">
        <v>4980</v>
      </c>
      <c r="AA737" s="548" t="s">
        <v>3359</v>
      </c>
      <c r="AB737" s="549" t="s">
        <v>76</v>
      </c>
      <c r="AC737" s="549"/>
      <c r="AD737" s="549"/>
      <c r="AE737" s="549"/>
      <c r="AF737" s="549">
        <v>9750</v>
      </c>
      <c r="AG737" s="549">
        <f t="shared" si="242"/>
        <v>0</v>
      </c>
      <c r="AH737" s="575"/>
      <c r="AI737" s="549"/>
      <c r="AJ737" s="549"/>
      <c r="AK737" s="549">
        <f>I737</f>
        <v>9750</v>
      </c>
      <c r="AL737" s="568"/>
      <c r="AM737" s="428">
        <f>I737</f>
        <v>9750</v>
      </c>
      <c r="AR737" s="428">
        <f>I737</f>
        <v>9750</v>
      </c>
      <c r="AT737" s="578"/>
      <c r="AU737" s="568"/>
      <c r="AY737" s="576">
        <f>I737/24</f>
        <v>406.25</v>
      </c>
      <c r="AZ737" s="577"/>
      <c r="BG737" s="428">
        <f>I737/13</f>
        <v>750</v>
      </c>
      <c r="BT737" s="578"/>
      <c r="BV737" s="578"/>
      <c r="CK737" s="428">
        <f t="shared" si="245"/>
        <v>0</v>
      </c>
      <c r="CL737" s="428">
        <f t="shared" si="227"/>
        <v>0</v>
      </c>
      <c r="CM737" s="428">
        <f t="shared" si="228"/>
        <v>0</v>
      </c>
      <c r="CN737" s="578"/>
      <c r="CO737" s="578"/>
      <c r="CP737" s="578"/>
      <c r="CT737" s="578"/>
      <c r="CU737" s="578"/>
      <c r="CV737" s="578"/>
      <c r="CW737" s="578"/>
      <c r="CX737" s="578"/>
    </row>
    <row r="738" s="428" customFormat="1" ht="31" customHeight="1" spans="1:102">
      <c r="A738" s="547">
        <v>45930</v>
      </c>
      <c r="B738" s="548" t="s">
        <v>650</v>
      </c>
      <c r="C738" s="539" t="s">
        <v>249</v>
      </c>
      <c r="D738" s="428">
        <v>4500181034</v>
      </c>
      <c r="E738" s="564" t="s">
        <v>4981</v>
      </c>
      <c r="F738" s="428" t="s">
        <v>4982</v>
      </c>
      <c r="G738" s="549" t="s">
        <v>3165</v>
      </c>
      <c r="H738" s="549" t="s">
        <v>3303</v>
      </c>
      <c r="I738" s="549">
        <v>3000</v>
      </c>
      <c r="J738" s="549">
        <v>0</v>
      </c>
      <c r="K738" s="549">
        <v>25</v>
      </c>
      <c r="L738" s="554">
        <f t="shared" si="234"/>
        <v>120</v>
      </c>
      <c r="M738" s="555">
        <v>45972</v>
      </c>
      <c r="N738" s="555">
        <v>45968</v>
      </c>
      <c r="O738" s="556"/>
      <c r="P738" s="556" t="s">
        <v>103</v>
      </c>
      <c r="Q738" s="549"/>
      <c r="R738" s="562">
        <v>45939</v>
      </c>
      <c r="S738" s="562" t="s">
        <v>66</v>
      </c>
      <c r="T738" s="562" t="s">
        <v>4983</v>
      </c>
      <c r="U738" s="562"/>
      <c r="V738" s="564" t="s">
        <v>4984</v>
      </c>
      <c r="W738" s="564" t="s">
        <v>1499</v>
      </c>
      <c r="X738" s="564">
        <v>0.9245</v>
      </c>
      <c r="Y738" s="513">
        <f t="shared" si="243"/>
        <v>2773.5</v>
      </c>
      <c r="Z738" s="549" t="s">
        <v>4985</v>
      </c>
      <c r="AA738" s="549" t="s">
        <v>3165</v>
      </c>
      <c r="AB738" s="549" t="s">
        <v>76</v>
      </c>
      <c r="AC738" s="549"/>
      <c r="AD738" s="549"/>
      <c r="AE738" s="549"/>
      <c r="AF738" s="549">
        <f>2975+25</f>
        <v>3000</v>
      </c>
      <c r="AG738" s="549">
        <f t="shared" si="242"/>
        <v>0</v>
      </c>
      <c r="AH738" s="575"/>
      <c r="AI738" s="549"/>
      <c r="AJ738" s="549"/>
      <c r="AK738" s="549"/>
      <c r="AL738" s="568">
        <f>I738</f>
        <v>3000</v>
      </c>
      <c r="AQ738" s="428">
        <f>I738</f>
        <v>3000</v>
      </c>
      <c r="AS738" s="568">
        <f>I738</f>
        <v>3000</v>
      </c>
      <c r="AT738" s="578"/>
      <c r="AU738" s="568"/>
      <c r="AY738" s="576">
        <f>I738/24*2</f>
        <v>250</v>
      </c>
      <c r="AZ738" s="577"/>
      <c r="BL738" s="428">
        <f>I738/25</f>
        <v>120</v>
      </c>
      <c r="BT738" s="578"/>
      <c r="BV738" s="578"/>
      <c r="CK738" s="428">
        <f t="shared" si="245"/>
        <v>120</v>
      </c>
      <c r="CL738" s="428">
        <f t="shared" si="227"/>
        <v>0</v>
      </c>
      <c r="CM738" s="428">
        <f t="shared" si="228"/>
        <v>0</v>
      </c>
      <c r="CN738" s="578"/>
      <c r="CO738" s="578"/>
      <c r="CP738" s="578"/>
      <c r="CT738" s="578"/>
      <c r="CU738" s="578"/>
      <c r="CV738" s="578"/>
      <c r="CW738" s="578"/>
      <c r="CX738" s="578"/>
    </row>
    <row r="739" s="428" customFormat="1" ht="31" customHeight="1" spans="1:102">
      <c r="A739" s="547">
        <v>45902</v>
      </c>
      <c r="B739" s="548" t="s">
        <v>184</v>
      </c>
      <c r="C739" s="539" t="s">
        <v>90</v>
      </c>
      <c r="D739" s="428">
        <v>4500178517</v>
      </c>
      <c r="E739" s="428">
        <v>218139601</v>
      </c>
      <c r="F739" s="428" t="s">
        <v>4986</v>
      </c>
      <c r="G739" s="549" t="s">
        <v>3272</v>
      </c>
      <c r="H739" s="549" t="s">
        <v>3207</v>
      </c>
      <c r="I739" s="549">
        <v>5252</v>
      </c>
      <c r="J739" s="549">
        <v>0</v>
      </c>
      <c r="K739" s="549">
        <v>13</v>
      </c>
      <c r="L739" s="554">
        <f t="shared" si="234"/>
        <v>404</v>
      </c>
      <c r="M739" s="555">
        <v>45972</v>
      </c>
      <c r="N739" s="555">
        <v>45968</v>
      </c>
      <c r="O739" s="556"/>
      <c r="P739" s="556" t="s">
        <v>103</v>
      </c>
      <c r="Q739" s="549"/>
      <c r="R739" s="562">
        <v>45902</v>
      </c>
      <c r="S739" s="562" t="s">
        <v>66</v>
      </c>
      <c r="T739" s="562" t="s">
        <v>66</v>
      </c>
      <c r="U739" s="562"/>
      <c r="V739" s="564" t="s">
        <v>187</v>
      </c>
      <c r="W739" s="564" t="s">
        <v>1850</v>
      </c>
      <c r="X739" s="567">
        <v>0.5712</v>
      </c>
      <c r="Y739" s="513">
        <f t="shared" si="243"/>
        <v>2999.9424</v>
      </c>
      <c r="Z739" s="549" t="s">
        <v>1956</v>
      </c>
      <c r="AA739" s="548" t="s">
        <v>3359</v>
      </c>
      <c r="AB739" s="549" t="s">
        <v>76</v>
      </c>
      <c r="AC739" s="549"/>
      <c r="AD739" s="549"/>
      <c r="AE739" s="549"/>
      <c r="AF739" s="549">
        <v>5252</v>
      </c>
      <c r="AG739" s="549">
        <f t="shared" si="242"/>
        <v>0</v>
      </c>
      <c r="AH739" s="575"/>
      <c r="AI739" s="549"/>
      <c r="AJ739" s="549"/>
      <c r="AK739" s="549">
        <f>I739</f>
        <v>5252</v>
      </c>
      <c r="AL739" s="568"/>
      <c r="AM739" s="428">
        <f>I739</f>
        <v>5252</v>
      </c>
      <c r="AR739" s="428">
        <f>I739</f>
        <v>5252</v>
      </c>
      <c r="AT739" s="578"/>
      <c r="AU739" s="568"/>
      <c r="AY739" s="576">
        <f>I739/24</f>
        <v>218.833333333333</v>
      </c>
      <c r="AZ739" s="577"/>
      <c r="BG739" s="428">
        <f t="shared" ref="BG739:BG743" si="246">I739/13</f>
        <v>404</v>
      </c>
      <c r="BT739" s="578"/>
      <c r="BV739" s="578"/>
      <c r="CK739" s="428">
        <f t="shared" si="245"/>
        <v>0</v>
      </c>
      <c r="CL739" s="428">
        <f t="shared" si="227"/>
        <v>0</v>
      </c>
      <c r="CM739" s="428">
        <f t="shared" si="228"/>
        <v>0</v>
      </c>
      <c r="CN739" s="578"/>
      <c r="CO739" s="578"/>
      <c r="CP739" s="578"/>
      <c r="CT739" s="578"/>
      <c r="CU739" s="578"/>
      <c r="CV739" s="578"/>
      <c r="CW739" s="578"/>
      <c r="CX739" s="578"/>
    </row>
    <row r="740" s="428" customFormat="1" ht="31" customHeight="1" spans="1:102">
      <c r="A740" s="547">
        <v>45929</v>
      </c>
      <c r="B740" s="548" t="s">
        <v>788</v>
      </c>
      <c r="C740" s="539" t="s">
        <v>90</v>
      </c>
      <c r="D740" s="428">
        <v>4500180967</v>
      </c>
      <c r="E740" s="428" t="s">
        <v>4987</v>
      </c>
      <c r="F740" s="428" t="s">
        <v>4988</v>
      </c>
      <c r="G740" s="549" t="s">
        <v>3272</v>
      </c>
      <c r="H740" s="549" t="s">
        <v>3207</v>
      </c>
      <c r="I740" s="549">
        <v>9893</v>
      </c>
      <c r="J740" s="549">
        <v>0</v>
      </c>
      <c r="K740" s="549">
        <v>13</v>
      </c>
      <c r="L740" s="554">
        <f t="shared" si="234"/>
        <v>761</v>
      </c>
      <c r="M740" s="555">
        <v>45973</v>
      </c>
      <c r="N740" s="555">
        <v>45969</v>
      </c>
      <c r="O740" s="556" t="s">
        <v>4989</v>
      </c>
      <c r="P740" s="556" t="s">
        <v>103</v>
      </c>
      <c r="Q740" s="549"/>
      <c r="R740" s="562">
        <v>45945</v>
      </c>
      <c r="S740" s="562" t="s">
        <v>66</v>
      </c>
      <c r="T740" s="562" t="s">
        <v>66</v>
      </c>
      <c r="U740" s="562"/>
      <c r="V740" s="564" t="s">
        <v>4990</v>
      </c>
      <c r="W740" s="564" t="s">
        <v>794</v>
      </c>
      <c r="X740" s="567">
        <v>0.5497</v>
      </c>
      <c r="Y740" s="513">
        <f t="shared" si="243"/>
        <v>5438.1821</v>
      </c>
      <c r="Z740" s="549"/>
      <c r="AA740" s="548" t="s">
        <v>3359</v>
      </c>
      <c r="AB740" s="549" t="s">
        <v>76</v>
      </c>
      <c r="AC740" s="549"/>
      <c r="AD740" s="549"/>
      <c r="AE740" s="549"/>
      <c r="AF740" s="549">
        <v>9893</v>
      </c>
      <c r="AG740" s="549">
        <f t="shared" si="242"/>
        <v>0</v>
      </c>
      <c r="AH740" s="575"/>
      <c r="AI740" s="549"/>
      <c r="AJ740" s="549"/>
      <c r="AK740" s="549">
        <f>I740</f>
        <v>9893</v>
      </c>
      <c r="AL740" s="568"/>
      <c r="AM740" s="428">
        <f>I740</f>
        <v>9893</v>
      </c>
      <c r="AR740" s="428">
        <f>I740</f>
        <v>9893</v>
      </c>
      <c r="AT740" s="578"/>
      <c r="AU740" s="568"/>
      <c r="AY740" s="576">
        <f>I740/24</f>
        <v>412.208333333333</v>
      </c>
      <c r="AZ740" s="577"/>
      <c r="BG740" s="428">
        <f t="shared" si="246"/>
        <v>761</v>
      </c>
      <c r="BT740" s="578"/>
      <c r="BV740" s="578"/>
      <c r="CK740" s="428">
        <f t="shared" si="245"/>
        <v>0</v>
      </c>
      <c r="CL740" s="428">
        <f t="shared" ref="CL740:CL760" si="247">CA740+CB740+CC740+CD740+CE740+CG740+CF740</f>
        <v>0</v>
      </c>
      <c r="CM740" s="428">
        <f t="shared" ref="CM740:CM760" si="248">BY740+BZ740</f>
        <v>0</v>
      </c>
      <c r="CN740" s="578"/>
      <c r="CO740" s="578"/>
      <c r="CP740" s="578"/>
      <c r="CT740" s="578"/>
      <c r="CU740" s="578"/>
      <c r="CV740" s="578"/>
      <c r="CW740" s="578"/>
      <c r="CX740" s="578"/>
    </row>
    <row r="741" s="428" customFormat="1" ht="31" customHeight="1" spans="1:102">
      <c r="A741" s="547">
        <v>45940</v>
      </c>
      <c r="B741" s="548" t="s">
        <v>128</v>
      </c>
      <c r="C741" s="539" t="s">
        <v>90</v>
      </c>
      <c r="D741" s="428">
        <v>4500181320</v>
      </c>
      <c r="E741" s="897" t="s">
        <v>4991</v>
      </c>
      <c r="F741" s="428" t="s">
        <v>4992</v>
      </c>
      <c r="G741" s="549" t="s">
        <v>3180</v>
      </c>
      <c r="H741" s="549" t="s">
        <v>3181</v>
      </c>
      <c r="I741" s="549">
        <v>5760</v>
      </c>
      <c r="J741" s="549">
        <v>0</v>
      </c>
      <c r="K741" s="549">
        <v>16</v>
      </c>
      <c r="L741" s="554">
        <f t="shared" si="234"/>
        <v>360</v>
      </c>
      <c r="M741" s="555">
        <v>45974</v>
      </c>
      <c r="N741" s="555">
        <v>45971</v>
      </c>
      <c r="O741" s="556" t="s">
        <v>4993</v>
      </c>
      <c r="P741" s="556" t="s">
        <v>103</v>
      </c>
      <c r="Q741" s="549"/>
      <c r="R741" s="562" t="s">
        <v>4194</v>
      </c>
      <c r="S741" s="562" t="s">
        <v>66</v>
      </c>
      <c r="T741" s="562" t="s">
        <v>133</v>
      </c>
      <c r="U741" s="562"/>
      <c r="V741" s="564" t="s">
        <v>4195</v>
      </c>
      <c r="W741" s="564" t="s">
        <v>98</v>
      </c>
      <c r="X741" s="564">
        <v>0.5936</v>
      </c>
      <c r="Y741" s="513">
        <f t="shared" si="243"/>
        <v>3419.136</v>
      </c>
      <c r="Z741" s="549" t="s">
        <v>4994</v>
      </c>
      <c r="AA741" s="549" t="s">
        <v>3180</v>
      </c>
      <c r="AB741" s="549" t="s">
        <v>76</v>
      </c>
      <c r="AC741" s="549"/>
      <c r="AD741" s="549"/>
      <c r="AE741" s="549"/>
      <c r="AF741" s="549">
        <v>5760</v>
      </c>
      <c r="AG741" s="549">
        <f t="shared" si="242"/>
        <v>0</v>
      </c>
      <c r="AH741" s="575"/>
      <c r="AI741" s="549"/>
      <c r="AJ741" s="549"/>
      <c r="AK741" s="549">
        <f>I741</f>
        <v>5760</v>
      </c>
      <c r="AL741" s="568"/>
      <c r="AM741" s="428">
        <f>I741</f>
        <v>5760</v>
      </c>
      <c r="AR741" s="428">
        <f>I741</f>
        <v>5760</v>
      </c>
      <c r="AT741" s="578"/>
      <c r="AU741" s="568"/>
      <c r="AY741" s="576">
        <f>I741/24</f>
        <v>240</v>
      </c>
      <c r="AZ741" s="577"/>
      <c r="BM741" s="428">
        <f>I741/16</f>
        <v>360</v>
      </c>
      <c r="BT741" s="578"/>
      <c r="BV741" s="578"/>
      <c r="CK741" s="428">
        <f t="shared" si="245"/>
        <v>360</v>
      </c>
      <c r="CL741" s="428">
        <f t="shared" si="247"/>
        <v>0</v>
      </c>
      <c r="CM741" s="428">
        <f t="shared" si="248"/>
        <v>0</v>
      </c>
      <c r="CN741" s="578"/>
      <c r="CO741" s="578"/>
      <c r="CP741" s="578"/>
      <c r="CT741" s="578"/>
      <c r="CU741" s="578"/>
      <c r="CV741" s="578"/>
      <c r="CW741" s="578"/>
      <c r="CX741" s="578"/>
    </row>
    <row r="742" s="428" customFormat="1" ht="31" customHeight="1" spans="1:102">
      <c r="A742" s="547">
        <v>45940</v>
      </c>
      <c r="B742" s="548" t="s">
        <v>128</v>
      </c>
      <c r="C742" s="539" t="s">
        <v>90</v>
      </c>
      <c r="D742" s="428">
        <v>4500181320</v>
      </c>
      <c r="E742" s="897" t="s">
        <v>4995</v>
      </c>
      <c r="F742" s="428" t="s">
        <v>4996</v>
      </c>
      <c r="G742" s="549" t="s">
        <v>3180</v>
      </c>
      <c r="H742" s="549" t="s">
        <v>3181</v>
      </c>
      <c r="I742" s="549">
        <v>3840</v>
      </c>
      <c r="J742" s="549">
        <v>0</v>
      </c>
      <c r="K742" s="549">
        <v>16</v>
      </c>
      <c r="L742" s="554">
        <f t="shared" si="234"/>
        <v>240</v>
      </c>
      <c r="M742" s="555">
        <v>45974</v>
      </c>
      <c r="N742" s="555">
        <v>45971</v>
      </c>
      <c r="O742" s="556" t="s">
        <v>4993</v>
      </c>
      <c r="P742" s="556" t="s">
        <v>103</v>
      </c>
      <c r="Q742" s="549"/>
      <c r="R742" s="562" t="s">
        <v>4194</v>
      </c>
      <c r="S742" s="562" t="s">
        <v>66</v>
      </c>
      <c r="T742" s="562" t="s">
        <v>133</v>
      </c>
      <c r="U742" s="562"/>
      <c r="V742" s="564" t="s">
        <v>4195</v>
      </c>
      <c r="W742" s="564" t="s">
        <v>98</v>
      </c>
      <c r="X742" s="564">
        <v>0.5936</v>
      </c>
      <c r="Y742" s="513">
        <f t="shared" si="243"/>
        <v>2279.424</v>
      </c>
      <c r="Z742" s="549" t="s">
        <v>4997</v>
      </c>
      <c r="AA742" s="549" t="s">
        <v>3180</v>
      </c>
      <c r="AB742" s="549" t="s">
        <v>76</v>
      </c>
      <c r="AC742" s="549"/>
      <c r="AD742" s="549"/>
      <c r="AE742" s="549"/>
      <c r="AF742" s="549">
        <v>3840</v>
      </c>
      <c r="AG742" s="549">
        <f t="shared" si="242"/>
        <v>0</v>
      </c>
      <c r="AH742" s="575"/>
      <c r="AI742" s="549"/>
      <c r="AJ742" s="549"/>
      <c r="AK742" s="549">
        <f>I742</f>
        <v>3840</v>
      </c>
      <c r="AL742" s="568"/>
      <c r="AM742" s="428">
        <f>I742</f>
        <v>3840</v>
      </c>
      <c r="AR742" s="428">
        <f>I742</f>
        <v>3840</v>
      </c>
      <c r="AT742" s="578"/>
      <c r="AU742" s="568"/>
      <c r="AY742" s="576">
        <f>I742/24</f>
        <v>160</v>
      </c>
      <c r="AZ742" s="577"/>
      <c r="BM742" s="428">
        <f>I742/16</f>
        <v>240</v>
      </c>
      <c r="BT742" s="578"/>
      <c r="BV742" s="578"/>
      <c r="CK742" s="428">
        <f t="shared" si="245"/>
        <v>240</v>
      </c>
      <c r="CL742" s="428">
        <f t="shared" si="247"/>
        <v>0</v>
      </c>
      <c r="CM742" s="428">
        <f t="shared" si="248"/>
        <v>0</v>
      </c>
      <c r="CN742" s="578"/>
      <c r="CO742" s="578"/>
      <c r="CP742" s="578"/>
      <c r="CT742" s="578"/>
      <c r="CU742" s="578"/>
      <c r="CV742" s="578"/>
      <c r="CW742" s="578"/>
      <c r="CX742" s="578"/>
    </row>
    <row r="743" s="428" customFormat="1" ht="31" customHeight="1" spans="1:102">
      <c r="A743" s="547">
        <v>45905</v>
      </c>
      <c r="B743" s="548" t="s">
        <v>1669</v>
      </c>
      <c r="C743" s="539" t="s">
        <v>663</v>
      </c>
      <c r="D743" s="428">
        <v>4500178919</v>
      </c>
      <c r="E743" s="539">
        <v>5000001988</v>
      </c>
      <c r="F743" s="428" t="s">
        <v>4998</v>
      </c>
      <c r="G743" s="549" t="s">
        <v>3206</v>
      </c>
      <c r="H743" s="586" t="s">
        <v>4939</v>
      </c>
      <c r="I743" s="549">
        <v>3900</v>
      </c>
      <c r="J743" s="549">
        <v>0</v>
      </c>
      <c r="K743" s="549">
        <v>13</v>
      </c>
      <c r="L743" s="554">
        <f t="shared" si="234"/>
        <v>300</v>
      </c>
      <c r="M743" s="555">
        <v>45975</v>
      </c>
      <c r="N743" s="555">
        <v>45971</v>
      </c>
      <c r="O743" s="556"/>
      <c r="P743" s="556" t="s">
        <v>103</v>
      </c>
      <c r="Q743" s="549"/>
      <c r="R743" s="562" t="s">
        <v>4940</v>
      </c>
      <c r="S743" s="562" t="s">
        <v>66</v>
      </c>
      <c r="T743" s="562" t="s">
        <v>66</v>
      </c>
      <c r="U743" s="562"/>
      <c r="V743" s="564" t="s">
        <v>4941</v>
      </c>
      <c r="W743" s="564" t="s">
        <v>1674</v>
      </c>
      <c r="X743" s="564">
        <v>0.8895</v>
      </c>
      <c r="Y743" s="513">
        <f t="shared" si="243"/>
        <v>3469.05</v>
      </c>
      <c r="Z743" s="549" t="s">
        <v>4942</v>
      </c>
      <c r="AA743" s="586" t="s">
        <v>4943</v>
      </c>
      <c r="AB743" s="549" t="s">
        <v>76</v>
      </c>
      <c r="AC743" s="549"/>
      <c r="AD743" s="549"/>
      <c r="AE743" s="549"/>
      <c r="AF743" s="549">
        <f>3861+39</f>
        <v>3900</v>
      </c>
      <c r="AG743" s="549">
        <f t="shared" si="242"/>
        <v>0</v>
      </c>
      <c r="AH743" s="575"/>
      <c r="AI743" s="549"/>
      <c r="AJ743" s="549"/>
      <c r="AK743" s="549"/>
      <c r="AL743" s="568">
        <f>I743</f>
        <v>3900</v>
      </c>
      <c r="AM743" s="428">
        <f>I743</f>
        <v>3900</v>
      </c>
      <c r="AO743" s="578"/>
      <c r="AT743" s="578"/>
      <c r="AU743" s="428">
        <f>I743*2</f>
        <v>7800</v>
      </c>
      <c r="AX743" s="428">
        <f>I743/13</f>
        <v>300</v>
      </c>
      <c r="AY743" s="580"/>
      <c r="AZ743" s="577"/>
      <c r="BI743" s="428">
        <f>I743/13</f>
        <v>300</v>
      </c>
      <c r="BT743" s="578"/>
      <c r="BV743" s="578"/>
      <c r="CK743" s="428">
        <f t="shared" si="245"/>
        <v>0</v>
      </c>
      <c r="CL743" s="428">
        <f t="shared" si="247"/>
        <v>0</v>
      </c>
      <c r="CM743" s="428">
        <f t="shared" si="248"/>
        <v>0</v>
      </c>
      <c r="CN743" s="578"/>
      <c r="CO743" s="578"/>
      <c r="CP743" s="578"/>
      <c r="CT743" s="578"/>
      <c r="CU743" s="578"/>
      <c r="CV743" s="578"/>
      <c r="CW743" s="578"/>
      <c r="CX743" s="578"/>
    </row>
    <row r="744" s="428" customFormat="1" ht="31" customHeight="1" spans="1:102">
      <c r="A744" s="547">
        <v>45941</v>
      </c>
      <c r="B744" s="548" t="s">
        <v>4728</v>
      </c>
      <c r="C744" s="539" t="s">
        <v>153</v>
      </c>
      <c r="D744" s="428">
        <v>4500181487</v>
      </c>
      <c r="E744" s="887" t="s">
        <v>4999</v>
      </c>
      <c r="F744" s="428" t="s">
        <v>5000</v>
      </c>
      <c r="G744" s="549" t="s">
        <v>3272</v>
      </c>
      <c r="H744" s="549" t="s">
        <v>3207</v>
      </c>
      <c r="I744" s="549">
        <v>4030</v>
      </c>
      <c r="J744" s="549">
        <v>0</v>
      </c>
      <c r="K744" s="549">
        <v>13</v>
      </c>
      <c r="L744" s="554">
        <f t="shared" si="234"/>
        <v>310</v>
      </c>
      <c r="M744" s="555">
        <v>45976</v>
      </c>
      <c r="N744" s="555">
        <v>45972</v>
      </c>
      <c r="O744" s="556"/>
      <c r="P744" s="556" t="s">
        <v>103</v>
      </c>
      <c r="Q744" s="549"/>
      <c r="R744" s="562">
        <v>45941</v>
      </c>
      <c r="S744" s="562" t="s">
        <v>66</v>
      </c>
      <c r="T744" s="562" t="s">
        <v>66</v>
      </c>
      <c r="U744" s="562"/>
      <c r="V744" s="564" t="s">
        <v>5001</v>
      </c>
      <c r="W744" s="564" t="s">
        <v>1055</v>
      </c>
      <c r="X744" s="567">
        <v>0.9044</v>
      </c>
      <c r="Y744" s="513">
        <f t="shared" si="243"/>
        <v>3644.732</v>
      </c>
      <c r="Z744" s="549" t="s">
        <v>5002</v>
      </c>
      <c r="AA744" s="549" t="s">
        <v>3272</v>
      </c>
      <c r="AB744" s="549" t="s">
        <v>76</v>
      </c>
      <c r="AC744" s="549"/>
      <c r="AD744" s="549"/>
      <c r="AE744" s="549"/>
      <c r="AF744" s="549">
        <v>4030</v>
      </c>
      <c r="AG744" s="549">
        <f t="shared" si="242"/>
        <v>0</v>
      </c>
      <c r="AH744" s="575"/>
      <c r="AI744" s="549"/>
      <c r="AJ744" s="549"/>
      <c r="AK744" s="549">
        <f>I744</f>
        <v>4030</v>
      </c>
      <c r="AL744" s="568"/>
      <c r="AO744" s="578"/>
      <c r="AP744" s="428">
        <f>I744</f>
        <v>4030</v>
      </c>
      <c r="AR744" s="428">
        <f>I744</f>
        <v>4030</v>
      </c>
      <c r="AT744" s="578"/>
      <c r="AY744" s="576">
        <f>I744/24</f>
        <v>167.916666666667</v>
      </c>
      <c r="AZ744" s="577"/>
      <c r="BH744" s="428">
        <f>I744/13</f>
        <v>310</v>
      </c>
      <c r="BT744" s="578"/>
      <c r="BV744" s="578"/>
      <c r="CK744" s="428">
        <f t="shared" si="245"/>
        <v>0</v>
      </c>
      <c r="CL744" s="428">
        <f t="shared" si="247"/>
        <v>0</v>
      </c>
      <c r="CM744" s="428">
        <f t="shared" si="248"/>
        <v>0</v>
      </c>
      <c r="CN744" s="578"/>
      <c r="CO744" s="578"/>
      <c r="CP744" s="578"/>
      <c r="CT744" s="578"/>
      <c r="CU744" s="578"/>
      <c r="CV744" s="578"/>
      <c r="CW744" s="578"/>
      <c r="CX744" s="578"/>
    </row>
    <row r="745" s="428" customFormat="1" ht="31" customHeight="1" spans="1:102">
      <c r="A745" s="547">
        <v>45941</v>
      </c>
      <c r="B745" s="548" t="s">
        <v>4728</v>
      </c>
      <c r="C745" s="539" t="s">
        <v>153</v>
      </c>
      <c r="D745" s="428">
        <v>4500181470</v>
      </c>
      <c r="E745" s="887" t="s">
        <v>5003</v>
      </c>
      <c r="F745" s="428" t="s">
        <v>5004</v>
      </c>
      <c r="G745" s="549" t="s">
        <v>3272</v>
      </c>
      <c r="H745" s="549" t="s">
        <v>3207</v>
      </c>
      <c r="I745" s="549">
        <v>2574</v>
      </c>
      <c r="J745" s="549">
        <v>0</v>
      </c>
      <c r="K745" s="549">
        <v>13</v>
      </c>
      <c r="L745" s="554">
        <f t="shared" si="234"/>
        <v>198</v>
      </c>
      <c r="M745" s="555">
        <v>45976</v>
      </c>
      <c r="N745" s="555">
        <v>45972</v>
      </c>
      <c r="O745" s="556"/>
      <c r="P745" s="556" t="s">
        <v>103</v>
      </c>
      <c r="Q745" s="549"/>
      <c r="R745" s="562">
        <v>45941</v>
      </c>
      <c r="S745" s="562" t="s">
        <v>66</v>
      </c>
      <c r="T745" s="562" t="s">
        <v>66</v>
      </c>
      <c r="U745" s="562"/>
      <c r="V745" s="564" t="s">
        <v>5001</v>
      </c>
      <c r="W745" s="564" t="s">
        <v>1055</v>
      </c>
      <c r="X745" s="567">
        <v>0.9044</v>
      </c>
      <c r="Y745" s="513">
        <f t="shared" si="243"/>
        <v>2327.9256</v>
      </c>
      <c r="Z745" s="549" t="s">
        <v>5005</v>
      </c>
      <c r="AA745" s="549" t="s">
        <v>3272</v>
      </c>
      <c r="AB745" s="549" t="s">
        <v>76</v>
      </c>
      <c r="AC745" s="549"/>
      <c r="AD745" s="549"/>
      <c r="AE745" s="549"/>
      <c r="AF745" s="549">
        <v>2574</v>
      </c>
      <c r="AG745" s="549">
        <f t="shared" si="242"/>
        <v>0</v>
      </c>
      <c r="AH745" s="575"/>
      <c r="AI745" s="549"/>
      <c r="AJ745" s="549"/>
      <c r="AK745" s="549">
        <f>I745</f>
        <v>2574</v>
      </c>
      <c r="AL745" s="568"/>
      <c r="AO745" s="578"/>
      <c r="AP745" s="428">
        <f>I745</f>
        <v>2574</v>
      </c>
      <c r="AR745" s="428">
        <f>I745</f>
        <v>2574</v>
      </c>
      <c r="AT745" s="578"/>
      <c r="AY745" s="576">
        <f>I745/24</f>
        <v>107.25</v>
      </c>
      <c r="AZ745" s="577"/>
      <c r="BH745" s="428">
        <f>I745/13</f>
        <v>198</v>
      </c>
      <c r="BT745" s="578"/>
      <c r="BV745" s="578"/>
      <c r="CK745" s="428">
        <f t="shared" si="245"/>
        <v>0</v>
      </c>
      <c r="CL745" s="428">
        <f t="shared" si="247"/>
        <v>0</v>
      </c>
      <c r="CM745" s="428">
        <f t="shared" si="248"/>
        <v>0</v>
      </c>
      <c r="CN745" s="578"/>
      <c r="CO745" s="578"/>
      <c r="CP745" s="578"/>
      <c r="CT745" s="578"/>
      <c r="CU745" s="578"/>
      <c r="CV745" s="578"/>
      <c r="CW745" s="578"/>
      <c r="CX745" s="578"/>
    </row>
    <row r="746" s="428" customFormat="1" ht="31" customHeight="1" spans="1:102">
      <c r="A746" s="547">
        <v>45941</v>
      </c>
      <c r="B746" s="548" t="s">
        <v>4728</v>
      </c>
      <c r="C746" s="539" t="s">
        <v>153</v>
      </c>
      <c r="D746" s="428">
        <v>4500181471</v>
      </c>
      <c r="E746" s="887" t="s">
        <v>5006</v>
      </c>
      <c r="F746" s="428" t="s">
        <v>5007</v>
      </c>
      <c r="G746" s="549" t="s">
        <v>3272</v>
      </c>
      <c r="H746" s="549" t="s">
        <v>3207</v>
      </c>
      <c r="I746" s="549">
        <v>3406</v>
      </c>
      <c r="J746" s="549">
        <v>0</v>
      </c>
      <c r="K746" s="549">
        <v>13</v>
      </c>
      <c r="L746" s="554">
        <f t="shared" si="234"/>
        <v>262</v>
      </c>
      <c r="M746" s="555">
        <v>45976</v>
      </c>
      <c r="N746" s="555">
        <v>45972</v>
      </c>
      <c r="O746" s="556"/>
      <c r="P746" s="556" t="s">
        <v>103</v>
      </c>
      <c r="Q746" s="549"/>
      <c r="R746" s="562">
        <v>45941</v>
      </c>
      <c r="S746" s="562" t="s">
        <v>66</v>
      </c>
      <c r="T746" s="562" t="s">
        <v>66</v>
      </c>
      <c r="U746" s="562"/>
      <c r="V746" s="564" t="s">
        <v>5001</v>
      </c>
      <c r="W746" s="564" t="s">
        <v>1055</v>
      </c>
      <c r="X746" s="567">
        <v>0.9044</v>
      </c>
      <c r="Y746" s="513">
        <f t="shared" si="243"/>
        <v>3080.3864</v>
      </c>
      <c r="Z746" s="549" t="s">
        <v>5008</v>
      </c>
      <c r="AA746" s="549" t="s">
        <v>3272</v>
      </c>
      <c r="AB746" s="549" t="s">
        <v>76</v>
      </c>
      <c r="AC746" s="549"/>
      <c r="AD746" s="549"/>
      <c r="AE746" s="549"/>
      <c r="AF746" s="549">
        <f>1066+2340</f>
        <v>3406</v>
      </c>
      <c r="AG746" s="549">
        <f t="shared" si="242"/>
        <v>0</v>
      </c>
      <c r="AH746" s="575"/>
      <c r="AI746" s="549"/>
      <c r="AJ746" s="549"/>
      <c r="AK746" s="549">
        <f>I746</f>
        <v>3406</v>
      </c>
      <c r="AL746" s="568"/>
      <c r="AO746" s="578"/>
      <c r="AP746" s="428">
        <f>I746</f>
        <v>3406</v>
      </c>
      <c r="AR746" s="428">
        <f>I746</f>
        <v>3406</v>
      </c>
      <c r="AT746" s="578"/>
      <c r="AY746" s="576">
        <f t="shared" ref="AY746:AY754" si="249">I746/24</f>
        <v>141.916666666667</v>
      </c>
      <c r="AZ746" s="577"/>
      <c r="BH746" s="428">
        <f>I746/13</f>
        <v>262</v>
      </c>
      <c r="BT746" s="578"/>
      <c r="BV746" s="578"/>
      <c r="CK746" s="428">
        <f t="shared" si="245"/>
        <v>0</v>
      </c>
      <c r="CL746" s="428">
        <f t="shared" si="247"/>
        <v>0</v>
      </c>
      <c r="CM746" s="428">
        <f t="shared" si="248"/>
        <v>0</v>
      </c>
      <c r="CN746" s="578"/>
      <c r="CO746" s="578"/>
      <c r="CP746" s="578"/>
      <c r="CT746" s="578"/>
      <c r="CU746" s="578"/>
      <c r="CV746" s="578"/>
      <c r="CW746" s="578"/>
      <c r="CX746" s="578"/>
    </row>
    <row r="747" s="428" customFormat="1" ht="31" customHeight="1" spans="1:102">
      <c r="A747" s="547">
        <v>45925</v>
      </c>
      <c r="B747" s="548" t="s">
        <v>1643</v>
      </c>
      <c r="C747" s="539" t="s">
        <v>249</v>
      </c>
      <c r="D747" s="428">
        <v>4500180232</v>
      </c>
      <c r="E747" s="539" t="s">
        <v>1995</v>
      </c>
      <c r="F747" s="428" t="s">
        <v>5009</v>
      </c>
      <c r="G747" s="549" t="s">
        <v>3419</v>
      </c>
      <c r="H747" s="549" t="s">
        <v>3221</v>
      </c>
      <c r="I747" s="549">
        <v>1000</v>
      </c>
      <c r="J747" s="549">
        <v>25</v>
      </c>
      <c r="K747" s="549">
        <v>50</v>
      </c>
      <c r="L747" s="554">
        <f t="shared" si="234"/>
        <v>20</v>
      </c>
      <c r="M747" s="558">
        <v>45977</v>
      </c>
      <c r="N747" s="558">
        <v>45975</v>
      </c>
      <c r="O747" s="556"/>
      <c r="P747" s="556" t="s">
        <v>103</v>
      </c>
      <c r="Q747" s="549"/>
      <c r="R747" s="562">
        <v>45925</v>
      </c>
      <c r="S747" s="562" t="s">
        <v>66</v>
      </c>
      <c r="T747" s="562" t="s">
        <v>4930</v>
      </c>
      <c r="U747" s="562"/>
      <c r="V747" s="564" t="s">
        <v>5010</v>
      </c>
      <c r="W747" s="564" t="s">
        <v>269</v>
      </c>
      <c r="X747" s="564">
        <v>0.9678</v>
      </c>
      <c r="Y747" s="513">
        <f t="shared" si="243"/>
        <v>967.8</v>
      </c>
      <c r="Z747" s="549" t="s">
        <v>1998</v>
      </c>
      <c r="AA747" s="549" t="s">
        <v>3419</v>
      </c>
      <c r="AB747" s="549" t="s">
        <v>76</v>
      </c>
      <c r="AC747" s="549"/>
      <c r="AD747" s="549"/>
      <c r="AE747" s="549"/>
      <c r="AF747" s="549">
        <v>1000</v>
      </c>
      <c r="AG747" s="549">
        <f t="shared" si="242"/>
        <v>0</v>
      </c>
      <c r="AH747" s="575"/>
      <c r="AI747" s="549"/>
      <c r="AJ747" s="549"/>
      <c r="AK747" s="549"/>
      <c r="AL747" s="568">
        <f>I747</f>
        <v>1000</v>
      </c>
      <c r="AQ747" s="428">
        <f>I747</f>
        <v>1000</v>
      </c>
      <c r="AS747" s="568">
        <f>I747</f>
        <v>1000</v>
      </c>
      <c r="AT747" s="578"/>
      <c r="AU747" s="568"/>
      <c r="AY747" s="576">
        <f t="shared" si="249"/>
        <v>41.6666666666667</v>
      </c>
      <c r="AZ747" s="577"/>
      <c r="BL747" s="428">
        <f>I747/25</f>
        <v>40</v>
      </c>
      <c r="BT747" s="578"/>
      <c r="BV747" s="578"/>
      <c r="CK747" s="428">
        <f t="shared" si="245"/>
        <v>40</v>
      </c>
      <c r="CL747" s="428">
        <f t="shared" si="247"/>
        <v>0</v>
      </c>
      <c r="CM747" s="428">
        <f t="shared" si="248"/>
        <v>0</v>
      </c>
      <c r="CN747" s="578"/>
      <c r="CO747" s="578"/>
      <c r="CP747" s="578"/>
      <c r="CT747" s="578"/>
      <c r="CU747" s="578"/>
      <c r="CV747" s="578"/>
      <c r="CW747" s="578"/>
      <c r="CX747" s="578"/>
    </row>
    <row r="748" s="428" customFormat="1" ht="31" customHeight="1" spans="1:102">
      <c r="A748" s="547">
        <v>45960</v>
      </c>
      <c r="B748" s="548"/>
      <c r="C748" s="539"/>
      <c r="D748" s="428" t="s">
        <v>5011</v>
      </c>
      <c r="E748" s="539"/>
      <c r="G748" s="549" t="s">
        <v>3143</v>
      </c>
      <c r="H748" s="549" t="s">
        <v>3144</v>
      </c>
      <c r="I748" s="549" t="s">
        <v>5012</v>
      </c>
      <c r="J748" s="549">
        <v>0</v>
      </c>
      <c r="K748" s="549">
        <v>24</v>
      </c>
      <c r="L748" s="554" t="e">
        <f t="shared" si="234"/>
        <v>#VALUE!</v>
      </c>
      <c r="M748" s="555">
        <v>45966</v>
      </c>
      <c r="N748" s="555">
        <v>45964</v>
      </c>
      <c r="O748" s="556"/>
      <c r="P748" s="556"/>
      <c r="Q748" s="549"/>
      <c r="R748" s="562"/>
      <c r="S748" s="562"/>
      <c r="T748" s="562"/>
      <c r="U748" s="562"/>
      <c r="V748" s="564" t="s">
        <v>5013</v>
      </c>
      <c r="W748" s="564" t="s">
        <v>79</v>
      </c>
      <c r="X748" s="564"/>
      <c r="Y748" s="513"/>
      <c r="Z748" s="549" t="s">
        <v>5014</v>
      </c>
      <c r="AA748" s="549" t="s">
        <v>68</v>
      </c>
      <c r="AB748" s="549" t="s">
        <v>68</v>
      </c>
      <c r="AC748" s="549"/>
      <c r="AD748" s="549"/>
      <c r="AE748" s="549"/>
      <c r="AF748" s="549">
        <v>2</v>
      </c>
      <c r="AG748" s="549" t="e">
        <f t="shared" si="242"/>
        <v>#VALUE!</v>
      </c>
      <c r="AH748" s="575"/>
      <c r="AI748" s="549"/>
      <c r="AJ748" s="549"/>
      <c r="AK748" s="549"/>
      <c r="AL748" s="568"/>
      <c r="AT748" s="578"/>
      <c r="AU748" s="568"/>
      <c r="AY748" s="576"/>
      <c r="AZ748" s="577"/>
      <c r="BT748" s="578"/>
      <c r="BV748" s="578"/>
      <c r="CK748" s="428">
        <f t="shared" si="245"/>
        <v>0</v>
      </c>
      <c r="CL748" s="428">
        <f t="shared" si="247"/>
        <v>0</v>
      </c>
      <c r="CM748" s="428">
        <f t="shared" si="248"/>
        <v>0</v>
      </c>
      <c r="CN748" s="578"/>
      <c r="CO748" s="578"/>
      <c r="CP748" s="578"/>
      <c r="CT748" s="578"/>
      <c r="CU748" s="578"/>
      <c r="CV748" s="578"/>
      <c r="CW748" s="578"/>
      <c r="CX748" s="578"/>
    </row>
    <row r="749" s="428" customFormat="1" ht="31" customHeight="1" spans="1:102">
      <c r="A749" s="547">
        <v>45960</v>
      </c>
      <c r="B749" s="548"/>
      <c r="C749" s="539"/>
      <c r="D749" s="428" t="s">
        <v>5015</v>
      </c>
      <c r="E749" s="539"/>
      <c r="G749" s="549" t="s">
        <v>4564</v>
      </c>
      <c r="H749" s="549" t="s">
        <v>3237</v>
      </c>
      <c r="I749" s="549">
        <v>20</v>
      </c>
      <c r="J749" s="549">
        <v>0</v>
      </c>
      <c r="K749" s="549">
        <v>12</v>
      </c>
      <c r="L749" s="554">
        <f t="shared" si="234"/>
        <v>1.66666666666667</v>
      </c>
      <c r="M749" s="555">
        <v>45966</v>
      </c>
      <c r="N749" s="555">
        <v>45964</v>
      </c>
      <c r="O749" s="556"/>
      <c r="P749" s="556"/>
      <c r="Q749" s="549"/>
      <c r="R749" s="562"/>
      <c r="S749" s="562"/>
      <c r="T749" s="562"/>
      <c r="U749" s="562"/>
      <c r="V749" s="564" t="s">
        <v>5016</v>
      </c>
      <c r="W749" s="564" t="s">
        <v>79</v>
      </c>
      <c r="X749" s="564"/>
      <c r="Y749" s="513"/>
      <c r="Z749" s="549" t="s">
        <v>5017</v>
      </c>
      <c r="AA749" s="548"/>
      <c r="AB749" s="549"/>
      <c r="AC749" s="549"/>
      <c r="AD749" s="549"/>
      <c r="AE749" s="549"/>
      <c r="AF749" s="549">
        <v>20</v>
      </c>
      <c r="AG749" s="549">
        <f t="shared" si="242"/>
        <v>0</v>
      </c>
      <c r="AH749" s="575"/>
      <c r="AI749" s="549"/>
      <c r="AJ749" s="549"/>
      <c r="AK749" s="549">
        <f>I749*2</f>
        <v>40</v>
      </c>
      <c r="AL749" s="568"/>
      <c r="AT749" s="578"/>
      <c r="AU749" s="568"/>
      <c r="AY749" s="576">
        <f>I749/24*2</f>
        <v>1.66666666666667</v>
      </c>
      <c r="AZ749" s="577"/>
      <c r="BT749" s="578"/>
      <c r="BV749" s="578"/>
      <c r="CH749" s="428">
        <f>I749</f>
        <v>20</v>
      </c>
      <c r="CI749" s="428">
        <f>I749</f>
        <v>20</v>
      </c>
      <c r="CJ749" s="428">
        <f>I749</f>
        <v>20</v>
      </c>
      <c r="CK749" s="428">
        <f t="shared" si="245"/>
        <v>0</v>
      </c>
      <c r="CL749" s="428">
        <f t="shared" si="247"/>
        <v>0</v>
      </c>
      <c r="CM749" s="428">
        <f t="shared" si="248"/>
        <v>0</v>
      </c>
      <c r="CN749" s="578"/>
      <c r="CO749" s="578"/>
      <c r="CP749" s="578"/>
      <c r="CT749" s="578"/>
      <c r="CU749" s="578"/>
      <c r="CV749" s="578"/>
      <c r="CW749" s="578"/>
      <c r="CX749" s="578"/>
    </row>
    <row r="750" s="428" customFormat="1" ht="38" customHeight="1" spans="1:102">
      <c r="A750" s="547">
        <v>45922</v>
      </c>
      <c r="B750" s="548" t="s">
        <v>1942</v>
      </c>
      <c r="C750" s="539" t="s">
        <v>1943</v>
      </c>
      <c r="D750" s="428">
        <v>4500180054</v>
      </c>
      <c r="E750" s="539" t="s">
        <v>1944</v>
      </c>
      <c r="F750" s="428" t="s">
        <v>5018</v>
      </c>
      <c r="G750" s="549" t="s">
        <v>3378</v>
      </c>
      <c r="H750" s="549" t="s">
        <v>3379</v>
      </c>
      <c r="I750" s="549">
        <v>1050</v>
      </c>
      <c r="J750" s="549">
        <v>0</v>
      </c>
      <c r="K750" s="549">
        <v>50</v>
      </c>
      <c r="L750" s="554">
        <f t="shared" si="234"/>
        <v>21</v>
      </c>
      <c r="M750" s="555">
        <v>45968</v>
      </c>
      <c r="N750" s="555">
        <v>45964</v>
      </c>
      <c r="O750" s="556"/>
      <c r="P750" s="556" t="s">
        <v>103</v>
      </c>
      <c r="Q750" s="549"/>
      <c r="R750" s="562">
        <v>45922</v>
      </c>
      <c r="S750" s="562" t="s">
        <v>66</v>
      </c>
      <c r="T750" s="562" t="s">
        <v>5019</v>
      </c>
      <c r="U750" s="562"/>
      <c r="V750" s="564" t="s">
        <v>5020</v>
      </c>
      <c r="W750" s="564" t="s">
        <v>207</v>
      </c>
      <c r="X750" s="564">
        <v>0.9995</v>
      </c>
      <c r="Y750" s="513">
        <f t="shared" ref="Y750:Y754" si="250">X750*I750</f>
        <v>1049.475</v>
      </c>
      <c r="Z750" s="549"/>
      <c r="AA750" s="549" t="s">
        <v>3378</v>
      </c>
      <c r="AB750" s="549" t="s">
        <v>76</v>
      </c>
      <c r="AC750" s="549"/>
      <c r="AD750" s="549"/>
      <c r="AE750" s="549"/>
      <c r="AF750" s="549">
        <v>1050</v>
      </c>
      <c r="AG750" s="549">
        <f t="shared" si="242"/>
        <v>0</v>
      </c>
      <c r="AH750" s="575"/>
      <c r="AI750" s="549"/>
      <c r="AJ750" s="549"/>
      <c r="AK750" s="549"/>
      <c r="AL750" s="428">
        <f>I750</f>
        <v>1050</v>
      </c>
      <c r="AS750" s="568"/>
      <c r="AT750" s="578"/>
      <c r="AY750" s="581">
        <f>I750/24*2</f>
        <v>87.5</v>
      </c>
      <c r="AZ750" s="577"/>
      <c r="BQ750" s="428">
        <f>I750</f>
        <v>1050</v>
      </c>
      <c r="BR750" s="428">
        <f>I750</f>
        <v>1050</v>
      </c>
      <c r="BS750" s="425">
        <f>I750/25</f>
        <v>42</v>
      </c>
      <c r="BT750" s="578"/>
      <c r="BV750" s="578"/>
      <c r="CK750" s="428">
        <f t="shared" si="245"/>
        <v>42</v>
      </c>
      <c r="CL750" s="428">
        <f t="shared" si="247"/>
        <v>0</v>
      </c>
      <c r="CM750" s="428">
        <f t="shared" si="248"/>
        <v>0</v>
      </c>
      <c r="CN750" s="578"/>
      <c r="CO750" s="578"/>
      <c r="CP750" s="578"/>
      <c r="CT750" s="578"/>
      <c r="CU750" s="578"/>
      <c r="CV750" s="578"/>
      <c r="CW750" s="578"/>
      <c r="CX750" s="578"/>
    </row>
    <row r="751" s="428" customFormat="1" ht="31" customHeight="1" spans="1:102">
      <c r="A751" s="547">
        <v>45930</v>
      </c>
      <c r="B751" s="548" t="s">
        <v>128</v>
      </c>
      <c r="C751" s="539" t="s">
        <v>90</v>
      </c>
      <c r="D751" s="428">
        <v>4500181113</v>
      </c>
      <c r="E751" s="887" t="s">
        <v>5021</v>
      </c>
      <c r="F751" s="428" t="s">
        <v>5022</v>
      </c>
      <c r="G751" s="549" t="s">
        <v>3180</v>
      </c>
      <c r="H751" s="549" t="s">
        <v>3181</v>
      </c>
      <c r="I751" s="549">
        <v>23040</v>
      </c>
      <c r="J751" s="549">
        <v>0</v>
      </c>
      <c r="K751" s="549">
        <v>16</v>
      </c>
      <c r="L751" s="554">
        <f t="shared" si="234"/>
        <v>1440</v>
      </c>
      <c r="M751" s="555">
        <v>45971</v>
      </c>
      <c r="N751" s="555">
        <v>45967</v>
      </c>
      <c r="O751" s="556" t="s">
        <v>5023</v>
      </c>
      <c r="P751" s="556" t="s">
        <v>103</v>
      </c>
      <c r="Q751" s="549"/>
      <c r="R751" s="562" t="s">
        <v>4194</v>
      </c>
      <c r="S751" s="562" t="s">
        <v>66</v>
      </c>
      <c r="T751" s="562" t="s">
        <v>133</v>
      </c>
      <c r="U751" s="562"/>
      <c r="V751" s="564" t="s">
        <v>4195</v>
      </c>
      <c r="W751" s="564" t="s">
        <v>98</v>
      </c>
      <c r="X751" s="564">
        <v>0.5837</v>
      </c>
      <c r="Y751" s="513">
        <f t="shared" si="250"/>
        <v>13448.448</v>
      </c>
      <c r="Z751" s="549" t="s">
        <v>5024</v>
      </c>
      <c r="AA751" s="549" t="s">
        <v>3180</v>
      </c>
      <c r="AB751" s="549" t="s">
        <v>76</v>
      </c>
      <c r="AC751" s="549"/>
      <c r="AD751" s="549"/>
      <c r="AE751" s="549"/>
      <c r="AF751" s="549">
        <v>23040</v>
      </c>
      <c r="AG751" s="549">
        <f t="shared" si="242"/>
        <v>0</v>
      </c>
      <c r="AH751" s="575"/>
      <c r="AI751" s="549"/>
      <c r="AJ751" s="549"/>
      <c r="AK751" s="549">
        <f t="shared" ref="AK751:AK754" si="251">I751</f>
        <v>23040</v>
      </c>
      <c r="AL751" s="568"/>
      <c r="AM751" s="428">
        <f t="shared" ref="AM751:AM754" si="252">I751</f>
        <v>23040</v>
      </c>
      <c r="AR751" s="428">
        <f t="shared" ref="AR751:AR754" si="253">I751</f>
        <v>23040</v>
      </c>
      <c r="AS751" s="568"/>
      <c r="AT751" s="578"/>
      <c r="AU751" s="568"/>
      <c r="AY751" s="576">
        <f t="shared" si="249"/>
        <v>960</v>
      </c>
      <c r="AZ751" s="577"/>
      <c r="BM751" s="428">
        <f>I751/16</f>
        <v>1440</v>
      </c>
      <c r="BT751" s="578"/>
      <c r="BV751" s="578"/>
      <c r="CK751" s="428">
        <f t="shared" si="245"/>
        <v>1440</v>
      </c>
      <c r="CL751" s="428">
        <f t="shared" si="247"/>
        <v>0</v>
      </c>
      <c r="CM751" s="428">
        <f t="shared" si="248"/>
        <v>0</v>
      </c>
      <c r="CN751" s="578"/>
      <c r="CO751" s="578"/>
      <c r="CP751" s="578"/>
      <c r="CT751" s="578"/>
      <c r="CU751" s="578"/>
      <c r="CV751" s="578"/>
      <c r="CW751" s="578"/>
      <c r="CX751" s="578"/>
    </row>
    <row r="752" s="428" customFormat="1" ht="31" customHeight="1" spans="1:102">
      <c r="A752" s="547">
        <v>45930</v>
      </c>
      <c r="B752" s="548" t="s">
        <v>128</v>
      </c>
      <c r="C752" s="539" t="s">
        <v>90</v>
      </c>
      <c r="D752" s="428">
        <v>4500181113</v>
      </c>
      <c r="E752" s="887" t="s">
        <v>5025</v>
      </c>
      <c r="F752" s="428" t="s">
        <v>5026</v>
      </c>
      <c r="G752" s="549" t="s">
        <v>3180</v>
      </c>
      <c r="H752" s="549" t="s">
        <v>3181</v>
      </c>
      <c r="I752" s="549">
        <v>22080</v>
      </c>
      <c r="J752" s="549">
        <v>0</v>
      </c>
      <c r="K752" s="549">
        <v>16</v>
      </c>
      <c r="L752" s="554">
        <f t="shared" si="234"/>
        <v>1380</v>
      </c>
      <c r="M752" s="555">
        <v>45971</v>
      </c>
      <c r="N752" s="555">
        <v>45967</v>
      </c>
      <c r="O752" s="556" t="s">
        <v>5023</v>
      </c>
      <c r="P752" s="556" t="s">
        <v>103</v>
      </c>
      <c r="Q752" s="549"/>
      <c r="R752" s="562" t="s">
        <v>4194</v>
      </c>
      <c r="S752" s="562" t="s">
        <v>66</v>
      </c>
      <c r="T752" s="562" t="s">
        <v>133</v>
      </c>
      <c r="U752" s="562"/>
      <c r="V752" s="564" t="s">
        <v>4195</v>
      </c>
      <c r="W752" s="564" t="s">
        <v>98</v>
      </c>
      <c r="X752" s="564">
        <v>0.5837</v>
      </c>
      <c r="Y752" s="513">
        <f t="shared" si="250"/>
        <v>12888.096</v>
      </c>
      <c r="Z752" s="549" t="s">
        <v>5027</v>
      </c>
      <c r="AA752" s="549" t="s">
        <v>3180</v>
      </c>
      <c r="AB752" s="549" t="s">
        <v>76</v>
      </c>
      <c r="AC752" s="549"/>
      <c r="AD752" s="549"/>
      <c r="AE752" s="549"/>
      <c r="AF752" s="549">
        <f>2688+19392</f>
        <v>22080</v>
      </c>
      <c r="AG752" s="549">
        <f t="shared" si="242"/>
        <v>0</v>
      </c>
      <c r="AH752" s="575"/>
      <c r="AI752" s="549"/>
      <c r="AJ752" s="549"/>
      <c r="AK752" s="549">
        <f t="shared" si="251"/>
        <v>22080</v>
      </c>
      <c r="AL752" s="568"/>
      <c r="AM752" s="428">
        <f t="shared" si="252"/>
        <v>22080</v>
      </c>
      <c r="AR752" s="428">
        <f t="shared" si="253"/>
        <v>22080</v>
      </c>
      <c r="AS752" s="568"/>
      <c r="AT752" s="578"/>
      <c r="AU752" s="568"/>
      <c r="AY752" s="576">
        <f t="shared" si="249"/>
        <v>920</v>
      </c>
      <c r="AZ752" s="577"/>
      <c r="BM752" s="428">
        <f>I752/16</f>
        <v>1380</v>
      </c>
      <c r="BT752" s="578"/>
      <c r="BV752" s="578"/>
      <c r="CK752" s="428">
        <f t="shared" si="245"/>
        <v>1380</v>
      </c>
      <c r="CL752" s="428">
        <f t="shared" si="247"/>
        <v>0</v>
      </c>
      <c r="CM752" s="428">
        <f t="shared" si="248"/>
        <v>0</v>
      </c>
      <c r="CN752" s="578"/>
      <c r="CO752" s="578"/>
      <c r="CP752" s="578"/>
      <c r="CT752" s="578"/>
      <c r="CU752" s="578"/>
      <c r="CV752" s="578"/>
      <c r="CW752" s="578"/>
      <c r="CX752" s="578"/>
    </row>
    <row r="753" s="428" customFormat="1" ht="31" customHeight="1" spans="1:102">
      <c r="A753" s="547">
        <v>45911</v>
      </c>
      <c r="B753" s="548" t="s">
        <v>190</v>
      </c>
      <c r="C753" s="539" t="s">
        <v>191</v>
      </c>
      <c r="D753" s="428">
        <v>4500179336</v>
      </c>
      <c r="E753" s="539" t="s">
        <v>1957</v>
      </c>
      <c r="F753" s="428" t="s">
        <v>1971</v>
      </c>
      <c r="G753" s="549" t="s">
        <v>3436</v>
      </c>
      <c r="H753" s="549" t="s">
        <v>424</v>
      </c>
      <c r="I753" s="549">
        <v>720</v>
      </c>
      <c r="J753" s="549">
        <v>0</v>
      </c>
      <c r="K753" s="549">
        <v>6</v>
      </c>
      <c r="L753" s="554">
        <f t="shared" si="234"/>
        <v>120</v>
      </c>
      <c r="M753" s="555">
        <v>45975</v>
      </c>
      <c r="N753" s="555">
        <v>45971</v>
      </c>
      <c r="O753" s="556"/>
      <c r="P753" s="556" t="s">
        <v>103</v>
      </c>
      <c r="Q753" s="549"/>
      <c r="R753" s="562">
        <v>45911</v>
      </c>
      <c r="S753" s="562" t="s">
        <v>66</v>
      </c>
      <c r="T753" s="562" t="s">
        <v>5028</v>
      </c>
      <c r="U753" s="562"/>
      <c r="V753" s="564" t="s">
        <v>5029</v>
      </c>
      <c r="W753" s="564" t="s">
        <v>1663</v>
      </c>
      <c r="X753" s="564">
        <v>6.5552</v>
      </c>
      <c r="Y753" s="513">
        <f t="shared" si="250"/>
        <v>4719.744</v>
      </c>
      <c r="Z753" s="549" t="s">
        <v>1961</v>
      </c>
      <c r="AA753" s="548" t="s">
        <v>4685</v>
      </c>
      <c r="AB753" s="549" t="s">
        <v>76</v>
      </c>
      <c r="AC753" s="549"/>
      <c r="AD753" s="549"/>
      <c r="AE753" s="549"/>
      <c r="AF753" s="549">
        <v>720</v>
      </c>
      <c r="AG753" s="549">
        <f t="shared" si="242"/>
        <v>0</v>
      </c>
      <c r="AH753" s="575"/>
      <c r="AI753" s="549"/>
      <c r="AJ753" s="549"/>
      <c r="AK753" s="549"/>
      <c r="AL753" s="568">
        <f>I753*2</f>
        <v>1440</v>
      </c>
      <c r="AM753" s="428">
        <f>I753*2</f>
        <v>1440</v>
      </c>
      <c r="AS753" s="568">
        <f>I753*2</f>
        <v>1440</v>
      </c>
      <c r="AT753" s="578"/>
      <c r="AY753" s="580">
        <f t="shared" si="249"/>
        <v>30</v>
      </c>
      <c r="AZ753" s="577"/>
      <c r="BT753" s="495"/>
      <c r="BU753" s="425">
        <f>I753</f>
        <v>720</v>
      </c>
      <c r="BV753" s="578"/>
      <c r="CK753" s="428">
        <f t="shared" si="245"/>
        <v>0</v>
      </c>
      <c r="CL753" s="428">
        <f t="shared" si="247"/>
        <v>0</v>
      </c>
      <c r="CM753" s="428">
        <f t="shared" si="248"/>
        <v>0</v>
      </c>
      <c r="CN753" s="578"/>
      <c r="CO753" s="578"/>
      <c r="CP753" s="578"/>
      <c r="CT753" s="578"/>
      <c r="CU753" s="578"/>
      <c r="CV753" s="578"/>
      <c r="CW753" s="578"/>
      <c r="CX753" s="578"/>
    </row>
    <row r="754" s="428" customFormat="1" ht="31" customHeight="1" spans="1:102">
      <c r="A754" s="547">
        <v>45930</v>
      </c>
      <c r="B754" s="548" t="s">
        <v>338</v>
      </c>
      <c r="C754" s="539" t="s">
        <v>90</v>
      </c>
      <c r="D754" s="428">
        <v>4500181018</v>
      </c>
      <c r="E754" s="539" t="s">
        <v>5030</v>
      </c>
      <c r="F754" s="428" t="s">
        <v>5031</v>
      </c>
      <c r="G754" s="549" t="s">
        <v>3154</v>
      </c>
      <c r="H754" s="549" t="s">
        <v>3151</v>
      </c>
      <c r="I754" s="549">
        <v>7000</v>
      </c>
      <c r="J754" s="549">
        <v>0</v>
      </c>
      <c r="K754" s="549">
        <v>50</v>
      </c>
      <c r="L754" s="554">
        <f t="shared" si="234"/>
        <v>140</v>
      </c>
      <c r="M754" s="555">
        <v>45978</v>
      </c>
      <c r="N754" s="555">
        <v>45974</v>
      </c>
      <c r="O754" s="556"/>
      <c r="P754" s="556" t="s">
        <v>103</v>
      </c>
      <c r="Q754" s="549"/>
      <c r="R754" s="562">
        <v>45947</v>
      </c>
      <c r="S754" s="562" t="s">
        <v>66</v>
      </c>
      <c r="T754" s="562" t="s">
        <v>66</v>
      </c>
      <c r="U754" s="562"/>
      <c r="V754" s="564" t="s">
        <v>1651</v>
      </c>
      <c r="W754" s="564" t="s">
        <v>1652</v>
      </c>
      <c r="X754" s="564">
        <v>0.5673</v>
      </c>
      <c r="Y754" s="513">
        <f t="shared" si="250"/>
        <v>3971.1</v>
      </c>
      <c r="Z754" s="549" t="s">
        <v>5032</v>
      </c>
      <c r="AA754" s="549" t="s">
        <v>3154</v>
      </c>
      <c r="AB754" s="549" t="s">
        <v>76</v>
      </c>
      <c r="AC754" s="549"/>
      <c r="AD754" s="549"/>
      <c r="AE754" s="549"/>
      <c r="AF754" s="549">
        <v>7000</v>
      </c>
      <c r="AG754" s="549">
        <f t="shared" si="242"/>
        <v>0</v>
      </c>
      <c r="AH754" s="575"/>
      <c r="AI754" s="549"/>
      <c r="AJ754" s="549"/>
      <c r="AK754" s="549">
        <f t="shared" si="251"/>
        <v>7000</v>
      </c>
      <c r="AL754" s="568"/>
      <c r="AM754" s="428">
        <f t="shared" si="252"/>
        <v>7000</v>
      </c>
      <c r="AR754" s="428">
        <f t="shared" si="253"/>
        <v>7000</v>
      </c>
      <c r="AS754" s="568"/>
      <c r="AT754" s="578"/>
      <c r="AY754" s="576">
        <f t="shared" si="249"/>
        <v>291.666666666667</v>
      </c>
      <c r="AZ754" s="577"/>
      <c r="BJ754" s="428">
        <f>I754/25</f>
        <v>280</v>
      </c>
      <c r="BT754" s="578"/>
      <c r="BV754" s="578"/>
      <c r="CK754" s="428">
        <f t="shared" si="245"/>
        <v>280</v>
      </c>
      <c r="CL754" s="428">
        <f t="shared" si="247"/>
        <v>0</v>
      </c>
      <c r="CM754" s="428">
        <f t="shared" si="248"/>
        <v>0</v>
      </c>
      <c r="CN754" s="578"/>
      <c r="CO754" s="578"/>
      <c r="CP754" s="578"/>
      <c r="CT754" s="578"/>
      <c r="CU754" s="578"/>
      <c r="CV754" s="578"/>
      <c r="CW754" s="578"/>
      <c r="CX754" s="578"/>
    </row>
    <row r="755" s="428" customFormat="1" ht="31" customHeight="1" spans="1:102">
      <c r="A755" s="547">
        <v>45940</v>
      </c>
      <c r="B755" s="548" t="s">
        <v>5033</v>
      </c>
      <c r="C755" s="539" t="s">
        <v>153</v>
      </c>
      <c r="D755" s="428">
        <v>4500181432</v>
      </c>
      <c r="E755" s="539">
        <v>4551289134</v>
      </c>
      <c r="F755" s="428" t="s">
        <v>5034</v>
      </c>
      <c r="G755" s="549" t="s">
        <v>3272</v>
      </c>
      <c r="H755" s="549" t="s">
        <v>3207</v>
      </c>
      <c r="I755" s="549">
        <v>4251</v>
      </c>
      <c r="J755" s="549">
        <v>0</v>
      </c>
      <c r="K755" s="549">
        <v>13</v>
      </c>
      <c r="L755" s="554">
        <v>327</v>
      </c>
      <c r="M755" s="555">
        <v>45978</v>
      </c>
      <c r="N755" s="555">
        <v>45974</v>
      </c>
      <c r="O755" s="556"/>
      <c r="P755" s="556" t="s">
        <v>103</v>
      </c>
      <c r="Q755" s="549"/>
      <c r="R755" s="562">
        <v>45947</v>
      </c>
      <c r="S755" s="562" t="s">
        <v>66</v>
      </c>
      <c r="T755" s="562" t="s">
        <v>5035</v>
      </c>
      <c r="U755" s="562"/>
      <c r="V755" s="564" t="s">
        <v>5036</v>
      </c>
      <c r="W755" s="564" t="s">
        <v>1213</v>
      </c>
      <c r="X755" s="567">
        <v>0.9213</v>
      </c>
      <c r="Y755" s="513">
        <v>3916.4463</v>
      </c>
      <c r="Z755" s="549" t="s">
        <v>5037</v>
      </c>
      <c r="AA755" s="549" t="s">
        <v>3272</v>
      </c>
      <c r="AB755" s="549" t="s">
        <v>76</v>
      </c>
      <c r="AC755" s="549"/>
      <c r="AD755" s="549"/>
      <c r="AE755" s="549"/>
      <c r="AF755" s="549">
        <v>4251</v>
      </c>
      <c r="AG755" s="549">
        <f t="shared" si="242"/>
        <v>0</v>
      </c>
      <c r="AH755" s="575"/>
      <c r="AI755" s="549"/>
      <c r="AJ755" s="549"/>
      <c r="AK755" s="549">
        <v>4251</v>
      </c>
      <c r="AL755" s="568"/>
      <c r="AP755" s="428">
        <v>4251</v>
      </c>
      <c r="AR755" s="428">
        <v>4251</v>
      </c>
      <c r="AS755" s="568"/>
      <c r="AT755" s="578"/>
      <c r="AY755" s="576">
        <v>177.125</v>
      </c>
      <c r="AZ755" s="577"/>
      <c r="BH755" s="428">
        <v>327</v>
      </c>
      <c r="BT755" s="578"/>
      <c r="BV755" s="578"/>
      <c r="CK755" s="428">
        <f t="shared" si="245"/>
        <v>0</v>
      </c>
      <c r="CL755" s="428">
        <f t="shared" si="247"/>
        <v>0</v>
      </c>
      <c r="CM755" s="428">
        <f t="shared" si="248"/>
        <v>0</v>
      </c>
      <c r="CN755" s="578"/>
      <c r="CO755" s="578"/>
      <c r="CP755" s="578"/>
      <c r="CT755" s="578"/>
      <c r="CU755" s="578"/>
      <c r="CV755" s="578"/>
      <c r="CW755" s="578"/>
      <c r="CX755" s="578"/>
    </row>
    <row r="756" s="428" customFormat="1" ht="31" customHeight="1" spans="1:102">
      <c r="A756" s="547">
        <v>45930</v>
      </c>
      <c r="B756" s="548" t="s">
        <v>159</v>
      </c>
      <c r="C756" s="539" t="s">
        <v>153</v>
      </c>
      <c r="D756" s="428">
        <v>4500181143</v>
      </c>
      <c r="E756" s="550" t="s">
        <v>5038</v>
      </c>
      <c r="F756" s="428" t="s">
        <v>5039</v>
      </c>
      <c r="G756" s="549" t="s">
        <v>3272</v>
      </c>
      <c r="H756" s="549" t="s">
        <v>3207</v>
      </c>
      <c r="I756" s="549">
        <v>5005</v>
      </c>
      <c r="J756" s="549">
        <v>0</v>
      </c>
      <c r="K756" s="549">
        <v>13</v>
      </c>
      <c r="L756" s="554">
        <f>I756/K756</f>
        <v>385</v>
      </c>
      <c r="M756" s="555">
        <v>45979</v>
      </c>
      <c r="N756" s="555">
        <v>45975</v>
      </c>
      <c r="O756" s="556"/>
      <c r="P756" s="556" t="s">
        <v>103</v>
      </c>
      <c r="Q756" s="549"/>
      <c r="R756" s="562" t="s">
        <v>5040</v>
      </c>
      <c r="S756" s="562" t="s">
        <v>66</v>
      </c>
      <c r="T756" s="562" t="s">
        <v>66</v>
      </c>
      <c r="U756" s="562"/>
      <c r="V756" s="566" t="s">
        <v>5041</v>
      </c>
      <c r="W756" s="564" t="s">
        <v>1213</v>
      </c>
      <c r="X756" s="567">
        <v>0.9161</v>
      </c>
      <c r="Y756" s="513">
        <f>X756*I756</f>
        <v>4585.0805</v>
      </c>
      <c r="Z756" s="549" t="s">
        <v>5042</v>
      </c>
      <c r="AA756" s="549" t="s">
        <v>3272</v>
      </c>
      <c r="AB756" s="549" t="s">
        <v>76</v>
      </c>
      <c r="AC756" s="549"/>
      <c r="AD756" s="549"/>
      <c r="AE756" s="549"/>
      <c r="AF756" s="549">
        <v>5005</v>
      </c>
      <c r="AG756" s="549">
        <f t="shared" si="242"/>
        <v>0</v>
      </c>
      <c r="AH756" s="575"/>
      <c r="AI756" s="549"/>
      <c r="AJ756" s="549"/>
      <c r="AK756" s="549">
        <f t="shared" ref="AK756:AK759" si="254">I756</f>
        <v>5005</v>
      </c>
      <c r="AL756" s="568"/>
      <c r="AP756" s="428">
        <f>I756</f>
        <v>5005</v>
      </c>
      <c r="AR756" s="428">
        <f t="shared" ref="AR756:AR759" si="255">I756</f>
        <v>5005</v>
      </c>
      <c r="AS756" s="568"/>
      <c r="AT756" s="578"/>
      <c r="AY756" s="576">
        <f t="shared" ref="AY756:AY760" si="256">I756/24</f>
        <v>208.541666666667</v>
      </c>
      <c r="AZ756" s="577"/>
      <c r="BH756" s="428">
        <f>I756/13</f>
        <v>385</v>
      </c>
      <c r="BT756" s="578"/>
      <c r="BV756" s="578"/>
      <c r="CK756" s="428">
        <f t="shared" si="245"/>
        <v>0</v>
      </c>
      <c r="CL756" s="428">
        <f t="shared" si="247"/>
        <v>0</v>
      </c>
      <c r="CM756" s="428">
        <f t="shared" si="248"/>
        <v>0</v>
      </c>
      <c r="CN756" s="578"/>
      <c r="CO756" s="578"/>
      <c r="CP756" s="578"/>
      <c r="CT756" s="578"/>
      <c r="CU756" s="578"/>
      <c r="CV756" s="578"/>
      <c r="CW756" s="578"/>
      <c r="CX756" s="578"/>
    </row>
    <row r="757" s="428" customFormat="1" ht="31" customHeight="1" spans="1:102">
      <c r="A757" s="547">
        <v>45941</v>
      </c>
      <c r="B757" s="548" t="s">
        <v>2300</v>
      </c>
      <c r="C757" s="539" t="s">
        <v>179</v>
      </c>
      <c r="D757" s="428">
        <v>4500181278</v>
      </c>
      <c r="E757" s="539">
        <v>5200007921</v>
      </c>
      <c r="F757" s="428" t="s">
        <v>5043</v>
      </c>
      <c r="G757" s="549" t="s">
        <v>3231</v>
      </c>
      <c r="H757" s="549" t="s">
        <v>3207</v>
      </c>
      <c r="I757" s="549">
        <v>4563</v>
      </c>
      <c r="J757" s="549">
        <v>0</v>
      </c>
      <c r="K757" s="549">
        <v>13</v>
      </c>
      <c r="L757" s="554">
        <f>I757/K757</f>
        <v>351</v>
      </c>
      <c r="M757" s="555">
        <v>45981</v>
      </c>
      <c r="N757" s="555">
        <v>45978</v>
      </c>
      <c r="O757" s="556"/>
      <c r="P757" s="556" t="s">
        <v>103</v>
      </c>
      <c r="Q757" s="549"/>
      <c r="R757" s="562">
        <v>45947</v>
      </c>
      <c r="S757" s="562" t="s">
        <v>66</v>
      </c>
      <c r="T757" s="562" t="s">
        <v>5044</v>
      </c>
      <c r="U757" s="562"/>
      <c r="V757" s="564" t="s">
        <v>5045</v>
      </c>
      <c r="W757" s="564" t="s">
        <v>1140</v>
      </c>
      <c r="X757" s="567">
        <v>0.9116</v>
      </c>
      <c r="Y757" s="513">
        <f>X757*I757</f>
        <v>4159.6308</v>
      </c>
      <c r="Z757" s="514" t="s">
        <v>5046</v>
      </c>
      <c r="AA757" s="549" t="s">
        <v>3206</v>
      </c>
      <c r="AB757" s="549" t="s">
        <v>76</v>
      </c>
      <c r="AC757" s="549"/>
      <c r="AD757" s="549"/>
      <c r="AE757" s="549"/>
      <c r="AF757" s="549">
        <f>4563</f>
        <v>4563</v>
      </c>
      <c r="AG757" s="549">
        <f t="shared" si="242"/>
        <v>0</v>
      </c>
      <c r="AH757" s="575"/>
      <c r="AI757" s="549"/>
      <c r="AJ757" s="549"/>
      <c r="AK757" s="549"/>
      <c r="AL757" s="568">
        <f>I757</f>
        <v>4563</v>
      </c>
      <c r="AQ757" s="428">
        <f>I757</f>
        <v>4563</v>
      </c>
      <c r="AS757" s="568">
        <f>I757</f>
        <v>4563</v>
      </c>
      <c r="AT757" s="578"/>
      <c r="AY757" s="576">
        <f t="shared" si="256"/>
        <v>190.125</v>
      </c>
      <c r="AZ757" s="577"/>
      <c r="BI757" s="428">
        <f>I757/13</f>
        <v>351</v>
      </c>
      <c r="BT757" s="578"/>
      <c r="BV757" s="578"/>
      <c r="CK757" s="428">
        <f t="shared" si="245"/>
        <v>0</v>
      </c>
      <c r="CL757" s="428">
        <f t="shared" si="247"/>
        <v>0</v>
      </c>
      <c r="CM757" s="428">
        <f t="shared" si="248"/>
        <v>0</v>
      </c>
      <c r="CN757" s="578"/>
      <c r="CO757" s="578"/>
      <c r="CP757" s="578"/>
      <c r="CT757" s="578"/>
      <c r="CU757" s="578"/>
      <c r="CV757" s="578"/>
      <c r="CW757" s="578"/>
      <c r="CX757" s="578"/>
    </row>
    <row r="758" s="428" customFormat="1" ht="31" customHeight="1" spans="1:102">
      <c r="A758" s="547">
        <v>45950</v>
      </c>
      <c r="B758" s="548" t="s">
        <v>128</v>
      </c>
      <c r="C758" s="539" t="s">
        <v>90</v>
      </c>
      <c r="D758" s="428">
        <v>4500182421</v>
      </c>
      <c r="E758" s="887" t="s">
        <v>5047</v>
      </c>
      <c r="F758" s="428" t="s">
        <v>5048</v>
      </c>
      <c r="G758" s="549" t="s">
        <v>3180</v>
      </c>
      <c r="H758" s="549" t="s">
        <v>3181</v>
      </c>
      <c r="I758" s="549">
        <v>37440</v>
      </c>
      <c r="J758" s="549">
        <v>0</v>
      </c>
      <c r="K758" s="549">
        <v>16</v>
      </c>
      <c r="L758" s="554">
        <f>I758/K758</f>
        <v>2340</v>
      </c>
      <c r="M758" s="555">
        <v>45981</v>
      </c>
      <c r="N758" s="555">
        <v>45978</v>
      </c>
      <c r="O758" s="556" t="s">
        <v>1975</v>
      </c>
      <c r="P758" s="556" t="s">
        <v>103</v>
      </c>
      <c r="Q758" s="549"/>
      <c r="R758" s="562" t="s">
        <v>4194</v>
      </c>
      <c r="S758" s="562" t="s">
        <v>66</v>
      </c>
      <c r="T758" s="562" t="s">
        <v>133</v>
      </c>
      <c r="U758" s="562"/>
      <c r="V758" s="564" t="s">
        <v>5049</v>
      </c>
      <c r="W758" s="564" t="s">
        <v>5050</v>
      </c>
      <c r="X758" s="564">
        <v>0.5783</v>
      </c>
      <c r="Y758" s="513">
        <f>X758*I758</f>
        <v>21651.552</v>
      </c>
      <c r="Z758" s="549" t="s">
        <v>5051</v>
      </c>
      <c r="AA758" s="549" t="s">
        <v>3180</v>
      </c>
      <c r="AB758" s="549" t="s">
        <v>76</v>
      </c>
      <c r="AC758" s="549"/>
      <c r="AD758" s="549"/>
      <c r="AE758" s="549"/>
      <c r="AF758" s="549">
        <v>37440</v>
      </c>
      <c r="AG758" s="549">
        <f t="shared" si="242"/>
        <v>0</v>
      </c>
      <c r="AH758" s="575"/>
      <c r="AI758" s="549"/>
      <c r="AJ758" s="549"/>
      <c r="AK758" s="549">
        <f t="shared" si="254"/>
        <v>37440</v>
      </c>
      <c r="AL758" s="568"/>
      <c r="AM758" s="428">
        <f>I758</f>
        <v>37440</v>
      </c>
      <c r="AR758" s="428">
        <f t="shared" si="255"/>
        <v>37440</v>
      </c>
      <c r="AS758" s="568"/>
      <c r="AT758" s="578"/>
      <c r="AY758" s="576">
        <f t="shared" si="256"/>
        <v>1560</v>
      </c>
      <c r="AZ758" s="577"/>
      <c r="BM758" s="428">
        <f>I758/16</f>
        <v>2340</v>
      </c>
      <c r="BT758" s="578"/>
      <c r="BV758" s="578"/>
      <c r="CK758" s="428">
        <f t="shared" si="245"/>
        <v>2340</v>
      </c>
      <c r="CL758" s="428">
        <f t="shared" si="247"/>
        <v>0</v>
      </c>
      <c r="CM758" s="428">
        <f t="shared" si="248"/>
        <v>0</v>
      </c>
      <c r="CN758" s="578"/>
      <c r="CO758" s="578"/>
      <c r="CP758" s="578"/>
      <c r="CT758" s="578"/>
      <c r="CU758" s="578"/>
      <c r="CV758" s="578"/>
      <c r="CW758" s="578"/>
      <c r="CX758" s="578"/>
    </row>
    <row r="759" s="428" customFormat="1" ht="31" customHeight="1" spans="1:102">
      <c r="A759" s="547">
        <v>45950</v>
      </c>
      <c r="B759" s="548" t="s">
        <v>128</v>
      </c>
      <c r="C759" s="539" t="s">
        <v>90</v>
      </c>
      <c r="D759" s="428">
        <v>4500182421</v>
      </c>
      <c r="E759" s="887" t="s">
        <v>5052</v>
      </c>
      <c r="F759" s="428" t="s">
        <v>5053</v>
      </c>
      <c r="G759" s="549" t="s">
        <v>3180</v>
      </c>
      <c r="H759" s="549" t="s">
        <v>3181</v>
      </c>
      <c r="I759" s="549">
        <v>29760</v>
      </c>
      <c r="J759" s="549">
        <v>0</v>
      </c>
      <c r="K759" s="549">
        <v>16</v>
      </c>
      <c r="L759" s="554">
        <f>I759/K759</f>
        <v>1860</v>
      </c>
      <c r="M759" s="555">
        <v>45981</v>
      </c>
      <c r="N759" s="555">
        <v>45978</v>
      </c>
      <c r="O759" s="556" t="s">
        <v>2020</v>
      </c>
      <c r="P759" s="556" t="s">
        <v>103</v>
      </c>
      <c r="Q759" s="549"/>
      <c r="R759" s="562" t="s">
        <v>4194</v>
      </c>
      <c r="S759" s="562" t="s">
        <v>66</v>
      </c>
      <c r="T759" s="562" t="s">
        <v>133</v>
      </c>
      <c r="U759" s="562"/>
      <c r="V759" s="564" t="s">
        <v>5049</v>
      </c>
      <c r="W759" s="564" t="s">
        <v>5050</v>
      </c>
      <c r="X759" s="564">
        <v>0.5783</v>
      </c>
      <c r="Y759" s="513">
        <f>X759*I759</f>
        <v>17210.208</v>
      </c>
      <c r="Z759" s="549"/>
      <c r="AA759" s="549" t="s">
        <v>3180</v>
      </c>
      <c r="AB759" s="549" t="s">
        <v>76</v>
      </c>
      <c r="AC759" s="549"/>
      <c r="AD759" s="549"/>
      <c r="AE759" s="549"/>
      <c r="AF759" s="549">
        <v>29760</v>
      </c>
      <c r="AG759" s="549">
        <f t="shared" si="242"/>
        <v>0</v>
      </c>
      <c r="AH759" s="575"/>
      <c r="AI759" s="549"/>
      <c r="AJ759" s="549"/>
      <c r="AK759" s="549">
        <f t="shared" si="254"/>
        <v>29760</v>
      </c>
      <c r="AL759" s="568"/>
      <c r="AM759" s="428">
        <f>I759</f>
        <v>29760</v>
      </c>
      <c r="AR759" s="428">
        <f t="shared" si="255"/>
        <v>29760</v>
      </c>
      <c r="AS759" s="568"/>
      <c r="AT759" s="578"/>
      <c r="AY759" s="576">
        <f t="shared" si="256"/>
        <v>1240</v>
      </c>
      <c r="AZ759" s="577"/>
      <c r="BM759" s="428">
        <f>I759/16</f>
        <v>1860</v>
      </c>
      <c r="BT759" s="578"/>
      <c r="BV759" s="578"/>
      <c r="CK759" s="428">
        <f t="shared" si="245"/>
        <v>1860</v>
      </c>
      <c r="CL759" s="428">
        <f t="shared" si="247"/>
        <v>0</v>
      </c>
      <c r="CM759" s="428">
        <f t="shared" si="248"/>
        <v>0</v>
      </c>
      <c r="CN759" s="578"/>
      <c r="CO759" s="578"/>
      <c r="CP759" s="578"/>
      <c r="CT759" s="578"/>
      <c r="CU759" s="578"/>
      <c r="CV759" s="578"/>
      <c r="CW759" s="578"/>
      <c r="CX759" s="578"/>
    </row>
    <row r="760" s="428" customFormat="1" ht="31" customHeight="1" spans="1:102">
      <c r="A760" s="547">
        <v>45925</v>
      </c>
      <c r="B760" s="548" t="s">
        <v>5054</v>
      </c>
      <c r="C760" s="539" t="s">
        <v>139</v>
      </c>
      <c r="D760" s="428">
        <v>4500180408</v>
      </c>
      <c r="E760" s="539">
        <v>4500189141</v>
      </c>
      <c r="F760" s="428" t="s">
        <v>5055</v>
      </c>
      <c r="G760" s="549" t="s">
        <v>3158</v>
      </c>
      <c r="H760" s="549" t="s">
        <v>3159</v>
      </c>
      <c r="I760" s="560">
        <v>780</v>
      </c>
      <c r="J760" s="549">
        <v>0</v>
      </c>
      <c r="K760" s="549">
        <v>52</v>
      </c>
      <c r="L760" s="554">
        <f>I760/K760</f>
        <v>15</v>
      </c>
      <c r="M760" s="555">
        <v>45985</v>
      </c>
      <c r="N760" s="555">
        <v>45981</v>
      </c>
      <c r="O760" s="556"/>
      <c r="P760" s="556" t="s">
        <v>103</v>
      </c>
      <c r="Q760" s="549"/>
      <c r="R760" s="562">
        <v>45926</v>
      </c>
      <c r="S760" s="562" t="s">
        <v>66</v>
      </c>
      <c r="T760" s="562" t="s">
        <v>5056</v>
      </c>
      <c r="U760" s="562"/>
      <c r="V760" s="564" t="s">
        <v>5057</v>
      </c>
      <c r="W760" s="564" t="s">
        <v>151</v>
      </c>
      <c r="X760" s="567">
        <v>0.9181</v>
      </c>
      <c r="Y760" s="513">
        <f>X760*I760</f>
        <v>716.118</v>
      </c>
      <c r="Z760" s="587" t="s">
        <v>5058</v>
      </c>
      <c r="AA760" s="549" t="s">
        <v>3158</v>
      </c>
      <c r="AB760" s="549" t="s">
        <v>76</v>
      </c>
      <c r="AC760" s="549"/>
      <c r="AD760" s="549"/>
      <c r="AE760" s="549"/>
      <c r="AF760" s="549">
        <f>728+52</f>
        <v>780</v>
      </c>
      <c r="AG760" s="549">
        <f t="shared" si="242"/>
        <v>0</v>
      </c>
      <c r="AH760" s="575"/>
      <c r="AI760" s="549"/>
      <c r="AJ760" s="549"/>
      <c r="AK760" s="549"/>
      <c r="AL760" s="568">
        <f>I760</f>
        <v>780</v>
      </c>
      <c r="AQ760" s="428">
        <f>I760</f>
        <v>780</v>
      </c>
      <c r="AS760" s="589">
        <f>I760</f>
        <v>780</v>
      </c>
      <c r="AT760" s="578"/>
      <c r="AY760" s="590">
        <f t="shared" si="256"/>
        <v>32.5</v>
      </c>
      <c r="AZ760" s="577"/>
      <c r="BI760" s="428">
        <f>I760/13</f>
        <v>60</v>
      </c>
      <c r="BT760" s="578"/>
      <c r="BV760" s="578"/>
      <c r="CK760" s="428">
        <f t="shared" si="245"/>
        <v>0</v>
      </c>
      <c r="CL760" s="428">
        <f t="shared" si="247"/>
        <v>0</v>
      </c>
      <c r="CM760" s="428">
        <f t="shared" si="248"/>
        <v>0</v>
      </c>
      <c r="CN760" s="578"/>
      <c r="CO760" s="578"/>
      <c r="CP760" s="578"/>
      <c r="CT760" s="578"/>
      <c r="CU760" s="578"/>
      <c r="CV760" s="578"/>
      <c r="CW760" s="578"/>
      <c r="CX760" s="578"/>
    </row>
    <row r="761" s="428" customFormat="1" ht="31" customHeight="1" spans="1:102">
      <c r="A761" s="547">
        <v>45944</v>
      </c>
      <c r="B761" s="548" t="s">
        <v>1769</v>
      </c>
      <c r="C761" s="539" t="s">
        <v>139</v>
      </c>
      <c r="D761" s="428">
        <v>4500181762</v>
      </c>
      <c r="E761" s="539">
        <v>5200007966</v>
      </c>
      <c r="F761" s="428" t="s">
        <v>5059</v>
      </c>
      <c r="G761" s="549" t="s">
        <v>3231</v>
      </c>
      <c r="H761" s="549" t="s">
        <v>3207</v>
      </c>
      <c r="I761" s="549">
        <v>4810</v>
      </c>
      <c r="J761" s="549">
        <v>0</v>
      </c>
      <c r="K761" s="549">
        <v>13</v>
      </c>
      <c r="L761" s="554">
        <f t="shared" ref="L761:L797" si="257">I761/K761</f>
        <v>370</v>
      </c>
      <c r="M761" s="555">
        <v>45986</v>
      </c>
      <c r="N761" s="555">
        <v>45982</v>
      </c>
      <c r="O761" s="556"/>
      <c r="P761" s="556" t="s">
        <v>103</v>
      </c>
      <c r="Q761" s="549"/>
      <c r="R761" s="562">
        <v>45950</v>
      </c>
      <c r="S761" s="562" t="s">
        <v>66</v>
      </c>
      <c r="T761" s="562" t="s">
        <v>3232</v>
      </c>
      <c r="U761" s="562"/>
      <c r="V761" s="564" t="s">
        <v>5060</v>
      </c>
      <c r="W761" s="564" t="s">
        <v>1140</v>
      </c>
      <c r="X761" s="567">
        <v>0.8947</v>
      </c>
      <c r="Y761" s="513">
        <f t="shared" ref="Y761:Y767" si="258">X761*I761</f>
        <v>4303.507</v>
      </c>
      <c r="Z761" s="549" t="s">
        <v>5061</v>
      </c>
      <c r="AA761" s="549" t="s">
        <v>3206</v>
      </c>
      <c r="AB761" s="549" t="s">
        <v>76</v>
      </c>
      <c r="AC761" s="549"/>
      <c r="AD761" s="549"/>
      <c r="AE761" s="549"/>
      <c r="AF761" s="549">
        <v>4810</v>
      </c>
      <c r="AG761" s="549">
        <f t="shared" si="242"/>
        <v>0</v>
      </c>
      <c r="AH761" s="575"/>
      <c r="AI761" s="549"/>
      <c r="AJ761" s="549"/>
      <c r="AK761" s="549"/>
      <c r="AL761" s="568">
        <f>I761</f>
        <v>4810</v>
      </c>
      <c r="AQ761" s="428">
        <f t="shared" ref="AQ761:AQ765" si="259">I761</f>
        <v>4810</v>
      </c>
      <c r="AS761" s="568">
        <f t="shared" ref="AS761:AS765" si="260">I761</f>
        <v>4810</v>
      </c>
      <c r="AT761" s="578"/>
      <c r="AY761" s="576">
        <f t="shared" ref="AY761:AY776" si="261">I761/24</f>
        <v>200.416666666667</v>
      </c>
      <c r="AZ761" s="577"/>
      <c r="BI761" s="428">
        <f>I761/13</f>
        <v>370</v>
      </c>
      <c r="BT761" s="578"/>
      <c r="BV761" s="578"/>
      <c r="CK761" s="428">
        <f t="shared" ref="CK761:CK785" si="262">BM761+BL761+BK761+BJ761+BS761</f>
        <v>0</v>
      </c>
      <c r="CL761" s="428">
        <f t="shared" ref="CL761:CL785" si="263">CA761+CB761+CC761+CD761+CE761+CG761+CF761</f>
        <v>0</v>
      </c>
      <c r="CM761" s="428">
        <f t="shared" ref="CM761:CM785" si="264">BY761+BZ761</f>
        <v>0</v>
      </c>
      <c r="CN761" s="578"/>
      <c r="CO761" s="578"/>
      <c r="CP761" s="578"/>
      <c r="CT761" s="578"/>
      <c r="CU761" s="578"/>
      <c r="CV761" s="578"/>
      <c r="CW761" s="578"/>
      <c r="CX761" s="578"/>
    </row>
    <row r="762" s="428" customFormat="1" ht="31" customHeight="1" spans="1:102">
      <c r="A762" s="547">
        <v>45905</v>
      </c>
      <c r="B762" s="548" t="s">
        <v>1669</v>
      </c>
      <c r="C762" s="539" t="s">
        <v>663</v>
      </c>
      <c r="D762" s="428">
        <v>4500178919</v>
      </c>
      <c r="E762" s="539">
        <v>5000001988</v>
      </c>
      <c r="F762" s="428" t="s">
        <v>2066</v>
      </c>
      <c r="G762" s="549" t="s">
        <v>3436</v>
      </c>
      <c r="H762" s="549" t="s">
        <v>424</v>
      </c>
      <c r="I762" s="549">
        <v>10008</v>
      </c>
      <c r="J762" s="549">
        <v>0</v>
      </c>
      <c r="K762" s="549">
        <v>6</v>
      </c>
      <c r="L762" s="554">
        <f t="shared" si="257"/>
        <v>1668</v>
      </c>
      <c r="M762" s="555">
        <v>45986</v>
      </c>
      <c r="N762" s="555">
        <v>45982</v>
      </c>
      <c r="O762" s="556" t="s">
        <v>5062</v>
      </c>
      <c r="P762" s="556" t="s">
        <v>103</v>
      </c>
      <c r="Q762" s="549"/>
      <c r="R762" s="562">
        <v>45960</v>
      </c>
      <c r="S762" s="562" t="s">
        <v>66</v>
      </c>
      <c r="T762" s="562" t="s">
        <v>5063</v>
      </c>
      <c r="U762" s="562"/>
      <c r="V762" s="566" t="s">
        <v>2538</v>
      </c>
      <c r="W762" s="564" t="s">
        <v>1674</v>
      </c>
      <c r="X762" s="564">
        <v>6.3409</v>
      </c>
      <c r="Y762" s="513">
        <f t="shared" si="258"/>
        <v>63459.7272</v>
      </c>
      <c r="Z762" s="549" t="s">
        <v>2046</v>
      </c>
      <c r="AA762" s="588" t="s">
        <v>2069</v>
      </c>
      <c r="AB762" s="549" t="s">
        <v>76</v>
      </c>
      <c r="AC762" s="549"/>
      <c r="AD762" s="549"/>
      <c r="AE762" s="549"/>
      <c r="AF762" s="549">
        <f>5472+4536</f>
        <v>10008</v>
      </c>
      <c r="AG762" s="549">
        <f t="shared" si="242"/>
        <v>0</v>
      </c>
      <c r="AH762" s="575"/>
      <c r="AI762" s="549"/>
      <c r="AJ762" s="549"/>
      <c r="AK762" s="549"/>
      <c r="AL762" s="568">
        <f>I762*2</f>
        <v>20016</v>
      </c>
      <c r="AM762" s="428">
        <f>I762*2</f>
        <v>20016</v>
      </c>
      <c r="AS762" s="568"/>
      <c r="AT762" s="578"/>
      <c r="AU762" s="428">
        <f>I762*2</f>
        <v>20016</v>
      </c>
      <c r="AX762" s="591">
        <f>I762/24*2</f>
        <v>834</v>
      </c>
      <c r="AY762" s="580"/>
      <c r="AZ762" s="577"/>
      <c r="BT762" s="495"/>
      <c r="BU762" s="425">
        <f>I762</f>
        <v>10008</v>
      </c>
      <c r="BV762" s="578"/>
      <c r="CK762" s="428">
        <f t="shared" si="262"/>
        <v>0</v>
      </c>
      <c r="CL762" s="428">
        <f t="shared" si="263"/>
        <v>0</v>
      </c>
      <c r="CM762" s="428">
        <f t="shared" si="264"/>
        <v>0</v>
      </c>
      <c r="CN762" s="578"/>
      <c r="CO762" s="578"/>
      <c r="CP762" s="578"/>
      <c r="CT762" s="578"/>
      <c r="CU762" s="578"/>
      <c r="CV762" s="578"/>
      <c r="CW762" s="578"/>
      <c r="CX762" s="578"/>
    </row>
    <row r="763" s="428" customFormat="1" ht="31" customHeight="1" spans="1:102">
      <c r="A763" s="547">
        <v>45909</v>
      </c>
      <c r="B763" s="548" t="s">
        <v>1669</v>
      </c>
      <c r="C763" s="539" t="s">
        <v>663</v>
      </c>
      <c r="D763" s="428">
        <v>4500178919</v>
      </c>
      <c r="E763" s="539">
        <v>5000001988</v>
      </c>
      <c r="F763" s="428" t="s">
        <v>2070</v>
      </c>
      <c r="G763" s="549" t="s">
        <v>3436</v>
      </c>
      <c r="H763" s="549" t="s">
        <v>424</v>
      </c>
      <c r="I763" s="549">
        <v>660</v>
      </c>
      <c r="J763" s="549">
        <v>0</v>
      </c>
      <c r="K763" s="549">
        <v>6</v>
      </c>
      <c r="L763" s="554">
        <f t="shared" si="257"/>
        <v>110</v>
      </c>
      <c r="M763" s="555">
        <v>45986</v>
      </c>
      <c r="N763" s="555">
        <v>45982</v>
      </c>
      <c r="O763" s="556"/>
      <c r="P763" s="556" t="s">
        <v>103</v>
      </c>
      <c r="Q763" s="549"/>
      <c r="R763" s="562">
        <v>45960</v>
      </c>
      <c r="S763" s="562" t="s">
        <v>66</v>
      </c>
      <c r="T763" s="562" t="s">
        <v>5063</v>
      </c>
      <c r="U763" s="562"/>
      <c r="V763" s="566" t="s">
        <v>2538</v>
      </c>
      <c r="W763" s="564" t="s">
        <v>1674</v>
      </c>
      <c r="X763" s="564">
        <v>6.3409</v>
      </c>
      <c r="Y763" s="513">
        <f t="shared" si="258"/>
        <v>4184.994</v>
      </c>
      <c r="Z763" s="549" t="s">
        <v>2046</v>
      </c>
      <c r="AA763" s="588" t="s">
        <v>2069</v>
      </c>
      <c r="AB763" s="549" t="s">
        <v>76</v>
      </c>
      <c r="AC763" s="549"/>
      <c r="AD763" s="549"/>
      <c r="AE763" s="549"/>
      <c r="AF763" s="549">
        <v>660</v>
      </c>
      <c r="AG763" s="549">
        <f t="shared" si="242"/>
        <v>0</v>
      </c>
      <c r="AH763" s="575"/>
      <c r="AI763" s="549"/>
      <c r="AJ763" s="549"/>
      <c r="AK763" s="549"/>
      <c r="AL763" s="568">
        <f>I763*2</f>
        <v>1320</v>
      </c>
      <c r="AM763" s="428">
        <f>I763*2</f>
        <v>1320</v>
      </c>
      <c r="AS763" s="568"/>
      <c r="AT763" s="578"/>
      <c r="AU763" s="428">
        <f>I763*2</f>
        <v>1320</v>
      </c>
      <c r="AX763" s="591">
        <f>I763/24*2</f>
        <v>55</v>
      </c>
      <c r="AY763" s="580"/>
      <c r="AZ763" s="577"/>
      <c r="BI763" s="592"/>
      <c r="BT763" s="495"/>
      <c r="BU763" s="425">
        <f>I763</f>
        <v>660</v>
      </c>
      <c r="BV763" s="578"/>
      <c r="CK763" s="428">
        <f t="shared" si="262"/>
        <v>0</v>
      </c>
      <c r="CL763" s="428">
        <f t="shared" si="263"/>
        <v>0</v>
      </c>
      <c r="CM763" s="428">
        <f t="shared" si="264"/>
        <v>0</v>
      </c>
      <c r="CN763" s="578"/>
      <c r="CO763" s="578"/>
      <c r="CP763" s="578"/>
      <c r="CT763" s="578"/>
      <c r="CU763" s="578"/>
      <c r="CV763" s="578"/>
      <c r="CW763" s="578"/>
      <c r="CX763" s="578"/>
    </row>
    <row r="764" s="428" customFormat="1" ht="31" customHeight="1" spans="1:102">
      <c r="A764" s="547">
        <v>45911</v>
      </c>
      <c r="B764" s="548" t="s">
        <v>2049</v>
      </c>
      <c r="C764" s="539" t="s">
        <v>2050</v>
      </c>
      <c r="D764" s="428">
        <v>4500179260</v>
      </c>
      <c r="E764" s="539" t="s">
        <v>2051</v>
      </c>
      <c r="F764" s="428" t="s">
        <v>5064</v>
      </c>
      <c r="G764" s="549" t="s">
        <v>5065</v>
      </c>
      <c r="H764" s="549" t="s">
        <v>5066</v>
      </c>
      <c r="I764" s="549">
        <v>10000</v>
      </c>
      <c r="J764" s="549">
        <v>0</v>
      </c>
      <c r="K764" s="549">
        <v>8</v>
      </c>
      <c r="L764" s="554">
        <f t="shared" si="257"/>
        <v>1250</v>
      </c>
      <c r="M764" s="555">
        <v>45986</v>
      </c>
      <c r="N764" s="555">
        <v>45982</v>
      </c>
      <c r="O764" s="556"/>
      <c r="P764" s="556" t="s">
        <v>103</v>
      </c>
      <c r="Q764" s="549"/>
      <c r="R764" s="562">
        <v>45967</v>
      </c>
      <c r="S764" s="562" t="s">
        <v>66</v>
      </c>
      <c r="T764" s="562" t="s">
        <v>2053</v>
      </c>
      <c r="U764" s="562"/>
      <c r="V764" s="566" t="s">
        <v>5067</v>
      </c>
      <c r="W764" s="564" t="s">
        <v>853</v>
      </c>
      <c r="X764" s="564">
        <v>0.9681</v>
      </c>
      <c r="Y764" s="513">
        <f t="shared" si="258"/>
        <v>9681</v>
      </c>
      <c r="Z764" s="549"/>
      <c r="AA764" s="549" t="s">
        <v>5065</v>
      </c>
      <c r="AB764" s="549" t="s">
        <v>76</v>
      </c>
      <c r="AC764" s="549"/>
      <c r="AD764" s="549"/>
      <c r="AE764" s="549"/>
      <c r="AF764" s="549">
        <f>3280+6720</f>
        <v>10000</v>
      </c>
      <c r="AG764" s="549">
        <f t="shared" si="242"/>
        <v>0</v>
      </c>
      <c r="AH764" s="575"/>
      <c r="AI764" s="549"/>
      <c r="AJ764" s="549"/>
      <c r="AK764" s="549"/>
      <c r="AL764" s="568">
        <f t="shared" ref="AL764:AL768" si="265">I764</f>
        <v>10000</v>
      </c>
      <c r="AQ764" s="428">
        <f t="shared" si="259"/>
        <v>10000</v>
      </c>
      <c r="AS764" s="568">
        <f t="shared" si="260"/>
        <v>10000</v>
      </c>
      <c r="AT764" s="578"/>
      <c r="AY764" s="580">
        <f t="shared" si="261"/>
        <v>416.666666666667</v>
      </c>
      <c r="AZ764" s="577"/>
      <c r="BO764" s="428">
        <f>L764</f>
        <v>1250</v>
      </c>
      <c r="BT764" s="578"/>
      <c r="BV764" s="578"/>
      <c r="CK764" s="428">
        <f t="shared" si="262"/>
        <v>0</v>
      </c>
      <c r="CL764" s="428">
        <f t="shared" si="263"/>
        <v>0</v>
      </c>
      <c r="CM764" s="428">
        <f t="shared" si="264"/>
        <v>0</v>
      </c>
      <c r="CN764" s="578"/>
      <c r="CO764" s="578"/>
      <c r="CP764" s="578"/>
      <c r="CT764" s="578"/>
      <c r="CU764" s="578"/>
      <c r="CV764" s="578"/>
      <c r="CW764" s="578"/>
      <c r="CX764" s="578"/>
    </row>
    <row r="765" s="428" customFormat="1" ht="31" customHeight="1" spans="1:102">
      <c r="A765" s="547">
        <v>45951</v>
      </c>
      <c r="B765" s="548" t="s">
        <v>360</v>
      </c>
      <c r="C765" s="539" t="s">
        <v>249</v>
      </c>
      <c r="D765" s="428">
        <v>4500182590</v>
      </c>
      <c r="E765" s="539" t="s">
        <v>5068</v>
      </c>
      <c r="F765" s="428" t="s">
        <v>5069</v>
      </c>
      <c r="G765" s="549" t="s">
        <v>3143</v>
      </c>
      <c r="H765" s="549" t="s">
        <v>3144</v>
      </c>
      <c r="I765" s="549">
        <v>1512</v>
      </c>
      <c r="J765" s="549">
        <v>0</v>
      </c>
      <c r="K765" s="549">
        <v>24</v>
      </c>
      <c r="L765" s="554">
        <f t="shared" si="257"/>
        <v>63</v>
      </c>
      <c r="M765" s="555">
        <v>45986</v>
      </c>
      <c r="N765" s="555">
        <v>45982</v>
      </c>
      <c r="O765" s="556"/>
      <c r="P765" s="556" t="s">
        <v>103</v>
      </c>
      <c r="Q765" s="549"/>
      <c r="R765" s="562">
        <v>45951</v>
      </c>
      <c r="S765" s="562" t="s">
        <v>66</v>
      </c>
      <c r="T765" s="562" t="s">
        <v>2291</v>
      </c>
      <c r="U765" s="562"/>
      <c r="V765" s="564" t="s">
        <v>5070</v>
      </c>
      <c r="W765" s="564" t="s">
        <v>451</v>
      </c>
      <c r="X765" s="564">
        <v>0.8656</v>
      </c>
      <c r="Y765" s="513">
        <f t="shared" si="258"/>
        <v>1308.7872</v>
      </c>
      <c r="Z765" s="549" t="s">
        <v>5071</v>
      </c>
      <c r="AA765" s="549" t="s">
        <v>3143</v>
      </c>
      <c r="AB765" s="549" t="s">
        <v>76</v>
      </c>
      <c r="AC765" s="549"/>
      <c r="AD765" s="549"/>
      <c r="AE765" s="549"/>
      <c r="AF765" s="549">
        <f>1488+24</f>
        <v>1512</v>
      </c>
      <c r="AG765" s="549">
        <f t="shared" si="242"/>
        <v>0</v>
      </c>
      <c r="AH765" s="575"/>
      <c r="AI765" s="549"/>
      <c r="AJ765" s="549"/>
      <c r="AK765" s="549"/>
      <c r="AL765" s="577">
        <f t="shared" si="265"/>
        <v>1512</v>
      </c>
      <c r="AQ765" s="428">
        <f t="shared" si="259"/>
        <v>1512</v>
      </c>
      <c r="AS765" s="428">
        <f t="shared" si="260"/>
        <v>1512</v>
      </c>
      <c r="AT765" s="578"/>
      <c r="AY765" s="428">
        <f t="shared" si="261"/>
        <v>63</v>
      </c>
      <c r="AZ765" s="577"/>
      <c r="BT765" s="578"/>
      <c r="BV765" s="578"/>
      <c r="CK765" s="428">
        <f t="shared" si="262"/>
        <v>0</v>
      </c>
      <c r="CL765" s="428">
        <f t="shared" si="263"/>
        <v>0</v>
      </c>
      <c r="CM765" s="428">
        <f t="shared" si="264"/>
        <v>0</v>
      </c>
      <c r="CN765" s="578"/>
      <c r="CO765" s="578"/>
      <c r="CP765" s="578"/>
      <c r="CT765" s="578"/>
      <c r="CU765" s="578"/>
      <c r="CV765" s="578"/>
      <c r="CW765" s="578"/>
      <c r="CX765" s="578"/>
    </row>
    <row r="766" s="428" customFormat="1" ht="31" customHeight="1" spans="1:102">
      <c r="A766" s="547">
        <v>45952</v>
      </c>
      <c r="B766" s="548" t="s">
        <v>2355</v>
      </c>
      <c r="C766" s="539" t="s">
        <v>90</v>
      </c>
      <c r="D766" s="428">
        <v>4500182778</v>
      </c>
      <c r="E766" s="539" t="s">
        <v>5072</v>
      </c>
      <c r="F766" s="428" t="s">
        <v>5073</v>
      </c>
      <c r="G766" s="549" t="s">
        <v>3150</v>
      </c>
      <c r="H766" s="549" t="s">
        <v>3151</v>
      </c>
      <c r="I766" s="549">
        <v>1248</v>
      </c>
      <c r="J766" s="549">
        <v>0</v>
      </c>
      <c r="K766" s="549">
        <v>52</v>
      </c>
      <c r="L766" s="554">
        <f t="shared" si="257"/>
        <v>24</v>
      </c>
      <c r="M766" s="555">
        <v>45987</v>
      </c>
      <c r="N766" s="555">
        <v>45985</v>
      </c>
      <c r="O766" s="556"/>
      <c r="P766" s="556" t="s">
        <v>103</v>
      </c>
      <c r="Q766" s="549"/>
      <c r="R766" s="562">
        <v>45965</v>
      </c>
      <c r="S766" s="562" t="s">
        <v>5074</v>
      </c>
      <c r="T766" s="562" t="s">
        <v>403</v>
      </c>
      <c r="U766" s="562"/>
      <c r="V766" s="564" t="s">
        <v>2359</v>
      </c>
      <c r="W766" s="564" t="s">
        <v>794</v>
      </c>
      <c r="X766" s="567">
        <v>0.5536</v>
      </c>
      <c r="Y766" s="513">
        <f t="shared" si="258"/>
        <v>690.8928</v>
      </c>
      <c r="Z766" s="549" t="s">
        <v>5075</v>
      </c>
      <c r="AA766" s="549" t="s">
        <v>3150</v>
      </c>
      <c r="AB766" s="549" t="s">
        <v>76</v>
      </c>
      <c r="AC766" s="549"/>
      <c r="AD766" s="549"/>
      <c r="AE766" s="549"/>
      <c r="AF766" s="549">
        <v>1248</v>
      </c>
      <c r="AG766" s="549">
        <f t="shared" si="242"/>
        <v>0</v>
      </c>
      <c r="AH766" s="575"/>
      <c r="AI766" s="549"/>
      <c r="AJ766" s="549"/>
      <c r="AK766" s="549">
        <f t="shared" ref="AK766:AK771" si="266">I766</f>
        <v>1248</v>
      </c>
      <c r="AL766" s="577"/>
      <c r="AM766" s="428">
        <f t="shared" ref="AM766:AM771" si="267">I766</f>
        <v>1248</v>
      </c>
      <c r="AR766" s="428">
        <f t="shared" ref="AR766:AR771" si="268">I766</f>
        <v>1248</v>
      </c>
      <c r="AS766" s="568"/>
      <c r="AT766" s="578"/>
      <c r="AY766" s="576">
        <f t="shared" si="261"/>
        <v>52</v>
      </c>
      <c r="AZ766" s="577"/>
      <c r="BG766" s="428">
        <f t="shared" ref="BG766:BG770" si="269">I766/13</f>
        <v>96</v>
      </c>
      <c r="BT766" s="578"/>
      <c r="BV766" s="578"/>
      <c r="CK766" s="428">
        <f t="shared" si="262"/>
        <v>0</v>
      </c>
      <c r="CL766" s="428">
        <f t="shared" si="263"/>
        <v>0</v>
      </c>
      <c r="CM766" s="428">
        <f t="shared" si="264"/>
        <v>0</v>
      </c>
      <c r="CN766" s="578"/>
      <c r="CO766" s="578"/>
      <c r="CP766" s="578"/>
      <c r="CT766" s="578"/>
      <c r="CU766" s="578"/>
      <c r="CV766" s="578"/>
      <c r="CW766" s="578"/>
      <c r="CX766" s="578"/>
    </row>
    <row r="767" s="428" customFormat="1" ht="31" customHeight="1" spans="1:102">
      <c r="A767" s="547">
        <v>45929</v>
      </c>
      <c r="B767" s="548" t="s">
        <v>1877</v>
      </c>
      <c r="C767" s="539" t="s">
        <v>356</v>
      </c>
      <c r="D767" s="428">
        <v>4500180519</v>
      </c>
      <c r="E767" s="539" t="s">
        <v>2063</v>
      </c>
      <c r="F767" s="428" t="s">
        <v>5076</v>
      </c>
      <c r="G767" s="549" t="s">
        <v>3231</v>
      </c>
      <c r="H767" s="549" t="s">
        <v>3207</v>
      </c>
      <c r="I767" s="549">
        <v>10010</v>
      </c>
      <c r="J767" s="549">
        <v>0</v>
      </c>
      <c r="K767" s="549">
        <v>13</v>
      </c>
      <c r="L767" s="554">
        <f t="shared" si="257"/>
        <v>770</v>
      </c>
      <c r="M767" s="555">
        <v>45988</v>
      </c>
      <c r="N767" s="555">
        <v>45985</v>
      </c>
      <c r="O767" s="556"/>
      <c r="P767" s="556" t="s">
        <v>103</v>
      </c>
      <c r="Q767" s="549"/>
      <c r="R767" s="562">
        <v>45947</v>
      </c>
      <c r="S767" s="562" t="s">
        <v>66</v>
      </c>
      <c r="T767" s="562" t="s">
        <v>3562</v>
      </c>
      <c r="U767" s="562" t="s">
        <v>4851</v>
      </c>
      <c r="V767" s="564" t="s">
        <v>5077</v>
      </c>
      <c r="W767" s="564" t="s">
        <v>274</v>
      </c>
      <c r="X767" s="567">
        <v>0.882</v>
      </c>
      <c r="Y767" s="513">
        <f t="shared" si="258"/>
        <v>8828.82</v>
      </c>
      <c r="Z767" s="549"/>
      <c r="AA767" s="549" t="s">
        <v>3206</v>
      </c>
      <c r="AB767" s="549" t="s">
        <v>76</v>
      </c>
      <c r="AC767" s="549"/>
      <c r="AD767" s="549"/>
      <c r="AE767" s="549"/>
      <c r="AF767" s="549">
        <v>10010</v>
      </c>
      <c r="AG767" s="549">
        <f t="shared" si="242"/>
        <v>0</v>
      </c>
      <c r="AH767" s="575"/>
      <c r="AI767" s="549"/>
      <c r="AJ767" s="549"/>
      <c r="AK767" s="549"/>
      <c r="AL767" s="568">
        <f t="shared" si="265"/>
        <v>10010</v>
      </c>
      <c r="AQ767" s="428">
        <f t="shared" ref="AQ767:AQ772" si="270">I767*2</f>
        <v>20020</v>
      </c>
      <c r="AR767" s="568"/>
      <c r="AS767" s="568">
        <f t="shared" ref="AS767:AS772" si="271">I767*2</f>
        <v>20020</v>
      </c>
      <c r="AT767" s="578"/>
      <c r="AU767" s="568"/>
      <c r="AY767" s="590">
        <f t="shared" si="261"/>
        <v>417.083333333333</v>
      </c>
      <c r="AZ767" s="577"/>
      <c r="BI767" s="428">
        <f>I767/13</f>
        <v>770</v>
      </c>
      <c r="BT767" s="578"/>
      <c r="BV767" s="578"/>
      <c r="CK767" s="428">
        <f t="shared" si="262"/>
        <v>0</v>
      </c>
      <c r="CL767" s="428">
        <f t="shared" si="263"/>
        <v>0</v>
      </c>
      <c r="CM767" s="428">
        <f t="shared" si="264"/>
        <v>0</v>
      </c>
      <c r="CN767" s="578"/>
      <c r="CO767" s="578"/>
      <c r="CP767" s="578"/>
      <c r="CT767" s="578"/>
      <c r="CU767" s="578"/>
      <c r="CV767" s="578"/>
      <c r="CW767" s="578"/>
      <c r="CX767" s="578"/>
    </row>
    <row r="768" s="428" customFormat="1" ht="31" customHeight="1" spans="1:102">
      <c r="A768" s="547">
        <v>45929</v>
      </c>
      <c r="B768" s="548" t="s">
        <v>1877</v>
      </c>
      <c r="C768" s="539" t="s">
        <v>356</v>
      </c>
      <c r="D768" s="428">
        <v>4500180519</v>
      </c>
      <c r="E768" s="539" t="s">
        <v>2063</v>
      </c>
      <c r="F768" s="428" t="s">
        <v>5078</v>
      </c>
      <c r="G768" s="549" t="s">
        <v>3560</v>
      </c>
      <c r="H768" s="549" t="s">
        <v>3194</v>
      </c>
      <c r="I768" s="549">
        <v>3600</v>
      </c>
      <c r="J768" s="549">
        <v>0</v>
      </c>
      <c r="K768" s="549">
        <v>30</v>
      </c>
      <c r="L768" s="554">
        <f t="shared" si="257"/>
        <v>120</v>
      </c>
      <c r="M768" s="555">
        <v>45988</v>
      </c>
      <c r="N768" s="555">
        <v>45985</v>
      </c>
      <c r="O768" s="556"/>
      <c r="P768" s="556" t="s">
        <v>103</v>
      </c>
      <c r="Q768" s="549"/>
      <c r="R768" s="562">
        <v>45947</v>
      </c>
      <c r="S768" s="562" t="s">
        <v>66</v>
      </c>
      <c r="T768" s="562" t="s">
        <v>3562</v>
      </c>
      <c r="U768" s="562" t="s">
        <v>4851</v>
      </c>
      <c r="V768" s="564" t="s">
        <v>5079</v>
      </c>
      <c r="W768" s="564" t="s">
        <v>274</v>
      </c>
      <c r="X768" s="564">
        <v>40.6757</v>
      </c>
      <c r="Y768" s="513">
        <f>X768*L768</f>
        <v>4881.084</v>
      </c>
      <c r="Z768" s="549"/>
      <c r="AA768" s="549" t="s">
        <v>3328</v>
      </c>
      <c r="AB768" s="549" t="s">
        <v>76</v>
      </c>
      <c r="AC768" s="549"/>
      <c r="AD768" s="549"/>
      <c r="AE768" s="549"/>
      <c r="AF768" s="549">
        <v>3600</v>
      </c>
      <c r="AG768" s="549">
        <f t="shared" si="242"/>
        <v>0</v>
      </c>
      <c r="AH768" s="575"/>
      <c r="AI768" s="549"/>
      <c r="AJ768" s="549"/>
      <c r="AK768" s="549"/>
      <c r="AL768" s="568">
        <f t="shared" si="265"/>
        <v>3600</v>
      </c>
      <c r="AQ768" s="428">
        <f t="shared" si="270"/>
        <v>7200</v>
      </c>
      <c r="AR768" s="568"/>
      <c r="AS768" s="568">
        <f t="shared" si="271"/>
        <v>7200</v>
      </c>
      <c r="AT768" s="578"/>
      <c r="AU768" s="568"/>
      <c r="AY768" s="580">
        <f t="shared" si="261"/>
        <v>150</v>
      </c>
      <c r="AZ768" s="577"/>
      <c r="BT768" s="578"/>
      <c r="BV768" s="578"/>
      <c r="CF768" s="428">
        <f>I768/30</f>
        <v>120</v>
      </c>
      <c r="CK768" s="428">
        <f t="shared" si="262"/>
        <v>0</v>
      </c>
      <c r="CL768" s="428">
        <f t="shared" si="263"/>
        <v>120</v>
      </c>
      <c r="CM768" s="428">
        <f t="shared" si="264"/>
        <v>0</v>
      </c>
      <c r="CN768" s="578"/>
      <c r="CO768" s="578"/>
      <c r="CP768" s="578"/>
      <c r="CT768" s="578"/>
      <c r="CU768" s="578"/>
      <c r="CV768" s="578"/>
      <c r="CW768" s="578"/>
      <c r="CX768" s="578"/>
    </row>
    <row r="769" s="428" customFormat="1" ht="31" customHeight="1" spans="1:102">
      <c r="A769" s="547">
        <v>45951</v>
      </c>
      <c r="B769" s="548" t="s">
        <v>184</v>
      </c>
      <c r="C769" s="539" t="s">
        <v>90</v>
      </c>
      <c r="D769" s="428">
        <v>4500182537</v>
      </c>
      <c r="E769" s="539" t="s">
        <v>5080</v>
      </c>
      <c r="F769" s="428" t="s">
        <v>5081</v>
      </c>
      <c r="G769" s="549" t="s">
        <v>3272</v>
      </c>
      <c r="H769" s="549" t="s">
        <v>3207</v>
      </c>
      <c r="I769" s="549">
        <v>8281</v>
      </c>
      <c r="J769" s="549">
        <v>0</v>
      </c>
      <c r="K769" s="549">
        <v>13</v>
      </c>
      <c r="L769" s="554">
        <f t="shared" si="257"/>
        <v>637</v>
      </c>
      <c r="M769" s="555">
        <v>45988</v>
      </c>
      <c r="N769" s="555">
        <v>45985</v>
      </c>
      <c r="O769" s="556"/>
      <c r="P769" s="556" t="s">
        <v>103</v>
      </c>
      <c r="Q769" s="549"/>
      <c r="R769" s="562">
        <v>45951</v>
      </c>
      <c r="S769" s="562" t="s">
        <v>66</v>
      </c>
      <c r="T769" s="562" t="s">
        <v>66</v>
      </c>
      <c r="U769" s="562"/>
      <c r="V769" s="564" t="s">
        <v>187</v>
      </c>
      <c r="W769" s="564" t="s">
        <v>1850</v>
      </c>
      <c r="X769" s="567">
        <v>0.9161</v>
      </c>
      <c r="Y769" s="513">
        <f t="shared" ref="Y769:Y774" si="272">X769*I769</f>
        <v>7586.2241</v>
      </c>
      <c r="Z769" s="549" t="s">
        <v>5082</v>
      </c>
      <c r="AA769" s="548" t="s">
        <v>3359</v>
      </c>
      <c r="AB769" s="549" t="s">
        <v>76</v>
      </c>
      <c r="AC769" s="549"/>
      <c r="AD769" s="549"/>
      <c r="AE769" s="549"/>
      <c r="AF769" s="549">
        <v>8281</v>
      </c>
      <c r="AG769" s="549">
        <f t="shared" si="242"/>
        <v>0</v>
      </c>
      <c r="AH769" s="575"/>
      <c r="AI769" s="549"/>
      <c r="AJ769" s="549"/>
      <c r="AK769" s="549">
        <f t="shared" si="266"/>
        <v>8281</v>
      </c>
      <c r="AL769" s="568"/>
      <c r="AM769" s="428">
        <f t="shared" si="267"/>
        <v>8281</v>
      </c>
      <c r="AR769" s="428">
        <f t="shared" si="268"/>
        <v>8281</v>
      </c>
      <c r="AS769" s="568"/>
      <c r="AT769" s="578"/>
      <c r="AU769" s="568"/>
      <c r="AY769" s="576">
        <f t="shared" si="261"/>
        <v>345.041666666667</v>
      </c>
      <c r="AZ769" s="577"/>
      <c r="BG769" s="428">
        <f t="shared" si="269"/>
        <v>637</v>
      </c>
      <c r="BT769" s="578"/>
      <c r="BV769" s="578"/>
      <c r="CK769" s="428">
        <f t="shared" si="262"/>
        <v>0</v>
      </c>
      <c r="CL769" s="428">
        <f t="shared" si="263"/>
        <v>0</v>
      </c>
      <c r="CM769" s="428">
        <f t="shared" si="264"/>
        <v>0</v>
      </c>
      <c r="CN769" s="578"/>
      <c r="CO769" s="578"/>
      <c r="CP769" s="578"/>
      <c r="CT769" s="578"/>
      <c r="CU769" s="578"/>
      <c r="CV769" s="578"/>
      <c r="CW769" s="578"/>
      <c r="CX769" s="578"/>
    </row>
    <row r="770" s="428" customFormat="1" ht="31" customHeight="1" spans="1:102">
      <c r="A770" s="547">
        <v>45951</v>
      </c>
      <c r="B770" s="548" t="s">
        <v>184</v>
      </c>
      <c r="C770" s="539" t="s">
        <v>90</v>
      </c>
      <c r="D770" s="428">
        <v>4500182537</v>
      </c>
      <c r="E770" s="539" t="s">
        <v>5083</v>
      </c>
      <c r="F770" s="428" t="s">
        <v>5084</v>
      </c>
      <c r="G770" s="549" t="s">
        <v>3272</v>
      </c>
      <c r="H770" s="549" t="s">
        <v>3207</v>
      </c>
      <c r="I770" s="549">
        <v>4446</v>
      </c>
      <c r="J770" s="549">
        <v>0</v>
      </c>
      <c r="K770" s="549">
        <v>13</v>
      </c>
      <c r="L770" s="554">
        <f t="shared" si="257"/>
        <v>342</v>
      </c>
      <c r="M770" s="555">
        <v>45988</v>
      </c>
      <c r="N770" s="555">
        <v>45985</v>
      </c>
      <c r="O770" s="556"/>
      <c r="P770" s="556" t="s">
        <v>103</v>
      </c>
      <c r="Q770" s="549"/>
      <c r="R770" s="562">
        <v>45951</v>
      </c>
      <c r="S770" s="562" t="s">
        <v>66</v>
      </c>
      <c r="T770" s="562" t="s">
        <v>66</v>
      </c>
      <c r="U770" s="562"/>
      <c r="V770" s="564" t="s">
        <v>187</v>
      </c>
      <c r="W770" s="564" t="s">
        <v>1850</v>
      </c>
      <c r="X770" s="567">
        <v>0.9161</v>
      </c>
      <c r="Y770" s="513">
        <f t="shared" si="272"/>
        <v>4072.9806</v>
      </c>
      <c r="Z770" s="549"/>
      <c r="AA770" s="548" t="s">
        <v>3359</v>
      </c>
      <c r="AB770" s="549" t="s">
        <v>76</v>
      </c>
      <c r="AC770" s="549"/>
      <c r="AD770" s="549"/>
      <c r="AE770" s="549"/>
      <c r="AF770" s="549">
        <v>4446</v>
      </c>
      <c r="AG770" s="549">
        <f t="shared" si="242"/>
        <v>0</v>
      </c>
      <c r="AH770" s="575"/>
      <c r="AI770" s="549"/>
      <c r="AJ770" s="549"/>
      <c r="AK770" s="549">
        <f t="shared" si="266"/>
        <v>4446</v>
      </c>
      <c r="AL770" s="568"/>
      <c r="AM770" s="428">
        <f t="shared" si="267"/>
        <v>4446</v>
      </c>
      <c r="AR770" s="428">
        <f t="shared" si="268"/>
        <v>4446</v>
      </c>
      <c r="AS770" s="568"/>
      <c r="AT770" s="578"/>
      <c r="AU770" s="568"/>
      <c r="AY770" s="576">
        <f t="shared" si="261"/>
        <v>185.25</v>
      </c>
      <c r="AZ770" s="577"/>
      <c r="BG770" s="428">
        <f t="shared" si="269"/>
        <v>342</v>
      </c>
      <c r="BT770" s="578"/>
      <c r="BV770" s="578"/>
      <c r="CK770" s="428">
        <f t="shared" si="262"/>
        <v>0</v>
      </c>
      <c r="CL770" s="428">
        <f t="shared" si="263"/>
        <v>0</v>
      </c>
      <c r="CM770" s="428">
        <f t="shared" si="264"/>
        <v>0</v>
      </c>
      <c r="CN770" s="578"/>
      <c r="CO770" s="578"/>
      <c r="CP770" s="578"/>
      <c r="CT770" s="578"/>
      <c r="CU770" s="578"/>
      <c r="CV770" s="578"/>
      <c r="CW770" s="578"/>
      <c r="CX770" s="578"/>
    </row>
    <row r="771" s="428" customFormat="1" ht="31" customHeight="1" spans="1:102">
      <c r="A771" s="547">
        <v>45950</v>
      </c>
      <c r="B771" s="548" t="s">
        <v>128</v>
      </c>
      <c r="C771" s="539" t="s">
        <v>90</v>
      </c>
      <c r="D771" s="428">
        <v>4500182433</v>
      </c>
      <c r="E771" s="887" t="s">
        <v>5085</v>
      </c>
      <c r="F771" s="428" t="s">
        <v>5086</v>
      </c>
      <c r="G771" s="549" t="s">
        <v>3180</v>
      </c>
      <c r="H771" s="549" t="s">
        <v>3181</v>
      </c>
      <c r="I771" s="549">
        <v>50880</v>
      </c>
      <c r="J771" s="549">
        <v>0</v>
      </c>
      <c r="K771" s="549">
        <v>16</v>
      </c>
      <c r="L771" s="554">
        <f t="shared" si="257"/>
        <v>3180</v>
      </c>
      <c r="M771" s="555">
        <v>45989</v>
      </c>
      <c r="N771" s="555">
        <v>45985</v>
      </c>
      <c r="O771" s="556" t="s">
        <v>5087</v>
      </c>
      <c r="P771" s="556" t="s">
        <v>103</v>
      </c>
      <c r="Q771" s="549"/>
      <c r="R771" s="562" t="s">
        <v>4194</v>
      </c>
      <c r="S771" s="562" t="s">
        <v>66</v>
      </c>
      <c r="T771" s="562" t="s">
        <v>133</v>
      </c>
      <c r="U771" s="562"/>
      <c r="V771" s="564" t="s">
        <v>4195</v>
      </c>
      <c r="W771" s="564" t="s">
        <v>98</v>
      </c>
      <c r="X771" s="564">
        <v>0.5783</v>
      </c>
      <c r="Y771" s="513">
        <f t="shared" si="272"/>
        <v>29423.904</v>
      </c>
      <c r="Z771" s="549" t="s">
        <v>5088</v>
      </c>
      <c r="AA771" s="549" t="s">
        <v>3180</v>
      </c>
      <c r="AB771" s="549" t="s">
        <v>76</v>
      </c>
      <c r="AC771" s="549"/>
      <c r="AD771" s="549"/>
      <c r="AE771" s="549"/>
      <c r="AF771" s="549">
        <v>50880</v>
      </c>
      <c r="AG771" s="549">
        <f t="shared" si="242"/>
        <v>0</v>
      </c>
      <c r="AH771" s="575"/>
      <c r="AI771" s="549"/>
      <c r="AJ771" s="549"/>
      <c r="AK771" s="549">
        <f t="shared" si="266"/>
        <v>50880</v>
      </c>
      <c r="AL771" s="568"/>
      <c r="AM771" s="428">
        <f t="shared" si="267"/>
        <v>50880</v>
      </c>
      <c r="AR771" s="428">
        <f t="shared" si="268"/>
        <v>50880</v>
      </c>
      <c r="AS771" s="568"/>
      <c r="AT771" s="578"/>
      <c r="AU771" s="568"/>
      <c r="AY771" s="576">
        <f t="shared" si="261"/>
        <v>2120</v>
      </c>
      <c r="AZ771" s="577"/>
      <c r="BM771" s="428">
        <f>I771/16</f>
        <v>3180</v>
      </c>
      <c r="BT771" s="578"/>
      <c r="BV771" s="578"/>
      <c r="CK771" s="428">
        <f t="shared" si="262"/>
        <v>3180</v>
      </c>
      <c r="CL771" s="428">
        <f t="shared" si="263"/>
        <v>0</v>
      </c>
      <c r="CM771" s="428">
        <f t="shared" si="264"/>
        <v>0</v>
      </c>
      <c r="CN771" s="578"/>
      <c r="CO771" s="578"/>
      <c r="CP771" s="578"/>
      <c r="CT771" s="578"/>
      <c r="CU771" s="578"/>
      <c r="CV771" s="578"/>
      <c r="CW771" s="578"/>
      <c r="CX771" s="578"/>
    </row>
    <row r="772" s="428" customFormat="1" ht="31" customHeight="1" spans="1:102">
      <c r="A772" s="547">
        <v>45946</v>
      </c>
      <c r="B772" s="548" t="s">
        <v>1314</v>
      </c>
      <c r="C772" s="539" t="s">
        <v>366</v>
      </c>
      <c r="D772" s="428">
        <v>4500182169</v>
      </c>
      <c r="E772" s="539">
        <v>5200007980</v>
      </c>
      <c r="F772" s="428" t="s">
        <v>5089</v>
      </c>
      <c r="G772" s="549" t="s">
        <v>3231</v>
      </c>
      <c r="H772" s="549" t="s">
        <v>3207</v>
      </c>
      <c r="I772" s="549">
        <v>2600</v>
      </c>
      <c r="J772" s="549">
        <v>0</v>
      </c>
      <c r="K772" s="549">
        <v>13</v>
      </c>
      <c r="L772" s="554">
        <f t="shared" si="257"/>
        <v>200</v>
      </c>
      <c r="M772" s="555">
        <v>45989</v>
      </c>
      <c r="N772" s="555">
        <v>45985</v>
      </c>
      <c r="O772" s="556"/>
      <c r="P772" s="556" t="s">
        <v>103</v>
      </c>
      <c r="Q772" s="549"/>
      <c r="R772" s="562">
        <v>45947</v>
      </c>
      <c r="S772" s="562" t="s">
        <v>66</v>
      </c>
      <c r="T772" s="562" t="s">
        <v>5090</v>
      </c>
      <c r="U772" s="562"/>
      <c r="V772" s="564" t="s">
        <v>5091</v>
      </c>
      <c r="W772" s="564" t="s">
        <v>370</v>
      </c>
      <c r="X772" s="567">
        <v>0.8947</v>
      </c>
      <c r="Y772" s="513">
        <f t="shared" si="272"/>
        <v>2326.22</v>
      </c>
      <c r="Z772" s="549"/>
      <c r="AA772" s="549" t="s">
        <v>3206</v>
      </c>
      <c r="AB772" s="549" t="s">
        <v>76</v>
      </c>
      <c r="AC772" s="549"/>
      <c r="AD772" s="549"/>
      <c r="AE772" s="549"/>
      <c r="AF772" s="549">
        <v>2600</v>
      </c>
      <c r="AG772" s="549">
        <f t="shared" si="242"/>
        <v>0</v>
      </c>
      <c r="AH772" s="575"/>
      <c r="AI772" s="549"/>
      <c r="AJ772" s="549"/>
      <c r="AK772" s="549"/>
      <c r="AL772" s="568">
        <f>I772</f>
        <v>2600</v>
      </c>
      <c r="AQ772" s="428">
        <f t="shared" si="270"/>
        <v>5200</v>
      </c>
      <c r="AR772" s="568"/>
      <c r="AS772" s="568">
        <f t="shared" si="271"/>
        <v>5200</v>
      </c>
      <c r="AT772" s="578"/>
      <c r="AU772" s="568"/>
      <c r="AY772" s="576">
        <f t="shared" si="261"/>
        <v>108.333333333333</v>
      </c>
      <c r="AZ772" s="577"/>
      <c r="BI772" s="428">
        <f>I772/13</f>
        <v>200</v>
      </c>
      <c r="BT772" s="578"/>
      <c r="BV772" s="578"/>
      <c r="CK772" s="428">
        <f t="shared" si="262"/>
        <v>0</v>
      </c>
      <c r="CL772" s="428">
        <f t="shared" si="263"/>
        <v>0</v>
      </c>
      <c r="CM772" s="428">
        <f t="shared" si="264"/>
        <v>0</v>
      </c>
      <c r="CN772" s="578"/>
      <c r="CO772" s="578"/>
      <c r="CP772" s="578"/>
      <c r="CT772" s="578"/>
      <c r="CU772" s="578"/>
      <c r="CV772" s="578"/>
      <c r="CW772" s="578"/>
      <c r="CX772" s="578"/>
    </row>
    <row r="773" s="428" customFormat="1" ht="31" customHeight="1" spans="1:102">
      <c r="A773" s="547">
        <v>45930</v>
      </c>
      <c r="B773" s="548" t="s">
        <v>128</v>
      </c>
      <c r="C773" s="539" t="s">
        <v>90</v>
      </c>
      <c r="D773" s="428">
        <v>4500181113</v>
      </c>
      <c r="E773" s="887" t="s">
        <v>5025</v>
      </c>
      <c r="F773" s="428" t="s">
        <v>5026</v>
      </c>
      <c r="G773" s="549" t="s">
        <v>3180</v>
      </c>
      <c r="H773" s="549" t="s">
        <v>3181</v>
      </c>
      <c r="I773" s="549">
        <v>22080</v>
      </c>
      <c r="J773" s="549">
        <v>0</v>
      </c>
      <c r="K773" s="549">
        <v>16</v>
      </c>
      <c r="L773" s="554">
        <f t="shared" si="257"/>
        <v>1380</v>
      </c>
      <c r="M773" s="555">
        <v>45971</v>
      </c>
      <c r="N773" s="555">
        <v>45967</v>
      </c>
      <c r="O773" s="556" t="s">
        <v>5023</v>
      </c>
      <c r="P773" s="556" t="s">
        <v>103</v>
      </c>
      <c r="Q773" s="549"/>
      <c r="R773" s="562" t="s">
        <v>4194</v>
      </c>
      <c r="S773" s="562" t="s">
        <v>66</v>
      </c>
      <c r="T773" s="562" t="s">
        <v>133</v>
      </c>
      <c r="U773" s="562"/>
      <c r="V773" s="564" t="s">
        <v>4195</v>
      </c>
      <c r="W773" s="564" t="s">
        <v>98</v>
      </c>
      <c r="X773" s="564">
        <v>0.5837</v>
      </c>
      <c r="Y773" s="513">
        <f t="shared" si="272"/>
        <v>12888.096</v>
      </c>
      <c r="Z773" s="549"/>
      <c r="AA773" s="549" t="s">
        <v>3180</v>
      </c>
      <c r="AB773" s="549" t="s">
        <v>76</v>
      </c>
      <c r="AC773" s="549"/>
      <c r="AD773" s="549"/>
      <c r="AE773" s="549"/>
      <c r="AF773" s="549">
        <f>2688+19392</f>
        <v>22080</v>
      </c>
      <c r="AG773" s="549">
        <f t="shared" si="242"/>
        <v>0</v>
      </c>
      <c r="AH773" s="575"/>
      <c r="AI773" s="549"/>
      <c r="AJ773" s="549"/>
      <c r="AK773" s="549">
        <f>I773</f>
        <v>22080</v>
      </c>
      <c r="AL773" s="568"/>
      <c r="AM773" s="428">
        <f>I773</f>
        <v>22080</v>
      </c>
      <c r="AR773" s="428">
        <f>I773</f>
        <v>22080</v>
      </c>
      <c r="AS773" s="568"/>
      <c r="AT773" s="578"/>
      <c r="AU773" s="568"/>
      <c r="AY773" s="576">
        <f t="shared" si="261"/>
        <v>920</v>
      </c>
      <c r="AZ773" s="577"/>
      <c r="BM773" s="428">
        <f>I773/16</f>
        <v>1380</v>
      </c>
      <c r="BT773" s="578"/>
      <c r="BV773" s="578"/>
      <c r="CK773" s="428">
        <f t="shared" si="262"/>
        <v>1380</v>
      </c>
      <c r="CL773" s="428">
        <f t="shared" si="263"/>
        <v>0</v>
      </c>
      <c r="CM773" s="428">
        <f t="shared" si="264"/>
        <v>0</v>
      </c>
      <c r="CN773" s="578"/>
      <c r="CO773" s="578"/>
      <c r="CP773" s="578"/>
      <c r="CT773" s="578"/>
      <c r="CU773" s="578"/>
      <c r="CV773" s="578"/>
      <c r="CW773" s="578"/>
      <c r="CX773" s="578"/>
    </row>
    <row r="774" s="428" customFormat="1" ht="31" customHeight="1" spans="1:102">
      <c r="A774" s="547">
        <v>45926</v>
      </c>
      <c r="B774" s="548" t="s">
        <v>445</v>
      </c>
      <c r="C774" s="539" t="s">
        <v>446</v>
      </c>
      <c r="D774" s="428">
        <v>4500180498</v>
      </c>
      <c r="E774" s="550" t="s">
        <v>447</v>
      </c>
      <c r="F774" s="552" t="s">
        <v>5092</v>
      </c>
      <c r="G774" s="549" t="s">
        <v>3541</v>
      </c>
      <c r="H774" s="549" t="s">
        <v>3542</v>
      </c>
      <c r="I774" s="559">
        <v>1000</v>
      </c>
      <c r="J774" s="549">
        <v>0</v>
      </c>
      <c r="K774" s="549">
        <v>50</v>
      </c>
      <c r="L774" s="554">
        <f t="shared" si="257"/>
        <v>20</v>
      </c>
      <c r="M774" s="558">
        <v>46015</v>
      </c>
      <c r="N774" s="558">
        <v>46010</v>
      </c>
      <c r="O774" s="556"/>
      <c r="P774" s="556" t="s">
        <v>103</v>
      </c>
      <c r="Q774" s="549"/>
      <c r="R774" s="562">
        <v>45941</v>
      </c>
      <c r="S774" s="562" t="s">
        <v>66</v>
      </c>
      <c r="T774" s="562" t="s">
        <v>5093</v>
      </c>
      <c r="U774" s="562"/>
      <c r="V774" s="566" t="s">
        <v>5094</v>
      </c>
      <c r="W774" s="564" t="s">
        <v>2216</v>
      </c>
      <c r="X774" s="567">
        <v>0.9373</v>
      </c>
      <c r="Y774" s="513">
        <f t="shared" si="272"/>
        <v>937.3</v>
      </c>
      <c r="Z774" s="549"/>
      <c r="AA774" s="549" t="s">
        <v>5095</v>
      </c>
      <c r="AB774" s="549" t="s">
        <v>76</v>
      </c>
      <c r="AC774" s="549"/>
      <c r="AD774" s="549"/>
      <c r="AE774" s="549"/>
      <c r="AF774" s="549">
        <f>1400+50</f>
        <v>1450</v>
      </c>
      <c r="AG774" s="549">
        <f t="shared" si="242"/>
        <v>450</v>
      </c>
      <c r="AH774" s="575"/>
      <c r="AI774" s="549"/>
      <c r="AJ774" s="549"/>
      <c r="AK774" s="549"/>
      <c r="AL774" s="428">
        <f>I774</f>
        <v>1000</v>
      </c>
      <c r="AM774" s="428">
        <f>I774</f>
        <v>1000</v>
      </c>
      <c r="AS774" s="568"/>
      <c r="AT774" s="578"/>
      <c r="AW774" s="428">
        <f>I774</f>
        <v>1000</v>
      </c>
      <c r="AY774" s="576">
        <f>I774/24*2</f>
        <v>83.3333333333333</v>
      </c>
      <c r="AZ774" s="577"/>
      <c r="BS774" s="428">
        <f>I774/25</f>
        <v>40</v>
      </c>
      <c r="BT774" s="578"/>
      <c r="BV774" s="578"/>
      <c r="CK774" s="428">
        <f t="shared" si="262"/>
        <v>40</v>
      </c>
      <c r="CL774" s="428">
        <f t="shared" si="263"/>
        <v>0</v>
      </c>
      <c r="CM774" s="428">
        <f t="shared" si="264"/>
        <v>0</v>
      </c>
      <c r="CN774" s="578"/>
      <c r="CO774" s="578"/>
      <c r="CP774" s="578"/>
      <c r="CT774" s="578"/>
      <c r="CU774" s="578"/>
      <c r="CV774" s="578"/>
      <c r="CW774" s="578"/>
      <c r="CX774" s="578"/>
    </row>
    <row r="775" s="428" customFormat="1" ht="31" customHeight="1" spans="1:102">
      <c r="A775" s="547">
        <v>45926</v>
      </c>
      <c r="B775" s="548" t="s">
        <v>445</v>
      </c>
      <c r="C775" s="539" t="s">
        <v>446</v>
      </c>
      <c r="D775" s="428">
        <v>4500180498</v>
      </c>
      <c r="E775" s="550" t="s">
        <v>447</v>
      </c>
      <c r="F775" s="552" t="s">
        <v>5096</v>
      </c>
      <c r="G775" s="549" t="s">
        <v>3820</v>
      </c>
      <c r="H775" s="549" t="s">
        <v>3821</v>
      </c>
      <c r="I775" s="549">
        <v>1050</v>
      </c>
      <c r="J775" s="549">
        <v>0</v>
      </c>
      <c r="K775" s="549">
        <v>30</v>
      </c>
      <c r="L775" s="554">
        <f t="shared" si="257"/>
        <v>35</v>
      </c>
      <c r="M775" s="558">
        <v>46015</v>
      </c>
      <c r="N775" s="558">
        <v>46010</v>
      </c>
      <c r="O775" s="556"/>
      <c r="P775" s="556" t="s">
        <v>103</v>
      </c>
      <c r="Q775" s="549"/>
      <c r="R775" s="562">
        <v>45941</v>
      </c>
      <c r="S775" s="562" t="s">
        <v>66</v>
      </c>
      <c r="T775" s="562" t="s">
        <v>5093</v>
      </c>
      <c r="U775" s="562"/>
      <c r="V775" s="566" t="s">
        <v>5097</v>
      </c>
      <c r="W775" s="564" t="s">
        <v>2216</v>
      </c>
      <c r="X775" s="564">
        <v>41.0747</v>
      </c>
      <c r="Y775" s="513">
        <f>X775*L775</f>
        <v>1437.6145</v>
      </c>
      <c r="Z775" s="549"/>
      <c r="AA775" s="549" t="s">
        <v>3820</v>
      </c>
      <c r="AB775" s="549" t="s">
        <v>76</v>
      </c>
      <c r="AC775" s="549"/>
      <c r="AD775" s="549"/>
      <c r="AE775" s="549"/>
      <c r="AF775" s="549">
        <v>1050</v>
      </c>
      <c r="AG775" s="549">
        <f t="shared" si="242"/>
        <v>0</v>
      </c>
      <c r="AH775" s="575"/>
      <c r="AI775" s="549"/>
      <c r="AJ775" s="549"/>
      <c r="AK775" s="549"/>
      <c r="AL775" s="428">
        <f>I775</f>
        <v>1050</v>
      </c>
      <c r="AM775" s="428">
        <f>I775</f>
        <v>1050</v>
      </c>
      <c r="AS775" s="568"/>
      <c r="AT775" s="578"/>
      <c r="AW775" s="428">
        <f>I775</f>
        <v>1050</v>
      </c>
      <c r="AY775" s="576">
        <f>I775/24*2</f>
        <v>87.5</v>
      </c>
      <c r="AZ775" s="577"/>
      <c r="BT775" s="578"/>
      <c r="BV775" s="578"/>
      <c r="CG775" s="428">
        <f>I775/30</f>
        <v>35</v>
      </c>
      <c r="CK775" s="428">
        <f t="shared" si="262"/>
        <v>0</v>
      </c>
      <c r="CL775" s="428">
        <f t="shared" si="263"/>
        <v>35</v>
      </c>
      <c r="CM775" s="428">
        <f t="shared" si="264"/>
        <v>0</v>
      </c>
      <c r="CN775" s="578"/>
      <c r="CO775" s="578"/>
      <c r="CP775" s="578"/>
      <c r="CT775" s="578"/>
      <c r="CU775" s="578"/>
      <c r="CV775" s="578"/>
      <c r="CW775" s="578"/>
      <c r="CX775" s="578"/>
    </row>
    <row r="776" s="428" customFormat="1" ht="31" customHeight="1" spans="1:102">
      <c r="A776" s="547">
        <v>45925</v>
      </c>
      <c r="B776" s="548" t="s">
        <v>783</v>
      </c>
      <c r="C776" s="539" t="s">
        <v>90</v>
      </c>
      <c r="D776" s="428">
        <v>4500180252</v>
      </c>
      <c r="E776" s="539" t="s">
        <v>5098</v>
      </c>
      <c r="F776" s="428" t="s">
        <v>5099</v>
      </c>
      <c r="G776" s="549" t="s">
        <v>3198</v>
      </c>
      <c r="H776" s="549" t="s">
        <v>3303</v>
      </c>
      <c r="I776" s="549">
        <v>16000</v>
      </c>
      <c r="J776" s="549">
        <v>0</v>
      </c>
      <c r="K776" s="549">
        <v>25</v>
      </c>
      <c r="L776" s="554">
        <f t="shared" si="257"/>
        <v>640</v>
      </c>
      <c r="M776" s="555">
        <v>45968</v>
      </c>
      <c r="N776" s="555">
        <v>45964</v>
      </c>
      <c r="O776" s="556"/>
      <c r="P776" s="556" t="s">
        <v>103</v>
      </c>
      <c r="Q776" s="549"/>
      <c r="R776" s="562">
        <v>45924</v>
      </c>
      <c r="S776" s="562" t="s">
        <v>66</v>
      </c>
      <c r="T776" s="562" t="s">
        <v>66</v>
      </c>
      <c r="U776" s="562"/>
      <c r="V776" s="564" t="s">
        <v>2088</v>
      </c>
      <c r="W776" s="564" t="s">
        <v>316</v>
      </c>
      <c r="X776" s="567">
        <v>0.5646</v>
      </c>
      <c r="Y776" s="513">
        <f t="shared" ref="Y776:Y781" si="273">X776*I776</f>
        <v>9033.6</v>
      </c>
      <c r="Z776" s="549" t="s">
        <v>5100</v>
      </c>
      <c r="AA776" s="549" t="s">
        <v>3198</v>
      </c>
      <c r="AB776" s="549" t="s">
        <v>76</v>
      </c>
      <c r="AC776" s="549"/>
      <c r="AD776" s="549"/>
      <c r="AE776" s="549"/>
      <c r="AF776" s="549">
        <f>7875+8125</f>
        <v>16000</v>
      </c>
      <c r="AG776" s="549">
        <f t="shared" si="242"/>
        <v>0</v>
      </c>
      <c r="AH776" s="575"/>
      <c r="AI776" s="549"/>
      <c r="AJ776" s="549"/>
      <c r="AK776" s="549">
        <f>I776</f>
        <v>16000</v>
      </c>
      <c r="AL776" s="568"/>
      <c r="AM776" s="428">
        <f>I776</f>
        <v>16000</v>
      </c>
      <c r="AR776" s="568">
        <f>I776</f>
        <v>16000</v>
      </c>
      <c r="AS776" s="568"/>
      <c r="AT776" s="578"/>
      <c r="AU776" s="568"/>
      <c r="AY776" s="576">
        <f>I776/24</f>
        <v>666.666666666667</v>
      </c>
      <c r="AZ776" s="577"/>
      <c r="BJ776" s="428">
        <f>I776/25</f>
        <v>640</v>
      </c>
      <c r="BT776" s="578"/>
      <c r="BV776" s="578"/>
      <c r="CK776" s="428">
        <f t="shared" si="262"/>
        <v>640</v>
      </c>
      <c r="CL776" s="428">
        <f t="shared" si="263"/>
        <v>0</v>
      </c>
      <c r="CM776" s="428">
        <f t="shared" si="264"/>
        <v>0</v>
      </c>
      <c r="CN776" s="578"/>
      <c r="CO776" s="578"/>
      <c r="CP776" s="578"/>
      <c r="CT776" s="578"/>
      <c r="CU776" s="578"/>
      <c r="CV776" s="578"/>
      <c r="CW776" s="578"/>
      <c r="CX776" s="578"/>
    </row>
    <row r="777" s="428" customFormat="1" ht="31" customHeight="1" spans="1:102">
      <c r="A777" s="547">
        <v>45943</v>
      </c>
      <c r="B777" s="548" t="s">
        <v>5101</v>
      </c>
      <c r="C777" s="539" t="s">
        <v>759</v>
      </c>
      <c r="D777" s="428" t="s">
        <v>5102</v>
      </c>
      <c r="E777" s="539" t="s">
        <v>5103</v>
      </c>
      <c r="G777" s="549" t="s">
        <v>5104</v>
      </c>
      <c r="H777" s="549" t="s">
        <v>5105</v>
      </c>
      <c r="I777" s="549">
        <v>50004</v>
      </c>
      <c r="J777" s="549">
        <v>0</v>
      </c>
      <c r="K777" s="549">
        <v>12</v>
      </c>
      <c r="L777" s="554">
        <f t="shared" si="257"/>
        <v>4167</v>
      </c>
      <c r="M777" s="555">
        <v>45968</v>
      </c>
      <c r="N777" s="555">
        <v>45967</v>
      </c>
      <c r="O777" s="556"/>
      <c r="P777" s="556" t="s">
        <v>103</v>
      </c>
      <c r="Q777" s="549" t="s">
        <v>5106</v>
      </c>
      <c r="R777" s="562" t="s">
        <v>1144</v>
      </c>
      <c r="S777" s="562" t="s">
        <v>66</v>
      </c>
      <c r="T777" s="562" t="s">
        <v>5107</v>
      </c>
      <c r="U777" s="562"/>
      <c r="V777" s="564" t="s">
        <v>5108</v>
      </c>
      <c r="W777" s="564" t="s">
        <v>547</v>
      </c>
      <c r="X777" s="567">
        <v>0.89</v>
      </c>
      <c r="Y777" s="513">
        <f t="shared" si="273"/>
        <v>44503.56</v>
      </c>
      <c r="Z777" s="549"/>
      <c r="AA777" s="549" t="s">
        <v>5104</v>
      </c>
      <c r="AB777" s="549" t="s">
        <v>76</v>
      </c>
      <c r="AC777" s="549"/>
      <c r="AD777" s="549"/>
      <c r="AE777" s="549"/>
      <c r="AF777" s="549">
        <f>37536+12468</f>
        <v>50004</v>
      </c>
      <c r="AG777" s="549">
        <f t="shared" si="242"/>
        <v>0</v>
      </c>
      <c r="AH777" s="575"/>
      <c r="AI777" s="549"/>
      <c r="AJ777" s="549"/>
      <c r="AK777" s="549"/>
      <c r="AL777" s="568">
        <f t="shared" ref="AL777:AL782" si="274">I777</f>
        <v>50004</v>
      </c>
      <c r="AQ777" s="428">
        <f>I777</f>
        <v>50004</v>
      </c>
      <c r="AR777" s="568"/>
      <c r="AS777" s="568">
        <f>I777</f>
        <v>50004</v>
      </c>
      <c r="AT777" s="578"/>
      <c r="AU777" s="568"/>
      <c r="AY777" s="576">
        <f>I777/24</f>
        <v>2083.5</v>
      </c>
      <c r="AZ777" s="577"/>
      <c r="BI777" s="428">
        <f>I777/12</f>
        <v>4167</v>
      </c>
      <c r="BT777" s="578"/>
      <c r="BV777" s="578"/>
      <c r="CK777" s="428">
        <f t="shared" si="262"/>
        <v>0</v>
      </c>
      <c r="CL777" s="428">
        <f t="shared" si="263"/>
        <v>0</v>
      </c>
      <c r="CM777" s="428">
        <f t="shared" si="264"/>
        <v>0</v>
      </c>
      <c r="CN777" s="578"/>
      <c r="CO777" s="578"/>
      <c r="CP777" s="578"/>
      <c r="CT777" s="578"/>
      <c r="CU777" s="578"/>
      <c r="CV777" s="578"/>
      <c r="CW777" s="578"/>
      <c r="CX777" s="578"/>
    </row>
    <row r="778" s="428" customFormat="1" ht="31" customHeight="1" spans="1:102">
      <c r="A778" s="547">
        <v>45912</v>
      </c>
      <c r="B778" s="548" t="s">
        <v>1224</v>
      </c>
      <c r="C778" s="539" t="s">
        <v>524</v>
      </c>
      <c r="D778" s="428">
        <v>4500180194</v>
      </c>
      <c r="E778" s="539"/>
      <c r="F778" s="428" t="s">
        <v>5109</v>
      </c>
      <c r="G778" s="549" t="s">
        <v>3541</v>
      </c>
      <c r="H778" s="549" t="s">
        <v>3542</v>
      </c>
      <c r="I778" s="549">
        <v>1200</v>
      </c>
      <c r="J778" s="549">
        <v>0</v>
      </c>
      <c r="K778" s="549">
        <v>50</v>
      </c>
      <c r="L778" s="554">
        <f t="shared" si="257"/>
        <v>24</v>
      </c>
      <c r="M778" s="555">
        <v>45975</v>
      </c>
      <c r="N778" s="555">
        <v>45971</v>
      </c>
      <c r="O778" s="556" t="s">
        <v>5110</v>
      </c>
      <c r="P778" s="556" t="s">
        <v>103</v>
      </c>
      <c r="Q778" s="549"/>
      <c r="R778" s="562">
        <v>45923</v>
      </c>
      <c r="S778" s="562" t="s">
        <v>66</v>
      </c>
      <c r="T778" s="562" t="s">
        <v>5111</v>
      </c>
      <c r="U778" s="562"/>
      <c r="V778" s="564" t="s">
        <v>5112</v>
      </c>
      <c r="W778" s="564" t="s">
        <v>207</v>
      </c>
      <c r="X778" s="567">
        <v>0.992</v>
      </c>
      <c r="Y778" s="513">
        <f t="shared" si="273"/>
        <v>1190.4</v>
      </c>
      <c r="Z778" s="549" t="s">
        <v>2010</v>
      </c>
      <c r="AA778" s="549" t="s">
        <v>3541</v>
      </c>
      <c r="AB778" s="549" t="s">
        <v>76</v>
      </c>
      <c r="AC778" s="549"/>
      <c r="AD778" s="549"/>
      <c r="AE778" s="549"/>
      <c r="AF778" s="549">
        <v>1200</v>
      </c>
      <c r="AG778" s="549">
        <f t="shared" si="242"/>
        <v>0</v>
      </c>
      <c r="AH778" s="575"/>
      <c r="AI778" s="549"/>
      <c r="AJ778" s="549"/>
      <c r="AK778" s="549"/>
      <c r="AL778" s="568">
        <f t="shared" si="274"/>
        <v>1200</v>
      </c>
      <c r="AQ778" s="428">
        <f>I778</f>
        <v>1200</v>
      </c>
      <c r="AR778" s="568"/>
      <c r="AS778" s="568"/>
      <c r="AT778" s="578"/>
      <c r="AU778" s="568"/>
      <c r="AW778" s="428">
        <f>I778</f>
        <v>1200</v>
      </c>
      <c r="AY778" s="576">
        <f>I778/24*2</f>
        <v>100</v>
      </c>
      <c r="AZ778" s="577"/>
      <c r="BS778" s="428">
        <f>I778/25</f>
        <v>48</v>
      </c>
      <c r="BT778" s="578"/>
      <c r="BV778" s="578"/>
      <c r="CK778" s="428">
        <f t="shared" si="262"/>
        <v>48</v>
      </c>
      <c r="CL778" s="428">
        <f t="shared" si="263"/>
        <v>0</v>
      </c>
      <c r="CM778" s="428">
        <f t="shared" si="264"/>
        <v>0</v>
      </c>
      <c r="CN778" s="578"/>
      <c r="CO778" s="578"/>
      <c r="CP778" s="578"/>
      <c r="CT778" s="578"/>
      <c r="CU778" s="578"/>
      <c r="CV778" s="578"/>
      <c r="CW778" s="578"/>
      <c r="CX778" s="578"/>
    </row>
    <row r="779" s="428" customFormat="1" ht="31" customHeight="1" spans="1:102">
      <c r="A779" s="547">
        <v>45912</v>
      </c>
      <c r="B779" s="548" t="s">
        <v>1224</v>
      </c>
      <c r="C779" s="539" t="s">
        <v>524</v>
      </c>
      <c r="D779" s="428">
        <v>4500180194</v>
      </c>
      <c r="E779" s="539"/>
      <c r="F779" s="428" t="s">
        <v>5113</v>
      </c>
      <c r="G779" s="549" t="s">
        <v>3541</v>
      </c>
      <c r="H779" s="549" t="s">
        <v>3542</v>
      </c>
      <c r="I779" s="549">
        <v>1300</v>
      </c>
      <c r="J779" s="549">
        <v>0</v>
      </c>
      <c r="K779" s="549">
        <v>50</v>
      </c>
      <c r="L779" s="554">
        <f t="shared" si="257"/>
        <v>26</v>
      </c>
      <c r="M779" s="555">
        <v>45975</v>
      </c>
      <c r="N779" s="555">
        <v>45971</v>
      </c>
      <c r="O779" s="556" t="s">
        <v>5110</v>
      </c>
      <c r="P779" s="556" t="s">
        <v>103</v>
      </c>
      <c r="Q779" s="549"/>
      <c r="R779" s="562">
        <v>45923</v>
      </c>
      <c r="S779" s="562" t="s">
        <v>66</v>
      </c>
      <c r="T779" s="562" t="s">
        <v>5111</v>
      </c>
      <c r="U779" s="562"/>
      <c r="V779" s="564" t="s">
        <v>5114</v>
      </c>
      <c r="W779" s="564" t="s">
        <v>207</v>
      </c>
      <c r="X779" s="567">
        <v>0.992</v>
      </c>
      <c r="Y779" s="513">
        <f t="shared" si="273"/>
        <v>1289.6</v>
      </c>
      <c r="Z779" s="549" t="s">
        <v>2010</v>
      </c>
      <c r="AA779" s="549" t="s">
        <v>3541</v>
      </c>
      <c r="AB779" s="549" t="s">
        <v>76</v>
      </c>
      <c r="AC779" s="549"/>
      <c r="AD779" s="549"/>
      <c r="AE779" s="549"/>
      <c r="AF779" s="549">
        <v>1300</v>
      </c>
      <c r="AG779" s="549">
        <f t="shared" si="242"/>
        <v>0</v>
      </c>
      <c r="AH779" s="575"/>
      <c r="AI779" s="549"/>
      <c r="AJ779" s="549"/>
      <c r="AK779" s="549"/>
      <c r="AL779" s="568">
        <f t="shared" si="274"/>
        <v>1300</v>
      </c>
      <c r="AQ779" s="428">
        <f>I779</f>
        <v>1300</v>
      </c>
      <c r="AR779" s="568"/>
      <c r="AS779" s="568"/>
      <c r="AT779" s="578"/>
      <c r="AU779" s="568"/>
      <c r="AW779" s="428">
        <f>I779</f>
        <v>1300</v>
      </c>
      <c r="AY779" s="576">
        <f>I779/24*2</f>
        <v>108.333333333333</v>
      </c>
      <c r="AZ779" s="577"/>
      <c r="BS779" s="428">
        <f>I779/25</f>
        <v>52</v>
      </c>
      <c r="BT779" s="578"/>
      <c r="BV779" s="578"/>
      <c r="CK779" s="428">
        <f t="shared" si="262"/>
        <v>52</v>
      </c>
      <c r="CL779" s="428">
        <f t="shared" si="263"/>
        <v>0</v>
      </c>
      <c r="CM779" s="428">
        <f t="shared" si="264"/>
        <v>0</v>
      </c>
      <c r="CN779" s="578"/>
      <c r="CO779" s="578"/>
      <c r="CP779" s="578"/>
      <c r="CT779" s="578"/>
      <c r="CU779" s="578"/>
      <c r="CV779" s="578"/>
      <c r="CW779" s="578"/>
      <c r="CX779" s="578"/>
    </row>
    <row r="780" s="427" customFormat="1" ht="31" customHeight="1" spans="1:102">
      <c r="A780" s="518">
        <v>45944</v>
      </c>
      <c r="B780" s="519" t="s">
        <v>190</v>
      </c>
      <c r="C780" s="520" t="s">
        <v>191</v>
      </c>
      <c r="D780" s="427">
        <v>4500181813</v>
      </c>
      <c r="E780" s="520" t="s">
        <v>5115</v>
      </c>
      <c r="F780" s="427" t="s">
        <v>5116</v>
      </c>
      <c r="G780" s="521" t="s">
        <v>3158</v>
      </c>
      <c r="H780" s="521" t="s">
        <v>3159</v>
      </c>
      <c r="I780" s="521">
        <v>624</v>
      </c>
      <c r="J780" s="521">
        <v>0</v>
      </c>
      <c r="K780" s="521">
        <v>52</v>
      </c>
      <c r="L780" s="524">
        <f t="shared" si="257"/>
        <v>12</v>
      </c>
      <c r="M780" s="525">
        <v>45985</v>
      </c>
      <c r="N780" s="525">
        <v>45981</v>
      </c>
      <c r="O780" s="526"/>
      <c r="P780" s="526" t="s">
        <v>103</v>
      </c>
      <c r="Q780" s="521" t="s">
        <v>5117</v>
      </c>
      <c r="R780" s="530">
        <v>45944</v>
      </c>
      <c r="S780" s="530" t="s">
        <v>66</v>
      </c>
      <c r="T780" s="530" t="s">
        <v>5118</v>
      </c>
      <c r="U780" s="530"/>
      <c r="V780" s="532" t="s">
        <v>5119</v>
      </c>
      <c r="W780" s="532" t="s">
        <v>1663</v>
      </c>
      <c r="X780" s="536">
        <v>0.9003</v>
      </c>
      <c r="Y780" s="540">
        <f t="shared" si="273"/>
        <v>561.7872</v>
      </c>
      <c r="Z780" s="521" t="s">
        <v>5120</v>
      </c>
      <c r="AA780" s="521" t="s">
        <v>3158</v>
      </c>
      <c r="AB780" s="521" t="s">
        <v>76</v>
      </c>
      <c r="AC780" s="521"/>
      <c r="AD780" s="521"/>
      <c r="AE780" s="521"/>
      <c r="AF780" s="521">
        <v>624</v>
      </c>
      <c r="AG780" s="521">
        <f t="shared" si="242"/>
        <v>0</v>
      </c>
      <c r="AH780" s="542"/>
      <c r="AI780" s="521"/>
      <c r="AJ780" s="521"/>
      <c r="AK780" s="521"/>
      <c r="AL780" s="543">
        <f t="shared" si="274"/>
        <v>624</v>
      </c>
      <c r="AQ780" s="427">
        <f>I780</f>
        <v>624</v>
      </c>
      <c r="AS780" s="543">
        <f>I780</f>
        <v>624</v>
      </c>
      <c r="AT780" s="544"/>
      <c r="AY780" s="545">
        <f t="shared" ref="AY780:AY787" si="275">I780/24</f>
        <v>26</v>
      </c>
      <c r="AZ780" s="546"/>
      <c r="BI780" s="427">
        <f>I780/13</f>
        <v>48</v>
      </c>
      <c r="BT780" s="544"/>
      <c r="BV780" s="544"/>
      <c r="CK780" s="427">
        <f t="shared" si="262"/>
        <v>0</v>
      </c>
      <c r="CL780" s="427">
        <f t="shared" si="263"/>
        <v>0</v>
      </c>
      <c r="CM780" s="427">
        <f t="shared" si="264"/>
        <v>0</v>
      </c>
      <c r="CN780" s="544"/>
      <c r="CO780" s="544"/>
      <c r="CP780" s="544"/>
      <c r="CT780" s="544"/>
      <c r="CU780" s="544"/>
      <c r="CV780" s="544"/>
      <c r="CW780" s="544"/>
      <c r="CX780" s="544"/>
    </row>
    <row r="781" s="427" customFormat="1" ht="31" customHeight="1" spans="1:101">
      <c r="A781" s="518">
        <v>45926</v>
      </c>
      <c r="B781" s="519" t="s">
        <v>796</v>
      </c>
      <c r="C781" s="520" t="s">
        <v>797</v>
      </c>
      <c r="D781" s="427">
        <v>4500180436</v>
      </c>
      <c r="E781" s="520" t="s">
        <v>798</v>
      </c>
      <c r="F781" s="593" t="s">
        <v>5121</v>
      </c>
      <c r="G781" s="521" t="s">
        <v>3541</v>
      </c>
      <c r="H781" s="521" t="s">
        <v>3542</v>
      </c>
      <c r="I781" s="527">
        <v>4750</v>
      </c>
      <c r="J781" s="521">
        <v>0</v>
      </c>
      <c r="K781" s="521">
        <v>50</v>
      </c>
      <c r="L781" s="524">
        <f t="shared" si="257"/>
        <v>95</v>
      </c>
      <c r="M781" s="528">
        <v>45985</v>
      </c>
      <c r="N781" s="528">
        <v>45981</v>
      </c>
      <c r="O781" s="526"/>
      <c r="P781" s="526" t="s">
        <v>103</v>
      </c>
      <c r="Q781" s="521"/>
      <c r="R781" s="530">
        <v>45941</v>
      </c>
      <c r="S781" s="530" t="s">
        <v>66</v>
      </c>
      <c r="T781" s="530"/>
      <c r="U781" s="530"/>
      <c r="V781" s="531" t="s">
        <v>5122</v>
      </c>
      <c r="W781" s="532" t="s">
        <v>2216</v>
      </c>
      <c r="X781" s="536">
        <v>0.9373</v>
      </c>
      <c r="Y781" s="540">
        <f t="shared" si="273"/>
        <v>4452.175</v>
      </c>
      <c r="Z781" s="521"/>
      <c r="AA781" s="521" t="s">
        <v>5095</v>
      </c>
      <c r="AB781" s="521" t="s">
        <v>76</v>
      </c>
      <c r="AC781" s="521"/>
      <c r="AD781" s="521"/>
      <c r="AE781" s="521"/>
      <c r="AF781" s="521">
        <v>4800</v>
      </c>
      <c r="AG781" s="521">
        <f t="shared" si="242"/>
        <v>50</v>
      </c>
      <c r="AH781" s="542"/>
      <c r="AI781" s="521"/>
      <c r="AJ781" s="521"/>
      <c r="AK781" s="521"/>
      <c r="AL781" s="427">
        <f t="shared" si="274"/>
        <v>4750</v>
      </c>
      <c r="AM781" s="427">
        <f>I781</f>
        <v>4750</v>
      </c>
      <c r="AS781" s="543"/>
      <c r="AT781" s="544"/>
      <c r="AW781" s="427">
        <f>I781</f>
        <v>4750</v>
      </c>
      <c r="AY781" s="545">
        <f t="shared" si="275"/>
        <v>197.916666666667</v>
      </c>
      <c r="AZ781" s="546"/>
      <c r="BS781" s="428">
        <f>I781/25</f>
        <v>190</v>
      </c>
      <c r="BT781" s="544"/>
      <c r="BV781" s="544"/>
      <c r="CK781" s="428">
        <f t="shared" si="262"/>
        <v>190</v>
      </c>
      <c r="CL781" s="428">
        <f t="shared" si="263"/>
        <v>0</v>
      </c>
      <c r="CM781" s="428">
        <f t="shared" si="264"/>
        <v>0</v>
      </c>
      <c r="CN781" s="544"/>
      <c r="CO781" s="544"/>
      <c r="CS781" s="544"/>
      <c r="CT781" s="544"/>
      <c r="CU781" s="544"/>
      <c r="CV781" s="544"/>
      <c r="CW781" s="544"/>
    </row>
    <row r="782" s="427" customFormat="1" ht="31" customHeight="1" spans="1:102">
      <c r="A782" s="518">
        <v>45926</v>
      </c>
      <c r="B782" s="519" t="s">
        <v>796</v>
      </c>
      <c r="C782" s="520" t="s">
        <v>797</v>
      </c>
      <c r="D782" s="427">
        <v>4500180436</v>
      </c>
      <c r="E782" s="520" t="s">
        <v>798</v>
      </c>
      <c r="F782" s="593" t="s">
        <v>5123</v>
      </c>
      <c r="G782" s="521" t="s">
        <v>3820</v>
      </c>
      <c r="H782" s="521" t="s">
        <v>3821</v>
      </c>
      <c r="I782" s="527">
        <v>1800</v>
      </c>
      <c r="J782" s="521">
        <v>0</v>
      </c>
      <c r="K782" s="521">
        <v>30</v>
      </c>
      <c r="L782" s="524">
        <f t="shared" si="257"/>
        <v>60</v>
      </c>
      <c r="M782" s="528">
        <v>45985</v>
      </c>
      <c r="N782" s="528">
        <v>45981</v>
      </c>
      <c r="O782" s="526"/>
      <c r="P782" s="526" t="s">
        <v>103</v>
      </c>
      <c r="Q782" s="521"/>
      <c r="R782" s="530">
        <v>45941</v>
      </c>
      <c r="S782" s="530" t="s">
        <v>66</v>
      </c>
      <c r="T782" s="530"/>
      <c r="U782" s="530"/>
      <c r="V782" s="531" t="s">
        <v>5124</v>
      </c>
      <c r="W782" s="532" t="s">
        <v>2216</v>
      </c>
      <c r="X782" s="532">
        <v>41.0747</v>
      </c>
      <c r="Y782" s="540">
        <f>X782*L782</f>
        <v>2464.482</v>
      </c>
      <c r="Z782" s="521"/>
      <c r="AA782" s="521" t="s">
        <v>3820</v>
      </c>
      <c r="AB782" s="521" t="s">
        <v>76</v>
      </c>
      <c r="AC782" s="521"/>
      <c r="AD782" s="521"/>
      <c r="AE782" s="521"/>
      <c r="AF782" s="521">
        <f>1770+30</f>
        <v>1800</v>
      </c>
      <c r="AG782" s="521">
        <f t="shared" si="242"/>
        <v>0</v>
      </c>
      <c r="AH782" s="542"/>
      <c r="AI782" s="521"/>
      <c r="AJ782" s="521"/>
      <c r="AK782" s="521"/>
      <c r="AL782" s="427">
        <f t="shared" si="274"/>
        <v>1800</v>
      </c>
      <c r="AM782" s="427">
        <f>I782</f>
        <v>1800</v>
      </c>
      <c r="AS782" s="543"/>
      <c r="AT782" s="544"/>
      <c r="AW782" s="427">
        <f>I782</f>
        <v>1800</v>
      </c>
      <c r="AY782" s="545">
        <f t="shared" si="275"/>
        <v>75</v>
      </c>
      <c r="AZ782" s="546"/>
      <c r="BT782" s="544"/>
      <c r="BV782" s="544"/>
      <c r="CG782" s="427">
        <f>I782/30</f>
        <v>60</v>
      </c>
      <c r="CK782" s="427">
        <f t="shared" ref="CK782:CK787" si="276">BM782+BL782+BK782+BJ782+BS782</f>
        <v>0</v>
      </c>
      <c r="CL782" s="427">
        <f t="shared" ref="CL782:CL787" si="277">CA782+CB782+CC782+CD782+CE782+CG782+CF782</f>
        <v>60</v>
      </c>
      <c r="CM782" s="427">
        <f t="shared" ref="CM782:CM787" si="278">BY782+BZ782</f>
        <v>0</v>
      </c>
      <c r="CN782" s="544"/>
      <c r="CO782" s="544"/>
      <c r="CP782" s="544"/>
      <c r="CT782" s="544"/>
      <c r="CU782" s="544"/>
      <c r="CV782" s="544"/>
      <c r="CW782" s="544"/>
      <c r="CX782" s="544"/>
    </row>
    <row r="783" s="427" customFormat="1" ht="31" customHeight="1" spans="1:102">
      <c r="A783" s="518">
        <v>45950</v>
      </c>
      <c r="B783" s="519" t="s">
        <v>128</v>
      </c>
      <c r="C783" s="520" t="s">
        <v>90</v>
      </c>
      <c r="D783" s="427">
        <v>4500182433</v>
      </c>
      <c r="E783" s="890" t="s">
        <v>5125</v>
      </c>
      <c r="F783" s="427" t="s">
        <v>5126</v>
      </c>
      <c r="G783" s="521" t="s">
        <v>3180</v>
      </c>
      <c r="H783" s="521" t="s">
        <v>3181</v>
      </c>
      <c r="I783" s="521">
        <v>48000</v>
      </c>
      <c r="J783" s="521">
        <v>0</v>
      </c>
      <c r="K783" s="521">
        <v>16</v>
      </c>
      <c r="L783" s="524">
        <f t="shared" si="257"/>
        <v>3000</v>
      </c>
      <c r="M783" s="525">
        <v>45989</v>
      </c>
      <c r="N783" s="525">
        <v>45985</v>
      </c>
      <c r="O783" s="526" t="s">
        <v>5127</v>
      </c>
      <c r="P783" s="526" t="s">
        <v>103</v>
      </c>
      <c r="Q783" s="521"/>
      <c r="R783" s="530" t="s">
        <v>4194</v>
      </c>
      <c r="S783" s="530" t="s">
        <v>66</v>
      </c>
      <c r="T783" s="530" t="s">
        <v>133</v>
      </c>
      <c r="U783" s="530"/>
      <c r="V783" s="532" t="s">
        <v>4195</v>
      </c>
      <c r="W783" s="532" t="s">
        <v>98</v>
      </c>
      <c r="X783" s="532">
        <v>0.5783</v>
      </c>
      <c r="Y783" s="540">
        <f>X783*I783</f>
        <v>27758.4</v>
      </c>
      <c r="Z783" s="521" t="s">
        <v>5128</v>
      </c>
      <c r="AA783" s="521" t="s">
        <v>3180</v>
      </c>
      <c r="AB783" s="521" t="s">
        <v>76</v>
      </c>
      <c r="AC783" s="521"/>
      <c r="AD783" s="521"/>
      <c r="AE783" s="521"/>
      <c r="AF783" s="521">
        <f>32640+15360</f>
        <v>48000</v>
      </c>
      <c r="AG783" s="521">
        <f t="shared" si="242"/>
        <v>0</v>
      </c>
      <c r="AH783" s="542"/>
      <c r="AI783" s="521"/>
      <c r="AJ783" s="521"/>
      <c r="AK783" s="521">
        <f>I783</f>
        <v>48000</v>
      </c>
      <c r="AL783" s="543"/>
      <c r="AM783" s="427">
        <f>I783</f>
        <v>48000</v>
      </c>
      <c r="AR783" s="427">
        <f>I783</f>
        <v>48000</v>
      </c>
      <c r="AS783" s="543"/>
      <c r="AT783" s="544"/>
      <c r="AU783" s="543"/>
      <c r="AY783" s="545">
        <f t="shared" si="275"/>
        <v>2000</v>
      </c>
      <c r="AZ783" s="546"/>
      <c r="BM783" s="427">
        <f>I783/16</f>
        <v>3000</v>
      </c>
      <c r="BT783" s="544"/>
      <c r="BV783" s="544"/>
      <c r="CK783" s="427">
        <f t="shared" si="276"/>
        <v>3000</v>
      </c>
      <c r="CL783" s="427">
        <f t="shared" si="277"/>
        <v>0</v>
      </c>
      <c r="CM783" s="427">
        <f t="shared" si="278"/>
        <v>0</v>
      </c>
      <c r="CN783" s="544"/>
      <c r="CO783" s="544"/>
      <c r="CP783" s="544"/>
      <c r="CT783" s="544"/>
      <c r="CU783" s="544"/>
      <c r="CV783" s="544"/>
      <c r="CW783" s="544"/>
      <c r="CX783" s="544"/>
    </row>
    <row r="784" s="427" customFormat="1" ht="31" customHeight="1" spans="1:102">
      <c r="A784" s="518">
        <v>45946</v>
      </c>
      <c r="B784" s="519" t="s">
        <v>5129</v>
      </c>
      <c r="C784" s="520" t="s">
        <v>824</v>
      </c>
      <c r="D784" s="427">
        <v>4500182255</v>
      </c>
      <c r="E784" s="520" t="s">
        <v>5130</v>
      </c>
      <c r="F784" s="427" t="s">
        <v>5131</v>
      </c>
      <c r="G784" s="521" t="s">
        <v>3206</v>
      </c>
      <c r="H784" s="594" t="s">
        <v>4939</v>
      </c>
      <c r="I784" s="521">
        <v>221</v>
      </c>
      <c r="J784" s="521">
        <v>0</v>
      </c>
      <c r="K784" s="521">
        <v>13</v>
      </c>
      <c r="L784" s="524">
        <f t="shared" si="257"/>
        <v>17</v>
      </c>
      <c r="M784" s="525">
        <v>45992</v>
      </c>
      <c r="N784" s="525">
        <v>45988</v>
      </c>
      <c r="O784" s="526"/>
      <c r="P784" s="526" t="s">
        <v>103</v>
      </c>
      <c r="Q784" s="521"/>
      <c r="R784" s="530">
        <v>45957</v>
      </c>
      <c r="S784" s="530" t="s">
        <v>66</v>
      </c>
      <c r="T784" s="530" t="s">
        <v>5132</v>
      </c>
      <c r="U784" s="530"/>
      <c r="V784" s="531" t="s">
        <v>5133</v>
      </c>
      <c r="W784" s="532" t="s">
        <v>269</v>
      </c>
      <c r="X784" s="532">
        <v>0.9168</v>
      </c>
      <c r="Y784" s="540">
        <f>X784*I784</f>
        <v>202.6128</v>
      </c>
      <c r="Z784" s="521"/>
      <c r="AA784" s="521" t="s">
        <v>3206</v>
      </c>
      <c r="AB784" s="521" t="s">
        <v>76</v>
      </c>
      <c r="AC784" s="521"/>
      <c r="AD784" s="521"/>
      <c r="AE784" s="521"/>
      <c r="AF784" s="521">
        <v>221</v>
      </c>
      <c r="AG784" s="521">
        <f t="shared" si="242"/>
        <v>0</v>
      </c>
      <c r="AH784" s="542"/>
      <c r="AI784" s="521"/>
      <c r="AJ784" s="521"/>
      <c r="AK784" s="521"/>
      <c r="AL784" s="543">
        <f>I784</f>
        <v>221</v>
      </c>
      <c r="AQ784" s="427">
        <f>I784*2</f>
        <v>442</v>
      </c>
      <c r="AR784" s="543"/>
      <c r="AS784" s="543">
        <f>I784*2</f>
        <v>442</v>
      </c>
      <c r="AT784" s="544"/>
      <c r="AU784" s="543"/>
      <c r="AY784" s="545">
        <f t="shared" si="275"/>
        <v>9.20833333333333</v>
      </c>
      <c r="AZ784" s="546"/>
      <c r="BI784" s="427">
        <f>I784/13</f>
        <v>17</v>
      </c>
      <c r="BT784" s="544"/>
      <c r="BV784" s="544"/>
      <c r="CK784" s="427">
        <f t="shared" si="276"/>
        <v>0</v>
      </c>
      <c r="CL784" s="427">
        <f t="shared" si="277"/>
        <v>0</v>
      </c>
      <c r="CM784" s="427">
        <f t="shared" si="278"/>
        <v>0</v>
      </c>
      <c r="CN784" s="544"/>
      <c r="CO784" s="544"/>
      <c r="CP784" s="544"/>
      <c r="CT784" s="544"/>
      <c r="CU784" s="544"/>
      <c r="CV784" s="544"/>
      <c r="CW784" s="544"/>
      <c r="CX784" s="544"/>
    </row>
    <row r="785" s="427" customFormat="1" ht="31" customHeight="1" spans="1:102">
      <c r="A785" s="518">
        <v>45950</v>
      </c>
      <c r="B785" s="519" t="s">
        <v>122</v>
      </c>
      <c r="C785" s="520" t="s">
        <v>116</v>
      </c>
      <c r="D785" s="427">
        <v>4500182434</v>
      </c>
      <c r="E785" s="520">
        <v>21222994</v>
      </c>
      <c r="F785" s="427" t="s">
        <v>5134</v>
      </c>
      <c r="G785" s="521" t="s">
        <v>3206</v>
      </c>
      <c r="H785" s="521" t="s">
        <v>3207</v>
      </c>
      <c r="I785" s="521">
        <v>1508</v>
      </c>
      <c r="J785" s="521">
        <v>0</v>
      </c>
      <c r="K785" s="521">
        <v>13</v>
      </c>
      <c r="L785" s="524">
        <f t="shared" si="257"/>
        <v>116</v>
      </c>
      <c r="M785" s="525">
        <v>45992</v>
      </c>
      <c r="N785" s="525">
        <f>M785-4</f>
        <v>45988</v>
      </c>
      <c r="O785" s="526"/>
      <c r="P785" s="526" t="s">
        <v>103</v>
      </c>
      <c r="Q785" s="521"/>
      <c r="R785" s="530">
        <v>45950</v>
      </c>
      <c r="S785" s="530" t="s">
        <v>96</v>
      </c>
      <c r="T785" s="530" t="s">
        <v>5135</v>
      </c>
      <c r="U785" s="530"/>
      <c r="V785" s="597" t="s">
        <v>5136</v>
      </c>
      <c r="W785" s="532" t="s">
        <v>121</v>
      </c>
      <c r="X785" s="532">
        <v>0.9475</v>
      </c>
      <c r="Y785" s="540">
        <f>X785*I785</f>
        <v>1428.83</v>
      </c>
      <c r="Z785" s="521"/>
      <c r="AA785" s="521" t="s">
        <v>3206</v>
      </c>
      <c r="AB785" s="521" t="s">
        <v>76</v>
      </c>
      <c r="AC785" s="521"/>
      <c r="AD785" s="521"/>
      <c r="AE785" s="521"/>
      <c r="AF785" s="521">
        <v>1508</v>
      </c>
      <c r="AG785" s="521">
        <f t="shared" ref="AG785:AG795" si="279">AF785-I785</f>
        <v>0</v>
      </c>
      <c r="AH785" s="542"/>
      <c r="AI785" s="521"/>
      <c r="AJ785" s="521"/>
      <c r="AK785" s="521"/>
      <c r="AL785" s="543">
        <f>I785</f>
        <v>1508</v>
      </c>
      <c r="AQ785" s="427">
        <f>I785*2</f>
        <v>3016</v>
      </c>
      <c r="AR785" s="543"/>
      <c r="AS785" s="543">
        <f>I785*2</f>
        <v>3016</v>
      </c>
      <c r="AT785" s="544"/>
      <c r="AU785" s="543"/>
      <c r="AY785" s="545">
        <f t="shared" si="275"/>
        <v>62.8333333333333</v>
      </c>
      <c r="AZ785" s="546"/>
      <c r="BI785" s="427">
        <f>I785/13</f>
        <v>116</v>
      </c>
      <c r="BT785" s="544"/>
      <c r="BV785" s="544"/>
      <c r="CK785" s="427">
        <f t="shared" si="276"/>
        <v>0</v>
      </c>
      <c r="CL785" s="427">
        <f t="shared" si="277"/>
        <v>0</v>
      </c>
      <c r="CM785" s="427">
        <f t="shared" si="278"/>
        <v>0</v>
      </c>
      <c r="CN785" s="544"/>
      <c r="CO785" s="544"/>
      <c r="CP785" s="544"/>
      <c r="CT785" s="544"/>
      <c r="CU785" s="544"/>
      <c r="CV785" s="544"/>
      <c r="CW785" s="544"/>
      <c r="CX785" s="544"/>
    </row>
    <row r="786" s="427" customFormat="1" ht="31" customHeight="1" spans="1:102">
      <c r="A786" s="518">
        <v>45953</v>
      </c>
      <c r="B786" s="519" t="s">
        <v>2417</v>
      </c>
      <c r="C786" s="520" t="s">
        <v>271</v>
      </c>
      <c r="D786" s="427">
        <v>4500182649</v>
      </c>
      <c r="E786" s="520">
        <v>5200008005</v>
      </c>
      <c r="F786" s="427" t="s">
        <v>5137</v>
      </c>
      <c r="G786" s="521" t="s">
        <v>3231</v>
      </c>
      <c r="H786" s="521" t="s">
        <v>3207</v>
      </c>
      <c r="I786" s="521">
        <v>7501</v>
      </c>
      <c r="J786" s="521">
        <v>0</v>
      </c>
      <c r="K786" s="521">
        <v>13</v>
      </c>
      <c r="L786" s="524">
        <f t="shared" si="257"/>
        <v>577</v>
      </c>
      <c r="M786" s="525">
        <v>45992</v>
      </c>
      <c r="N786" s="525">
        <f>M786-4</f>
        <v>45988</v>
      </c>
      <c r="O786" s="526"/>
      <c r="P786" s="526" t="s">
        <v>103</v>
      </c>
      <c r="Q786" s="521"/>
      <c r="R786" s="530">
        <v>45960</v>
      </c>
      <c r="S786" s="530" t="s">
        <v>66</v>
      </c>
      <c r="T786" s="530" t="s">
        <v>5090</v>
      </c>
      <c r="U786" s="530"/>
      <c r="V786" s="532" t="s">
        <v>5138</v>
      </c>
      <c r="W786" s="532" t="s">
        <v>274</v>
      </c>
      <c r="X786" s="536">
        <v>0.8895</v>
      </c>
      <c r="Y786" s="540">
        <f>X786*I786</f>
        <v>6672.1395</v>
      </c>
      <c r="Z786" s="521" t="s">
        <v>5139</v>
      </c>
      <c r="AA786" s="521" t="s">
        <v>3206</v>
      </c>
      <c r="AB786" s="521" t="s">
        <v>76</v>
      </c>
      <c r="AC786" s="521"/>
      <c r="AD786" s="521"/>
      <c r="AE786" s="521"/>
      <c r="AF786" s="521">
        <v>7501</v>
      </c>
      <c r="AG786" s="521">
        <f t="shared" si="279"/>
        <v>0</v>
      </c>
      <c r="AH786" s="542"/>
      <c r="AI786" s="521"/>
      <c r="AJ786" s="521"/>
      <c r="AK786" s="521"/>
      <c r="AL786" s="543">
        <f>I786</f>
        <v>7501</v>
      </c>
      <c r="AQ786" s="427">
        <f>I786*2</f>
        <v>15002</v>
      </c>
      <c r="AR786" s="543"/>
      <c r="AS786" s="543">
        <f>I786*2</f>
        <v>15002</v>
      </c>
      <c r="AT786" s="544"/>
      <c r="AU786" s="543"/>
      <c r="AY786" s="545">
        <f t="shared" si="275"/>
        <v>312.541666666667</v>
      </c>
      <c r="AZ786" s="546"/>
      <c r="BI786" s="427">
        <f>I786/13</f>
        <v>577</v>
      </c>
      <c r="BT786" s="544"/>
      <c r="BV786" s="544"/>
      <c r="CK786" s="427">
        <f t="shared" si="276"/>
        <v>0</v>
      </c>
      <c r="CL786" s="427">
        <f t="shared" si="277"/>
        <v>0</v>
      </c>
      <c r="CM786" s="427">
        <f t="shared" si="278"/>
        <v>0</v>
      </c>
      <c r="CN786" s="544"/>
      <c r="CO786" s="544"/>
      <c r="CP786" s="544"/>
      <c r="CT786" s="544"/>
      <c r="CU786" s="544"/>
      <c r="CV786" s="544"/>
      <c r="CW786" s="544"/>
      <c r="CX786" s="544"/>
    </row>
    <row r="787" s="427" customFormat="1" ht="31" customHeight="1" spans="1:102">
      <c r="A787" s="518">
        <v>45959</v>
      </c>
      <c r="B787" s="595" t="s">
        <v>598</v>
      </c>
      <c r="C787" s="596" t="s">
        <v>90</v>
      </c>
      <c r="D787" s="427">
        <v>4500183607</v>
      </c>
      <c r="E787" s="520" t="s">
        <v>2103</v>
      </c>
      <c r="F787" s="427" t="s">
        <v>5140</v>
      </c>
      <c r="G787" s="521" t="s">
        <v>3198</v>
      </c>
      <c r="H787" s="521" t="s">
        <v>3303</v>
      </c>
      <c r="I787" s="521">
        <v>26500</v>
      </c>
      <c r="J787" s="521">
        <v>0</v>
      </c>
      <c r="K787" s="521">
        <v>25</v>
      </c>
      <c r="L787" s="524">
        <f t="shared" si="257"/>
        <v>1060</v>
      </c>
      <c r="M787" s="525">
        <v>45992</v>
      </c>
      <c r="N787" s="525">
        <f>M787-4</f>
        <v>45988</v>
      </c>
      <c r="O787" s="526"/>
      <c r="P787" s="526" t="s">
        <v>103</v>
      </c>
      <c r="Q787" s="521"/>
      <c r="R787" s="530">
        <v>45959</v>
      </c>
      <c r="S787" s="530" t="s">
        <v>96</v>
      </c>
      <c r="T787" s="530" t="s">
        <v>2106</v>
      </c>
      <c r="U787" s="530"/>
      <c r="V787" s="532" t="s">
        <v>5141</v>
      </c>
      <c r="W787" s="598" t="s">
        <v>226</v>
      </c>
      <c r="X787" s="536">
        <v>0.5488</v>
      </c>
      <c r="Y787" s="540">
        <f>X787*I787</f>
        <v>14543.2</v>
      </c>
      <c r="Z787" s="521"/>
      <c r="AA787" s="521" t="s">
        <v>3198</v>
      </c>
      <c r="AB787" s="521" t="s">
        <v>76</v>
      </c>
      <c r="AC787" s="521"/>
      <c r="AD787" s="521"/>
      <c r="AE787" s="521"/>
      <c r="AF787" s="521">
        <f>23350+3150</f>
        <v>26500</v>
      </c>
      <c r="AG787" s="521">
        <f t="shared" si="279"/>
        <v>0</v>
      </c>
      <c r="AH787" s="542"/>
      <c r="AI787" s="521"/>
      <c r="AJ787" s="521"/>
      <c r="AK787" s="521">
        <f>I787</f>
        <v>26500</v>
      </c>
      <c r="AL787" s="543"/>
      <c r="AM787" s="427">
        <f>I787</f>
        <v>26500</v>
      </c>
      <c r="AR787" s="427">
        <f>I787</f>
        <v>26500</v>
      </c>
      <c r="AS787" s="543"/>
      <c r="AT787" s="544"/>
      <c r="AU787" s="543"/>
      <c r="AY787" s="545">
        <f t="shared" si="275"/>
        <v>1104.16666666667</v>
      </c>
      <c r="AZ787" s="546"/>
      <c r="BJ787" s="427">
        <f>I787/25</f>
        <v>1060</v>
      </c>
      <c r="BT787" s="544"/>
      <c r="BV787" s="544"/>
      <c r="CK787" s="427">
        <f t="shared" si="276"/>
        <v>1060</v>
      </c>
      <c r="CL787" s="427">
        <f t="shared" si="277"/>
        <v>0</v>
      </c>
      <c r="CM787" s="427">
        <f t="shared" si="278"/>
        <v>0</v>
      </c>
      <c r="CN787" s="544"/>
      <c r="CO787" s="544"/>
      <c r="CP787" s="544"/>
      <c r="CT787" s="544"/>
      <c r="CU787" s="544"/>
      <c r="CV787" s="544"/>
      <c r="CW787" s="544"/>
      <c r="CX787" s="544"/>
    </row>
    <row r="788" s="427" customFormat="1" ht="31" customHeight="1" spans="1:102">
      <c r="A788" s="518">
        <v>45940</v>
      </c>
      <c r="B788" s="519" t="s">
        <v>108</v>
      </c>
      <c r="C788" s="520" t="s">
        <v>90</v>
      </c>
      <c r="D788" s="427">
        <v>4500181254</v>
      </c>
      <c r="E788" s="520" t="s">
        <v>3234</v>
      </c>
      <c r="F788" s="427" t="s">
        <v>5142</v>
      </c>
      <c r="G788" s="521" t="s">
        <v>5143</v>
      </c>
      <c r="H788" s="521" t="s">
        <v>5144</v>
      </c>
      <c r="I788" s="527">
        <v>9996</v>
      </c>
      <c r="J788" s="521">
        <v>0</v>
      </c>
      <c r="K788" s="521">
        <v>12</v>
      </c>
      <c r="L788" s="524">
        <f t="shared" si="257"/>
        <v>833</v>
      </c>
      <c r="M788" s="528">
        <v>45993</v>
      </c>
      <c r="N788" s="528">
        <v>45989</v>
      </c>
      <c r="O788" s="526"/>
      <c r="P788" s="526" t="s">
        <v>103</v>
      </c>
      <c r="Q788" s="521"/>
      <c r="R788" s="530">
        <v>45940</v>
      </c>
      <c r="S788" s="530" t="s">
        <v>66</v>
      </c>
      <c r="T788" s="530" t="s">
        <v>66</v>
      </c>
      <c r="U788" s="530"/>
      <c r="V788" s="532" t="s">
        <v>5145</v>
      </c>
      <c r="W788" s="532" t="s">
        <v>1512</v>
      </c>
      <c r="X788" s="532">
        <v>1.2559</v>
      </c>
      <c r="Y788" s="540">
        <v>32643.3528</v>
      </c>
      <c r="Z788" s="521"/>
      <c r="AA788" s="521" t="s">
        <v>3236</v>
      </c>
      <c r="AB788" s="521" t="s">
        <v>76</v>
      </c>
      <c r="AC788" s="521"/>
      <c r="AD788" s="521"/>
      <c r="AE788" s="521"/>
      <c r="AF788" s="521">
        <f>14400+11592</f>
        <v>25992</v>
      </c>
      <c r="AG788" s="521">
        <f t="shared" si="279"/>
        <v>15996</v>
      </c>
      <c r="AH788" s="542"/>
      <c r="AI788" s="521"/>
      <c r="AJ788" s="521"/>
      <c r="AK788" s="521">
        <f>I788*2</f>
        <v>19992</v>
      </c>
      <c r="AL788" s="543"/>
      <c r="AN788" s="427">
        <f>I788*2</f>
        <v>19992</v>
      </c>
      <c r="AR788" s="543">
        <f>I788*2</f>
        <v>19992</v>
      </c>
      <c r="AS788" s="543"/>
      <c r="AT788" s="544"/>
      <c r="AY788" s="545">
        <f>I788/24*2</f>
        <v>833</v>
      </c>
      <c r="AZ788" s="546"/>
      <c r="BT788" s="544"/>
      <c r="BV788" s="544"/>
      <c r="CH788" s="427">
        <f>I788</f>
        <v>9996</v>
      </c>
      <c r="CI788" s="427">
        <f>I788</f>
        <v>9996</v>
      </c>
      <c r="CJ788" s="427">
        <f>I788</f>
        <v>9996</v>
      </c>
      <c r="CK788" s="427">
        <v>0</v>
      </c>
      <c r="CL788" s="427">
        <v>0</v>
      </c>
      <c r="CM788" s="427">
        <v>0</v>
      </c>
      <c r="CN788" s="544"/>
      <c r="CO788" s="544"/>
      <c r="CP788" s="544"/>
      <c r="CT788" s="544"/>
      <c r="CU788" s="544"/>
      <c r="CV788" s="544"/>
      <c r="CW788" s="544"/>
      <c r="CX788" s="544"/>
    </row>
    <row r="789" s="427" customFormat="1" ht="31" customHeight="1" spans="1:102">
      <c r="A789" s="518">
        <v>45943</v>
      </c>
      <c r="B789" s="519" t="s">
        <v>579</v>
      </c>
      <c r="C789" s="520" t="s">
        <v>377</v>
      </c>
      <c r="D789" s="427">
        <v>4500176686</v>
      </c>
      <c r="E789" s="520">
        <v>300581433</v>
      </c>
      <c r="F789" s="427" t="s">
        <v>5146</v>
      </c>
      <c r="G789" s="521" t="s">
        <v>5147</v>
      </c>
      <c r="H789" s="594" t="s">
        <v>5148</v>
      </c>
      <c r="I789" s="521">
        <v>611</v>
      </c>
      <c r="J789" s="521">
        <v>0</v>
      </c>
      <c r="K789" s="521">
        <v>13</v>
      </c>
      <c r="L789" s="524">
        <f t="shared" si="257"/>
        <v>47</v>
      </c>
      <c r="M789" s="525">
        <v>45993</v>
      </c>
      <c r="N789" s="525">
        <f>M789-4</f>
        <v>45989</v>
      </c>
      <c r="O789" s="526"/>
      <c r="P789" s="526" t="s">
        <v>103</v>
      </c>
      <c r="Q789" s="521"/>
      <c r="R789" s="530">
        <v>1020</v>
      </c>
      <c r="S789" s="530" t="s">
        <v>66</v>
      </c>
      <c r="T789" s="530" t="s">
        <v>5149</v>
      </c>
      <c r="U789" s="530"/>
      <c r="V789" s="531" t="s">
        <v>5150</v>
      </c>
      <c r="W789" s="532" t="s">
        <v>381</v>
      </c>
      <c r="X789" s="536">
        <v>0.8814</v>
      </c>
      <c r="Y789" s="540">
        <f>I789*X789</f>
        <v>538.5354</v>
      </c>
      <c r="Z789" s="521"/>
      <c r="AA789" s="521" t="s">
        <v>5151</v>
      </c>
      <c r="AB789" s="521" t="s">
        <v>76</v>
      </c>
      <c r="AC789" s="521"/>
      <c r="AD789" s="521"/>
      <c r="AE789" s="521"/>
      <c r="AF789" s="521">
        <v>611</v>
      </c>
      <c r="AG789" s="521">
        <f t="shared" si="279"/>
        <v>0</v>
      </c>
      <c r="AH789" s="542"/>
      <c r="AI789" s="521"/>
      <c r="AJ789" s="521"/>
      <c r="AK789" s="521"/>
      <c r="AL789" s="543">
        <f>I789</f>
        <v>611</v>
      </c>
      <c r="AQ789" s="427">
        <f>I789</f>
        <v>611</v>
      </c>
      <c r="AR789" s="543"/>
      <c r="AS789" s="543">
        <f>I789</f>
        <v>611</v>
      </c>
      <c r="AT789" s="544"/>
      <c r="AU789" s="543"/>
      <c r="AY789" s="545">
        <f>I789/24</f>
        <v>25.4583333333333</v>
      </c>
      <c r="AZ789" s="546"/>
      <c r="BT789" s="544"/>
      <c r="BV789" s="544"/>
      <c r="CK789" s="428">
        <f t="shared" ref="CK789:CK794" si="280">BM789+BL789+BK789+BJ789+BS789</f>
        <v>0</v>
      </c>
      <c r="CL789" s="428">
        <f t="shared" ref="CL789:CL794" si="281">CA789+CB789+CC789+CD789+CE789+CG789+CF789</f>
        <v>0</v>
      </c>
      <c r="CM789" s="428">
        <f t="shared" ref="CM789:CM794" si="282">BY789+BZ789</f>
        <v>0</v>
      </c>
      <c r="CN789" s="544"/>
      <c r="CO789" s="544"/>
      <c r="CP789" s="544"/>
      <c r="CT789" s="544"/>
      <c r="CU789" s="544"/>
      <c r="CV789" s="544"/>
      <c r="CW789" s="544"/>
      <c r="CX789" s="544"/>
    </row>
    <row r="790" s="427" customFormat="1" ht="31" customHeight="1" spans="1:102">
      <c r="A790" s="518">
        <v>45952</v>
      </c>
      <c r="B790" s="519" t="s">
        <v>1669</v>
      </c>
      <c r="C790" s="520" t="s">
        <v>663</v>
      </c>
      <c r="D790" s="427">
        <v>4500178919</v>
      </c>
      <c r="E790" s="520">
        <v>5000001988</v>
      </c>
      <c r="F790" s="427" t="s">
        <v>5152</v>
      </c>
      <c r="G790" s="521" t="s">
        <v>3206</v>
      </c>
      <c r="H790" s="594" t="s">
        <v>4939</v>
      </c>
      <c r="I790" s="521">
        <v>3900</v>
      </c>
      <c r="J790" s="521">
        <v>0</v>
      </c>
      <c r="K790" s="521">
        <v>13</v>
      </c>
      <c r="L790" s="524">
        <f t="shared" si="257"/>
        <v>300</v>
      </c>
      <c r="M790" s="525">
        <v>45993</v>
      </c>
      <c r="N790" s="525">
        <v>45989</v>
      </c>
      <c r="O790" s="526" t="s">
        <v>5062</v>
      </c>
      <c r="P790" s="526" t="s">
        <v>103</v>
      </c>
      <c r="Q790" s="521"/>
      <c r="R790" s="530" t="s">
        <v>4940</v>
      </c>
      <c r="S790" s="530" t="s">
        <v>66</v>
      </c>
      <c r="T790" s="530" t="s">
        <v>5153</v>
      </c>
      <c r="U790" s="530"/>
      <c r="V790" s="532" t="s">
        <v>5154</v>
      </c>
      <c r="W790" s="532" t="s">
        <v>1674</v>
      </c>
      <c r="X790" s="536">
        <v>0.882</v>
      </c>
      <c r="Y790" s="540">
        <f>X790*I790</f>
        <v>3439.8</v>
      </c>
      <c r="Z790" s="549" t="s">
        <v>2116</v>
      </c>
      <c r="AA790" s="594" t="s">
        <v>4943</v>
      </c>
      <c r="AB790" s="521" t="s">
        <v>76</v>
      </c>
      <c r="AC790" s="521"/>
      <c r="AD790" s="600"/>
      <c r="AE790" s="600"/>
      <c r="AF790" s="521">
        <v>3900</v>
      </c>
      <c r="AG790" s="521">
        <f t="shared" si="279"/>
        <v>0</v>
      </c>
      <c r="AH790" s="521"/>
      <c r="AI790" s="542"/>
      <c r="AJ790" s="521"/>
      <c r="AK790" s="521"/>
      <c r="AL790" s="543">
        <f>I790</f>
        <v>3900</v>
      </c>
      <c r="AM790" s="427">
        <f>I790</f>
        <v>3900</v>
      </c>
      <c r="AS790" s="543"/>
      <c r="AT790" s="544"/>
      <c r="AU790" s="427">
        <f>I790*2</f>
        <v>7800</v>
      </c>
      <c r="AX790" s="428">
        <f>I790/13</f>
        <v>300</v>
      </c>
      <c r="AY790" s="545"/>
      <c r="AZ790" s="546"/>
      <c r="BG790" s="428"/>
      <c r="BI790" s="428">
        <f>I790/13</f>
        <v>300</v>
      </c>
      <c r="BT790" s="544"/>
      <c r="BV790" s="544"/>
      <c r="CK790" s="427">
        <f t="shared" si="280"/>
        <v>0</v>
      </c>
      <c r="CL790" s="427">
        <f t="shared" si="281"/>
        <v>0</v>
      </c>
      <c r="CM790" s="427">
        <f t="shared" si="282"/>
        <v>0</v>
      </c>
      <c r="CN790" s="544"/>
      <c r="CO790" s="544"/>
      <c r="CP790" s="544"/>
      <c r="CT790" s="544"/>
      <c r="CU790" s="544"/>
      <c r="CV790" s="544"/>
      <c r="CW790" s="544"/>
      <c r="CX790" s="544"/>
    </row>
    <row r="791" s="427" customFormat="1" ht="31" customHeight="1" spans="1:102">
      <c r="A791" s="518">
        <v>45952</v>
      </c>
      <c r="B791" s="519" t="s">
        <v>1669</v>
      </c>
      <c r="C791" s="520" t="s">
        <v>663</v>
      </c>
      <c r="D791" s="427">
        <v>4500178919</v>
      </c>
      <c r="E791" s="520">
        <v>5000001988</v>
      </c>
      <c r="F791" s="427" t="s">
        <v>5155</v>
      </c>
      <c r="G791" s="521" t="s">
        <v>3206</v>
      </c>
      <c r="H791" s="594" t="s">
        <v>4939</v>
      </c>
      <c r="I791" s="521">
        <v>16900</v>
      </c>
      <c r="J791" s="521">
        <v>0</v>
      </c>
      <c r="K791" s="521">
        <v>13</v>
      </c>
      <c r="L791" s="524">
        <f t="shared" si="257"/>
        <v>1300</v>
      </c>
      <c r="M791" s="525">
        <v>45993</v>
      </c>
      <c r="N791" s="525">
        <v>45989</v>
      </c>
      <c r="O791" s="526" t="s">
        <v>5062</v>
      </c>
      <c r="P791" s="526" t="s">
        <v>103</v>
      </c>
      <c r="Q791" s="521"/>
      <c r="R791" s="530" t="s">
        <v>4940</v>
      </c>
      <c r="S791" s="530" t="s">
        <v>66</v>
      </c>
      <c r="T791" s="530" t="s">
        <v>5153</v>
      </c>
      <c r="U791" s="530"/>
      <c r="V791" s="532" t="s">
        <v>5154</v>
      </c>
      <c r="W791" s="532" t="s">
        <v>1674</v>
      </c>
      <c r="X791" s="536">
        <v>0.882</v>
      </c>
      <c r="Y791" s="540">
        <f>X791*I791</f>
        <v>14905.8</v>
      </c>
      <c r="Z791" s="549" t="s">
        <v>2116</v>
      </c>
      <c r="AA791" s="594" t="s">
        <v>4943</v>
      </c>
      <c r="AB791" s="521" t="s">
        <v>76</v>
      </c>
      <c r="AC791" s="521"/>
      <c r="AD791" s="600"/>
      <c r="AE791" s="600"/>
      <c r="AF791" s="521">
        <f>13650+3211+39</f>
        <v>16900</v>
      </c>
      <c r="AG791" s="521">
        <f t="shared" si="279"/>
        <v>0</v>
      </c>
      <c r="AH791" s="521"/>
      <c r="AI791" s="542"/>
      <c r="AJ791" s="521"/>
      <c r="AK791" s="521"/>
      <c r="AL791" s="543">
        <f>I791</f>
        <v>16900</v>
      </c>
      <c r="AM791" s="427">
        <f>I791</f>
        <v>16900</v>
      </c>
      <c r="AS791" s="543"/>
      <c r="AT791" s="544"/>
      <c r="AU791" s="427">
        <f>I791*2</f>
        <v>33800</v>
      </c>
      <c r="AX791" s="428">
        <f>I791/13</f>
        <v>1300</v>
      </c>
      <c r="AY791" s="545"/>
      <c r="AZ791" s="546"/>
      <c r="BG791" s="428"/>
      <c r="BI791" s="428">
        <f>I791/13</f>
        <v>1300</v>
      </c>
      <c r="BT791" s="544"/>
      <c r="BV791" s="544"/>
      <c r="CK791" s="427">
        <f t="shared" si="280"/>
        <v>0</v>
      </c>
      <c r="CL791" s="427">
        <f t="shared" si="281"/>
        <v>0</v>
      </c>
      <c r="CM791" s="427">
        <f t="shared" si="282"/>
        <v>0</v>
      </c>
      <c r="CN791" s="544"/>
      <c r="CO791" s="544"/>
      <c r="CP791" s="544"/>
      <c r="CT791" s="544"/>
      <c r="CU791" s="544"/>
      <c r="CV791" s="544"/>
      <c r="CW791" s="544"/>
      <c r="CX791" s="544"/>
    </row>
    <row r="792" s="427" customFormat="1" ht="31" customHeight="1" spans="1:102">
      <c r="A792" s="518">
        <v>45960</v>
      </c>
      <c r="B792" s="519" t="s">
        <v>128</v>
      </c>
      <c r="C792" s="520" t="s">
        <v>90</v>
      </c>
      <c r="D792" s="427">
        <v>4500183713</v>
      </c>
      <c r="E792" s="890" t="s">
        <v>5156</v>
      </c>
      <c r="F792" s="427" t="s">
        <v>5157</v>
      </c>
      <c r="G792" s="521" t="s">
        <v>3180</v>
      </c>
      <c r="H792" s="521" t="s">
        <v>3181</v>
      </c>
      <c r="I792" s="521">
        <v>60480</v>
      </c>
      <c r="J792" s="521">
        <v>0</v>
      </c>
      <c r="K792" s="521">
        <v>16</v>
      </c>
      <c r="L792" s="524">
        <f t="shared" si="257"/>
        <v>3780</v>
      </c>
      <c r="M792" s="525">
        <v>45993</v>
      </c>
      <c r="N792" s="525">
        <v>45989</v>
      </c>
      <c r="O792" s="526" t="s">
        <v>5158</v>
      </c>
      <c r="P792" s="526" t="s">
        <v>103</v>
      </c>
      <c r="Q792" s="521"/>
      <c r="R792" s="530" t="s">
        <v>4194</v>
      </c>
      <c r="S792" s="530" t="s">
        <v>66</v>
      </c>
      <c r="T792" s="530" t="s">
        <v>133</v>
      </c>
      <c r="U792" s="530"/>
      <c r="V792" s="532" t="s">
        <v>4195</v>
      </c>
      <c r="W792" s="532" t="s">
        <v>98</v>
      </c>
      <c r="X792" s="532">
        <v>0.5783</v>
      </c>
      <c r="Y792" s="540">
        <f>X792*I792</f>
        <v>34975.584</v>
      </c>
      <c r="Z792" s="521" t="s">
        <v>5159</v>
      </c>
      <c r="AA792" s="521" t="s">
        <v>3180</v>
      </c>
      <c r="AB792" s="521" t="s">
        <v>76</v>
      </c>
      <c r="AC792" s="521"/>
      <c r="AD792" s="600"/>
      <c r="AE792" s="600"/>
      <c r="AF792" s="521">
        <f>40320+20160</f>
        <v>60480</v>
      </c>
      <c r="AG792" s="521">
        <f t="shared" si="279"/>
        <v>0</v>
      </c>
      <c r="AH792" s="521"/>
      <c r="AI792" s="542"/>
      <c r="AJ792" s="521"/>
      <c r="AK792" s="521">
        <f>I792</f>
        <v>60480</v>
      </c>
      <c r="AL792" s="543"/>
      <c r="AM792" s="427">
        <f>I792</f>
        <v>60480</v>
      </c>
      <c r="AR792" s="427">
        <f>I792</f>
        <v>60480</v>
      </c>
      <c r="AS792" s="543"/>
      <c r="AT792" s="544"/>
      <c r="AY792" s="545">
        <f>I792/24</f>
        <v>2520</v>
      </c>
      <c r="AZ792" s="546"/>
      <c r="BM792" s="427">
        <f>I792/16</f>
        <v>3780</v>
      </c>
      <c r="BT792" s="544"/>
      <c r="BV792" s="544"/>
      <c r="CK792" s="427">
        <f t="shared" si="280"/>
        <v>3780</v>
      </c>
      <c r="CL792" s="427">
        <f t="shared" si="281"/>
        <v>0</v>
      </c>
      <c r="CM792" s="427">
        <f t="shared" si="282"/>
        <v>0</v>
      </c>
      <c r="CN792" s="544"/>
      <c r="CO792" s="544"/>
      <c r="CP792" s="544"/>
      <c r="CT792" s="544"/>
      <c r="CU792" s="544"/>
      <c r="CV792" s="544"/>
      <c r="CW792" s="544"/>
      <c r="CX792" s="544"/>
    </row>
    <row r="793" s="427" customFormat="1" ht="31" customHeight="1" spans="1:102">
      <c r="A793" s="518">
        <v>45960</v>
      </c>
      <c r="B793" s="519" t="s">
        <v>128</v>
      </c>
      <c r="C793" s="520" t="s">
        <v>90</v>
      </c>
      <c r="D793" s="427">
        <v>4500183713</v>
      </c>
      <c r="E793" s="890" t="s">
        <v>5160</v>
      </c>
      <c r="F793" s="427" t="s">
        <v>5161</v>
      </c>
      <c r="G793" s="521" t="s">
        <v>3180</v>
      </c>
      <c r="H793" s="521" t="s">
        <v>3181</v>
      </c>
      <c r="I793" s="521">
        <v>32640</v>
      </c>
      <c r="J793" s="521">
        <v>0</v>
      </c>
      <c r="K793" s="521">
        <v>16</v>
      </c>
      <c r="L793" s="524">
        <f t="shared" si="257"/>
        <v>2040</v>
      </c>
      <c r="M793" s="525">
        <v>45993</v>
      </c>
      <c r="N793" s="525">
        <v>45989</v>
      </c>
      <c r="O793" s="526" t="s">
        <v>2073</v>
      </c>
      <c r="P793" s="526" t="s">
        <v>103</v>
      </c>
      <c r="Q793" s="521"/>
      <c r="R793" s="530" t="s">
        <v>4194</v>
      </c>
      <c r="S793" s="530" t="s">
        <v>66</v>
      </c>
      <c r="T793" s="530" t="s">
        <v>133</v>
      </c>
      <c r="U793" s="530"/>
      <c r="V793" s="532" t="s">
        <v>4195</v>
      </c>
      <c r="W793" s="532" t="s">
        <v>98</v>
      </c>
      <c r="X793" s="532">
        <v>0.5783</v>
      </c>
      <c r="Y793" s="540">
        <f>X793*I793</f>
        <v>18875.712</v>
      </c>
      <c r="Z793" s="521"/>
      <c r="AA793" s="521" t="s">
        <v>3180</v>
      </c>
      <c r="AB793" s="521" t="s">
        <v>76</v>
      </c>
      <c r="AC793" s="521"/>
      <c r="AD793" s="600"/>
      <c r="AE793" s="600"/>
      <c r="AF793" s="521">
        <v>32640</v>
      </c>
      <c r="AG793" s="521">
        <f t="shared" si="279"/>
        <v>0</v>
      </c>
      <c r="AH793" s="521"/>
      <c r="AI793" s="542"/>
      <c r="AJ793" s="521"/>
      <c r="AK793" s="521">
        <f>I793</f>
        <v>32640</v>
      </c>
      <c r="AL793" s="543"/>
      <c r="AM793" s="427">
        <f>I793</f>
        <v>32640</v>
      </c>
      <c r="AR793" s="427">
        <f>I793</f>
        <v>32640</v>
      </c>
      <c r="AS793" s="543"/>
      <c r="AT793" s="544"/>
      <c r="AY793" s="545">
        <f>I793/24</f>
        <v>1360</v>
      </c>
      <c r="AZ793" s="546"/>
      <c r="BM793" s="427">
        <f>I793/16</f>
        <v>2040</v>
      </c>
      <c r="BT793" s="544"/>
      <c r="BV793" s="544"/>
      <c r="CK793" s="427">
        <f t="shared" si="280"/>
        <v>2040</v>
      </c>
      <c r="CL793" s="427">
        <f t="shared" si="281"/>
        <v>0</v>
      </c>
      <c r="CM793" s="427">
        <f t="shared" si="282"/>
        <v>0</v>
      </c>
      <c r="CN793" s="544"/>
      <c r="CO793" s="544"/>
      <c r="CP793" s="544"/>
      <c r="CT793" s="544"/>
      <c r="CU793" s="544"/>
      <c r="CV793" s="544"/>
      <c r="CW793" s="544"/>
      <c r="CX793" s="544"/>
    </row>
    <row r="794" s="427" customFormat="1" ht="31" customHeight="1" spans="1:102">
      <c r="A794" s="518">
        <v>45960</v>
      </c>
      <c r="B794" s="519" t="s">
        <v>128</v>
      </c>
      <c r="C794" s="520" t="s">
        <v>90</v>
      </c>
      <c r="D794" s="427">
        <v>4500183713</v>
      </c>
      <c r="E794" s="890" t="s">
        <v>5162</v>
      </c>
      <c r="F794" s="427" t="s">
        <v>5163</v>
      </c>
      <c r="G794" s="521" t="s">
        <v>3180</v>
      </c>
      <c r="H794" s="521" t="s">
        <v>3181</v>
      </c>
      <c r="I794" s="521">
        <v>34560</v>
      </c>
      <c r="J794" s="521">
        <v>0</v>
      </c>
      <c r="K794" s="521">
        <v>16</v>
      </c>
      <c r="L794" s="524">
        <f t="shared" si="257"/>
        <v>2160</v>
      </c>
      <c r="M794" s="525">
        <v>45993</v>
      </c>
      <c r="N794" s="525">
        <v>45989</v>
      </c>
      <c r="O794" s="526" t="s">
        <v>5164</v>
      </c>
      <c r="P794" s="526" t="s">
        <v>103</v>
      </c>
      <c r="Q794" s="521"/>
      <c r="R794" s="530" t="s">
        <v>4194</v>
      </c>
      <c r="S794" s="530" t="s">
        <v>66</v>
      </c>
      <c r="T794" s="530" t="s">
        <v>133</v>
      </c>
      <c r="U794" s="530"/>
      <c r="V794" s="532" t="s">
        <v>4195</v>
      </c>
      <c r="W794" s="532" t="s">
        <v>98</v>
      </c>
      <c r="X794" s="532">
        <v>0.5783</v>
      </c>
      <c r="Y794" s="540">
        <f>X794*I794</f>
        <v>19986.048</v>
      </c>
      <c r="Z794" s="521"/>
      <c r="AA794" s="521" t="s">
        <v>3180</v>
      </c>
      <c r="AB794" s="521" t="s">
        <v>76</v>
      </c>
      <c r="AC794" s="521"/>
      <c r="AD794" s="600"/>
      <c r="AE794" s="600"/>
      <c r="AF794" s="521">
        <f>6448+28112</f>
        <v>34560</v>
      </c>
      <c r="AG794" s="521">
        <f t="shared" si="279"/>
        <v>0</v>
      </c>
      <c r="AH794" s="521"/>
      <c r="AI794" s="542"/>
      <c r="AJ794" s="521"/>
      <c r="AK794" s="521">
        <f>I794</f>
        <v>34560</v>
      </c>
      <c r="AL794" s="543"/>
      <c r="AM794" s="427">
        <f>I794</f>
        <v>34560</v>
      </c>
      <c r="AR794" s="427">
        <f>I794</f>
        <v>34560</v>
      </c>
      <c r="AS794" s="543"/>
      <c r="AT794" s="544"/>
      <c r="AY794" s="545">
        <f>I794/24</f>
        <v>1440</v>
      </c>
      <c r="AZ794" s="546"/>
      <c r="BM794" s="427">
        <f>I794/16</f>
        <v>2160</v>
      </c>
      <c r="BT794" s="544"/>
      <c r="BV794" s="544"/>
      <c r="CK794" s="427">
        <f t="shared" si="280"/>
        <v>2160</v>
      </c>
      <c r="CL794" s="427">
        <f t="shared" si="281"/>
        <v>0</v>
      </c>
      <c r="CM794" s="427">
        <f t="shared" si="282"/>
        <v>0</v>
      </c>
      <c r="CN794" s="544"/>
      <c r="CO794" s="544"/>
      <c r="CP794" s="544"/>
      <c r="CT794" s="544"/>
      <c r="CU794" s="544"/>
      <c r="CV794" s="544"/>
      <c r="CW794" s="544"/>
      <c r="CX794" s="544"/>
    </row>
    <row r="795" s="427" customFormat="1" ht="31" customHeight="1" spans="1:102">
      <c r="A795" s="518">
        <v>45953</v>
      </c>
      <c r="B795" s="519" t="s">
        <v>1545</v>
      </c>
      <c r="C795" s="520" t="s">
        <v>90</v>
      </c>
      <c r="D795" s="427">
        <v>4500182865</v>
      </c>
      <c r="E795" s="520">
        <v>2050736</v>
      </c>
      <c r="F795" s="427" t="s">
        <v>5165</v>
      </c>
      <c r="G795" s="521" t="s">
        <v>4564</v>
      </c>
      <c r="H795" s="521" t="s">
        <v>3237</v>
      </c>
      <c r="I795" s="521">
        <v>1056</v>
      </c>
      <c r="J795" s="521">
        <v>0</v>
      </c>
      <c r="K795" s="521">
        <v>12</v>
      </c>
      <c r="L795" s="524">
        <f t="shared" ref="L795:L819" si="283">I795/K795</f>
        <v>88</v>
      </c>
      <c r="M795" s="525">
        <v>45994</v>
      </c>
      <c r="N795" s="525">
        <v>45990</v>
      </c>
      <c r="O795" s="526"/>
      <c r="P795" s="526" t="s">
        <v>103</v>
      </c>
      <c r="Q795" s="521"/>
      <c r="R795" s="530">
        <v>45954</v>
      </c>
      <c r="S795" s="530" t="s">
        <v>66</v>
      </c>
      <c r="T795" s="530" t="s">
        <v>5166</v>
      </c>
      <c r="U795" s="530"/>
      <c r="V795" s="531" t="s">
        <v>5167</v>
      </c>
      <c r="W795" s="532" t="s">
        <v>279</v>
      </c>
      <c r="X795" s="532">
        <v>1.3094</v>
      </c>
      <c r="Y795" s="540">
        <f t="shared" ref="Y795:Y800" si="284">X795*I795</f>
        <v>1382.7264</v>
      </c>
      <c r="Z795" s="521"/>
      <c r="AA795" s="521" t="s">
        <v>3236</v>
      </c>
      <c r="AB795" s="521" t="s">
        <v>76</v>
      </c>
      <c r="AC795" s="521"/>
      <c r="AD795" s="600"/>
      <c r="AE795" s="600">
        <v>1</v>
      </c>
      <c r="AF795" s="521">
        <v>1056</v>
      </c>
      <c r="AG795" s="521">
        <f t="shared" ref="AG795:AG817" si="285">AF795-I795</f>
        <v>0</v>
      </c>
      <c r="AH795" s="521"/>
      <c r="AI795" s="542"/>
      <c r="AJ795" s="521"/>
      <c r="AK795" s="521">
        <f>I795*2</f>
        <v>2112</v>
      </c>
      <c r="AL795" s="543"/>
      <c r="AN795" s="427">
        <f>I795*2</f>
        <v>2112</v>
      </c>
      <c r="AR795" s="543">
        <f>I795*2</f>
        <v>2112</v>
      </c>
      <c r="AS795" s="543"/>
      <c r="AT795" s="544"/>
      <c r="AY795" s="545">
        <f>I795/24*2</f>
        <v>88</v>
      </c>
      <c r="AZ795" s="546"/>
      <c r="BT795" s="544"/>
      <c r="BV795" s="544"/>
      <c r="CH795" s="427">
        <f>I795</f>
        <v>1056</v>
      </c>
      <c r="CI795" s="427">
        <f>I795</f>
        <v>1056</v>
      </c>
      <c r="CJ795" s="427">
        <f>I795</f>
        <v>1056</v>
      </c>
      <c r="CK795" s="427">
        <v>0</v>
      </c>
      <c r="CL795" s="427">
        <v>0</v>
      </c>
      <c r="CM795" s="427">
        <v>0</v>
      </c>
      <c r="CN795" s="544"/>
      <c r="CO795" s="544"/>
      <c r="CP795" s="544"/>
      <c r="CT795" s="544"/>
      <c r="CU795" s="544"/>
      <c r="CV795" s="544"/>
      <c r="CW795" s="544"/>
      <c r="CX795" s="544"/>
    </row>
    <row r="796" s="427" customFormat="1" ht="31" customHeight="1" spans="1:102">
      <c r="A796" s="518">
        <v>45953</v>
      </c>
      <c r="B796" s="519" t="s">
        <v>1545</v>
      </c>
      <c r="C796" s="520" t="s">
        <v>90</v>
      </c>
      <c r="D796" s="427">
        <v>4500182865</v>
      </c>
      <c r="E796" s="520">
        <v>2050737</v>
      </c>
      <c r="F796" s="427" t="s">
        <v>5168</v>
      </c>
      <c r="G796" s="521" t="s">
        <v>4564</v>
      </c>
      <c r="H796" s="521" t="s">
        <v>3237</v>
      </c>
      <c r="I796" s="521">
        <v>456</v>
      </c>
      <c r="J796" s="521">
        <v>0</v>
      </c>
      <c r="K796" s="521">
        <v>12</v>
      </c>
      <c r="L796" s="524">
        <f t="shared" si="283"/>
        <v>38</v>
      </c>
      <c r="M796" s="525">
        <v>45994</v>
      </c>
      <c r="N796" s="525">
        <v>45990</v>
      </c>
      <c r="O796" s="526"/>
      <c r="P796" s="526" t="s">
        <v>103</v>
      </c>
      <c r="Q796" s="521"/>
      <c r="R796" s="530">
        <v>45954</v>
      </c>
      <c r="S796" s="530" t="s">
        <v>66</v>
      </c>
      <c r="T796" s="530" t="s">
        <v>5166</v>
      </c>
      <c r="U796" s="530"/>
      <c r="V796" s="531" t="s">
        <v>5167</v>
      </c>
      <c r="W796" s="532" t="s">
        <v>279</v>
      </c>
      <c r="X796" s="532">
        <v>1.3094</v>
      </c>
      <c r="Y796" s="540">
        <f t="shared" si="284"/>
        <v>597.0864</v>
      </c>
      <c r="Z796" s="521"/>
      <c r="AA796" s="521" t="s">
        <v>3236</v>
      </c>
      <c r="AB796" s="521" t="s">
        <v>76</v>
      </c>
      <c r="AC796" s="521"/>
      <c r="AD796" s="600"/>
      <c r="AE796" s="600">
        <v>1</v>
      </c>
      <c r="AF796" s="521">
        <v>456</v>
      </c>
      <c r="AG796" s="521">
        <f t="shared" si="285"/>
        <v>0</v>
      </c>
      <c r="AH796" s="521"/>
      <c r="AI796" s="542"/>
      <c r="AJ796" s="521"/>
      <c r="AK796" s="521">
        <f>I796*2</f>
        <v>912</v>
      </c>
      <c r="AL796" s="543"/>
      <c r="AN796" s="427">
        <f>I796*2</f>
        <v>912</v>
      </c>
      <c r="AR796" s="543">
        <f>I796*2</f>
        <v>912</v>
      </c>
      <c r="AS796" s="543"/>
      <c r="AT796" s="544"/>
      <c r="AY796" s="545">
        <f>I796/24*2</f>
        <v>38</v>
      </c>
      <c r="AZ796" s="546"/>
      <c r="BT796" s="544"/>
      <c r="BV796" s="544"/>
      <c r="CH796" s="427">
        <f>I796</f>
        <v>456</v>
      </c>
      <c r="CI796" s="427">
        <f>I796</f>
        <v>456</v>
      </c>
      <c r="CJ796" s="427">
        <f>I796</f>
        <v>456</v>
      </c>
      <c r="CK796" s="427">
        <v>0</v>
      </c>
      <c r="CL796" s="427">
        <v>0</v>
      </c>
      <c r="CM796" s="427">
        <v>0</v>
      </c>
      <c r="CN796" s="544"/>
      <c r="CO796" s="544"/>
      <c r="CP796" s="544"/>
      <c r="CT796" s="544"/>
      <c r="CU796" s="544"/>
      <c r="CV796" s="544"/>
      <c r="CW796" s="544"/>
      <c r="CX796" s="544"/>
    </row>
    <row r="797" s="427" customFormat="1" ht="31" customHeight="1" spans="1:102">
      <c r="A797" s="518">
        <v>45959</v>
      </c>
      <c r="B797" s="519" t="s">
        <v>5169</v>
      </c>
      <c r="C797" s="520" t="s">
        <v>203</v>
      </c>
      <c r="D797" s="427">
        <v>4500183523</v>
      </c>
      <c r="E797" s="520" t="s">
        <v>5170</v>
      </c>
      <c r="F797" s="427" t="s">
        <v>5171</v>
      </c>
      <c r="G797" s="521" t="s">
        <v>3158</v>
      </c>
      <c r="H797" s="521" t="s">
        <v>3159</v>
      </c>
      <c r="I797" s="521">
        <v>5200</v>
      </c>
      <c r="J797" s="521">
        <v>0</v>
      </c>
      <c r="K797" s="521">
        <v>52</v>
      </c>
      <c r="L797" s="524">
        <f t="shared" si="283"/>
        <v>100</v>
      </c>
      <c r="M797" s="525">
        <v>45994</v>
      </c>
      <c r="N797" s="525">
        <v>45990</v>
      </c>
      <c r="O797" s="526"/>
      <c r="P797" s="526" t="s">
        <v>103</v>
      </c>
      <c r="Q797" s="521"/>
      <c r="R797" s="530">
        <v>45959</v>
      </c>
      <c r="S797" s="530" t="s">
        <v>66</v>
      </c>
      <c r="T797" s="530" t="s">
        <v>5172</v>
      </c>
      <c r="U797" s="530"/>
      <c r="V797" s="531" t="s">
        <v>5173</v>
      </c>
      <c r="W797" s="532" t="s">
        <v>5174</v>
      </c>
      <c r="X797" s="536">
        <v>0.9077</v>
      </c>
      <c r="Y797" s="540">
        <f t="shared" si="284"/>
        <v>4720.04</v>
      </c>
      <c r="Z797" s="521" t="s">
        <v>5175</v>
      </c>
      <c r="AA797" s="521" t="s">
        <v>3158</v>
      </c>
      <c r="AB797" s="521" t="s">
        <v>76</v>
      </c>
      <c r="AC797" s="521"/>
      <c r="AD797" s="600"/>
      <c r="AE797" s="600">
        <v>1</v>
      </c>
      <c r="AF797" s="521">
        <v>5200</v>
      </c>
      <c r="AG797" s="521">
        <f t="shared" si="285"/>
        <v>0</v>
      </c>
      <c r="AH797" s="521"/>
      <c r="AI797" s="542"/>
      <c r="AJ797" s="521"/>
      <c r="AK797" s="521"/>
      <c r="AL797" s="543">
        <f>I797</f>
        <v>5200</v>
      </c>
      <c r="AQ797" s="427">
        <f>I797</f>
        <v>5200</v>
      </c>
      <c r="AS797" s="543">
        <f>I797</f>
        <v>5200</v>
      </c>
      <c r="AT797" s="544"/>
      <c r="AY797" s="545">
        <f>I797/24</f>
        <v>216.666666666667</v>
      </c>
      <c r="AZ797" s="546"/>
      <c r="BI797" s="427">
        <f>I797/13</f>
        <v>400</v>
      </c>
      <c r="BT797" s="544"/>
      <c r="BV797" s="544"/>
      <c r="CK797" s="427">
        <f t="shared" ref="CK797:CK804" si="286">BM797+BL797+BK797+BJ797+BS797</f>
        <v>0</v>
      </c>
      <c r="CL797" s="427">
        <f t="shared" ref="CL797:CL804" si="287">CA797+CB797+CC797+CD797+CE797+CG797+CF797</f>
        <v>0</v>
      </c>
      <c r="CM797" s="427">
        <f t="shared" ref="CM797:CM804" si="288">BY797+BZ797</f>
        <v>0</v>
      </c>
      <c r="CN797" s="544"/>
      <c r="CO797" s="544"/>
      <c r="CP797" s="544"/>
      <c r="CT797" s="544"/>
      <c r="CU797" s="544"/>
      <c r="CV797" s="544"/>
      <c r="CW797" s="544"/>
      <c r="CX797" s="544"/>
    </row>
    <row r="798" s="427" customFormat="1" ht="31" customHeight="1" spans="1:102">
      <c r="A798" s="518">
        <v>45957</v>
      </c>
      <c r="B798" s="595" t="s">
        <v>280</v>
      </c>
      <c r="C798" s="596" t="s">
        <v>249</v>
      </c>
      <c r="D798" s="427">
        <v>4500183275</v>
      </c>
      <c r="E798" s="520" t="s">
        <v>5176</v>
      </c>
      <c r="F798" s="427" t="s">
        <v>5177</v>
      </c>
      <c r="G798" s="521" t="s">
        <v>3158</v>
      </c>
      <c r="H798" s="521" t="s">
        <v>3159</v>
      </c>
      <c r="I798" s="521">
        <v>18044</v>
      </c>
      <c r="J798" s="521">
        <v>0</v>
      </c>
      <c r="K798" s="521">
        <v>52</v>
      </c>
      <c r="L798" s="524">
        <f t="shared" si="283"/>
        <v>347</v>
      </c>
      <c r="M798" s="525">
        <v>45996</v>
      </c>
      <c r="N798" s="525">
        <v>45992</v>
      </c>
      <c r="O798" s="526"/>
      <c r="P798" s="526" t="s">
        <v>103</v>
      </c>
      <c r="Q798" s="521"/>
      <c r="R798" s="530">
        <v>45957</v>
      </c>
      <c r="S798" s="530" t="s">
        <v>96</v>
      </c>
      <c r="T798" s="530" t="s">
        <v>5178</v>
      </c>
      <c r="U798" s="530"/>
      <c r="V798" s="532" t="s">
        <v>5179</v>
      </c>
      <c r="W798" s="598" t="s">
        <v>2036</v>
      </c>
      <c r="X798" s="536">
        <v>0.9002</v>
      </c>
      <c r="Y798" s="540">
        <f t="shared" si="284"/>
        <v>16243.2088</v>
      </c>
      <c r="Z798" s="521"/>
      <c r="AA798" s="521" t="s">
        <v>3158</v>
      </c>
      <c r="AB798" s="521" t="s">
        <v>76</v>
      </c>
      <c r="AC798" s="521"/>
      <c r="AD798" s="521"/>
      <c r="AE798" s="600">
        <v>1</v>
      </c>
      <c r="AF798" s="521">
        <f>17992+52</f>
        <v>18044</v>
      </c>
      <c r="AG798" s="521">
        <f t="shared" si="285"/>
        <v>0</v>
      </c>
      <c r="AH798" s="542"/>
      <c r="AI798" s="521"/>
      <c r="AJ798" s="521"/>
      <c r="AK798" s="521"/>
      <c r="AL798" s="543">
        <f>I798</f>
        <v>18044</v>
      </c>
      <c r="AQ798" s="427">
        <f>I798</f>
        <v>18044</v>
      </c>
      <c r="AR798" s="543"/>
      <c r="AS798" s="543">
        <f>I798</f>
        <v>18044</v>
      </c>
      <c r="AT798" s="544"/>
      <c r="AU798" s="543"/>
      <c r="AY798" s="545">
        <f>I798/24</f>
        <v>751.833333333333</v>
      </c>
      <c r="AZ798" s="546"/>
      <c r="BI798" s="427">
        <f>I798/13</f>
        <v>1388</v>
      </c>
      <c r="BT798" s="544"/>
      <c r="BV798" s="544"/>
      <c r="CK798" s="427">
        <f t="shared" si="286"/>
        <v>0</v>
      </c>
      <c r="CL798" s="427">
        <f t="shared" si="287"/>
        <v>0</v>
      </c>
      <c r="CM798" s="427">
        <f t="shared" si="288"/>
        <v>0</v>
      </c>
      <c r="CN798" s="544"/>
      <c r="CO798" s="544"/>
      <c r="CP798" s="544"/>
      <c r="CT798" s="544"/>
      <c r="CU798" s="544"/>
      <c r="CV798" s="544"/>
      <c r="CW798" s="544"/>
      <c r="CX798" s="544"/>
    </row>
    <row r="799" s="427" customFormat="1" ht="31" customHeight="1" spans="1:102">
      <c r="A799" s="518">
        <v>45905</v>
      </c>
      <c r="B799" s="519" t="s">
        <v>1669</v>
      </c>
      <c r="C799" s="520" t="s">
        <v>663</v>
      </c>
      <c r="D799" s="427">
        <v>4500178919</v>
      </c>
      <c r="E799" s="520">
        <v>5000001988</v>
      </c>
      <c r="F799" s="427" t="s">
        <v>2115</v>
      </c>
      <c r="G799" s="521" t="s">
        <v>3436</v>
      </c>
      <c r="H799" s="521" t="s">
        <v>424</v>
      </c>
      <c r="I799" s="521">
        <v>10002</v>
      </c>
      <c r="J799" s="521">
        <v>0</v>
      </c>
      <c r="K799" s="521">
        <v>6</v>
      </c>
      <c r="L799" s="524">
        <f t="shared" si="283"/>
        <v>1667</v>
      </c>
      <c r="M799" s="525">
        <v>45996</v>
      </c>
      <c r="N799" s="525">
        <v>45992</v>
      </c>
      <c r="O799" s="526"/>
      <c r="P799" s="526" t="s">
        <v>103</v>
      </c>
      <c r="Q799" s="521"/>
      <c r="R799" s="530">
        <v>45960</v>
      </c>
      <c r="S799" s="530" t="s">
        <v>66</v>
      </c>
      <c r="T799" s="530" t="s">
        <v>5063</v>
      </c>
      <c r="U799" s="530"/>
      <c r="V799" s="531" t="s">
        <v>2538</v>
      </c>
      <c r="W799" s="532" t="s">
        <v>1674</v>
      </c>
      <c r="X799" s="532">
        <v>6.3409</v>
      </c>
      <c r="Y799" s="540">
        <f t="shared" si="284"/>
        <v>63421.6818</v>
      </c>
      <c r="Z799" s="521" t="s">
        <v>2116</v>
      </c>
      <c r="AA799" s="600" t="s">
        <v>2069</v>
      </c>
      <c r="AB799" s="521" t="s">
        <v>76</v>
      </c>
      <c r="AC799" s="521"/>
      <c r="AD799" s="521"/>
      <c r="AE799" s="600">
        <v>1</v>
      </c>
      <c r="AF799" s="521">
        <f>534+9450+18</f>
        <v>10002</v>
      </c>
      <c r="AG799" s="521">
        <f t="shared" si="285"/>
        <v>0</v>
      </c>
      <c r="AH799" s="542"/>
      <c r="AI799" s="521"/>
      <c r="AJ799" s="521"/>
      <c r="AK799" s="521"/>
      <c r="AL799" s="601">
        <f>I799*2</f>
        <v>20004</v>
      </c>
      <c r="AM799" s="427">
        <f>I799*2</f>
        <v>20004</v>
      </c>
      <c r="AS799" s="543"/>
      <c r="AT799" s="544"/>
      <c r="AU799" s="427">
        <f>I799*2</f>
        <v>20004</v>
      </c>
      <c r="AX799" s="602">
        <f>I799/24*2</f>
        <v>833.5</v>
      </c>
      <c r="AY799" s="603"/>
      <c r="AZ799" s="546"/>
      <c r="BT799" s="495"/>
      <c r="BU799" s="425">
        <f>I799</f>
        <v>10002</v>
      </c>
      <c r="BV799" s="544"/>
      <c r="CK799" s="427">
        <f t="shared" si="286"/>
        <v>0</v>
      </c>
      <c r="CL799" s="427">
        <f t="shared" si="287"/>
        <v>0</v>
      </c>
      <c r="CM799" s="427">
        <f t="shared" si="288"/>
        <v>0</v>
      </c>
      <c r="CN799" s="544"/>
      <c r="CO799" s="544"/>
      <c r="CP799" s="544"/>
      <c r="CT799" s="544"/>
      <c r="CU799" s="544"/>
      <c r="CV799" s="544"/>
      <c r="CW799" s="544"/>
      <c r="CX799" s="544"/>
    </row>
    <row r="800" s="427" customFormat="1" ht="31" customHeight="1" spans="1:102">
      <c r="A800" s="518">
        <v>45875</v>
      </c>
      <c r="B800" s="519" t="s">
        <v>2117</v>
      </c>
      <c r="C800" s="520" t="s">
        <v>2118</v>
      </c>
      <c r="D800" s="427">
        <v>4500176094</v>
      </c>
      <c r="E800" s="520"/>
      <c r="F800" s="427" t="s">
        <v>5180</v>
      </c>
      <c r="G800" s="521" t="s">
        <v>3378</v>
      </c>
      <c r="H800" s="521" t="s">
        <v>3379</v>
      </c>
      <c r="I800" s="521">
        <v>250</v>
      </c>
      <c r="J800" s="521">
        <v>0</v>
      </c>
      <c r="K800" s="521">
        <v>50</v>
      </c>
      <c r="L800" s="524">
        <f t="shared" si="283"/>
        <v>5</v>
      </c>
      <c r="M800" s="525">
        <v>45996</v>
      </c>
      <c r="N800" s="525">
        <v>45992</v>
      </c>
      <c r="O800" s="526"/>
      <c r="P800" s="526" t="s">
        <v>103</v>
      </c>
      <c r="Q800" s="521"/>
      <c r="R800" s="530">
        <v>45919</v>
      </c>
      <c r="S800" s="530" t="s">
        <v>66</v>
      </c>
      <c r="T800" s="599" t="s">
        <v>5093</v>
      </c>
      <c r="U800" s="530"/>
      <c r="V800" s="531" t="s">
        <v>5181</v>
      </c>
      <c r="W800" s="532" t="s">
        <v>473</v>
      </c>
      <c r="X800" s="532">
        <v>0.9113</v>
      </c>
      <c r="Y800" s="540">
        <f t="shared" si="284"/>
        <v>227.825</v>
      </c>
      <c r="Z800" s="521" t="s">
        <v>5182</v>
      </c>
      <c r="AA800" s="519" t="s">
        <v>3378</v>
      </c>
      <c r="AB800" s="521" t="s">
        <v>76</v>
      </c>
      <c r="AC800" s="521"/>
      <c r="AD800" s="521"/>
      <c r="AE800" s="600">
        <v>1</v>
      </c>
      <c r="AF800" s="521">
        <v>250</v>
      </c>
      <c r="AG800" s="521">
        <f t="shared" si="285"/>
        <v>0</v>
      </c>
      <c r="AH800" s="542"/>
      <c r="AI800" s="521"/>
      <c r="AJ800" s="521"/>
      <c r="AK800" s="521"/>
      <c r="AL800" s="543">
        <f>I800</f>
        <v>250</v>
      </c>
      <c r="AQ800" s="593">
        <f>I800</f>
        <v>250</v>
      </c>
      <c r="AR800" s="543"/>
      <c r="AS800" s="543"/>
      <c r="AT800" s="544"/>
      <c r="AU800" s="543"/>
      <c r="AY800" s="581">
        <f>I800/24*2</f>
        <v>20.8333333333333</v>
      </c>
      <c r="AZ800" s="546"/>
      <c r="BR800" s="427">
        <f>I800</f>
        <v>250</v>
      </c>
      <c r="BS800" s="427">
        <f>I800/25</f>
        <v>10</v>
      </c>
      <c r="BT800" s="544"/>
      <c r="BV800" s="544"/>
      <c r="CK800" s="428">
        <f t="shared" si="286"/>
        <v>10</v>
      </c>
      <c r="CL800" s="428">
        <f t="shared" si="287"/>
        <v>0</v>
      </c>
      <c r="CM800" s="428">
        <f t="shared" si="288"/>
        <v>0</v>
      </c>
      <c r="CN800" s="544"/>
      <c r="CO800" s="544"/>
      <c r="CP800" s="544"/>
      <c r="CT800" s="544"/>
      <c r="CU800" s="544"/>
      <c r="CV800" s="544"/>
      <c r="CW800" s="544"/>
      <c r="CX800" s="544"/>
    </row>
    <row r="801" s="427" customFormat="1" ht="31" customHeight="1" spans="1:102">
      <c r="A801" s="518">
        <v>45930</v>
      </c>
      <c r="B801" s="519" t="s">
        <v>2117</v>
      </c>
      <c r="C801" s="520" t="s">
        <v>2118</v>
      </c>
      <c r="D801" s="427">
        <v>4500181141</v>
      </c>
      <c r="E801" s="520" t="s">
        <v>2119</v>
      </c>
      <c r="F801" s="427" t="s">
        <v>5183</v>
      </c>
      <c r="G801" s="521" t="s">
        <v>3378</v>
      </c>
      <c r="H801" s="521" t="s">
        <v>3379</v>
      </c>
      <c r="I801" s="521">
        <v>500</v>
      </c>
      <c r="J801" s="521">
        <v>0</v>
      </c>
      <c r="K801" s="521">
        <v>50</v>
      </c>
      <c r="L801" s="524">
        <f t="shared" si="283"/>
        <v>10</v>
      </c>
      <c r="M801" s="525">
        <v>45996</v>
      </c>
      <c r="N801" s="525">
        <v>45992</v>
      </c>
      <c r="O801" s="526"/>
      <c r="P801" s="526" t="s">
        <v>103</v>
      </c>
      <c r="Q801" s="521"/>
      <c r="R801" s="530">
        <v>45930</v>
      </c>
      <c r="S801" s="530" t="s">
        <v>66</v>
      </c>
      <c r="T801" s="530" t="s">
        <v>5093</v>
      </c>
      <c r="U801" s="530"/>
      <c r="V801" s="532" t="s">
        <v>5184</v>
      </c>
      <c r="W801" s="532" t="s">
        <v>473</v>
      </c>
      <c r="X801" s="532">
        <v>0.9292</v>
      </c>
      <c r="Y801" s="540">
        <v>464.6</v>
      </c>
      <c r="Z801" s="521" t="s">
        <v>5185</v>
      </c>
      <c r="AA801" s="521" t="s">
        <v>3378</v>
      </c>
      <c r="AB801" s="521" t="s">
        <v>76</v>
      </c>
      <c r="AC801" s="521"/>
      <c r="AD801" s="521"/>
      <c r="AE801" s="600">
        <v>1</v>
      </c>
      <c r="AF801" s="521">
        <v>500</v>
      </c>
      <c r="AG801" s="521">
        <f t="shared" si="285"/>
        <v>0</v>
      </c>
      <c r="AH801" s="542"/>
      <c r="AI801" s="521"/>
      <c r="AJ801" s="521"/>
      <c r="AK801" s="521"/>
      <c r="AL801" s="543">
        <f>I801</f>
        <v>500</v>
      </c>
      <c r="AQ801" s="427">
        <v>500</v>
      </c>
      <c r="AR801" s="543"/>
      <c r="AS801" s="543"/>
      <c r="AT801" s="544"/>
      <c r="AU801" s="543"/>
      <c r="AY801" s="581">
        <f>I801/24*2</f>
        <v>41.6666666666667</v>
      </c>
      <c r="AZ801" s="546"/>
      <c r="BR801" s="427">
        <v>500</v>
      </c>
      <c r="BS801" s="427">
        <f>I801/25</f>
        <v>20</v>
      </c>
      <c r="BT801" s="544"/>
      <c r="BV801" s="544"/>
      <c r="CK801" s="428">
        <f t="shared" si="286"/>
        <v>20</v>
      </c>
      <c r="CL801" s="428">
        <f t="shared" si="287"/>
        <v>0</v>
      </c>
      <c r="CM801" s="428">
        <f t="shared" si="288"/>
        <v>0</v>
      </c>
      <c r="CN801" s="544"/>
      <c r="CO801" s="544"/>
      <c r="CP801" s="544"/>
      <c r="CT801" s="544"/>
      <c r="CU801" s="544"/>
      <c r="CV801" s="544"/>
      <c r="CW801" s="544"/>
      <c r="CX801" s="544"/>
    </row>
    <row r="802" s="427" customFormat="1" ht="31" customHeight="1" spans="1:102">
      <c r="A802" s="518">
        <v>45944</v>
      </c>
      <c r="B802" s="519" t="s">
        <v>190</v>
      </c>
      <c r="C802" s="520" t="s">
        <v>191</v>
      </c>
      <c r="D802" s="427">
        <v>4500181824</v>
      </c>
      <c r="E802" s="520" t="s">
        <v>2124</v>
      </c>
      <c r="F802" s="427" t="s">
        <v>2128</v>
      </c>
      <c r="G802" s="521" t="s">
        <v>3436</v>
      </c>
      <c r="H802" s="521" t="s">
        <v>424</v>
      </c>
      <c r="I802" s="521">
        <v>300</v>
      </c>
      <c r="J802" s="521">
        <v>0</v>
      </c>
      <c r="K802" s="521">
        <v>6</v>
      </c>
      <c r="L802" s="524">
        <f t="shared" si="283"/>
        <v>50</v>
      </c>
      <c r="M802" s="525">
        <v>45996</v>
      </c>
      <c r="N802" s="525">
        <v>45992</v>
      </c>
      <c r="O802" s="526"/>
      <c r="P802" s="526" t="s">
        <v>103</v>
      </c>
      <c r="Q802" s="521"/>
      <c r="R802" s="530">
        <v>45944</v>
      </c>
      <c r="S802" s="530" t="s">
        <v>66</v>
      </c>
      <c r="T802" s="530" t="s">
        <v>5186</v>
      </c>
      <c r="U802" s="530"/>
      <c r="V802" s="532" t="s">
        <v>5187</v>
      </c>
      <c r="W802" s="532" t="s">
        <v>1663</v>
      </c>
      <c r="X802" s="532">
        <v>6.5552</v>
      </c>
      <c r="Y802" s="540">
        <f t="shared" ref="Y802:Y807" si="289">X802*I802</f>
        <v>1966.56</v>
      </c>
      <c r="Z802" s="521"/>
      <c r="AA802" s="600" t="s">
        <v>2069</v>
      </c>
      <c r="AB802" s="521" t="s">
        <v>76</v>
      </c>
      <c r="AC802" s="521"/>
      <c r="AD802" s="521"/>
      <c r="AE802" s="521">
        <v>1</v>
      </c>
      <c r="AF802" s="521"/>
      <c r="AG802" s="521">
        <f t="shared" si="285"/>
        <v>-300</v>
      </c>
      <c r="AH802" s="542"/>
      <c r="AI802" s="521"/>
      <c r="AJ802" s="521"/>
      <c r="AK802" s="521"/>
      <c r="AL802" s="543">
        <f>I802*2</f>
        <v>600</v>
      </c>
      <c r="AQ802" s="427">
        <f>I802*2</f>
        <v>600</v>
      </c>
      <c r="AR802" s="543"/>
      <c r="AS802" s="427">
        <f>I802*2</f>
        <v>600</v>
      </c>
      <c r="AT802" s="544"/>
      <c r="AX802" s="602"/>
      <c r="AY802" s="603">
        <f>I802/24</f>
        <v>12.5</v>
      </c>
      <c r="AZ802" s="546"/>
      <c r="BT802" s="495"/>
      <c r="BU802" s="425">
        <f>I802</f>
        <v>300</v>
      </c>
      <c r="BV802" s="544"/>
      <c r="CK802" s="427">
        <f t="shared" si="286"/>
        <v>0</v>
      </c>
      <c r="CL802" s="427">
        <f t="shared" si="287"/>
        <v>0</v>
      </c>
      <c r="CM802" s="427">
        <f t="shared" si="288"/>
        <v>0</v>
      </c>
      <c r="CN802" s="544"/>
      <c r="CO802" s="544"/>
      <c r="CP802" s="544"/>
      <c r="CT802" s="544"/>
      <c r="CU802" s="544"/>
      <c r="CV802" s="544"/>
      <c r="CW802" s="544"/>
      <c r="CX802" s="544"/>
    </row>
    <row r="803" s="427" customFormat="1" ht="31" customHeight="1" spans="1:102">
      <c r="A803" s="518">
        <v>45953</v>
      </c>
      <c r="B803" s="519" t="s">
        <v>5188</v>
      </c>
      <c r="C803" s="520" t="s">
        <v>90</v>
      </c>
      <c r="D803" s="427">
        <v>4500182810</v>
      </c>
      <c r="E803" s="520" t="s">
        <v>5189</v>
      </c>
      <c r="F803" s="427" t="s">
        <v>5190</v>
      </c>
      <c r="G803" s="521" t="s">
        <v>5191</v>
      </c>
      <c r="H803" s="521" t="s">
        <v>3214</v>
      </c>
      <c r="I803" s="521">
        <v>75528</v>
      </c>
      <c r="J803" s="521">
        <v>0</v>
      </c>
      <c r="K803" s="521">
        <v>6</v>
      </c>
      <c r="L803" s="524">
        <f t="shared" si="283"/>
        <v>12588</v>
      </c>
      <c r="M803" s="525">
        <v>45996</v>
      </c>
      <c r="N803" s="525">
        <v>45992</v>
      </c>
      <c r="O803" s="526" t="s">
        <v>5192</v>
      </c>
      <c r="P803" s="526" t="s">
        <v>103</v>
      </c>
      <c r="Q803" s="521"/>
      <c r="R803" s="530">
        <v>45953</v>
      </c>
      <c r="S803" s="530" t="s">
        <v>96</v>
      </c>
      <c r="T803" s="530" t="s">
        <v>5193</v>
      </c>
      <c r="U803" s="530"/>
      <c r="V803" s="532" t="s">
        <v>5194</v>
      </c>
      <c r="W803" s="532" t="s">
        <v>5195</v>
      </c>
      <c r="X803" s="532">
        <v>0.5735</v>
      </c>
      <c r="Y803" s="540">
        <f t="shared" si="289"/>
        <v>43315.308</v>
      </c>
      <c r="Z803" s="521"/>
      <c r="AA803" s="521" t="s">
        <v>5191</v>
      </c>
      <c r="AB803" s="521" t="s">
        <v>76</v>
      </c>
      <c r="AC803" s="521"/>
      <c r="AD803" s="521"/>
      <c r="AE803" s="521">
        <v>1</v>
      </c>
      <c r="AF803" s="521">
        <f>32664+41496+1368</f>
        <v>75528</v>
      </c>
      <c r="AG803" s="521">
        <f t="shared" si="285"/>
        <v>0</v>
      </c>
      <c r="AH803" s="542"/>
      <c r="AI803" s="521"/>
      <c r="AJ803" s="521"/>
      <c r="AK803" s="521">
        <f>I803</f>
        <v>75528</v>
      </c>
      <c r="AL803" s="543"/>
      <c r="AM803" s="427">
        <f>I803</f>
        <v>75528</v>
      </c>
      <c r="AR803" s="543">
        <f>I803</f>
        <v>75528</v>
      </c>
      <c r="AS803" s="543"/>
      <c r="AT803" s="544"/>
      <c r="AY803" s="603">
        <f>I803</f>
        <v>75528</v>
      </c>
      <c r="AZ803" s="546"/>
      <c r="BP803" s="427">
        <f>L803</f>
        <v>12588</v>
      </c>
      <c r="BT803" s="544"/>
      <c r="BV803" s="544"/>
      <c r="CK803" s="428">
        <f t="shared" si="286"/>
        <v>0</v>
      </c>
      <c r="CL803" s="428">
        <f t="shared" si="287"/>
        <v>0</v>
      </c>
      <c r="CM803" s="428">
        <f t="shared" si="288"/>
        <v>0</v>
      </c>
      <c r="CN803" s="544"/>
      <c r="CO803" s="544"/>
      <c r="CP803" s="544"/>
      <c r="CT803" s="544"/>
      <c r="CU803" s="544"/>
      <c r="CV803" s="544"/>
      <c r="CW803" s="544"/>
      <c r="CX803" s="544"/>
    </row>
    <row r="804" s="427" customFormat="1" ht="31" customHeight="1" spans="1:102">
      <c r="A804" s="518">
        <v>45959</v>
      </c>
      <c r="B804" s="519" t="s">
        <v>5196</v>
      </c>
      <c r="C804" s="520" t="s">
        <v>216</v>
      </c>
      <c r="D804" s="427">
        <v>4500183542</v>
      </c>
      <c r="E804" s="520">
        <v>32723635</v>
      </c>
      <c r="F804" s="427" t="s">
        <v>5197</v>
      </c>
      <c r="G804" s="521" t="s">
        <v>3165</v>
      </c>
      <c r="H804" s="521" t="s">
        <v>3303</v>
      </c>
      <c r="I804" s="521">
        <v>1125</v>
      </c>
      <c r="J804" s="521">
        <v>0</v>
      </c>
      <c r="K804" s="521">
        <v>25</v>
      </c>
      <c r="L804" s="524">
        <f t="shared" si="283"/>
        <v>45</v>
      </c>
      <c r="M804" s="525">
        <v>45996</v>
      </c>
      <c r="N804" s="525">
        <v>45992</v>
      </c>
      <c r="O804" s="526"/>
      <c r="P804" s="526" t="s">
        <v>103</v>
      </c>
      <c r="Q804" s="521"/>
      <c r="R804" s="530">
        <v>45959</v>
      </c>
      <c r="S804" s="530" t="s">
        <v>66</v>
      </c>
      <c r="T804" s="530" t="s">
        <v>5198</v>
      </c>
      <c r="U804" s="530"/>
      <c r="V804" s="532" t="s">
        <v>5199</v>
      </c>
      <c r="W804" s="532" t="s">
        <v>5200</v>
      </c>
      <c r="X804" s="532">
        <v>0.9417</v>
      </c>
      <c r="Y804" s="540">
        <f t="shared" si="289"/>
        <v>1059.4125</v>
      </c>
      <c r="Z804" s="521"/>
      <c r="AA804" s="521" t="s">
        <v>3165</v>
      </c>
      <c r="AB804" s="521" t="s">
        <v>76</v>
      </c>
      <c r="AC804" s="521"/>
      <c r="AD804" s="521"/>
      <c r="AE804" s="521">
        <v>1</v>
      </c>
      <c r="AF804" s="521">
        <v>1125</v>
      </c>
      <c r="AG804" s="521">
        <f t="shared" si="285"/>
        <v>0</v>
      </c>
      <c r="AH804" s="542"/>
      <c r="AI804" s="521"/>
      <c r="AJ804" s="521"/>
      <c r="AK804" s="521"/>
      <c r="AL804" s="543">
        <f>I804</f>
        <v>1125</v>
      </c>
      <c r="AQ804" s="427">
        <f>I804</f>
        <v>1125</v>
      </c>
      <c r="AR804" s="543"/>
      <c r="AS804" s="543">
        <f>I804</f>
        <v>1125</v>
      </c>
      <c r="AT804" s="544"/>
      <c r="AY804" s="545">
        <f>I804/24</f>
        <v>46.875</v>
      </c>
      <c r="AZ804" s="546"/>
      <c r="BL804" s="427">
        <f>I804/25</f>
        <v>45</v>
      </c>
      <c r="BT804" s="544"/>
      <c r="BV804" s="544"/>
      <c r="CK804" s="427">
        <f t="shared" si="286"/>
        <v>45</v>
      </c>
      <c r="CL804" s="427">
        <f t="shared" si="287"/>
        <v>0</v>
      </c>
      <c r="CM804" s="427">
        <f t="shared" si="288"/>
        <v>0</v>
      </c>
      <c r="CN804" s="544"/>
      <c r="CO804" s="544"/>
      <c r="CP804" s="544"/>
      <c r="CT804" s="544"/>
      <c r="CU804" s="544"/>
      <c r="CV804" s="544"/>
      <c r="CW804" s="544"/>
      <c r="CX804" s="544"/>
    </row>
    <row r="805" s="427" customFormat="1" ht="31" customHeight="1" spans="1:102">
      <c r="A805" s="518">
        <v>45960</v>
      </c>
      <c r="B805" s="519" t="s">
        <v>5201</v>
      </c>
      <c r="C805" s="520" t="s">
        <v>90</v>
      </c>
      <c r="D805" s="427">
        <v>4500183797</v>
      </c>
      <c r="E805" s="520" t="s">
        <v>5202</v>
      </c>
      <c r="F805" s="427" t="s">
        <v>5203</v>
      </c>
      <c r="G805" s="521" t="s">
        <v>4564</v>
      </c>
      <c r="H805" s="521" t="s">
        <v>3237</v>
      </c>
      <c r="I805" s="521">
        <v>996</v>
      </c>
      <c r="J805" s="521">
        <v>0</v>
      </c>
      <c r="K805" s="521">
        <v>12</v>
      </c>
      <c r="L805" s="524">
        <f t="shared" si="283"/>
        <v>83</v>
      </c>
      <c r="M805" s="525">
        <v>45996</v>
      </c>
      <c r="N805" s="525">
        <v>45992</v>
      </c>
      <c r="O805" s="526"/>
      <c r="P805" s="526" t="s">
        <v>103</v>
      </c>
      <c r="Q805" s="521"/>
      <c r="R805" s="530">
        <v>45965</v>
      </c>
      <c r="S805" s="530" t="s">
        <v>66</v>
      </c>
      <c r="T805" s="530" t="s">
        <v>5204</v>
      </c>
      <c r="U805" s="530"/>
      <c r="V805" s="532" t="s">
        <v>5205</v>
      </c>
      <c r="W805" s="532" t="s">
        <v>2340</v>
      </c>
      <c r="X805" s="532">
        <v>1.3094</v>
      </c>
      <c r="Y805" s="540">
        <f t="shared" si="289"/>
        <v>1304.1624</v>
      </c>
      <c r="Z805" s="521"/>
      <c r="AA805" s="521" t="s">
        <v>3236</v>
      </c>
      <c r="AB805" s="521" t="s">
        <v>76</v>
      </c>
      <c r="AC805" s="521"/>
      <c r="AD805" s="600"/>
      <c r="AE805" s="521">
        <v>1</v>
      </c>
      <c r="AF805" s="521">
        <v>996</v>
      </c>
      <c r="AG805" s="521">
        <f t="shared" si="285"/>
        <v>0</v>
      </c>
      <c r="AH805" s="521"/>
      <c r="AI805" s="542"/>
      <c r="AJ805" s="521"/>
      <c r="AK805" s="521">
        <f>I805*2</f>
        <v>1992</v>
      </c>
      <c r="AL805" s="543"/>
      <c r="AN805" s="427">
        <f>I805*2</f>
        <v>1992</v>
      </c>
      <c r="AR805" s="543">
        <f>I805*2</f>
        <v>1992</v>
      </c>
      <c r="AS805" s="543"/>
      <c r="AT805" s="544"/>
      <c r="AY805" s="545">
        <f t="shared" ref="AY805:AY811" si="290">I805/24*2</f>
        <v>83</v>
      </c>
      <c r="AZ805" s="546"/>
      <c r="BT805" s="544"/>
      <c r="BV805" s="544"/>
      <c r="CH805" s="427">
        <f>I805</f>
        <v>996</v>
      </c>
      <c r="CI805" s="427">
        <f>I805</f>
        <v>996</v>
      </c>
      <c r="CJ805" s="427">
        <f>I805</f>
        <v>996</v>
      </c>
      <c r="CK805" s="427">
        <v>0</v>
      </c>
      <c r="CL805" s="427">
        <v>0</v>
      </c>
      <c r="CM805" s="427">
        <v>0</v>
      </c>
      <c r="CN805" s="544"/>
      <c r="CO805" s="544"/>
      <c r="CP805" s="544"/>
      <c r="CT805" s="544"/>
      <c r="CU805" s="544"/>
      <c r="CV805" s="544"/>
      <c r="CW805" s="544"/>
      <c r="CX805" s="544"/>
    </row>
    <row r="806" s="427" customFormat="1" ht="31" customHeight="1" spans="1:102">
      <c r="A806" s="518">
        <v>45960</v>
      </c>
      <c r="B806" s="519" t="s">
        <v>5201</v>
      </c>
      <c r="C806" s="520" t="s">
        <v>90</v>
      </c>
      <c r="D806" s="427">
        <v>4500183798</v>
      </c>
      <c r="E806" s="520" t="s">
        <v>5206</v>
      </c>
      <c r="F806" s="427" t="s">
        <v>5207</v>
      </c>
      <c r="G806" s="521" t="s">
        <v>4564</v>
      </c>
      <c r="H806" s="521" t="s">
        <v>3237</v>
      </c>
      <c r="I806" s="521">
        <v>1200</v>
      </c>
      <c r="J806" s="521">
        <v>0</v>
      </c>
      <c r="K806" s="521">
        <v>12</v>
      </c>
      <c r="L806" s="524">
        <f t="shared" si="283"/>
        <v>100</v>
      </c>
      <c r="M806" s="525">
        <v>45996</v>
      </c>
      <c r="N806" s="525">
        <v>45992</v>
      </c>
      <c r="O806" s="526"/>
      <c r="P806" s="526" t="s">
        <v>103</v>
      </c>
      <c r="Q806" s="521"/>
      <c r="R806" s="530">
        <v>45965</v>
      </c>
      <c r="S806" s="530" t="s">
        <v>66</v>
      </c>
      <c r="T806" s="530" t="s">
        <v>5204</v>
      </c>
      <c r="U806" s="530"/>
      <c r="V806" s="532" t="s">
        <v>5208</v>
      </c>
      <c r="W806" s="532" t="s">
        <v>2340</v>
      </c>
      <c r="X806" s="532">
        <v>1.3094</v>
      </c>
      <c r="Y806" s="540">
        <f t="shared" si="289"/>
        <v>1571.28</v>
      </c>
      <c r="Z806" s="521"/>
      <c r="AA806" s="521" t="s">
        <v>3236</v>
      </c>
      <c r="AB806" s="521" t="s">
        <v>76</v>
      </c>
      <c r="AC806" s="521"/>
      <c r="AD806" s="600"/>
      <c r="AE806" s="521">
        <v>1</v>
      </c>
      <c r="AF806" s="521">
        <v>1200</v>
      </c>
      <c r="AG806" s="521">
        <f t="shared" si="285"/>
        <v>0</v>
      </c>
      <c r="AH806" s="521"/>
      <c r="AI806" s="542"/>
      <c r="AJ806" s="521"/>
      <c r="AK806" s="521">
        <f>I806*2</f>
        <v>2400</v>
      </c>
      <c r="AL806" s="543"/>
      <c r="AN806" s="427">
        <f>I806*2</f>
        <v>2400</v>
      </c>
      <c r="AR806" s="543">
        <f>I806*2</f>
        <v>2400</v>
      </c>
      <c r="AS806" s="543"/>
      <c r="AT806" s="544"/>
      <c r="AY806" s="545">
        <f t="shared" si="290"/>
        <v>100</v>
      </c>
      <c r="AZ806" s="546"/>
      <c r="BT806" s="544"/>
      <c r="BV806" s="544"/>
      <c r="CH806" s="427">
        <f>I806</f>
        <v>1200</v>
      </c>
      <c r="CI806" s="427">
        <f>I806</f>
        <v>1200</v>
      </c>
      <c r="CJ806" s="427">
        <f>I806</f>
        <v>1200</v>
      </c>
      <c r="CK806" s="427">
        <v>0</v>
      </c>
      <c r="CL806" s="427">
        <v>0</v>
      </c>
      <c r="CM806" s="427">
        <v>0</v>
      </c>
      <c r="CN806" s="544"/>
      <c r="CO806" s="544"/>
      <c r="CP806" s="544"/>
      <c r="CT806" s="544"/>
      <c r="CU806" s="544"/>
      <c r="CV806" s="544"/>
      <c r="CW806" s="544"/>
      <c r="CX806" s="544"/>
    </row>
    <row r="807" s="427" customFormat="1" ht="31" customHeight="1" spans="1:102">
      <c r="A807" s="518">
        <v>45965</v>
      </c>
      <c r="B807" s="519" t="s">
        <v>2489</v>
      </c>
      <c r="C807" s="520" t="s">
        <v>90</v>
      </c>
      <c r="D807" s="427">
        <v>4500184367</v>
      </c>
      <c r="E807" s="520">
        <v>60260987</v>
      </c>
      <c r="F807" s="427" t="s">
        <v>5209</v>
      </c>
      <c r="G807" s="521" t="s">
        <v>4564</v>
      </c>
      <c r="H807" s="521" t="s">
        <v>3237</v>
      </c>
      <c r="I807" s="521">
        <v>2004</v>
      </c>
      <c r="J807" s="521">
        <v>0</v>
      </c>
      <c r="K807" s="521">
        <v>12</v>
      </c>
      <c r="L807" s="524">
        <f t="shared" si="283"/>
        <v>167</v>
      </c>
      <c r="M807" s="525">
        <v>45996</v>
      </c>
      <c r="N807" s="525">
        <v>45992</v>
      </c>
      <c r="O807" s="526"/>
      <c r="P807" s="526" t="s">
        <v>103</v>
      </c>
      <c r="Q807" s="521"/>
      <c r="R807" s="530">
        <v>45965</v>
      </c>
      <c r="S807" s="530" t="s">
        <v>66</v>
      </c>
      <c r="T807" s="530" t="s">
        <v>5210</v>
      </c>
      <c r="U807" s="530"/>
      <c r="V807" s="532" t="s">
        <v>5211</v>
      </c>
      <c r="W807" s="532" t="s">
        <v>2441</v>
      </c>
      <c r="X807" s="532">
        <v>1.2871</v>
      </c>
      <c r="Y807" s="540">
        <f t="shared" si="289"/>
        <v>2579.3484</v>
      </c>
      <c r="AA807" s="521" t="s">
        <v>3236</v>
      </c>
      <c r="AB807" s="521" t="s">
        <v>76</v>
      </c>
      <c r="AC807" s="521"/>
      <c r="AD807" s="600"/>
      <c r="AE807" s="600">
        <v>1</v>
      </c>
      <c r="AF807" s="521">
        <v>2004</v>
      </c>
      <c r="AG807" s="521">
        <f t="shared" si="285"/>
        <v>0</v>
      </c>
      <c r="AH807" s="521"/>
      <c r="AI807" s="542"/>
      <c r="AJ807" s="521"/>
      <c r="AK807" s="521">
        <f>I807*2</f>
        <v>4008</v>
      </c>
      <c r="AL807" s="543"/>
      <c r="AN807" s="427">
        <f>I807*2</f>
        <v>4008</v>
      </c>
      <c r="AR807" s="543">
        <f>I807*2</f>
        <v>4008</v>
      </c>
      <c r="AS807" s="543"/>
      <c r="AT807" s="544"/>
      <c r="AY807" s="545">
        <f t="shared" si="290"/>
        <v>167</v>
      </c>
      <c r="AZ807" s="546"/>
      <c r="BT807" s="544"/>
      <c r="BV807" s="544"/>
      <c r="CH807" s="427">
        <f>I807</f>
        <v>2004</v>
      </c>
      <c r="CI807" s="427">
        <f>I807</f>
        <v>2004</v>
      </c>
      <c r="CJ807" s="427">
        <f>I807</f>
        <v>2004</v>
      </c>
      <c r="CK807" s="427">
        <v>0</v>
      </c>
      <c r="CL807" s="427">
        <v>0</v>
      </c>
      <c r="CM807" s="427">
        <v>0</v>
      </c>
      <c r="CN807" s="544"/>
      <c r="CO807" s="544"/>
      <c r="CP807" s="544"/>
      <c r="CT807" s="544"/>
      <c r="CU807" s="544"/>
      <c r="CV807" s="544"/>
      <c r="CW807" s="544"/>
      <c r="CX807" s="544"/>
    </row>
    <row r="808" s="427" customFormat="1" ht="31" customHeight="1" spans="1:102">
      <c r="A808" s="518">
        <v>45952</v>
      </c>
      <c r="B808" s="519" t="s">
        <v>4175</v>
      </c>
      <c r="C808" s="520" t="s">
        <v>249</v>
      </c>
      <c r="D808" s="427">
        <v>4500182625</v>
      </c>
      <c r="E808" s="520" t="s">
        <v>5212</v>
      </c>
      <c r="F808" s="427" t="s">
        <v>5213</v>
      </c>
      <c r="G808" s="521" t="s">
        <v>4177</v>
      </c>
      <c r="H808" s="521" t="s">
        <v>4178</v>
      </c>
      <c r="I808" s="521">
        <v>5850</v>
      </c>
      <c r="J808" s="521">
        <v>0</v>
      </c>
      <c r="K808" s="521">
        <v>975</v>
      </c>
      <c r="L808" s="524">
        <f t="shared" si="283"/>
        <v>6</v>
      </c>
      <c r="M808" s="525">
        <v>45999</v>
      </c>
      <c r="N808" s="525">
        <v>45995</v>
      </c>
      <c r="O808" s="526"/>
      <c r="P808" s="526" t="s">
        <v>103</v>
      </c>
      <c r="Q808" s="521"/>
      <c r="R808" s="530">
        <v>45952</v>
      </c>
      <c r="S808" s="530" t="s">
        <v>96</v>
      </c>
      <c r="T808" s="530" t="s">
        <v>5214</v>
      </c>
      <c r="U808" s="530"/>
      <c r="V808" s="532" t="s">
        <v>5215</v>
      </c>
      <c r="W808" s="532" t="s">
        <v>2036</v>
      </c>
      <c r="X808" s="538">
        <v>887.0358</v>
      </c>
      <c r="Y808" s="540">
        <f>X808*L808</f>
        <v>5322.2148</v>
      </c>
      <c r="Z808" s="521"/>
      <c r="AA808" s="521" t="s">
        <v>4177</v>
      </c>
      <c r="AB808" s="521" t="s">
        <v>76</v>
      </c>
      <c r="AC808" s="521"/>
      <c r="AD808" s="521"/>
      <c r="AE808" s="521">
        <v>1</v>
      </c>
      <c r="AF808" s="521">
        <v>5850</v>
      </c>
      <c r="AG808" s="521">
        <f t="shared" si="285"/>
        <v>0</v>
      </c>
      <c r="AH808" s="542"/>
      <c r="AI808" s="521"/>
      <c r="AJ808" s="521"/>
      <c r="AK808" s="521"/>
      <c r="AL808" s="543">
        <f>I808</f>
        <v>5850</v>
      </c>
      <c r="AM808" s="427">
        <f>I808</f>
        <v>5850</v>
      </c>
      <c r="AR808" s="543"/>
      <c r="AS808" s="543">
        <f>I808</f>
        <v>5850</v>
      </c>
      <c r="AT808" s="544"/>
      <c r="AY808" s="545">
        <f t="shared" si="290"/>
        <v>487.5</v>
      </c>
      <c r="AZ808" s="546"/>
      <c r="BI808" s="427">
        <f>I808/13</f>
        <v>450</v>
      </c>
      <c r="BT808" s="544"/>
      <c r="BV808" s="544"/>
      <c r="CK808" s="427">
        <f>BM808+BL808+BK808+BJ808+BS808</f>
        <v>0</v>
      </c>
      <c r="CL808" s="427">
        <f>CA808+CB808+CC808+CD808+CE808+CG808+CF808</f>
        <v>0</v>
      </c>
      <c r="CM808" s="427">
        <f>BY808+BZ808</f>
        <v>0</v>
      </c>
      <c r="CN808" s="544"/>
      <c r="CO808" s="544"/>
      <c r="CP808" s="544"/>
      <c r="CT808" s="544"/>
      <c r="CU808" s="544"/>
      <c r="CV808" s="544"/>
      <c r="CW808" s="544"/>
      <c r="CX808" s="544"/>
    </row>
    <row r="809" s="427" customFormat="1" ht="31" customHeight="1" spans="1:102">
      <c r="A809" s="518">
        <v>45957</v>
      </c>
      <c r="B809" s="519" t="s">
        <v>2458</v>
      </c>
      <c r="C809" s="520" t="s">
        <v>153</v>
      </c>
      <c r="D809" s="427">
        <v>4500183001</v>
      </c>
      <c r="E809" s="520" t="s">
        <v>2459</v>
      </c>
      <c r="F809" s="427" t="s">
        <v>5216</v>
      </c>
      <c r="G809" s="521" t="s">
        <v>4564</v>
      </c>
      <c r="H809" s="521" t="s">
        <v>3237</v>
      </c>
      <c r="I809" s="521">
        <v>132</v>
      </c>
      <c r="J809" s="521">
        <v>0</v>
      </c>
      <c r="K809" s="521">
        <v>12</v>
      </c>
      <c r="L809" s="524">
        <f t="shared" si="283"/>
        <v>11</v>
      </c>
      <c r="M809" s="525">
        <v>45999</v>
      </c>
      <c r="N809" s="525">
        <v>45995</v>
      </c>
      <c r="O809" s="526"/>
      <c r="P809" s="526" t="s">
        <v>103</v>
      </c>
      <c r="Q809" s="521"/>
      <c r="R809" s="530">
        <v>45967</v>
      </c>
      <c r="S809" s="530" t="s">
        <v>66</v>
      </c>
      <c r="T809" s="530" t="s">
        <v>66</v>
      </c>
      <c r="U809" s="530"/>
      <c r="V809" s="532" t="s">
        <v>5217</v>
      </c>
      <c r="W809" s="532" t="s">
        <v>164</v>
      </c>
      <c r="X809" s="532">
        <v>2.1451</v>
      </c>
      <c r="Y809" s="540">
        <f t="shared" ref="Y809:Y819" si="291">X809*I809</f>
        <v>283.1532</v>
      </c>
      <c r="Z809" s="521" t="s">
        <v>5218</v>
      </c>
      <c r="AA809" s="521" t="s">
        <v>5219</v>
      </c>
      <c r="AB809" s="521" t="s">
        <v>76</v>
      </c>
      <c r="AC809" s="521"/>
      <c r="AD809" s="521"/>
      <c r="AE809" s="521">
        <v>1</v>
      </c>
      <c r="AF809" s="521">
        <v>132</v>
      </c>
      <c r="AG809" s="521">
        <f t="shared" si="285"/>
        <v>0</v>
      </c>
      <c r="AH809" s="542"/>
      <c r="AI809" s="521"/>
      <c r="AJ809" s="521"/>
      <c r="AK809" s="521">
        <f>I809*2</f>
        <v>264</v>
      </c>
      <c r="AL809" s="543"/>
      <c r="AP809" s="427">
        <f>AK809</f>
        <v>264</v>
      </c>
      <c r="AR809" s="543">
        <f>I809*2</f>
        <v>264</v>
      </c>
      <c r="AS809" s="543"/>
      <c r="AT809" s="544"/>
      <c r="AY809" s="545">
        <f t="shared" si="290"/>
        <v>11</v>
      </c>
      <c r="AZ809" s="546"/>
      <c r="BT809" s="544"/>
      <c r="BV809" s="544"/>
      <c r="CH809" s="427">
        <f>I809</f>
        <v>132</v>
      </c>
      <c r="CI809" s="427">
        <f>I809</f>
        <v>132</v>
      </c>
      <c r="CJ809" s="427">
        <f>I809</f>
        <v>132</v>
      </c>
      <c r="CK809" s="427">
        <v>0</v>
      </c>
      <c r="CL809" s="427">
        <v>0</v>
      </c>
      <c r="CM809" s="427">
        <v>0</v>
      </c>
      <c r="CN809" s="544"/>
      <c r="CO809" s="544"/>
      <c r="CP809" s="544"/>
      <c r="CT809" s="544"/>
      <c r="CU809" s="544"/>
      <c r="CV809" s="544"/>
      <c r="CW809" s="544"/>
      <c r="CX809" s="544"/>
    </row>
    <row r="810" s="427" customFormat="1" ht="31" customHeight="1" spans="1:102">
      <c r="A810" s="518">
        <v>45957</v>
      </c>
      <c r="B810" s="519" t="s">
        <v>2466</v>
      </c>
      <c r="C810" s="520" t="s">
        <v>153</v>
      </c>
      <c r="D810" s="427">
        <v>4500183043</v>
      </c>
      <c r="E810" s="520" t="s">
        <v>2467</v>
      </c>
      <c r="F810" s="427" t="s">
        <v>5220</v>
      </c>
      <c r="G810" s="521" t="s">
        <v>4564</v>
      </c>
      <c r="H810" s="521" t="s">
        <v>3237</v>
      </c>
      <c r="I810" s="521">
        <v>720</v>
      </c>
      <c r="J810" s="521">
        <v>0</v>
      </c>
      <c r="K810" s="521">
        <v>12</v>
      </c>
      <c r="L810" s="524">
        <f t="shared" si="283"/>
        <v>60</v>
      </c>
      <c r="M810" s="525">
        <v>45999</v>
      </c>
      <c r="N810" s="525">
        <v>45995</v>
      </c>
      <c r="O810" s="526"/>
      <c r="P810" s="526" t="s">
        <v>103</v>
      </c>
      <c r="Q810" s="521"/>
      <c r="R810" s="530">
        <v>45967</v>
      </c>
      <c r="S810" s="530" t="s">
        <v>66</v>
      </c>
      <c r="T810" s="530" t="s">
        <v>66</v>
      </c>
      <c r="U810" s="530"/>
      <c r="V810" s="532" t="s">
        <v>5221</v>
      </c>
      <c r="W810" s="532" t="s">
        <v>164</v>
      </c>
      <c r="X810" s="532">
        <v>2.1823</v>
      </c>
      <c r="Y810" s="540">
        <f t="shared" si="291"/>
        <v>1571.256</v>
      </c>
      <c r="Z810" s="521" t="s">
        <v>5222</v>
      </c>
      <c r="AA810" s="521" t="s">
        <v>5219</v>
      </c>
      <c r="AB810" s="521" t="s">
        <v>76</v>
      </c>
      <c r="AC810" s="521"/>
      <c r="AD810" s="521"/>
      <c r="AE810" s="521">
        <v>1</v>
      </c>
      <c r="AF810" s="521">
        <f>708+12</f>
        <v>720</v>
      </c>
      <c r="AG810" s="521">
        <f t="shared" si="285"/>
        <v>0</v>
      </c>
      <c r="AH810" s="542"/>
      <c r="AI810" s="521"/>
      <c r="AJ810" s="521"/>
      <c r="AK810" s="521">
        <f>I810*2</f>
        <v>1440</v>
      </c>
      <c r="AL810" s="543"/>
      <c r="AP810" s="427">
        <f>AK810</f>
        <v>1440</v>
      </c>
      <c r="AR810" s="543">
        <f>I810*2</f>
        <v>1440</v>
      </c>
      <c r="AS810" s="543"/>
      <c r="AT810" s="544"/>
      <c r="AY810" s="545">
        <f t="shared" si="290"/>
        <v>60</v>
      </c>
      <c r="AZ810" s="546"/>
      <c r="BT810" s="544"/>
      <c r="BV810" s="544"/>
      <c r="CH810" s="427">
        <f>I810</f>
        <v>720</v>
      </c>
      <c r="CI810" s="427">
        <f>I810</f>
        <v>720</v>
      </c>
      <c r="CJ810" s="427">
        <f>I810</f>
        <v>720</v>
      </c>
      <c r="CK810" s="427">
        <v>0</v>
      </c>
      <c r="CL810" s="427">
        <v>0</v>
      </c>
      <c r="CM810" s="427">
        <v>0</v>
      </c>
      <c r="CN810" s="544"/>
      <c r="CO810" s="544"/>
      <c r="CP810" s="544"/>
      <c r="CT810" s="544"/>
      <c r="CU810" s="544"/>
      <c r="CV810" s="544"/>
      <c r="CW810" s="544"/>
      <c r="CX810" s="544"/>
    </row>
    <row r="811" s="427" customFormat="1" ht="31" customHeight="1" spans="1:102">
      <c r="A811" s="518">
        <v>45957</v>
      </c>
      <c r="B811" s="519" t="s">
        <v>2466</v>
      </c>
      <c r="C811" s="520" t="s">
        <v>153</v>
      </c>
      <c r="D811" s="427">
        <v>4500183043</v>
      </c>
      <c r="E811" s="520" t="s">
        <v>2467</v>
      </c>
      <c r="F811" s="427" t="s">
        <v>5223</v>
      </c>
      <c r="G811" s="521" t="s">
        <v>4564</v>
      </c>
      <c r="H811" s="521" t="s">
        <v>3237</v>
      </c>
      <c r="I811" s="521">
        <v>180</v>
      </c>
      <c r="J811" s="521">
        <v>0</v>
      </c>
      <c r="K811" s="521">
        <v>12</v>
      </c>
      <c r="L811" s="524">
        <f t="shared" si="283"/>
        <v>15</v>
      </c>
      <c r="M811" s="525">
        <v>45999</v>
      </c>
      <c r="N811" s="525">
        <v>45995</v>
      </c>
      <c r="O811" s="526"/>
      <c r="P811" s="526" t="s">
        <v>103</v>
      </c>
      <c r="Q811" s="521"/>
      <c r="R811" s="530">
        <v>45967</v>
      </c>
      <c r="S811" s="530" t="s">
        <v>66</v>
      </c>
      <c r="T811" s="530" t="s">
        <v>66</v>
      </c>
      <c r="U811" s="530"/>
      <c r="V811" s="532" t="s">
        <v>5221</v>
      </c>
      <c r="W811" s="532" t="s">
        <v>164</v>
      </c>
      <c r="X811" s="532">
        <v>2.1823</v>
      </c>
      <c r="Y811" s="540">
        <f t="shared" si="291"/>
        <v>392.814</v>
      </c>
      <c r="Z811" s="521" t="s">
        <v>5222</v>
      </c>
      <c r="AA811" s="521" t="s">
        <v>5219</v>
      </c>
      <c r="AB811" s="521" t="s">
        <v>76</v>
      </c>
      <c r="AC811" s="521"/>
      <c r="AD811" s="521"/>
      <c r="AE811" s="521">
        <v>1</v>
      </c>
      <c r="AF811" s="521">
        <v>180</v>
      </c>
      <c r="AG811" s="521">
        <f t="shared" si="285"/>
        <v>0</v>
      </c>
      <c r="AH811" s="542"/>
      <c r="AI811" s="521"/>
      <c r="AJ811" s="521"/>
      <c r="AK811" s="521">
        <f>I811*2</f>
        <v>360</v>
      </c>
      <c r="AL811" s="543"/>
      <c r="AP811" s="427">
        <f>AK811</f>
        <v>360</v>
      </c>
      <c r="AR811" s="543">
        <f>I811*2</f>
        <v>360</v>
      </c>
      <c r="AS811" s="543"/>
      <c r="AT811" s="544"/>
      <c r="AY811" s="545">
        <f t="shared" si="290"/>
        <v>15</v>
      </c>
      <c r="AZ811" s="546"/>
      <c r="BT811" s="544"/>
      <c r="BV811" s="544"/>
      <c r="CH811" s="427">
        <f>I811</f>
        <v>180</v>
      </c>
      <c r="CI811" s="427">
        <f>I811</f>
        <v>180</v>
      </c>
      <c r="CJ811" s="427">
        <f>I811</f>
        <v>180</v>
      </c>
      <c r="CK811" s="427">
        <v>0</v>
      </c>
      <c r="CL811" s="427">
        <v>0</v>
      </c>
      <c r="CM811" s="427">
        <v>0</v>
      </c>
      <c r="CN811" s="544"/>
      <c r="CO811" s="544"/>
      <c r="CP811" s="544"/>
      <c r="CT811" s="544"/>
      <c r="CU811" s="544"/>
      <c r="CV811" s="544"/>
      <c r="CW811" s="544"/>
      <c r="CX811" s="544"/>
    </row>
    <row r="812" s="427" customFormat="1" ht="31" customHeight="1" spans="1:102">
      <c r="A812" s="518">
        <v>45960</v>
      </c>
      <c r="B812" s="519" t="s">
        <v>2145</v>
      </c>
      <c r="C812" s="520" t="s">
        <v>90</v>
      </c>
      <c r="D812" s="427">
        <v>4500183696</v>
      </c>
      <c r="E812" s="890" t="s">
        <v>2146</v>
      </c>
      <c r="F812" s="427" t="s">
        <v>5224</v>
      </c>
      <c r="G812" s="521" t="s">
        <v>3272</v>
      </c>
      <c r="H812" s="521" t="s">
        <v>3207</v>
      </c>
      <c r="I812" s="521">
        <v>403</v>
      </c>
      <c r="J812" s="521">
        <v>0</v>
      </c>
      <c r="K812" s="521">
        <v>13</v>
      </c>
      <c r="L812" s="524">
        <f t="shared" si="283"/>
        <v>31</v>
      </c>
      <c r="M812" s="525">
        <v>45999</v>
      </c>
      <c r="N812" s="525">
        <v>45995</v>
      </c>
      <c r="O812" s="526"/>
      <c r="P812" s="526" t="s">
        <v>103</v>
      </c>
      <c r="Q812" s="521"/>
      <c r="R812" s="530">
        <v>45967</v>
      </c>
      <c r="S812" s="530" t="s">
        <v>66</v>
      </c>
      <c r="T812" s="530" t="s">
        <v>66</v>
      </c>
      <c r="U812" s="530"/>
      <c r="V812" s="532" t="s">
        <v>2149</v>
      </c>
      <c r="W812" s="532" t="s">
        <v>734</v>
      </c>
      <c r="X812" s="536">
        <v>0.5458</v>
      </c>
      <c r="Y812" s="540">
        <f t="shared" si="291"/>
        <v>219.9574</v>
      </c>
      <c r="Z812" s="521"/>
      <c r="AA812" s="519" t="s">
        <v>3359</v>
      </c>
      <c r="AB812" s="521" t="s">
        <v>76</v>
      </c>
      <c r="AC812" s="521"/>
      <c r="AD812" s="521"/>
      <c r="AE812" s="521">
        <v>1</v>
      </c>
      <c r="AF812" s="521">
        <v>403</v>
      </c>
      <c r="AG812" s="521">
        <f t="shared" si="285"/>
        <v>0</v>
      </c>
      <c r="AH812" s="542"/>
      <c r="AI812" s="521"/>
      <c r="AJ812" s="521"/>
      <c r="AK812" s="521">
        <f>I812</f>
        <v>403</v>
      </c>
      <c r="AL812" s="543"/>
      <c r="AM812" s="427">
        <f>I812</f>
        <v>403</v>
      </c>
      <c r="AR812" s="427">
        <f>I812</f>
        <v>403</v>
      </c>
      <c r="AS812" s="543"/>
      <c r="AT812" s="544"/>
      <c r="AY812" s="545">
        <f t="shared" ref="AY812:AY817" si="292">I812/24</f>
        <v>16.7916666666667</v>
      </c>
      <c r="AZ812" s="546"/>
      <c r="BG812" s="427">
        <f>I812/13</f>
        <v>31</v>
      </c>
      <c r="BT812" s="544"/>
      <c r="BV812" s="544"/>
      <c r="CK812" s="427">
        <f t="shared" ref="CK812:CK817" si="293">BM812+BL812+BK812+BJ812+BS812</f>
        <v>0</v>
      </c>
      <c r="CL812" s="427">
        <f t="shared" ref="CL812:CL817" si="294">CA812+CB812+CC812+CD812+CE812+CG812+CF812</f>
        <v>0</v>
      </c>
      <c r="CM812" s="427">
        <f t="shared" ref="CM812:CM817" si="295">BY812+BZ812</f>
        <v>0</v>
      </c>
      <c r="CN812" s="544"/>
      <c r="CO812" s="544"/>
      <c r="CP812" s="544"/>
      <c r="CT812" s="544"/>
      <c r="CU812" s="544"/>
      <c r="CV812" s="544"/>
      <c r="CW812" s="544"/>
      <c r="CX812" s="544"/>
    </row>
    <row r="813" s="427" customFormat="1" ht="31" customHeight="1" spans="1:102">
      <c r="A813" s="518">
        <v>45960</v>
      </c>
      <c r="B813" s="519" t="s">
        <v>2145</v>
      </c>
      <c r="C813" s="520" t="s">
        <v>90</v>
      </c>
      <c r="D813" s="427">
        <v>4500183696</v>
      </c>
      <c r="E813" s="890" t="s">
        <v>2150</v>
      </c>
      <c r="F813" s="427" t="s">
        <v>5225</v>
      </c>
      <c r="G813" s="521" t="s">
        <v>3272</v>
      </c>
      <c r="H813" s="521" t="s">
        <v>3207</v>
      </c>
      <c r="I813" s="521">
        <v>598</v>
      </c>
      <c r="J813" s="521">
        <v>0</v>
      </c>
      <c r="K813" s="521">
        <v>13</v>
      </c>
      <c r="L813" s="524">
        <f t="shared" si="283"/>
        <v>46</v>
      </c>
      <c r="M813" s="525">
        <v>45999</v>
      </c>
      <c r="N813" s="525">
        <v>45995</v>
      </c>
      <c r="O813" s="526"/>
      <c r="P813" s="526" t="s">
        <v>103</v>
      </c>
      <c r="Q813" s="521"/>
      <c r="R813" s="530">
        <v>45967</v>
      </c>
      <c r="S813" s="530" t="s">
        <v>66</v>
      </c>
      <c r="T813" s="530" t="s">
        <v>66</v>
      </c>
      <c r="U813" s="530"/>
      <c r="V813" s="532" t="s">
        <v>2149</v>
      </c>
      <c r="W813" s="532" t="s">
        <v>734</v>
      </c>
      <c r="X813" s="536">
        <v>0.5458</v>
      </c>
      <c r="Y813" s="540">
        <f t="shared" si="291"/>
        <v>326.3884</v>
      </c>
      <c r="Z813" s="521"/>
      <c r="AA813" s="519" t="s">
        <v>3359</v>
      </c>
      <c r="AB813" s="521" t="s">
        <v>76</v>
      </c>
      <c r="AC813" s="521"/>
      <c r="AD813" s="521"/>
      <c r="AE813" s="521">
        <v>1</v>
      </c>
      <c r="AF813" s="521">
        <v>598</v>
      </c>
      <c r="AG813" s="521">
        <f t="shared" si="285"/>
        <v>0</v>
      </c>
      <c r="AH813" s="542"/>
      <c r="AI813" s="521"/>
      <c r="AJ813" s="521"/>
      <c r="AK813" s="521">
        <f>I813</f>
        <v>598</v>
      </c>
      <c r="AL813" s="543"/>
      <c r="AM813" s="427">
        <f>I813</f>
        <v>598</v>
      </c>
      <c r="AR813" s="427">
        <f>I813</f>
        <v>598</v>
      </c>
      <c r="AS813" s="543"/>
      <c r="AT813" s="544"/>
      <c r="AY813" s="545">
        <f t="shared" si="292"/>
        <v>24.9166666666667</v>
      </c>
      <c r="AZ813" s="546"/>
      <c r="BG813" s="427">
        <f>I813/13</f>
        <v>46</v>
      </c>
      <c r="BT813" s="544"/>
      <c r="BV813" s="544"/>
      <c r="CK813" s="427">
        <f t="shared" si="293"/>
        <v>0</v>
      </c>
      <c r="CL813" s="427">
        <f t="shared" si="294"/>
        <v>0</v>
      </c>
      <c r="CM813" s="427">
        <f t="shared" si="295"/>
        <v>0</v>
      </c>
      <c r="CN813" s="544"/>
      <c r="CO813" s="544"/>
      <c r="CP813" s="544"/>
      <c r="CT813" s="544"/>
      <c r="CU813" s="544"/>
      <c r="CV813" s="544"/>
      <c r="CW813" s="544"/>
      <c r="CX813" s="544"/>
    </row>
    <row r="814" s="427" customFormat="1" ht="31" customHeight="1" spans="1:102">
      <c r="A814" s="518">
        <v>45960</v>
      </c>
      <c r="B814" s="519" t="s">
        <v>2145</v>
      </c>
      <c r="C814" s="520" t="s">
        <v>90</v>
      </c>
      <c r="D814" s="427">
        <v>4500183696</v>
      </c>
      <c r="E814" s="890" t="s">
        <v>2152</v>
      </c>
      <c r="F814" s="427" t="s">
        <v>5226</v>
      </c>
      <c r="G814" s="521" t="s">
        <v>3272</v>
      </c>
      <c r="H814" s="521" t="s">
        <v>3207</v>
      </c>
      <c r="I814" s="521">
        <v>468</v>
      </c>
      <c r="J814" s="521">
        <v>0</v>
      </c>
      <c r="K814" s="521">
        <v>13</v>
      </c>
      <c r="L814" s="524">
        <f t="shared" si="283"/>
        <v>36</v>
      </c>
      <c r="M814" s="525">
        <v>45999</v>
      </c>
      <c r="N814" s="525">
        <v>45995</v>
      </c>
      <c r="O814" s="526"/>
      <c r="P814" s="526" t="s">
        <v>103</v>
      </c>
      <c r="Q814" s="521"/>
      <c r="R814" s="530">
        <v>45967</v>
      </c>
      <c r="S814" s="530" t="s">
        <v>66</v>
      </c>
      <c r="T814" s="530" t="s">
        <v>66</v>
      </c>
      <c r="U814" s="530"/>
      <c r="V814" s="532" t="s">
        <v>2149</v>
      </c>
      <c r="W814" s="532" t="s">
        <v>734</v>
      </c>
      <c r="X814" s="536">
        <v>0.5457</v>
      </c>
      <c r="Y814" s="540">
        <f t="shared" si="291"/>
        <v>255.3876</v>
      </c>
      <c r="Z814" s="521"/>
      <c r="AA814" s="519" t="s">
        <v>3359</v>
      </c>
      <c r="AB814" s="521" t="s">
        <v>76</v>
      </c>
      <c r="AC814" s="521"/>
      <c r="AD814" s="521"/>
      <c r="AE814" s="521">
        <v>1</v>
      </c>
      <c r="AF814" s="521">
        <v>468</v>
      </c>
      <c r="AG814" s="521">
        <f t="shared" si="285"/>
        <v>0</v>
      </c>
      <c r="AH814" s="542"/>
      <c r="AI814" s="521"/>
      <c r="AJ814" s="521"/>
      <c r="AK814" s="521">
        <f>I814</f>
        <v>468</v>
      </c>
      <c r="AL814" s="543"/>
      <c r="AM814" s="427">
        <f>I814</f>
        <v>468</v>
      </c>
      <c r="AR814" s="427">
        <f>I814</f>
        <v>468</v>
      </c>
      <c r="AS814" s="543"/>
      <c r="AT814" s="544"/>
      <c r="AY814" s="545">
        <f t="shared" si="292"/>
        <v>19.5</v>
      </c>
      <c r="AZ814" s="546"/>
      <c r="BG814" s="427">
        <f>I814/13</f>
        <v>36</v>
      </c>
      <c r="BT814" s="544"/>
      <c r="BV814" s="544"/>
      <c r="CK814" s="427">
        <f t="shared" si="293"/>
        <v>0</v>
      </c>
      <c r="CL814" s="427">
        <f t="shared" si="294"/>
        <v>0</v>
      </c>
      <c r="CM814" s="427">
        <f t="shared" si="295"/>
        <v>0</v>
      </c>
      <c r="CN814" s="544"/>
      <c r="CO814" s="544"/>
      <c r="CP814" s="544"/>
      <c r="CT814" s="544"/>
      <c r="CU814" s="544"/>
      <c r="CV814" s="544"/>
      <c r="CW814" s="544"/>
      <c r="CX814" s="544"/>
    </row>
    <row r="815" s="427" customFormat="1" ht="31" customHeight="1" spans="1:102">
      <c r="A815" s="518">
        <v>45960</v>
      </c>
      <c r="B815" s="519" t="s">
        <v>2145</v>
      </c>
      <c r="C815" s="520" t="s">
        <v>90</v>
      </c>
      <c r="D815" s="427">
        <v>4500183696</v>
      </c>
      <c r="E815" s="890" t="s">
        <v>2154</v>
      </c>
      <c r="F815" s="427" t="s">
        <v>5227</v>
      </c>
      <c r="G815" s="521" t="s">
        <v>3272</v>
      </c>
      <c r="H815" s="521" t="s">
        <v>3207</v>
      </c>
      <c r="I815" s="521">
        <v>338</v>
      </c>
      <c r="J815" s="521">
        <v>0</v>
      </c>
      <c r="K815" s="521">
        <v>13</v>
      </c>
      <c r="L815" s="524">
        <f t="shared" si="283"/>
        <v>26</v>
      </c>
      <c r="M815" s="525">
        <v>45999</v>
      </c>
      <c r="N815" s="525">
        <v>45995</v>
      </c>
      <c r="O815" s="526"/>
      <c r="P815" s="526" t="s">
        <v>103</v>
      </c>
      <c r="Q815" s="521"/>
      <c r="R815" s="530">
        <v>45967</v>
      </c>
      <c r="S815" s="530" t="s">
        <v>66</v>
      </c>
      <c r="T815" s="530" t="s">
        <v>66</v>
      </c>
      <c r="U815" s="530"/>
      <c r="V815" s="532" t="s">
        <v>2149</v>
      </c>
      <c r="W815" s="532" t="s">
        <v>734</v>
      </c>
      <c r="X815" s="536">
        <v>0.5457</v>
      </c>
      <c r="Y815" s="540">
        <f t="shared" si="291"/>
        <v>184.4466</v>
      </c>
      <c r="Z815" s="521"/>
      <c r="AA815" s="519" t="s">
        <v>3359</v>
      </c>
      <c r="AB815" s="521" t="s">
        <v>76</v>
      </c>
      <c r="AC815" s="521"/>
      <c r="AD815" s="521"/>
      <c r="AE815" s="521">
        <v>1</v>
      </c>
      <c r="AF815" s="521">
        <v>338</v>
      </c>
      <c r="AG815" s="521">
        <f t="shared" si="285"/>
        <v>0</v>
      </c>
      <c r="AH815" s="542"/>
      <c r="AI815" s="521"/>
      <c r="AJ815" s="521"/>
      <c r="AK815" s="521">
        <f>I815</f>
        <v>338</v>
      </c>
      <c r="AL815" s="543"/>
      <c r="AM815" s="427">
        <f>I815</f>
        <v>338</v>
      </c>
      <c r="AR815" s="427">
        <f>I815</f>
        <v>338</v>
      </c>
      <c r="AS815" s="543"/>
      <c r="AT815" s="544"/>
      <c r="AY815" s="545">
        <f t="shared" si="292"/>
        <v>14.0833333333333</v>
      </c>
      <c r="AZ815" s="546"/>
      <c r="BG815" s="427">
        <f>I815/13</f>
        <v>26</v>
      </c>
      <c r="BT815" s="544"/>
      <c r="BV815" s="544"/>
      <c r="CK815" s="427">
        <f t="shared" si="293"/>
        <v>0</v>
      </c>
      <c r="CL815" s="427">
        <f t="shared" si="294"/>
        <v>0</v>
      </c>
      <c r="CM815" s="427">
        <f t="shared" si="295"/>
        <v>0</v>
      </c>
      <c r="CN815" s="544"/>
      <c r="CO815" s="544"/>
      <c r="CP815" s="544"/>
      <c r="CT815" s="544"/>
      <c r="CU815" s="544"/>
      <c r="CV815" s="544"/>
      <c r="CW815" s="544"/>
      <c r="CX815" s="544"/>
    </row>
    <row r="816" s="427" customFormat="1" ht="31" customHeight="1" spans="1:102">
      <c r="A816" s="518">
        <v>45960</v>
      </c>
      <c r="B816" s="519" t="s">
        <v>2145</v>
      </c>
      <c r="C816" s="520" t="s">
        <v>90</v>
      </c>
      <c r="D816" s="427">
        <v>4500183696</v>
      </c>
      <c r="E816" s="890" t="s">
        <v>2156</v>
      </c>
      <c r="F816" s="427" t="s">
        <v>5228</v>
      </c>
      <c r="G816" s="521" t="s">
        <v>3272</v>
      </c>
      <c r="H816" s="521" t="s">
        <v>3207</v>
      </c>
      <c r="I816" s="521">
        <v>403</v>
      </c>
      <c r="J816" s="521">
        <v>0</v>
      </c>
      <c r="K816" s="521">
        <v>13</v>
      </c>
      <c r="L816" s="524">
        <f t="shared" si="283"/>
        <v>31</v>
      </c>
      <c r="M816" s="525">
        <v>45999</v>
      </c>
      <c r="N816" s="525">
        <v>45995</v>
      </c>
      <c r="O816" s="526"/>
      <c r="P816" s="526" t="s">
        <v>103</v>
      </c>
      <c r="Q816" s="521"/>
      <c r="R816" s="530">
        <v>45967</v>
      </c>
      <c r="S816" s="530" t="s">
        <v>66</v>
      </c>
      <c r="T816" s="530" t="s">
        <v>66</v>
      </c>
      <c r="U816" s="530"/>
      <c r="V816" s="532" t="s">
        <v>2149</v>
      </c>
      <c r="W816" s="532" t="s">
        <v>734</v>
      </c>
      <c r="X816" s="536">
        <v>0.5458</v>
      </c>
      <c r="Y816" s="540">
        <f t="shared" si="291"/>
        <v>219.9574</v>
      </c>
      <c r="Z816" s="521"/>
      <c r="AA816" s="519" t="s">
        <v>3359</v>
      </c>
      <c r="AB816" s="521" t="s">
        <v>76</v>
      </c>
      <c r="AC816" s="521"/>
      <c r="AD816" s="521"/>
      <c r="AE816" s="521">
        <v>1</v>
      </c>
      <c r="AF816" s="521">
        <v>403</v>
      </c>
      <c r="AG816" s="521">
        <f t="shared" si="285"/>
        <v>0</v>
      </c>
      <c r="AH816" s="542"/>
      <c r="AI816" s="521"/>
      <c r="AJ816" s="521"/>
      <c r="AK816" s="521">
        <f>I816</f>
        <v>403</v>
      </c>
      <c r="AL816" s="543"/>
      <c r="AM816" s="427">
        <f>I816</f>
        <v>403</v>
      </c>
      <c r="AR816" s="427">
        <f>I816</f>
        <v>403</v>
      </c>
      <c r="AS816" s="543"/>
      <c r="AT816" s="544"/>
      <c r="AY816" s="545">
        <f t="shared" si="292"/>
        <v>16.7916666666667</v>
      </c>
      <c r="AZ816" s="546"/>
      <c r="BG816" s="427">
        <f>I816/13</f>
        <v>31</v>
      </c>
      <c r="BT816" s="544"/>
      <c r="BV816" s="544"/>
      <c r="CK816" s="427">
        <f t="shared" si="293"/>
        <v>0</v>
      </c>
      <c r="CL816" s="427">
        <f t="shared" si="294"/>
        <v>0</v>
      </c>
      <c r="CM816" s="427">
        <f t="shared" si="295"/>
        <v>0</v>
      </c>
      <c r="CN816" s="544"/>
      <c r="CO816" s="544"/>
      <c r="CP816" s="544"/>
      <c r="CT816" s="544"/>
      <c r="CU816" s="544"/>
      <c r="CV816" s="544"/>
      <c r="CW816" s="544"/>
      <c r="CX816" s="544"/>
    </row>
    <row r="817" s="427" customFormat="1" ht="31" customHeight="1" spans="1:102">
      <c r="A817" s="518">
        <v>45975</v>
      </c>
      <c r="B817" s="519" t="s">
        <v>190</v>
      </c>
      <c r="C817" s="520" t="s">
        <v>191</v>
      </c>
      <c r="D817" s="427">
        <v>4500185734</v>
      </c>
      <c r="E817" s="520" t="s">
        <v>5229</v>
      </c>
      <c r="F817" s="427" t="s">
        <v>5230</v>
      </c>
      <c r="G817" s="521" t="s">
        <v>3158</v>
      </c>
      <c r="H817" s="521" t="s">
        <v>3159</v>
      </c>
      <c r="I817" s="521">
        <v>1248</v>
      </c>
      <c r="J817" s="521">
        <v>0</v>
      </c>
      <c r="K817" s="521">
        <v>52</v>
      </c>
      <c r="L817" s="524">
        <f t="shared" si="283"/>
        <v>24</v>
      </c>
      <c r="M817" s="525">
        <v>45999</v>
      </c>
      <c r="N817" s="525">
        <v>45995</v>
      </c>
      <c r="O817" s="526"/>
      <c r="P817" s="526" t="s">
        <v>103</v>
      </c>
      <c r="Q817" s="521"/>
      <c r="R817" s="530">
        <v>45975</v>
      </c>
      <c r="S817" s="530" t="s">
        <v>66</v>
      </c>
      <c r="T817" s="530" t="s">
        <v>5118</v>
      </c>
      <c r="U817" s="530"/>
      <c r="V817" s="532" t="s">
        <v>5119</v>
      </c>
      <c r="W817" s="532" t="s">
        <v>1663</v>
      </c>
      <c r="X817" s="536">
        <v>0.8951</v>
      </c>
      <c r="Y817" s="540">
        <f t="shared" si="291"/>
        <v>1117.0848</v>
      </c>
      <c r="Z817" s="521"/>
      <c r="AA817" s="521" t="s">
        <v>3158</v>
      </c>
      <c r="AB817" s="521" t="s">
        <v>76</v>
      </c>
      <c r="AC817" s="521"/>
      <c r="AD817" s="521"/>
      <c r="AE817" s="521">
        <v>1</v>
      </c>
      <c r="AF817" s="521">
        <v>1248</v>
      </c>
      <c r="AG817" s="521">
        <f t="shared" si="285"/>
        <v>0</v>
      </c>
      <c r="AH817" s="542"/>
      <c r="AI817" s="521"/>
      <c r="AJ817" s="521"/>
      <c r="AK817" s="521"/>
      <c r="AL817" s="543">
        <f>I817</f>
        <v>1248</v>
      </c>
      <c r="AQ817" s="427">
        <f>I817</f>
        <v>1248</v>
      </c>
      <c r="AS817" s="543">
        <f>I817</f>
        <v>1248</v>
      </c>
      <c r="AT817" s="544"/>
      <c r="AY817" s="545">
        <f t="shared" si="292"/>
        <v>52</v>
      </c>
      <c r="AZ817" s="546"/>
      <c r="BI817" s="427">
        <f>I817/13</f>
        <v>96</v>
      </c>
      <c r="BT817" s="544"/>
      <c r="BV817" s="544"/>
      <c r="CK817" s="427">
        <f t="shared" si="293"/>
        <v>0</v>
      </c>
      <c r="CL817" s="427">
        <f t="shared" si="294"/>
        <v>0</v>
      </c>
      <c r="CM817" s="427">
        <f t="shared" si="295"/>
        <v>0</v>
      </c>
      <c r="CN817" s="544"/>
      <c r="CO817" s="544"/>
      <c r="CP817" s="544"/>
      <c r="CT817" s="544"/>
      <c r="CU817" s="544"/>
      <c r="CV817" s="544"/>
      <c r="CW817" s="544"/>
      <c r="CX817" s="544"/>
    </row>
    <row r="818" s="427" customFormat="1" ht="31" customHeight="1" spans="1:102">
      <c r="A818" s="518">
        <v>45988</v>
      </c>
      <c r="B818" s="519" t="s">
        <v>3526</v>
      </c>
      <c r="C818" s="596" t="s">
        <v>90</v>
      </c>
      <c r="D818" s="427">
        <v>4500187121</v>
      </c>
      <c r="E818" s="520" t="s">
        <v>5231</v>
      </c>
      <c r="F818" s="427" t="s">
        <v>5232</v>
      </c>
      <c r="G818" s="521" t="s">
        <v>5233</v>
      </c>
      <c r="H818" s="521" t="s">
        <v>5234</v>
      </c>
      <c r="I818" s="521">
        <v>5040</v>
      </c>
      <c r="J818" s="521">
        <v>0</v>
      </c>
      <c r="K818" s="521">
        <v>720</v>
      </c>
      <c r="L818" s="524">
        <f t="shared" ref="L818:L881" si="296">I818/K818</f>
        <v>7</v>
      </c>
      <c r="M818" s="525">
        <v>45999</v>
      </c>
      <c r="N818" s="525">
        <v>45995</v>
      </c>
      <c r="O818" s="521" t="s">
        <v>5235</v>
      </c>
      <c r="P818" s="526" t="s">
        <v>103</v>
      </c>
      <c r="Q818" s="521"/>
      <c r="R818" s="530" t="s">
        <v>3980</v>
      </c>
      <c r="S818" s="530" t="s">
        <v>66</v>
      </c>
      <c r="T818" s="530" t="s">
        <v>66</v>
      </c>
      <c r="U818" s="530"/>
      <c r="V818" s="532" t="s">
        <v>5236</v>
      </c>
      <c r="W818" s="598" t="s">
        <v>1590</v>
      </c>
      <c r="X818" s="532">
        <v>420.6914</v>
      </c>
      <c r="Y818" s="540">
        <f t="shared" ref="Y818:Y838" si="297">X818*L818</f>
        <v>2944.8398</v>
      </c>
      <c r="Z818" s="521"/>
      <c r="AA818" s="519" t="s">
        <v>5233</v>
      </c>
      <c r="AB818" s="521" t="s">
        <v>76</v>
      </c>
      <c r="AC818" s="521"/>
      <c r="AD818" s="519"/>
      <c r="AE818" s="519">
        <v>1</v>
      </c>
      <c r="AF818" s="521">
        <v>5040</v>
      </c>
      <c r="AG818" s="521"/>
      <c r="AH818" s="542"/>
      <c r="AI818" s="521"/>
      <c r="AJ818" s="521"/>
      <c r="AK818" s="521">
        <f>I818</f>
        <v>5040</v>
      </c>
      <c r="AL818" s="543"/>
      <c r="AR818" s="568">
        <f t="shared" ref="AR818:AR838" si="298">I818</f>
        <v>5040</v>
      </c>
      <c r="AS818" s="543"/>
      <c r="AT818" s="544"/>
      <c r="AY818" s="576">
        <f t="shared" ref="AY818:AY842" si="299">I818/24</f>
        <v>210</v>
      </c>
      <c r="AZ818" s="577">
        <f t="shared" ref="AZ818:AZ838" si="300">I818</f>
        <v>5040</v>
      </c>
      <c r="BO818" s="425">
        <f t="shared" ref="BO818:BO838" si="301">I818/8</f>
        <v>630</v>
      </c>
      <c r="BT818" s="544"/>
      <c r="BV818" s="544"/>
      <c r="CK818" s="425">
        <f t="shared" ref="CK818:CK843" si="302">BM818+BL818+BK818+BJ818+BS818</f>
        <v>0</v>
      </c>
      <c r="CL818" s="428">
        <f t="shared" ref="CL818:CL843" si="303">CA818+CB818+CC818+CD818+CE818+CG818+CF818</f>
        <v>0</v>
      </c>
      <c r="CM818" s="428">
        <f t="shared" ref="CM818:CM843" si="304">BY818+BZ818</f>
        <v>0</v>
      </c>
      <c r="CN818" s="544"/>
      <c r="CO818" s="544"/>
      <c r="CP818" s="544"/>
      <c r="CT818" s="544"/>
      <c r="CU818" s="544"/>
      <c r="CV818" s="544"/>
      <c r="CW818" s="544"/>
      <c r="CX818" s="544"/>
    </row>
    <row r="819" s="427" customFormat="1" ht="31" customHeight="1" spans="1:102">
      <c r="A819" s="518">
        <v>45988</v>
      </c>
      <c r="B819" s="519" t="s">
        <v>3526</v>
      </c>
      <c r="C819" s="596" t="s">
        <v>90</v>
      </c>
      <c r="D819" s="427">
        <v>4500187121</v>
      </c>
      <c r="E819" s="520" t="s">
        <v>5237</v>
      </c>
      <c r="F819" s="427" t="s">
        <v>5238</v>
      </c>
      <c r="G819" s="521" t="s">
        <v>5233</v>
      </c>
      <c r="H819" s="521" t="s">
        <v>5234</v>
      </c>
      <c r="I819" s="521">
        <v>1440</v>
      </c>
      <c r="J819" s="521">
        <v>0</v>
      </c>
      <c r="K819" s="521">
        <v>720</v>
      </c>
      <c r="L819" s="524">
        <f t="shared" si="296"/>
        <v>2</v>
      </c>
      <c r="M819" s="525">
        <v>45999</v>
      </c>
      <c r="N819" s="525">
        <v>45995</v>
      </c>
      <c r="O819" s="521" t="s">
        <v>5235</v>
      </c>
      <c r="P819" s="526" t="s">
        <v>103</v>
      </c>
      <c r="Q819" s="521"/>
      <c r="R819" s="530" t="s">
        <v>3980</v>
      </c>
      <c r="S819" s="530" t="s">
        <v>66</v>
      </c>
      <c r="T819" s="530" t="s">
        <v>66</v>
      </c>
      <c r="U819" s="530"/>
      <c r="V819" s="532" t="s">
        <v>5236</v>
      </c>
      <c r="W819" s="598" t="s">
        <v>1590</v>
      </c>
      <c r="X819" s="536">
        <v>420.69</v>
      </c>
      <c r="Y819" s="540">
        <f t="shared" si="297"/>
        <v>841.38</v>
      </c>
      <c r="Z819" s="521"/>
      <c r="AA819" s="519" t="s">
        <v>5233</v>
      </c>
      <c r="AB819" s="521" t="s">
        <v>76</v>
      </c>
      <c r="AC819" s="521"/>
      <c r="AD819" s="519"/>
      <c r="AE819" s="519">
        <v>1</v>
      </c>
      <c r="AF819" s="521">
        <v>1440</v>
      </c>
      <c r="AG819" s="521"/>
      <c r="AH819" s="542"/>
      <c r="AI819" s="521"/>
      <c r="AJ819" s="521"/>
      <c r="AK819" s="521">
        <f t="shared" ref="AK819:AK838" si="305">I819</f>
        <v>1440</v>
      </c>
      <c r="AL819" s="543"/>
      <c r="AR819" s="568">
        <f t="shared" si="298"/>
        <v>1440</v>
      </c>
      <c r="AS819" s="543"/>
      <c r="AT819" s="544"/>
      <c r="AY819" s="576">
        <f t="shared" si="299"/>
        <v>60</v>
      </c>
      <c r="AZ819" s="577">
        <f t="shared" si="300"/>
        <v>1440</v>
      </c>
      <c r="BO819" s="425">
        <f t="shared" si="301"/>
        <v>180</v>
      </c>
      <c r="BT819" s="544"/>
      <c r="BV819" s="544"/>
      <c r="CK819" s="425">
        <f t="shared" si="302"/>
        <v>0</v>
      </c>
      <c r="CL819" s="428">
        <f t="shared" si="303"/>
        <v>0</v>
      </c>
      <c r="CM819" s="428">
        <f t="shared" si="304"/>
        <v>0</v>
      </c>
      <c r="CN819" s="544"/>
      <c r="CO819" s="544"/>
      <c r="CP819" s="544"/>
      <c r="CT819" s="544"/>
      <c r="CU819" s="544"/>
      <c r="CV819" s="544"/>
      <c r="CW819" s="544"/>
      <c r="CX819" s="544"/>
    </row>
    <row r="820" s="427" customFormat="1" ht="31" customHeight="1" spans="1:102">
      <c r="A820" s="518">
        <v>45988</v>
      </c>
      <c r="B820" s="519" t="s">
        <v>3526</v>
      </c>
      <c r="C820" s="596" t="s">
        <v>90</v>
      </c>
      <c r="D820" s="427">
        <v>4500187121</v>
      </c>
      <c r="E820" s="520" t="s">
        <v>5239</v>
      </c>
      <c r="F820" s="427" t="s">
        <v>5240</v>
      </c>
      <c r="G820" s="521" t="s">
        <v>5233</v>
      </c>
      <c r="H820" s="521" t="s">
        <v>5234</v>
      </c>
      <c r="I820" s="521">
        <v>9360</v>
      </c>
      <c r="J820" s="521">
        <v>0</v>
      </c>
      <c r="K820" s="521">
        <v>720</v>
      </c>
      <c r="L820" s="524">
        <f t="shared" si="296"/>
        <v>13</v>
      </c>
      <c r="M820" s="525">
        <v>45999</v>
      </c>
      <c r="N820" s="525">
        <v>45995</v>
      </c>
      <c r="O820" s="521" t="s">
        <v>5235</v>
      </c>
      <c r="P820" s="526" t="s">
        <v>103</v>
      </c>
      <c r="Q820" s="521"/>
      <c r="R820" s="530" t="s">
        <v>3980</v>
      </c>
      <c r="S820" s="530" t="s">
        <v>66</v>
      </c>
      <c r="T820" s="530" t="s">
        <v>66</v>
      </c>
      <c r="U820" s="530"/>
      <c r="V820" s="532" t="s">
        <v>5236</v>
      </c>
      <c r="W820" s="598" t="s">
        <v>1590</v>
      </c>
      <c r="X820" s="532">
        <v>420.6915</v>
      </c>
      <c r="Y820" s="540">
        <f t="shared" si="297"/>
        <v>5468.9895</v>
      </c>
      <c r="Z820" s="521"/>
      <c r="AA820" s="519" t="s">
        <v>5233</v>
      </c>
      <c r="AB820" s="521" t="s">
        <v>76</v>
      </c>
      <c r="AC820" s="521"/>
      <c r="AD820" s="519"/>
      <c r="AE820" s="519">
        <v>1</v>
      </c>
      <c r="AF820" s="521">
        <v>9360</v>
      </c>
      <c r="AG820" s="521"/>
      <c r="AH820" s="542"/>
      <c r="AI820" s="521"/>
      <c r="AJ820" s="521"/>
      <c r="AK820" s="521">
        <f t="shared" si="305"/>
        <v>9360</v>
      </c>
      <c r="AL820" s="543"/>
      <c r="AR820" s="568">
        <f t="shared" si="298"/>
        <v>9360</v>
      </c>
      <c r="AS820" s="543"/>
      <c r="AT820" s="544"/>
      <c r="AY820" s="576">
        <f t="shared" si="299"/>
        <v>390</v>
      </c>
      <c r="AZ820" s="577">
        <f t="shared" si="300"/>
        <v>9360</v>
      </c>
      <c r="BO820" s="425">
        <f t="shared" si="301"/>
        <v>1170</v>
      </c>
      <c r="BT820" s="544"/>
      <c r="BV820" s="544"/>
      <c r="CK820" s="425">
        <f t="shared" si="302"/>
        <v>0</v>
      </c>
      <c r="CL820" s="428">
        <f t="shared" si="303"/>
        <v>0</v>
      </c>
      <c r="CM820" s="428">
        <f t="shared" si="304"/>
        <v>0</v>
      </c>
      <c r="CN820" s="544"/>
      <c r="CO820" s="544"/>
      <c r="CP820" s="544"/>
      <c r="CT820" s="544"/>
      <c r="CU820" s="544"/>
      <c r="CV820" s="544"/>
      <c r="CW820" s="544"/>
      <c r="CX820" s="544"/>
    </row>
    <row r="821" s="427" customFormat="1" ht="31" customHeight="1" spans="1:102">
      <c r="A821" s="518">
        <v>45988</v>
      </c>
      <c r="B821" s="519" t="s">
        <v>3526</v>
      </c>
      <c r="C821" s="596" t="s">
        <v>90</v>
      </c>
      <c r="D821" s="427">
        <v>4500187121</v>
      </c>
      <c r="E821" s="520" t="s">
        <v>5241</v>
      </c>
      <c r="F821" s="427" t="s">
        <v>5242</v>
      </c>
      <c r="G821" s="521" t="s">
        <v>5233</v>
      </c>
      <c r="H821" s="521" t="s">
        <v>5234</v>
      </c>
      <c r="I821" s="521">
        <v>7200</v>
      </c>
      <c r="J821" s="521">
        <v>0</v>
      </c>
      <c r="K821" s="521">
        <v>720</v>
      </c>
      <c r="L821" s="524">
        <f t="shared" si="296"/>
        <v>10</v>
      </c>
      <c r="M821" s="525">
        <v>45999</v>
      </c>
      <c r="N821" s="525">
        <v>45995</v>
      </c>
      <c r="O821" s="521" t="s">
        <v>5235</v>
      </c>
      <c r="P821" s="526" t="s">
        <v>103</v>
      </c>
      <c r="Q821" s="521"/>
      <c r="R821" s="530" t="s">
        <v>3980</v>
      </c>
      <c r="S821" s="530" t="s">
        <v>66</v>
      </c>
      <c r="T821" s="530" t="s">
        <v>66</v>
      </c>
      <c r="U821" s="530"/>
      <c r="V821" s="532" t="s">
        <v>5236</v>
      </c>
      <c r="W821" s="598" t="s">
        <v>1590</v>
      </c>
      <c r="X821" s="536">
        <v>420.691</v>
      </c>
      <c r="Y821" s="540">
        <f t="shared" si="297"/>
        <v>4206.91</v>
      </c>
      <c r="Z821" s="521"/>
      <c r="AA821" s="519" t="s">
        <v>5233</v>
      </c>
      <c r="AB821" s="521" t="s">
        <v>76</v>
      </c>
      <c r="AC821" s="521"/>
      <c r="AD821" s="519"/>
      <c r="AE821" s="519">
        <v>1</v>
      </c>
      <c r="AF821" s="521">
        <v>7200</v>
      </c>
      <c r="AG821" s="521"/>
      <c r="AH821" s="542"/>
      <c r="AI821" s="521"/>
      <c r="AJ821" s="521"/>
      <c r="AK821" s="521">
        <f t="shared" si="305"/>
        <v>7200</v>
      </c>
      <c r="AL821" s="543"/>
      <c r="AR821" s="568">
        <f t="shared" si="298"/>
        <v>7200</v>
      </c>
      <c r="AS821" s="543"/>
      <c r="AT821" s="544"/>
      <c r="AY821" s="576">
        <f t="shared" si="299"/>
        <v>300</v>
      </c>
      <c r="AZ821" s="577">
        <f t="shared" si="300"/>
        <v>7200</v>
      </c>
      <c r="BO821" s="425">
        <f t="shared" si="301"/>
        <v>900</v>
      </c>
      <c r="BT821" s="544"/>
      <c r="BV821" s="544"/>
      <c r="CK821" s="425">
        <f t="shared" si="302"/>
        <v>0</v>
      </c>
      <c r="CL821" s="428">
        <f t="shared" si="303"/>
        <v>0</v>
      </c>
      <c r="CM821" s="428">
        <f t="shared" si="304"/>
        <v>0</v>
      </c>
      <c r="CN821" s="544"/>
      <c r="CO821" s="544"/>
      <c r="CP821" s="544"/>
      <c r="CT821" s="544"/>
      <c r="CU821" s="544"/>
      <c r="CV821" s="544"/>
      <c r="CW821" s="544"/>
      <c r="CX821" s="544"/>
    </row>
    <row r="822" s="427" customFormat="1" ht="31" customHeight="1" spans="1:102">
      <c r="A822" s="518">
        <v>45988</v>
      </c>
      <c r="B822" s="519" t="s">
        <v>3526</v>
      </c>
      <c r="C822" s="596" t="s">
        <v>90</v>
      </c>
      <c r="D822" s="427">
        <v>4500187121</v>
      </c>
      <c r="E822" s="520" t="s">
        <v>5243</v>
      </c>
      <c r="F822" s="427" t="s">
        <v>5244</v>
      </c>
      <c r="G822" s="521" t="s">
        <v>5233</v>
      </c>
      <c r="H822" s="521" t="s">
        <v>5234</v>
      </c>
      <c r="I822" s="521">
        <v>4320</v>
      </c>
      <c r="J822" s="521">
        <v>0</v>
      </c>
      <c r="K822" s="521">
        <v>720</v>
      </c>
      <c r="L822" s="524">
        <f t="shared" si="296"/>
        <v>6</v>
      </c>
      <c r="M822" s="525">
        <v>45999</v>
      </c>
      <c r="N822" s="525">
        <v>45995</v>
      </c>
      <c r="O822" s="521" t="s">
        <v>5235</v>
      </c>
      <c r="P822" s="526" t="s">
        <v>103</v>
      </c>
      <c r="Q822" s="521"/>
      <c r="R822" s="530" t="s">
        <v>3980</v>
      </c>
      <c r="S822" s="530" t="s">
        <v>66</v>
      </c>
      <c r="T822" s="530" t="s">
        <v>66</v>
      </c>
      <c r="U822" s="530"/>
      <c r="V822" s="532" t="s">
        <v>5236</v>
      </c>
      <c r="W822" s="598" t="s">
        <v>1590</v>
      </c>
      <c r="X822" s="532">
        <v>420.6917</v>
      </c>
      <c r="Y822" s="540">
        <f t="shared" si="297"/>
        <v>2524.1502</v>
      </c>
      <c r="Z822" s="521"/>
      <c r="AA822" s="519" t="s">
        <v>5233</v>
      </c>
      <c r="AB822" s="521" t="s">
        <v>76</v>
      </c>
      <c r="AC822" s="521"/>
      <c r="AD822" s="519"/>
      <c r="AE822" s="519">
        <v>1</v>
      </c>
      <c r="AF822" s="521">
        <v>4320</v>
      </c>
      <c r="AG822" s="521"/>
      <c r="AH822" s="542"/>
      <c r="AI822" s="521"/>
      <c r="AJ822" s="521"/>
      <c r="AK822" s="521">
        <f t="shared" si="305"/>
        <v>4320</v>
      </c>
      <c r="AL822" s="543"/>
      <c r="AR822" s="568">
        <f t="shared" si="298"/>
        <v>4320</v>
      </c>
      <c r="AS822" s="543"/>
      <c r="AT822" s="544"/>
      <c r="AY822" s="576">
        <f t="shared" si="299"/>
        <v>180</v>
      </c>
      <c r="AZ822" s="577">
        <f t="shared" si="300"/>
        <v>4320</v>
      </c>
      <c r="BO822" s="425">
        <f t="shared" si="301"/>
        <v>540</v>
      </c>
      <c r="BT822" s="544"/>
      <c r="BV822" s="544"/>
      <c r="CK822" s="425">
        <f t="shared" si="302"/>
        <v>0</v>
      </c>
      <c r="CL822" s="428">
        <f t="shared" si="303"/>
        <v>0</v>
      </c>
      <c r="CM822" s="428">
        <f t="shared" si="304"/>
        <v>0</v>
      </c>
      <c r="CN822" s="544"/>
      <c r="CO822" s="544"/>
      <c r="CP822" s="544"/>
      <c r="CT822" s="544"/>
      <c r="CU822" s="544"/>
      <c r="CV822" s="544"/>
      <c r="CW822" s="544"/>
      <c r="CX822" s="544"/>
    </row>
    <row r="823" s="427" customFormat="1" ht="31" customHeight="1" spans="1:102">
      <c r="A823" s="518">
        <v>45988</v>
      </c>
      <c r="B823" s="519" t="s">
        <v>3526</v>
      </c>
      <c r="C823" s="596" t="s">
        <v>90</v>
      </c>
      <c r="D823" s="427">
        <v>4500187121</v>
      </c>
      <c r="E823" s="520" t="s">
        <v>5245</v>
      </c>
      <c r="F823" s="427" t="s">
        <v>5246</v>
      </c>
      <c r="G823" s="521" t="s">
        <v>5233</v>
      </c>
      <c r="H823" s="521" t="s">
        <v>5234</v>
      </c>
      <c r="I823" s="521">
        <v>5760</v>
      </c>
      <c r="J823" s="521">
        <v>0</v>
      </c>
      <c r="K823" s="521">
        <v>720</v>
      </c>
      <c r="L823" s="524">
        <f t="shared" si="296"/>
        <v>8</v>
      </c>
      <c r="M823" s="525">
        <v>45999</v>
      </c>
      <c r="N823" s="525">
        <v>45995</v>
      </c>
      <c r="O823" s="521" t="s">
        <v>5235</v>
      </c>
      <c r="P823" s="526" t="s">
        <v>103</v>
      </c>
      <c r="Q823" s="521"/>
      <c r="R823" s="530" t="s">
        <v>3980</v>
      </c>
      <c r="S823" s="530" t="s">
        <v>66</v>
      </c>
      <c r="T823" s="530" t="s">
        <v>66</v>
      </c>
      <c r="U823" s="530"/>
      <c r="V823" s="532" t="s">
        <v>5236</v>
      </c>
      <c r="W823" s="598" t="s">
        <v>1590</v>
      </c>
      <c r="X823" s="532">
        <v>420.6913</v>
      </c>
      <c r="Y823" s="540">
        <f t="shared" si="297"/>
        <v>3365.5304</v>
      </c>
      <c r="Z823" s="521"/>
      <c r="AA823" s="519" t="s">
        <v>5233</v>
      </c>
      <c r="AB823" s="521" t="s">
        <v>76</v>
      </c>
      <c r="AC823" s="521"/>
      <c r="AD823" s="519"/>
      <c r="AE823" s="519">
        <v>1</v>
      </c>
      <c r="AF823" s="521">
        <f>2736+3024</f>
        <v>5760</v>
      </c>
      <c r="AG823" s="521"/>
      <c r="AH823" s="542"/>
      <c r="AI823" s="521"/>
      <c r="AJ823" s="521"/>
      <c r="AK823" s="521">
        <f t="shared" si="305"/>
        <v>5760</v>
      </c>
      <c r="AL823" s="543"/>
      <c r="AR823" s="568">
        <f t="shared" si="298"/>
        <v>5760</v>
      </c>
      <c r="AS823" s="543"/>
      <c r="AT823" s="544"/>
      <c r="AY823" s="576">
        <f t="shared" si="299"/>
        <v>240</v>
      </c>
      <c r="AZ823" s="577">
        <f t="shared" si="300"/>
        <v>5760</v>
      </c>
      <c r="BO823" s="425">
        <f t="shared" si="301"/>
        <v>720</v>
      </c>
      <c r="BT823" s="544"/>
      <c r="BV823" s="544"/>
      <c r="CK823" s="425">
        <f t="shared" si="302"/>
        <v>0</v>
      </c>
      <c r="CL823" s="428">
        <f t="shared" si="303"/>
        <v>0</v>
      </c>
      <c r="CM823" s="428">
        <f t="shared" si="304"/>
        <v>0</v>
      </c>
      <c r="CN823" s="544"/>
      <c r="CO823" s="544"/>
      <c r="CP823" s="544"/>
      <c r="CT823" s="544"/>
      <c r="CU823" s="544"/>
      <c r="CV823" s="544"/>
      <c r="CW823" s="544"/>
      <c r="CX823" s="544"/>
    </row>
    <row r="824" s="427" customFormat="1" ht="31" customHeight="1" spans="1:102">
      <c r="A824" s="518">
        <v>45988</v>
      </c>
      <c r="B824" s="519" t="s">
        <v>3526</v>
      </c>
      <c r="C824" s="596" t="s">
        <v>90</v>
      </c>
      <c r="D824" s="427">
        <v>4500187121</v>
      </c>
      <c r="E824" s="520" t="s">
        <v>5247</v>
      </c>
      <c r="F824" s="427" t="s">
        <v>5248</v>
      </c>
      <c r="G824" s="521" t="s">
        <v>5233</v>
      </c>
      <c r="H824" s="521" t="s">
        <v>5234</v>
      </c>
      <c r="I824" s="521">
        <v>4320</v>
      </c>
      <c r="J824" s="521">
        <v>0</v>
      </c>
      <c r="K824" s="521">
        <v>720</v>
      </c>
      <c r="L824" s="524">
        <f t="shared" si="296"/>
        <v>6</v>
      </c>
      <c r="M824" s="525">
        <v>45999</v>
      </c>
      <c r="N824" s="525">
        <v>45995</v>
      </c>
      <c r="O824" s="521" t="s">
        <v>5235</v>
      </c>
      <c r="P824" s="526" t="s">
        <v>103</v>
      </c>
      <c r="Q824" s="521"/>
      <c r="R824" s="530" t="s">
        <v>3980</v>
      </c>
      <c r="S824" s="530" t="s">
        <v>66</v>
      </c>
      <c r="T824" s="530" t="s">
        <v>66</v>
      </c>
      <c r="U824" s="530"/>
      <c r="V824" s="532" t="s">
        <v>5236</v>
      </c>
      <c r="W824" s="598" t="s">
        <v>1590</v>
      </c>
      <c r="X824" s="532">
        <v>420.6917</v>
      </c>
      <c r="Y824" s="540">
        <f t="shared" si="297"/>
        <v>2524.1502</v>
      </c>
      <c r="Z824" s="521"/>
      <c r="AA824" s="519" t="s">
        <v>5233</v>
      </c>
      <c r="AB824" s="521" t="s">
        <v>76</v>
      </c>
      <c r="AC824" s="521"/>
      <c r="AD824" s="519"/>
      <c r="AE824" s="519">
        <v>1</v>
      </c>
      <c r="AF824" s="521">
        <v>4320</v>
      </c>
      <c r="AG824" s="521"/>
      <c r="AH824" s="542"/>
      <c r="AI824" s="521"/>
      <c r="AJ824" s="521"/>
      <c r="AK824" s="521">
        <f t="shared" si="305"/>
        <v>4320</v>
      </c>
      <c r="AL824" s="543"/>
      <c r="AR824" s="568">
        <f t="shared" si="298"/>
        <v>4320</v>
      </c>
      <c r="AS824" s="543"/>
      <c r="AT824" s="544"/>
      <c r="AY824" s="576">
        <f t="shared" si="299"/>
        <v>180</v>
      </c>
      <c r="AZ824" s="577">
        <f t="shared" si="300"/>
        <v>4320</v>
      </c>
      <c r="BO824" s="425">
        <f t="shared" si="301"/>
        <v>540</v>
      </c>
      <c r="BT824" s="544"/>
      <c r="BV824" s="544"/>
      <c r="CK824" s="425">
        <f t="shared" si="302"/>
        <v>0</v>
      </c>
      <c r="CL824" s="428">
        <f t="shared" si="303"/>
        <v>0</v>
      </c>
      <c r="CM824" s="428">
        <f t="shared" si="304"/>
        <v>0</v>
      </c>
      <c r="CN824" s="544"/>
      <c r="CO824" s="544"/>
      <c r="CP824" s="544"/>
      <c r="CT824" s="544"/>
      <c r="CU824" s="544"/>
      <c r="CV824" s="544"/>
      <c r="CW824" s="544"/>
      <c r="CX824" s="544"/>
    </row>
    <row r="825" s="427" customFormat="1" ht="31" customHeight="1" spans="1:102">
      <c r="A825" s="518">
        <v>45988</v>
      </c>
      <c r="B825" s="519" t="s">
        <v>3526</v>
      </c>
      <c r="C825" s="596" t="s">
        <v>90</v>
      </c>
      <c r="D825" s="427">
        <v>4500187121</v>
      </c>
      <c r="E825" s="520" t="s">
        <v>5249</v>
      </c>
      <c r="F825" s="427" t="s">
        <v>5250</v>
      </c>
      <c r="G825" s="521" t="s">
        <v>5233</v>
      </c>
      <c r="H825" s="521" t="s">
        <v>5234</v>
      </c>
      <c r="I825" s="521">
        <v>2160</v>
      </c>
      <c r="J825" s="521">
        <v>0</v>
      </c>
      <c r="K825" s="521">
        <v>720</v>
      </c>
      <c r="L825" s="524">
        <f t="shared" si="296"/>
        <v>3</v>
      </c>
      <c r="M825" s="525">
        <v>45999</v>
      </c>
      <c r="N825" s="525">
        <v>45995</v>
      </c>
      <c r="O825" s="521" t="s">
        <v>5235</v>
      </c>
      <c r="P825" s="526" t="s">
        <v>103</v>
      </c>
      <c r="Q825" s="521"/>
      <c r="R825" s="530" t="s">
        <v>3980</v>
      </c>
      <c r="S825" s="530" t="s">
        <v>66</v>
      </c>
      <c r="T825" s="530" t="s">
        <v>66</v>
      </c>
      <c r="U825" s="530"/>
      <c r="V825" s="532" t="s">
        <v>5236</v>
      </c>
      <c r="W825" s="598" t="s">
        <v>1590</v>
      </c>
      <c r="X825" s="532">
        <v>420.6933</v>
      </c>
      <c r="Y825" s="540">
        <f t="shared" si="297"/>
        <v>1262.0799</v>
      </c>
      <c r="Z825" s="521"/>
      <c r="AA825" s="519" t="s">
        <v>5233</v>
      </c>
      <c r="AB825" s="521" t="s">
        <v>76</v>
      </c>
      <c r="AC825" s="521"/>
      <c r="AD825" s="519"/>
      <c r="AE825" s="519">
        <v>1</v>
      </c>
      <c r="AF825" s="521">
        <v>2160</v>
      </c>
      <c r="AG825" s="521"/>
      <c r="AH825" s="542"/>
      <c r="AI825" s="521"/>
      <c r="AJ825" s="521"/>
      <c r="AK825" s="521">
        <f t="shared" si="305"/>
        <v>2160</v>
      </c>
      <c r="AL825" s="543"/>
      <c r="AR825" s="568">
        <f t="shared" si="298"/>
        <v>2160</v>
      </c>
      <c r="AS825" s="543"/>
      <c r="AT825" s="544"/>
      <c r="AY825" s="576">
        <f t="shared" si="299"/>
        <v>90</v>
      </c>
      <c r="AZ825" s="577">
        <f t="shared" si="300"/>
        <v>2160</v>
      </c>
      <c r="BO825" s="425">
        <f t="shared" si="301"/>
        <v>270</v>
      </c>
      <c r="BT825" s="544"/>
      <c r="BV825" s="544"/>
      <c r="CK825" s="425">
        <f t="shared" si="302"/>
        <v>0</v>
      </c>
      <c r="CL825" s="428">
        <f t="shared" si="303"/>
        <v>0</v>
      </c>
      <c r="CM825" s="428">
        <f t="shared" si="304"/>
        <v>0</v>
      </c>
      <c r="CN825" s="544"/>
      <c r="CO825" s="544"/>
      <c r="CP825" s="544"/>
      <c r="CT825" s="544"/>
      <c r="CU825" s="544"/>
      <c r="CV825" s="544"/>
      <c r="CW825" s="544"/>
      <c r="CX825" s="544"/>
    </row>
    <row r="826" s="427" customFormat="1" ht="31" customHeight="1" spans="1:102">
      <c r="A826" s="518">
        <v>45988</v>
      </c>
      <c r="B826" s="519" t="s">
        <v>3526</v>
      </c>
      <c r="C826" s="596" t="s">
        <v>90</v>
      </c>
      <c r="D826" s="427">
        <v>4500187121</v>
      </c>
      <c r="E826" s="520" t="s">
        <v>5251</v>
      </c>
      <c r="F826" s="427" t="s">
        <v>5252</v>
      </c>
      <c r="G826" s="521" t="s">
        <v>5233</v>
      </c>
      <c r="H826" s="521" t="s">
        <v>5234</v>
      </c>
      <c r="I826" s="521">
        <v>5760</v>
      </c>
      <c r="J826" s="521">
        <v>0</v>
      </c>
      <c r="K826" s="521">
        <v>720</v>
      </c>
      <c r="L826" s="524">
        <f t="shared" si="296"/>
        <v>8</v>
      </c>
      <c r="M826" s="525">
        <v>45999</v>
      </c>
      <c r="N826" s="525">
        <v>45995</v>
      </c>
      <c r="O826" s="521" t="s">
        <v>5235</v>
      </c>
      <c r="P826" s="526" t="s">
        <v>103</v>
      </c>
      <c r="Q826" s="521"/>
      <c r="R826" s="530" t="s">
        <v>3980</v>
      </c>
      <c r="S826" s="530" t="s">
        <v>66</v>
      </c>
      <c r="T826" s="530" t="s">
        <v>66</v>
      </c>
      <c r="U826" s="530"/>
      <c r="V826" s="532" t="s">
        <v>5236</v>
      </c>
      <c r="W826" s="598" t="s">
        <v>1590</v>
      </c>
      <c r="X826" s="532">
        <v>420.6913</v>
      </c>
      <c r="Y826" s="540">
        <f t="shared" si="297"/>
        <v>3365.5304</v>
      </c>
      <c r="Z826" s="521"/>
      <c r="AA826" s="519" t="s">
        <v>5233</v>
      </c>
      <c r="AB826" s="521" t="s">
        <v>76</v>
      </c>
      <c r="AC826" s="521"/>
      <c r="AD826" s="519"/>
      <c r="AE826" s="519">
        <v>1</v>
      </c>
      <c r="AF826" s="521">
        <v>5760</v>
      </c>
      <c r="AG826" s="521"/>
      <c r="AH826" s="542"/>
      <c r="AI826" s="521"/>
      <c r="AJ826" s="521"/>
      <c r="AK826" s="521">
        <f t="shared" si="305"/>
        <v>5760</v>
      </c>
      <c r="AL826" s="543"/>
      <c r="AR826" s="568">
        <f t="shared" si="298"/>
        <v>5760</v>
      </c>
      <c r="AS826" s="543"/>
      <c r="AT826" s="544"/>
      <c r="AY826" s="576">
        <f t="shared" si="299"/>
        <v>240</v>
      </c>
      <c r="AZ826" s="577">
        <f t="shared" si="300"/>
        <v>5760</v>
      </c>
      <c r="BO826" s="425">
        <f t="shared" si="301"/>
        <v>720</v>
      </c>
      <c r="BT826" s="544"/>
      <c r="BV826" s="544"/>
      <c r="CK826" s="425">
        <f t="shared" si="302"/>
        <v>0</v>
      </c>
      <c r="CL826" s="428">
        <f t="shared" si="303"/>
        <v>0</v>
      </c>
      <c r="CM826" s="428">
        <f t="shared" si="304"/>
        <v>0</v>
      </c>
      <c r="CN826" s="544"/>
      <c r="CO826" s="544"/>
      <c r="CP826" s="544"/>
      <c r="CT826" s="544"/>
      <c r="CU826" s="544"/>
      <c r="CV826" s="544"/>
      <c r="CW826" s="544"/>
      <c r="CX826" s="544"/>
    </row>
    <row r="827" s="427" customFormat="1" ht="31" customHeight="1" spans="1:102">
      <c r="A827" s="518">
        <v>45988</v>
      </c>
      <c r="B827" s="519" t="s">
        <v>3526</v>
      </c>
      <c r="C827" s="596" t="s">
        <v>90</v>
      </c>
      <c r="D827" s="427">
        <v>4500187121</v>
      </c>
      <c r="E827" s="520" t="s">
        <v>5253</v>
      </c>
      <c r="F827" s="427" t="s">
        <v>5254</v>
      </c>
      <c r="G827" s="521" t="s">
        <v>5233</v>
      </c>
      <c r="H827" s="521" t="s">
        <v>5234</v>
      </c>
      <c r="I827" s="521">
        <v>2880</v>
      </c>
      <c r="J827" s="521">
        <v>0</v>
      </c>
      <c r="K827" s="521">
        <v>720</v>
      </c>
      <c r="L827" s="524">
        <f t="shared" si="296"/>
        <v>4</v>
      </c>
      <c r="M827" s="525">
        <v>45999</v>
      </c>
      <c r="N827" s="525">
        <v>45995</v>
      </c>
      <c r="O827" s="521" t="s">
        <v>5235</v>
      </c>
      <c r="P827" s="526" t="s">
        <v>103</v>
      </c>
      <c r="Q827" s="521"/>
      <c r="R827" s="530" t="s">
        <v>3980</v>
      </c>
      <c r="S827" s="530" t="s">
        <v>66</v>
      </c>
      <c r="T827" s="530" t="s">
        <v>66</v>
      </c>
      <c r="U827" s="530"/>
      <c r="V827" s="532" t="s">
        <v>5236</v>
      </c>
      <c r="W827" s="598" t="s">
        <v>1590</v>
      </c>
      <c r="X827" s="532">
        <v>420.6925</v>
      </c>
      <c r="Y827" s="540">
        <f t="shared" si="297"/>
        <v>1682.77</v>
      </c>
      <c r="Z827" s="521"/>
      <c r="AA827" s="519" t="s">
        <v>5233</v>
      </c>
      <c r="AB827" s="521" t="s">
        <v>76</v>
      </c>
      <c r="AC827" s="521"/>
      <c r="AD827" s="519"/>
      <c r="AE827" s="519">
        <v>1</v>
      </c>
      <c r="AF827" s="521">
        <v>2880</v>
      </c>
      <c r="AG827" s="521"/>
      <c r="AH827" s="542"/>
      <c r="AI827" s="521"/>
      <c r="AJ827" s="521"/>
      <c r="AK827" s="521">
        <f t="shared" si="305"/>
        <v>2880</v>
      </c>
      <c r="AL827" s="543"/>
      <c r="AR827" s="568">
        <f t="shared" si="298"/>
        <v>2880</v>
      </c>
      <c r="AS827" s="543"/>
      <c r="AT827" s="544"/>
      <c r="AY827" s="576">
        <f t="shared" si="299"/>
        <v>120</v>
      </c>
      <c r="AZ827" s="577">
        <f t="shared" si="300"/>
        <v>2880</v>
      </c>
      <c r="BO827" s="425">
        <f t="shared" si="301"/>
        <v>360</v>
      </c>
      <c r="BT827" s="544"/>
      <c r="BV827" s="544"/>
      <c r="CK827" s="425">
        <f t="shared" si="302"/>
        <v>0</v>
      </c>
      <c r="CL827" s="428">
        <f t="shared" si="303"/>
        <v>0</v>
      </c>
      <c r="CM827" s="428">
        <f t="shared" si="304"/>
        <v>0</v>
      </c>
      <c r="CN827" s="544"/>
      <c r="CO827" s="544"/>
      <c r="CP827" s="544"/>
      <c r="CT827" s="544"/>
      <c r="CU827" s="544"/>
      <c r="CV827" s="544"/>
      <c r="CW827" s="544"/>
      <c r="CX827" s="544"/>
    </row>
    <row r="828" s="427" customFormat="1" ht="31" customHeight="1" spans="1:102">
      <c r="A828" s="518">
        <v>45988</v>
      </c>
      <c r="B828" s="519" t="s">
        <v>3526</v>
      </c>
      <c r="C828" s="596" t="s">
        <v>90</v>
      </c>
      <c r="D828" s="427">
        <v>4500187121</v>
      </c>
      <c r="E828" s="520" t="s">
        <v>5255</v>
      </c>
      <c r="F828" s="427" t="s">
        <v>5256</v>
      </c>
      <c r="G828" s="521" t="s">
        <v>5233</v>
      </c>
      <c r="H828" s="521" t="s">
        <v>5234</v>
      </c>
      <c r="I828" s="521">
        <v>5040</v>
      </c>
      <c r="J828" s="521">
        <v>0</v>
      </c>
      <c r="K828" s="521">
        <v>720</v>
      </c>
      <c r="L828" s="524">
        <f t="shared" si="296"/>
        <v>7</v>
      </c>
      <c r="M828" s="525">
        <v>45999</v>
      </c>
      <c r="N828" s="525">
        <v>45995</v>
      </c>
      <c r="O828" s="521" t="s">
        <v>5235</v>
      </c>
      <c r="P828" s="526" t="s">
        <v>103</v>
      </c>
      <c r="Q828" s="521"/>
      <c r="R828" s="530" t="s">
        <v>3980</v>
      </c>
      <c r="S828" s="530" t="s">
        <v>66</v>
      </c>
      <c r="T828" s="530" t="s">
        <v>66</v>
      </c>
      <c r="U828" s="530"/>
      <c r="V828" s="532" t="s">
        <v>5236</v>
      </c>
      <c r="W828" s="598" t="s">
        <v>1590</v>
      </c>
      <c r="X828" s="532">
        <v>420.6914</v>
      </c>
      <c r="Y828" s="540">
        <f t="shared" si="297"/>
        <v>2944.8398</v>
      </c>
      <c r="Z828" s="521"/>
      <c r="AA828" s="519" t="s">
        <v>5233</v>
      </c>
      <c r="AB828" s="521" t="s">
        <v>76</v>
      </c>
      <c r="AC828" s="521"/>
      <c r="AD828" s="519"/>
      <c r="AE828" s="519">
        <v>1</v>
      </c>
      <c r="AF828" s="521">
        <v>5040</v>
      </c>
      <c r="AG828" s="521"/>
      <c r="AH828" s="542"/>
      <c r="AI828" s="521"/>
      <c r="AJ828" s="521"/>
      <c r="AK828" s="521">
        <f t="shared" si="305"/>
        <v>5040</v>
      </c>
      <c r="AL828" s="543"/>
      <c r="AR828" s="568">
        <f t="shared" si="298"/>
        <v>5040</v>
      </c>
      <c r="AS828" s="543"/>
      <c r="AT828" s="544"/>
      <c r="AY828" s="576">
        <f t="shared" si="299"/>
        <v>210</v>
      </c>
      <c r="AZ828" s="577">
        <f t="shared" si="300"/>
        <v>5040</v>
      </c>
      <c r="BO828" s="425">
        <f t="shared" si="301"/>
        <v>630</v>
      </c>
      <c r="BT828" s="544"/>
      <c r="BV828" s="544"/>
      <c r="CK828" s="425">
        <f t="shared" si="302"/>
        <v>0</v>
      </c>
      <c r="CL828" s="428">
        <f t="shared" si="303"/>
        <v>0</v>
      </c>
      <c r="CM828" s="428">
        <f t="shared" si="304"/>
        <v>0</v>
      </c>
      <c r="CN828" s="544"/>
      <c r="CO828" s="544"/>
      <c r="CP828" s="544"/>
      <c r="CT828" s="544"/>
      <c r="CU828" s="544"/>
      <c r="CV828" s="544"/>
      <c r="CW828" s="544"/>
      <c r="CX828" s="544"/>
    </row>
    <row r="829" s="427" customFormat="1" ht="31" customHeight="1" spans="1:102">
      <c r="A829" s="518">
        <v>45988</v>
      </c>
      <c r="B829" s="519" t="s">
        <v>3526</v>
      </c>
      <c r="C829" s="596" t="s">
        <v>90</v>
      </c>
      <c r="D829" s="427">
        <v>4500187121</v>
      </c>
      <c r="E829" s="520" t="s">
        <v>5257</v>
      </c>
      <c r="F829" s="427" t="s">
        <v>5258</v>
      </c>
      <c r="G829" s="521" t="s">
        <v>5233</v>
      </c>
      <c r="H829" s="521" t="s">
        <v>5234</v>
      </c>
      <c r="I829" s="521">
        <v>2160</v>
      </c>
      <c r="J829" s="521">
        <v>0</v>
      </c>
      <c r="K829" s="521">
        <v>720</v>
      </c>
      <c r="L829" s="524">
        <f t="shared" si="296"/>
        <v>3</v>
      </c>
      <c r="M829" s="525">
        <v>45999</v>
      </c>
      <c r="N829" s="525">
        <v>45995</v>
      </c>
      <c r="O829" s="521" t="s">
        <v>5235</v>
      </c>
      <c r="P829" s="526" t="s">
        <v>103</v>
      </c>
      <c r="Q829" s="521"/>
      <c r="R829" s="530" t="s">
        <v>3980</v>
      </c>
      <c r="S829" s="530" t="s">
        <v>66</v>
      </c>
      <c r="T829" s="530" t="s">
        <v>66</v>
      </c>
      <c r="U829" s="530"/>
      <c r="V829" s="532" t="s">
        <v>5236</v>
      </c>
      <c r="W829" s="598" t="s">
        <v>1590</v>
      </c>
      <c r="X829" s="532">
        <v>420.6933</v>
      </c>
      <c r="Y829" s="540">
        <f t="shared" si="297"/>
        <v>1262.0799</v>
      </c>
      <c r="Z829" s="521"/>
      <c r="AA829" s="519" t="s">
        <v>5233</v>
      </c>
      <c r="AB829" s="521" t="s">
        <v>76</v>
      </c>
      <c r="AC829" s="521"/>
      <c r="AD829" s="519"/>
      <c r="AE829" s="519">
        <v>1</v>
      </c>
      <c r="AF829" s="521">
        <v>2160</v>
      </c>
      <c r="AG829" s="521"/>
      <c r="AH829" s="542"/>
      <c r="AI829" s="521"/>
      <c r="AJ829" s="521"/>
      <c r="AK829" s="521">
        <f t="shared" si="305"/>
        <v>2160</v>
      </c>
      <c r="AL829" s="543"/>
      <c r="AR829" s="568">
        <f t="shared" si="298"/>
        <v>2160</v>
      </c>
      <c r="AS829" s="543"/>
      <c r="AT829" s="544"/>
      <c r="AY829" s="576">
        <f t="shared" si="299"/>
        <v>90</v>
      </c>
      <c r="AZ829" s="577">
        <f t="shared" si="300"/>
        <v>2160</v>
      </c>
      <c r="BO829" s="425">
        <f t="shared" si="301"/>
        <v>270</v>
      </c>
      <c r="BT829" s="544"/>
      <c r="BV829" s="544"/>
      <c r="CK829" s="425">
        <f t="shared" si="302"/>
        <v>0</v>
      </c>
      <c r="CL829" s="428">
        <f t="shared" si="303"/>
        <v>0</v>
      </c>
      <c r="CM829" s="428">
        <f t="shared" si="304"/>
        <v>0</v>
      </c>
      <c r="CN829" s="544"/>
      <c r="CO829" s="544"/>
      <c r="CP829" s="544"/>
      <c r="CT829" s="544"/>
      <c r="CU829" s="544"/>
      <c r="CV829" s="544"/>
      <c r="CW829" s="544"/>
      <c r="CX829" s="544"/>
    </row>
    <row r="830" s="427" customFormat="1" ht="31" customHeight="1" spans="1:102">
      <c r="A830" s="518">
        <v>45988</v>
      </c>
      <c r="B830" s="519" t="s">
        <v>3526</v>
      </c>
      <c r="C830" s="596" t="s">
        <v>90</v>
      </c>
      <c r="D830" s="427">
        <v>4500187121</v>
      </c>
      <c r="E830" s="520" t="s">
        <v>5259</v>
      </c>
      <c r="F830" s="427" t="s">
        <v>5260</v>
      </c>
      <c r="G830" s="521" t="s">
        <v>5233</v>
      </c>
      <c r="H830" s="521" t="s">
        <v>5234</v>
      </c>
      <c r="I830" s="521">
        <v>5760</v>
      </c>
      <c r="J830" s="521">
        <v>0</v>
      </c>
      <c r="K830" s="521">
        <v>720</v>
      </c>
      <c r="L830" s="524">
        <f t="shared" si="296"/>
        <v>8</v>
      </c>
      <c r="M830" s="525">
        <v>45999</v>
      </c>
      <c r="N830" s="525">
        <v>45995</v>
      </c>
      <c r="O830" s="521" t="s">
        <v>5235</v>
      </c>
      <c r="P830" s="526" t="s">
        <v>103</v>
      </c>
      <c r="Q830" s="521"/>
      <c r="R830" s="530" t="s">
        <v>3980</v>
      </c>
      <c r="S830" s="530" t="s">
        <v>66</v>
      </c>
      <c r="T830" s="530" t="s">
        <v>66</v>
      </c>
      <c r="U830" s="530"/>
      <c r="V830" s="532" t="s">
        <v>5236</v>
      </c>
      <c r="W830" s="598" t="s">
        <v>1590</v>
      </c>
      <c r="X830" s="532">
        <v>420.6913</v>
      </c>
      <c r="Y830" s="540">
        <f t="shared" si="297"/>
        <v>3365.5304</v>
      </c>
      <c r="Z830" s="521"/>
      <c r="AA830" s="519" t="s">
        <v>5233</v>
      </c>
      <c r="AB830" s="521" t="s">
        <v>76</v>
      </c>
      <c r="AC830" s="521"/>
      <c r="AD830" s="519"/>
      <c r="AE830" s="519">
        <v>1</v>
      </c>
      <c r="AF830" s="521">
        <v>5760</v>
      </c>
      <c r="AG830" s="521"/>
      <c r="AH830" s="542"/>
      <c r="AI830" s="521"/>
      <c r="AJ830" s="521"/>
      <c r="AK830" s="521">
        <f t="shared" si="305"/>
        <v>5760</v>
      </c>
      <c r="AL830" s="543"/>
      <c r="AR830" s="568">
        <f t="shared" si="298"/>
        <v>5760</v>
      </c>
      <c r="AS830" s="543"/>
      <c r="AT830" s="544"/>
      <c r="AY830" s="576">
        <f t="shared" si="299"/>
        <v>240</v>
      </c>
      <c r="AZ830" s="577">
        <f t="shared" si="300"/>
        <v>5760</v>
      </c>
      <c r="BO830" s="425">
        <f t="shared" si="301"/>
        <v>720</v>
      </c>
      <c r="BT830" s="544"/>
      <c r="BV830" s="544"/>
      <c r="CK830" s="425">
        <f t="shared" si="302"/>
        <v>0</v>
      </c>
      <c r="CL830" s="428">
        <f t="shared" si="303"/>
        <v>0</v>
      </c>
      <c r="CM830" s="428">
        <f t="shared" si="304"/>
        <v>0</v>
      </c>
      <c r="CN830" s="544"/>
      <c r="CO830" s="544"/>
      <c r="CP830" s="544"/>
      <c r="CT830" s="544"/>
      <c r="CU830" s="544"/>
      <c r="CV830" s="544"/>
      <c r="CW830" s="544"/>
      <c r="CX830" s="544"/>
    </row>
    <row r="831" s="427" customFormat="1" ht="31" customHeight="1" spans="1:102">
      <c r="A831" s="518">
        <v>45988</v>
      </c>
      <c r="B831" s="519" t="s">
        <v>3526</v>
      </c>
      <c r="C831" s="596" t="s">
        <v>90</v>
      </c>
      <c r="D831" s="427">
        <v>4500187121</v>
      </c>
      <c r="E831" s="520" t="s">
        <v>5261</v>
      </c>
      <c r="F831" s="427" t="s">
        <v>5262</v>
      </c>
      <c r="G831" s="521" t="s">
        <v>5233</v>
      </c>
      <c r="H831" s="521" t="s">
        <v>5234</v>
      </c>
      <c r="I831" s="521">
        <v>5760</v>
      </c>
      <c r="J831" s="521">
        <v>0</v>
      </c>
      <c r="K831" s="521">
        <v>720</v>
      </c>
      <c r="L831" s="524">
        <f t="shared" si="296"/>
        <v>8</v>
      </c>
      <c r="M831" s="525">
        <v>45999</v>
      </c>
      <c r="N831" s="525">
        <v>45995</v>
      </c>
      <c r="O831" s="521" t="s">
        <v>5235</v>
      </c>
      <c r="P831" s="526" t="s">
        <v>103</v>
      </c>
      <c r="Q831" s="521"/>
      <c r="R831" s="530" t="s">
        <v>3980</v>
      </c>
      <c r="S831" s="530" t="s">
        <v>66</v>
      </c>
      <c r="T831" s="530" t="s">
        <v>66</v>
      </c>
      <c r="U831" s="530"/>
      <c r="V831" s="532" t="s">
        <v>5236</v>
      </c>
      <c r="W831" s="598" t="s">
        <v>1590</v>
      </c>
      <c r="X831" s="532">
        <v>420.6913</v>
      </c>
      <c r="Y831" s="540">
        <f t="shared" si="297"/>
        <v>3365.5304</v>
      </c>
      <c r="Z831" s="521"/>
      <c r="AA831" s="519" t="s">
        <v>5233</v>
      </c>
      <c r="AB831" s="521" t="s">
        <v>76</v>
      </c>
      <c r="AC831" s="521"/>
      <c r="AD831" s="519"/>
      <c r="AE831" s="519">
        <v>1</v>
      </c>
      <c r="AF831" s="521">
        <v>5760</v>
      </c>
      <c r="AG831" s="521"/>
      <c r="AH831" s="542"/>
      <c r="AI831" s="521"/>
      <c r="AJ831" s="521"/>
      <c r="AK831" s="521">
        <f t="shared" si="305"/>
        <v>5760</v>
      </c>
      <c r="AL831" s="543"/>
      <c r="AR831" s="568">
        <f t="shared" si="298"/>
        <v>5760</v>
      </c>
      <c r="AS831" s="543"/>
      <c r="AT831" s="544"/>
      <c r="AY831" s="576">
        <f t="shared" si="299"/>
        <v>240</v>
      </c>
      <c r="AZ831" s="577">
        <f t="shared" si="300"/>
        <v>5760</v>
      </c>
      <c r="BO831" s="425">
        <f t="shared" si="301"/>
        <v>720</v>
      </c>
      <c r="BT831" s="544"/>
      <c r="BV831" s="544"/>
      <c r="CK831" s="425">
        <f t="shared" si="302"/>
        <v>0</v>
      </c>
      <c r="CL831" s="428">
        <f t="shared" si="303"/>
        <v>0</v>
      </c>
      <c r="CM831" s="428">
        <f t="shared" si="304"/>
        <v>0</v>
      </c>
      <c r="CN831" s="544"/>
      <c r="CO831" s="544"/>
      <c r="CP831" s="544"/>
      <c r="CT831" s="544"/>
      <c r="CU831" s="544"/>
      <c r="CV831" s="544"/>
      <c r="CW831" s="544"/>
      <c r="CX831" s="544"/>
    </row>
    <row r="832" s="427" customFormat="1" ht="31" customHeight="1" spans="1:102">
      <c r="A832" s="518">
        <v>45988</v>
      </c>
      <c r="B832" s="519" t="s">
        <v>3526</v>
      </c>
      <c r="C832" s="596" t="s">
        <v>90</v>
      </c>
      <c r="D832" s="427">
        <v>4500187121</v>
      </c>
      <c r="E832" s="520" t="s">
        <v>5263</v>
      </c>
      <c r="F832" s="427" t="s">
        <v>5264</v>
      </c>
      <c r="G832" s="521" t="s">
        <v>5233</v>
      </c>
      <c r="H832" s="521" t="s">
        <v>5234</v>
      </c>
      <c r="I832" s="521">
        <v>5760</v>
      </c>
      <c r="J832" s="521">
        <v>0</v>
      </c>
      <c r="K832" s="521">
        <v>720</v>
      </c>
      <c r="L832" s="524">
        <f t="shared" si="296"/>
        <v>8</v>
      </c>
      <c r="M832" s="525">
        <v>45999</v>
      </c>
      <c r="N832" s="525">
        <v>45995</v>
      </c>
      <c r="O832" s="521" t="s">
        <v>5235</v>
      </c>
      <c r="P832" s="526" t="s">
        <v>103</v>
      </c>
      <c r="Q832" s="521"/>
      <c r="R832" s="530" t="s">
        <v>3980</v>
      </c>
      <c r="S832" s="530" t="s">
        <v>66</v>
      </c>
      <c r="T832" s="530" t="s">
        <v>66</v>
      </c>
      <c r="U832" s="530"/>
      <c r="V832" s="532" t="s">
        <v>5236</v>
      </c>
      <c r="W832" s="598" t="s">
        <v>1590</v>
      </c>
      <c r="X832" s="532">
        <v>420.6913</v>
      </c>
      <c r="Y832" s="540">
        <f t="shared" si="297"/>
        <v>3365.5304</v>
      </c>
      <c r="Z832" s="521"/>
      <c r="AA832" s="519" t="s">
        <v>5233</v>
      </c>
      <c r="AB832" s="521" t="s">
        <v>76</v>
      </c>
      <c r="AC832" s="521"/>
      <c r="AD832" s="519"/>
      <c r="AE832" s="519">
        <v>1</v>
      </c>
      <c r="AF832" s="521">
        <v>5760</v>
      </c>
      <c r="AG832" s="521"/>
      <c r="AH832" s="542"/>
      <c r="AI832" s="521"/>
      <c r="AJ832" s="521"/>
      <c r="AK832" s="521">
        <f t="shared" si="305"/>
        <v>5760</v>
      </c>
      <c r="AL832" s="543"/>
      <c r="AR832" s="568">
        <f t="shared" si="298"/>
        <v>5760</v>
      </c>
      <c r="AS832" s="543"/>
      <c r="AT832" s="544"/>
      <c r="AY832" s="576">
        <f t="shared" si="299"/>
        <v>240</v>
      </c>
      <c r="AZ832" s="577">
        <f t="shared" si="300"/>
        <v>5760</v>
      </c>
      <c r="BO832" s="425">
        <f t="shared" si="301"/>
        <v>720</v>
      </c>
      <c r="BT832" s="544"/>
      <c r="BV832" s="544"/>
      <c r="CK832" s="425">
        <f t="shared" si="302"/>
        <v>0</v>
      </c>
      <c r="CL832" s="428">
        <f t="shared" si="303"/>
        <v>0</v>
      </c>
      <c r="CM832" s="428">
        <f t="shared" si="304"/>
        <v>0</v>
      </c>
      <c r="CN832" s="544"/>
      <c r="CO832" s="544"/>
      <c r="CP832" s="544"/>
      <c r="CT832" s="544"/>
      <c r="CU832" s="544"/>
      <c r="CV832" s="544"/>
      <c r="CW832" s="544"/>
      <c r="CX832" s="544"/>
    </row>
    <row r="833" s="427" customFormat="1" ht="31" customHeight="1" spans="1:102">
      <c r="A833" s="518">
        <v>45988</v>
      </c>
      <c r="B833" s="519" t="s">
        <v>3526</v>
      </c>
      <c r="C833" s="596" t="s">
        <v>90</v>
      </c>
      <c r="D833" s="427">
        <v>4500187121</v>
      </c>
      <c r="E833" s="520" t="s">
        <v>5265</v>
      </c>
      <c r="F833" s="427" t="s">
        <v>5266</v>
      </c>
      <c r="G833" s="521" t="s">
        <v>5233</v>
      </c>
      <c r="H833" s="521" t="s">
        <v>5234</v>
      </c>
      <c r="I833" s="521">
        <v>3600</v>
      </c>
      <c r="J833" s="521">
        <v>0</v>
      </c>
      <c r="K833" s="521">
        <v>720</v>
      </c>
      <c r="L833" s="524">
        <f t="shared" si="296"/>
        <v>5</v>
      </c>
      <c r="M833" s="525">
        <v>45999</v>
      </c>
      <c r="N833" s="525">
        <v>45995</v>
      </c>
      <c r="O833" s="521" t="s">
        <v>5235</v>
      </c>
      <c r="P833" s="526" t="s">
        <v>103</v>
      </c>
      <c r="Q833" s="521"/>
      <c r="R833" s="530" t="s">
        <v>3980</v>
      </c>
      <c r="S833" s="530" t="s">
        <v>66</v>
      </c>
      <c r="T833" s="530" t="s">
        <v>66</v>
      </c>
      <c r="U833" s="530"/>
      <c r="V833" s="532" t="s">
        <v>5236</v>
      </c>
      <c r="W833" s="598" t="s">
        <v>1590</v>
      </c>
      <c r="X833" s="536">
        <v>420.692</v>
      </c>
      <c r="Y833" s="540">
        <f t="shared" si="297"/>
        <v>2103.46</v>
      </c>
      <c r="Z833" s="521"/>
      <c r="AA833" s="519" t="s">
        <v>5233</v>
      </c>
      <c r="AB833" s="521" t="s">
        <v>76</v>
      </c>
      <c r="AC833" s="521"/>
      <c r="AD833" s="519"/>
      <c r="AE833" s="519">
        <v>1</v>
      </c>
      <c r="AF833" s="521">
        <v>3600</v>
      </c>
      <c r="AG833" s="521"/>
      <c r="AH833" s="542"/>
      <c r="AI833" s="521"/>
      <c r="AJ833" s="521"/>
      <c r="AK833" s="521">
        <f t="shared" si="305"/>
        <v>3600</v>
      </c>
      <c r="AL833" s="543"/>
      <c r="AR833" s="568">
        <f t="shared" si="298"/>
        <v>3600</v>
      </c>
      <c r="AS833" s="543"/>
      <c r="AT833" s="544"/>
      <c r="AY833" s="576">
        <f t="shared" si="299"/>
        <v>150</v>
      </c>
      <c r="AZ833" s="577">
        <f t="shared" si="300"/>
        <v>3600</v>
      </c>
      <c r="BO833" s="425">
        <f t="shared" si="301"/>
        <v>450</v>
      </c>
      <c r="BT833" s="544"/>
      <c r="BV833" s="544"/>
      <c r="CK833" s="425">
        <f t="shared" si="302"/>
        <v>0</v>
      </c>
      <c r="CL833" s="428">
        <f t="shared" si="303"/>
        <v>0</v>
      </c>
      <c r="CM833" s="428">
        <f t="shared" si="304"/>
        <v>0</v>
      </c>
      <c r="CN833" s="544"/>
      <c r="CO833" s="544"/>
      <c r="CP833" s="544"/>
      <c r="CT833" s="544"/>
      <c r="CU833" s="544"/>
      <c r="CV833" s="544"/>
      <c r="CW833" s="544"/>
      <c r="CX833" s="544"/>
    </row>
    <row r="834" s="427" customFormat="1" ht="31" customHeight="1" spans="1:102">
      <c r="A834" s="518">
        <v>45988</v>
      </c>
      <c r="B834" s="519" t="s">
        <v>3526</v>
      </c>
      <c r="C834" s="596" t="s">
        <v>90</v>
      </c>
      <c r="D834" s="427">
        <v>4500187121</v>
      </c>
      <c r="E834" s="520" t="s">
        <v>5267</v>
      </c>
      <c r="F834" s="427" t="s">
        <v>5268</v>
      </c>
      <c r="G834" s="521" t="s">
        <v>5233</v>
      </c>
      <c r="H834" s="521" t="s">
        <v>5234</v>
      </c>
      <c r="I834" s="521">
        <v>5040</v>
      </c>
      <c r="J834" s="521">
        <v>0</v>
      </c>
      <c r="K834" s="521">
        <v>720</v>
      </c>
      <c r="L834" s="524">
        <f t="shared" si="296"/>
        <v>7</v>
      </c>
      <c r="M834" s="525">
        <v>45999</v>
      </c>
      <c r="N834" s="525">
        <v>45995</v>
      </c>
      <c r="O834" s="521" t="s">
        <v>5235</v>
      </c>
      <c r="P834" s="526" t="s">
        <v>103</v>
      </c>
      <c r="Q834" s="521"/>
      <c r="R834" s="530" t="s">
        <v>3980</v>
      </c>
      <c r="S834" s="530" t="s">
        <v>66</v>
      </c>
      <c r="T834" s="530" t="s">
        <v>66</v>
      </c>
      <c r="U834" s="530"/>
      <c r="V834" s="532" t="s">
        <v>5236</v>
      </c>
      <c r="W834" s="598" t="s">
        <v>1590</v>
      </c>
      <c r="X834" s="532">
        <v>420.6914</v>
      </c>
      <c r="Y834" s="540">
        <f t="shared" si="297"/>
        <v>2944.8398</v>
      </c>
      <c r="Z834" s="521"/>
      <c r="AA834" s="519" t="s">
        <v>5233</v>
      </c>
      <c r="AB834" s="521" t="s">
        <v>76</v>
      </c>
      <c r="AC834" s="521"/>
      <c r="AD834" s="519"/>
      <c r="AE834" s="519">
        <v>1</v>
      </c>
      <c r="AF834" s="521">
        <v>5040</v>
      </c>
      <c r="AG834" s="521"/>
      <c r="AH834" s="542"/>
      <c r="AI834" s="521"/>
      <c r="AJ834" s="521"/>
      <c r="AK834" s="521">
        <f t="shared" si="305"/>
        <v>5040</v>
      </c>
      <c r="AL834" s="543"/>
      <c r="AR834" s="568">
        <f t="shared" si="298"/>
        <v>5040</v>
      </c>
      <c r="AS834" s="543"/>
      <c r="AT834" s="544"/>
      <c r="AY834" s="576">
        <f t="shared" si="299"/>
        <v>210</v>
      </c>
      <c r="AZ834" s="577">
        <f t="shared" si="300"/>
        <v>5040</v>
      </c>
      <c r="BO834" s="425">
        <f t="shared" si="301"/>
        <v>630</v>
      </c>
      <c r="BT834" s="544"/>
      <c r="BV834" s="544"/>
      <c r="CK834" s="425">
        <f t="shared" si="302"/>
        <v>0</v>
      </c>
      <c r="CL834" s="428">
        <f t="shared" si="303"/>
        <v>0</v>
      </c>
      <c r="CM834" s="428">
        <f t="shared" si="304"/>
        <v>0</v>
      </c>
      <c r="CN834" s="544"/>
      <c r="CO834" s="544"/>
      <c r="CP834" s="544"/>
      <c r="CT834" s="544"/>
      <c r="CU834" s="544"/>
      <c r="CV834" s="544"/>
      <c r="CW834" s="544"/>
      <c r="CX834" s="544"/>
    </row>
    <row r="835" s="427" customFormat="1" ht="31" customHeight="1" spans="1:102">
      <c r="A835" s="518">
        <v>45988</v>
      </c>
      <c r="B835" s="519" t="s">
        <v>3526</v>
      </c>
      <c r="C835" s="596" t="s">
        <v>90</v>
      </c>
      <c r="D835" s="427">
        <v>4500187121</v>
      </c>
      <c r="E835" s="520" t="s">
        <v>5269</v>
      </c>
      <c r="F835" s="427" t="s">
        <v>5270</v>
      </c>
      <c r="G835" s="521" t="s">
        <v>5233</v>
      </c>
      <c r="H835" s="521" t="s">
        <v>5234</v>
      </c>
      <c r="I835" s="521">
        <v>4320</v>
      </c>
      <c r="J835" s="521">
        <v>0</v>
      </c>
      <c r="K835" s="521">
        <v>720</v>
      </c>
      <c r="L835" s="524">
        <f t="shared" si="296"/>
        <v>6</v>
      </c>
      <c r="M835" s="525">
        <v>45999</v>
      </c>
      <c r="N835" s="525">
        <v>45995</v>
      </c>
      <c r="O835" s="521" t="s">
        <v>5235</v>
      </c>
      <c r="P835" s="526" t="s">
        <v>103</v>
      </c>
      <c r="Q835" s="521"/>
      <c r="R835" s="530" t="s">
        <v>3980</v>
      </c>
      <c r="S835" s="530" t="s">
        <v>66</v>
      </c>
      <c r="T835" s="530" t="s">
        <v>66</v>
      </c>
      <c r="U835" s="530"/>
      <c r="V835" s="532" t="s">
        <v>5236</v>
      </c>
      <c r="W835" s="598" t="s">
        <v>1590</v>
      </c>
      <c r="X835" s="532">
        <v>420.6917</v>
      </c>
      <c r="Y835" s="540">
        <f t="shared" si="297"/>
        <v>2524.1502</v>
      </c>
      <c r="Z835" s="521"/>
      <c r="AA835" s="519" t="s">
        <v>5233</v>
      </c>
      <c r="AB835" s="521" t="s">
        <v>76</v>
      </c>
      <c r="AC835" s="521"/>
      <c r="AD835" s="519"/>
      <c r="AE835" s="519">
        <v>1</v>
      </c>
      <c r="AF835" s="521">
        <v>4320</v>
      </c>
      <c r="AG835" s="521"/>
      <c r="AH835" s="542"/>
      <c r="AI835" s="521"/>
      <c r="AJ835" s="521"/>
      <c r="AK835" s="521">
        <f t="shared" si="305"/>
        <v>4320</v>
      </c>
      <c r="AL835" s="543"/>
      <c r="AR835" s="568">
        <f t="shared" si="298"/>
        <v>4320</v>
      </c>
      <c r="AS835" s="543"/>
      <c r="AT835" s="544"/>
      <c r="AY835" s="576">
        <f t="shared" si="299"/>
        <v>180</v>
      </c>
      <c r="AZ835" s="577">
        <f t="shared" si="300"/>
        <v>4320</v>
      </c>
      <c r="BO835" s="425">
        <f t="shared" si="301"/>
        <v>540</v>
      </c>
      <c r="BT835" s="544"/>
      <c r="BV835" s="544"/>
      <c r="CK835" s="425">
        <f t="shared" si="302"/>
        <v>0</v>
      </c>
      <c r="CL835" s="428">
        <f t="shared" si="303"/>
        <v>0</v>
      </c>
      <c r="CM835" s="428">
        <f t="shared" si="304"/>
        <v>0</v>
      </c>
      <c r="CN835" s="544"/>
      <c r="CO835" s="544"/>
      <c r="CP835" s="544"/>
      <c r="CT835" s="544"/>
      <c r="CU835" s="544"/>
      <c r="CV835" s="544"/>
      <c r="CW835" s="544"/>
      <c r="CX835" s="544"/>
    </row>
    <row r="836" s="427" customFormat="1" ht="31" customHeight="1" spans="1:102">
      <c r="A836" s="518">
        <v>45988</v>
      </c>
      <c r="B836" s="519" t="s">
        <v>3526</v>
      </c>
      <c r="C836" s="596" t="s">
        <v>90</v>
      </c>
      <c r="D836" s="427">
        <v>4500187121</v>
      </c>
      <c r="E836" s="520" t="s">
        <v>5271</v>
      </c>
      <c r="F836" s="427" t="s">
        <v>5272</v>
      </c>
      <c r="G836" s="521" t="s">
        <v>5233</v>
      </c>
      <c r="H836" s="521" t="s">
        <v>5234</v>
      </c>
      <c r="I836" s="521">
        <v>3600</v>
      </c>
      <c r="J836" s="521">
        <v>0</v>
      </c>
      <c r="K836" s="521">
        <v>720</v>
      </c>
      <c r="L836" s="524">
        <f t="shared" si="296"/>
        <v>5</v>
      </c>
      <c r="M836" s="525">
        <v>45999</v>
      </c>
      <c r="N836" s="525">
        <v>45995</v>
      </c>
      <c r="O836" s="521" t="s">
        <v>5235</v>
      </c>
      <c r="P836" s="526" t="s">
        <v>103</v>
      </c>
      <c r="Q836" s="521"/>
      <c r="R836" s="530" t="s">
        <v>3980</v>
      </c>
      <c r="S836" s="530" t="s">
        <v>66</v>
      </c>
      <c r="T836" s="530" t="s">
        <v>66</v>
      </c>
      <c r="U836" s="530"/>
      <c r="V836" s="532" t="s">
        <v>5236</v>
      </c>
      <c r="W836" s="598" t="s">
        <v>1590</v>
      </c>
      <c r="X836" s="536">
        <v>420.692</v>
      </c>
      <c r="Y836" s="540">
        <f t="shared" si="297"/>
        <v>2103.46</v>
      </c>
      <c r="Z836" s="521"/>
      <c r="AA836" s="519" t="s">
        <v>5233</v>
      </c>
      <c r="AB836" s="521" t="s">
        <v>76</v>
      </c>
      <c r="AC836" s="521"/>
      <c r="AD836" s="519"/>
      <c r="AE836" s="519">
        <v>1</v>
      </c>
      <c r="AF836" s="521">
        <v>3600</v>
      </c>
      <c r="AG836" s="521"/>
      <c r="AH836" s="542"/>
      <c r="AI836" s="521"/>
      <c r="AJ836" s="521"/>
      <c r="AK836" s="521">
        <f t="shared" si="305"/>
        <v>3600</v>
      </c>
      <c r="AL836" s="543"/>
      <c r="AR836" s="568">
        <f t="shared" si="298"/>
        <v>3600</v>
      </c>
      <c r="AS836" s="543"/>
      <c r="AT836" s="544"/>
      <c r="AY836" s="576">
        <f t="shared" si="299"/>
        <v>150</v>
      </c>
      <c r="AZ836" s="577">
        <f t="shared" si="300"/>
        <v>3600</v>
      </c>
      <c r="BO836" s="425">
        <f t="shared" si="301"/>
        <v>450</v>
      </c>
      <c r="BT836" s="544"/>
      <c r="BV836" s="544"/>
      <c r="CK836" s="425">
        <f t="shared" si="302"/>
        <v>0</v>
      </c>
      <c r="CL836" s="428">
        <f t="shared" si="303"/>
        <v>0</v>
      </c>
      <c r="CM836" s="428">
        <f t="shared" si="304"/>
        <v>0</v>
      </c>
      <c r="CN836" s="544"/>
      <c r="CO836" s="544"/>
      <c r="CP836" s="544"/>
      <c r="CT836" s="544"/>
      <c r="CU836" s="544"/>
      <c r="CV836" s="544"/>
      <c r="CW836" s="544"/>
      <c r="CX836" s="544"/>
    </row>
    <row r="837" s="427" customFormat="1" ht="31" customHeight="1" spans="1:102">
      <c r="A837" s="518">
        <v>45988</v>
      </c>
      <c r="B837" s="519" t="s">
        <v>3526</v>
      </c>
      <c r="C837" s="596" t="s">
        <v>90</v>
      </c>
      <c r="D837" s="427">
        <v>4500187121</v>
      </c>
      <c r="E837" s="520" t="s">
        <v>5273</v>
      </c>
      <c r="F837" s="427" t="s">
        <v>5274</v>
      </c>
      <c r="G837" s="521" t="s">
        <v>5233</v>
      </c>
      <c r="H837" s="521" t="s">
        <v>5234</v>
      </c>
      <c r="I837" s="521">
        <v>5760</v>
      </c>
      <c r="J837" s="521">
        <v>0</v>
      </c>
      <c r="K837" s="521">
        <v>720</v>
      </c>
      <c r="L837" s="524">
        <f t="shared" si="296"/>
        <v>8</v>
      </c>
      <c r="M837" s="525">
        <v>45999</v>
      </c>
      <c r="N837" s="525">
        <v>45995</v>
      </c>
      <c r="O837" s="521" t="s">
        <v>5235</v>
      </c>
      <c r="P837" s="526" t="s">
        <v>103</v>
      </c>
      <c r="Q837" s="521"/>
      <c r="R837" s="530" t="s">
        <v>3980</v>
      </c>
      <c r="S837" s="530" t="s">
        <v>66</v>
      </c>
      <c r="T837" s="530" t="s">
        <v>66</v>
      </c>
      <c r="U837" s="530"/>
      <c r="V837" s="532" t="s">
        <v>5236</v>
      </c>
      <c r="W837" s="598" t="s">
        <v>1590</v>
      </c>
      <c r="X837" s="532">
        <v>420.6913</v>
      </c>
      <c r="Y837" s="540">
        <f t="shared" si="297"/>
        <v>3365.5304</v>
      </c>
      <c r="Z837" s="521"/>
      <c r="AA837" s="519" t="s">
        <v>5233</v>
      </c>
      <c r="AB837" s="521" t="s">
        <v>76</v>
      </c>
      <c r="AC837" s="521"/>
      <c r="AD837" s="519"/>
      <c r="AE837" s="519">
        <v>1</v>
      </c>
      <c r="AF837" s="521">
        <v>5760</v>
      </c>
      <c r="AG837" s="521"/>
      <c r="AH837" s="542"/>
      <c r="AI837" s="521"/>
      <c r="AJ837" s="521"/>
      <c r="AK837" s="521">
        <f t="shared" si="305"/>
        <v>5760</v>
      </c>
      <c r="AL837" s="543"/>
      <c r="AR837" s="568">
        <f t="shared" si="298"/>
        <v>5760</v>
      </c>
      <c r="AS837" s="543"/>
      <c r="AT837" s="544"/>
      <c r="AY837" s="576">
        <f t="shared" si="299"/>
        <v>240</v>
      </c>
      <c r="AZ837" s="577">
        <f t="shared" si="300"/>
        <v>5760</v>
      </c>
      <c r="BO837" s="425">
        <f t="shared" si="301"/>
        <v>720</v>
      </c>
      <c r="BT837" s="544"/>
      <c r="BV837" s="544"/>
      <c r="CK837" s="425">
        <f t="shared" si="302"/>
        <v>0</v>
      </c>
      <c r="CL837" s="428">
        <f t="shared" si="303"/>
        <v>0</v>
      </c>
      <c r="CM837" s="428">
        <f t="shared" si="304"/>
        <v>0</v>
      </c>
      <c r="CN837" s="544"/>
      <c r="CO837" s="544"/>
      <c r="CP837" s="544"/>
      <c r="CT837" s="544"/>
      <c r="CU837" s="544"/>
      <c r="CV837" s="544"/>
      <c r="CW837" s="544"/>
      <c r="CX837" s="544"/>
    </row>
    <row r="838" s="427" customFormat="1" ht="31" customHeight="1" spans="1:102">
      <c r="A838" s="518">
        <v>45988</v>
      </c>
      <c r="B838" s="519" t="s">
        <v>3526</v>
      </c>
      <c r="C838" s="596" t="s">
        <v>90</v>
      </c>
      <c r="D838" s="427">
        <v>4500187121</v>
      </c>
      <c r="E838" s="520" t="s">
        <v>5275</v>
      </c>
      <c r="F838" s="427" t="s">
        <v>5276</v>
      </c>
      <c r="G838" s="521" t="s">
        <v>5233</v>
      </c>
      <c r="H838" s="521" t="s">
        <v>5234</v>
      </c>
      <c r="I838" s="521">
        <v>2160</v>
      </c>
      <c r="J838" s="521">
        <v>0</v>
      </c>
      <c r="K838" s="521">
        <v>720</v>
      </c>
      <c r="L838" s="524">
        <f t="shared" si="296"/>
        <v>3</v>
      </c>
      <c r="M838" s="525">
        <v>45999</v>
      </c>
      <c r="N838" s="525">
        <v>45995</v>
      </c>
      <c r="O838" s="521" t="s">
        <v>5235</v>
      </c>
      <c r="P838" s="526" t="s">
        <v>103</v>
      </c>
      <c r="Q838" s="521"/>
      <c r="R838" s="530" t="s">
        <v>3980</v>
      </c>
      <c r="S838" s="530" t="s">
        <v>66</v>
      </c>
      <c r="T838" s="530" t="s">
        <v>66</v>
      </c>
      <c r="U838" s="530"/>
      <c r="V838" s="532" t="s">
        <v>5236</v>
      </c>
      <c r="W838" s="598" t="s">
        <v>1590</v>
      </c>
      <c r="X838" s="532">
        <v>420.6933</v>
      </c>
      <c r="Y838" s="540">
        <f t="shared" si="297"/>
        <v>1262.0799</v>
      </c>
      <c r="Z838" s="521"/>
      <c r="AA838" s="519" t="s">
        <v>5233</v>
      </c>
      <c r="AB838" s="521" t="s">
        <v>76</v>
      </c>
      <c r="AC838" s="521"/>
      <c r="AD838" s="519"/>
      <c r="AE838" s="519">
        <v>1</v>
      </c>
      <c r="AF838" s="521">
        <f>1968+192</f>
        <v>2160</v>
      </c>
      <c r="AG838" s="521"/>
      <c r="AH838" s="542"/>
      <c r="AI838" s="521"/>
      <c r="AJ838" s="521"/>
      <c r="AK838" s="521">
        <f t="shared" si="305"/>
        <v>2160</v>
      </c>
      <c r="AL838" s="543"/>
      <c r="AR838" s="568">
        <f t="shared" si="298"/>
        <v>2160</v>
      </c>
      <c r="AS838" s="543"/>
      <c r="AT838" s="544"/>
      <c r="AY838" s="576">
        <f t="shared" si="299"/>
        <v>90</v>
      </c>
      <c r="AZ838" s="577">
        <f t="shared" si="300"/>
        <v>2160</v>
      </c>
      <c r="BO838" s="425">
        <f t="shared" si="301"/>
        <v>270</v>
      </c>
      <c r="BT838" s="544"/>
      <c r="BV838" s="544"/>
      <c r="CK838" s="425">
        <f t="shared" si="302"/>
        <v>0</v>
      </c>
      <c r="CL838" s="428">
        <f t="shared" si="303"/>
        <v>0</v>
      </c>
      <c r="CM838" s="428">
        <f t="shared" si="304"/>
        <v>0</v>
      </c>
      <c r="CN838" s="544"/>
      <c r="CO838" s="544"/>
      <c r="CP838" s="544"/>
      <c r="CT838" s="544"/>
      <c r="CU838" s="544"/>
      <c r="CV838" s="544"/>
      <c r="CW838" s="544"/>
      <c r="CX838" s="544"/>
    </row>
    <row r="839" s="427" customFormat="1" ht="31" customHeight="1" spans="1:102">
      <c r="A839" s="518">
        <v>45925</v>
      </c>
      <c r="B839" s="519" t="s">
        <v>3203</v>
      </c>
      <c r="C839" s="520" t="s">
        <v>71</v>
      </c>
      <c r="D839" s="427">
        <v>4500180385</v>
      </c>
      <c r="E839" s="520">
        <v>4504134713</v>
      </c>
      <c r="F839" s="427" t="s">
        <v>5277</v>
      </c>
      <c r="G839" s="521" t="s">
        <v>3206</v>
      </c>
      <c r="H839" s="521" t="s">
        <v>3207</v>
      </c>
      <c r="I839" s="521">
        <v>975</v>
      </c>
      <c r="J839" s="521">
        <v>0</v>
      </c>
      <c r="K839" s="521">
        <v>13</v>
      </c>
      <c r="L839" s="524">
        <f t="shared" si="296"/>
        <v>75</v>
      </c>
      <c r="M839" s="525">
        <v>46001</v>
      </c>
      <c r="N839" s="525">
        <v>45997</v>
      </c>
      <c r="O839" s="526"/>
      <c r="P839" s="526" t="s">
        <v>103</v>
      </c>
      <c r="Q839" s="521"/>
      <c r="R839" s="530">
        <v>45983</v>
      </c>
      <c r="S839" s="530" t="s">
        <v>66</v>
      </c>
      <c r="T839" s="530" t="s">
        <v>5278</v>
      </c>
      <c r="U839" s="530"/>
      <c r="V839" s="531" t="s">
        <v>5279</v>
      </c>
      <c r="W839" s="532" t="s">
        <v>5280</v>
      </c>
      <c r="X839" s="532">
        <v>0.9168</v>
      </c>
      <c r="Y839" s="540">
        <f>X839*I839</f>
        <v>893.88</v>
      </c>
      <c r="Z839" s="521"/>
      <c r="AA839" s="521" t="s">
        <v>3206</v>
      </c>
      <c r="AB839" s="521" t="s">
        <v>76</v>
      </c>
      <c r="AC839" s="521"/>
      <c r="AD839" s="594"/>
      <c r="AE839" s="594">
        <v>1</v>
      </c>
      <c r="AF839" s="521">
        <v>975</v>
      </c>
      <c r="AG839" s="521">
        <f t="shared" ref="AG839:AG854" si="306">AF839-I839</f>
        <v>0</v>
      </c>
      <c r="AH839" s="542"/>
      <c r="AI839" s="521" t="s">
        <v>2191</v>
      </c>
      <c r="AJ839" s="521"/>
      <c r="AK839" s="521"/>
      <c r="AL839" s="543">
        <f>I839</f>
        <v>975</v>
      </c>
      <c r="AQ839" s="593">
        <f>I839*2</f>
        <v>1950</v>
      </c>
      <c r="AR839" s="543"/>
      <c r="AS839" s="427">
        <f>K839</f>
        <v>13</v>
      </c>
      <c r="AT839" s="544"/>
      <c r="AU839" s="543"/>
      <c r="AY839" s="545">
        <f t="shared" si="299"/>
        <v>40.625</v>
      </c>
      <c r="AZ839" s="546"/>
      <c r="BI839" s="593">
        <f>I839/13</f>
        <v>75</v>
      </c>
      <c r="BT839" s="544"/>
      <c r="BV839" s="544"/>
      <c r="CK839" s="427">
        <f t="shared" si="302"/>
        <v>0</v>
      </c>
      <c r="CL839" s="427">
        <f t="shared" si="303"/>
        <v>0</v>
      </c>
      <c r="CM839" s="427">
        <f t="shared" si="304"/>
        <v>0</v>
      </c>
      <c r="CN839" s="544"/>
      <c r="CO839" s="544"/>
      <c r="CP839" s="544"/>
      <c r="CT839" s="544"/>
      <c r="CU839" s="544"/>
      <c r="CV839" s="544"/>
      <c r="CW839" s="544"/>
      <c r="CX839" s="544"/>
    </row>
    <row r="840" s="427" customFormat="1" ht="31" customHeight="1" spans="1:102">
      <c r="A840" s="518">
        <v>45959</v>
      </c>
      <c r="B840" s="519" t="s">
        <v>2528</v>
      </c>
      <c r="C840" s="520" t="s">
        <v>759</v>
      </c>
      <c r="D840" s="427">
        <v>4500183478</v>
      </c>
      <c r="E840" s="520" t="s">
        <v>5281</v>
      </c>
      <c r="F840" s="427" t="s">
        <v>5282</v>
      </c>
      <c r="G840" s="521" t="s">
        <v>3165</v>
      </c>
      <c r="H840" s="521" t="s">
        <v>3303</v>
      </c>
      <c r="I840" s="521">
        <v>7300</v>
      </c>
      <c r="J840" s="521">
        <v>0</v>
      </c>
      <c r="K840" s="521">
        <v>25</v>
      </c>
      <c r="L840" s="524">
        <f t="shared" si="296"/>
        <v>292</v>
      </c>
      <c r="M840" s="525">
        <v>46001</v>
      </c>
      <c r="N840" s="525">
        <v>45997</v>
      </c>
      <c r="O840" s="526"/>
      <c r="P840" s="526" t="s">
        <v>103</v>
      </c>
      <c r="Q840" s="521"/>
      <c r="R840" s="530">
        <v>45959</v>
      </c>
      <c r="S840" s="530" t="s">
        <v>66</v>
      </c>
      <c r="T840" s="530" t="s">
        <v>406</v>
      </c>
      <c r="U840" s="530"/>
      <c r="V840" s="532" t="s">
        <v>5283</v>
      </c>
      <c r="W840" s="532" t="s">
        <v>2533</v>
      </c>
      <c r="X840" s="532">
        <v>0.9358</v>
      </c>
      <c r="Y840" s="540">
        <f t="shared" ref="Y840:Y854" si="307">X840*I840</f>
        <v>6831.34</v>
      </c>
      <c r="Z840" s="521"/>
      <c r="AA840" s="521" t="s">
        <v>3165</v>
      </c>
      <c r="AB840" s="521" t="s">
        <v>76</v>
      </c>
      <c r="AC840" s="521"/>
      <c r="AD840" s="521"/>
      <c r="AE840" s="521">
        <v>1</v>
      </c>
      <c r="AF840" s="521">
        <v>7300</v>
      </c>
      <c r="AG840" s="521">
        <f t="shared" si="306"/>
        <v>0</v>
      </c>
      <c r="AH840" s="542"/>
      <c r="AI840" s="521"/>
      <c r="AJ840" s="521"/>
      <c r="AK840" s="521"/>
      <c r="AL840" s="543">
        <f>I840</f>
        <v>7300</v>
      </c>
      <c r="AQ840" s="427">
        <f>I840</f>
        <v>7300</v>
      </c>
      <c r="AS840" s="543">
        <f>I840</f>
        <v>7300</v>
      </c>
      <c r="AT840" s="544"/>
      <c r="AU840" s="543"/>
      <c r="AY840" s="545">
        <f t="shared" si="299"/>
        <v>304.166666666667</v>
      </c>
      <c r="AZ840" s="546"/>
      <c r="BL840" s="427">
        <f>I840/25</f>
        <v>292</v>
      </c>
      <c r="BT840" s="544"/>
      <c r="BV840" s="544"/>
      <c r="CK840" s="427">
        <f t="shared" si="302"/>
        <v>292</v>
      </c>
      <c r="CL840" s="427">
        <f t="shared" si="303"/>
        <v>0</v>
      </c>
      <c r="CM840" s="427">
        <f t="shared" si="304"/>
        <v>0</v>
      </c>
      <c r="CN840" s="544"/>
      <c r="CO840" s="544"/>
      <c r="CP840" s="544"/>
      <c r="CT840" s="544"/>
      <c r="CU840" s="544"/>
      <c r="CV840" s="544"/>
      <c r="CW840" s="544"/>
      <c r="CX840" s="544"/>
    </row>
    <row r="841" s="427" customFormat="1" ht="31" customHeight="1" spans="1:102">
      <c r="A841" s="518">
        <v>45960</v>
      </c>
      <c r="B841" s="519" t="s">
        <v>128</v>
      </c>
      <c r="C841" s="520" t="s">
        <v>90</v>
      </c>
      <c r="D841" s="427">
        <v>4500183718</v>
      </c>
      <c r="E841" s="890" t="s">
        <v>5284</v>
      </c>
      <c r="F841" s="427" t="s">
        <v>5285</v>
      </c>
      <c r="G841" s="521" t="s">
        <v>3180</v>
      </c>
      <c r="H841" s="521" t="s">
        <v>3181</v>
      </c>
      <c r="I841" s="521">
        <v>24000</v>
      </c>
      <c r="J841" s="521">
        <v>0</v>
      </c>
      <c r="K841" s="521">
        <v>16</v>
      </c>
      <c r="L841" s="524">
        <f t="shared" si="296"/>
        <v>1500</v>
      </c>
      <c r="M841" s="525">
        <v>46001</v>
      </c>
      <c r="N841" s="525">
        <v>45997</v>
      </c>
      <c r="O841" s="525">
        <v>46003</v>
      </c>
      <c r="P841" s="526" t="s">
        <v>103</v>
      </c>
      <c r="Q841" s="521"/>
      <c r="R841" s="530" t="s">
        <v>4194</v>
      </c>
      <c r="S841" s="530" t="s">
        <v>66</v>
      </c>
      <c r="T841" s="530" t="s">
        <v>133</v>
      </c>
      <c r="U841" s="530"/>
      <c r="V841" s="532" t="s">
        <v>4195</v>
      </c>
      <c r="W841" s="532" t="s">
        <v>98</v>
      </c>
      <c r="X841" s="532">
        <v>0.5783</v>
      </c>
      <c r="Y841" s="540">
        <f t="shared" si="307"/>
        <v>13879.2</v>
      </c>
      <c r="Z841" s="521"/>
      <c r="AA841" s="521" t="s">
        <v>3180</v>
      </c>
      <c r="AB841" s="521" t="s">
        <v>76</v>
      </c>
      <c r="AC841" s="521"/>
      <c r="AD841" s="521"/>
      <c r="AE841" s="521">
        <v>1</v>
      </c>
      <c r="AF841" s="521">
        <v>24000</v>
      </c>
      <c r="AG841" s="521">
        <f t="shared" si="306"/>
        <v>0</v>
      </c>
      <c r="AH841" s="542"/>
      <c r="AI841" s="521"/>
      <c r="AJ841" s="521"/>
      <c r="AK841" s="521">
        <f>I841</f>
        <v>24000</v>
      </c>
      <c r="AL841" s="543"/>
      <c r="AM841" s="427">
        <f>I841</f>
        <v>24000</v>
      </c>
      <c r="AR841" s="427">
        <f>I841</f>
        <v>24000</v>
      </c>
      <c r="AS841" s="543"/>
      <c r="AT841" s="544"/>
      <c r="AU841" s="543"/>
      <c r="AY841" s="545">
        <f t="shared" si="299"/>
        <v>1000</v>
      </c>
      <c r="AZ841" s="546"/>
      <c r="BM841" s="427">
        <f>I841/16</f>
        <v>1500</v>
      </c>
      <c r="BT841" s="544"/>
      <c r="BV841" s="544"/>
      <c r="CK841" s="427">
        <f t="shared" si="302"/>
        <v>1500</v>
      </c>
      <c r="CL841" s="427">
        <f t="shared" si="303"/>
        <v>0</v>
      </c>
      <c r="CM841" s="427">
        <f t="shared" si="304"/>
        <v>0</v>
      </c>
      <c r="CN841" s="544"/>
      <c r="CO841" s="544"/>
      <c r="CP841" s="544"/>
      <c r="CT841" s="544"/>
      <c r="CU841" s="544"/>
      <c r="CV841" s="544"/>
      <c r="CW841" s="544"/>
      <c r="CX841" s="544"/>
    </row>
    <row r="842" s="427" customFormat="1" ht="31" customHeight="1" spans="1:102">
      <c r="A842" s="518">
        <v>45960</v>
      </c>
      <c r="B842" s="519" t="s">
        <v>128</v>
      </c>
      <c r="C842" s="520" t="s">
        <v>90</v>
      </c>
      <c r="D842" s="427">
        <v>4500183718</v>
      </c>
      <c r="E842" s="890" t="s">
        <v>5286</v>
      </c>
      <c r="F842" s="427" t="s">
        <v>5287</v>
      </c>
      <c r="G842" s="521" t="s">
        <v>3180</v>
      </c>
      <c r="H842" s="521" t="s">
        <v>3181</v>
      </c>
      <c r="I842" s="521">
        <v>39360</v>
      </c>
      <c r="J842" s="521">
        <v>0</v>
      </c>
      <c r="K842" s="521">
        <v>16</v>
      </c>
      <c r="L842" s="524">
        <f t="shared" si="296"/>
        <v>2460</v>
      </c>
      <c r="M842" s="525">
        <v>46001</v>
      </c>
      <c r="N842" s="525">
        <v>45997</v>
      </c>
      <c r="O842" s="525">
        <v>46003</v>
      </c>
      <c r="P842" s="526" t="s">
        <v>103</v>
      </c>
      <c r="Q842" s="521"/>
      <c r="R842" s="530" t="s">
        <v>4194</v>
      </c>
      <c r="S842" s="530" t="s">
        <v>66</v>
      </c>
      <c r="T842" s="530" t="s">
        <v>133</v>
      </c>
      <c r="U842" s="530"/>
      <c r="V842" s="532" t="s">
        <v>4195</v>
      </c>
      <c r="W842" s="532" t="s">
        <v>98</v>
      </c>
      <c r="X842" s="532">
        <v>0.5783</v>
      </c>
      <c r="Y842" s="540">
        <f t="shared" si="307"/>
        <v>22761.888</v>
      </c>
      <c r="Z842" s="521"/>
      <c r="AA842" s="521" t="s">
        <v>3180</v>
      </c>
      <c r="AB842" s="521" t="s">
        <v>76</v>
      </c>
      <c r="AC842" s="521"/>
      <c r="AD842" s="521"/>
      <c r="AE842" s="521">
        <v>1</v>
      </c>
      <c r="AF842" s="521">
        <v>39360</v>
      </c>
      <c r="AG842" s="521">
        <f t="shared" si="306"/>
        <v>0</v>
      </c>
      <c r="AH842" s="542"/>
      <c r="AI842" s="521"/>
      <c r="AJ842" s="521"/>
      <c r="AK842" s="521">
        <f>I842</f>
        <v>39360</v>
      </c>
      <c r="AL842" s="543"/>
      <c r="AM842" s="427">
        <f>I842</f>
        <v>39360</v>
      </c>
      <c r="AR842" s="427">
        <f>I842</f>
        <v>39360</v>
      </c>
      <c r="AS842" s="543"/>
      <c r="AT842" s="544"/>
      <c r="AU842" s="543"/>
      <c r="AY842" s="545">
        <f t="shared" si="299"/>
        <v>1640</v>
      </c>
      <c r="AZ842" s="546"/>
      <c r="BM842" s="427">
        <f>I842/16</f>
        <v>2460</v>
      </c>
      <c r="BT842" s="544"/>
      <c r="BV842" s="544"/>
      <c r="CK842" s="427">
        <f t="shared" si="302"/>
        <v>2460</v>
      </c>
      <c r="CL842" s="427">
        <f t="shared" si="303"/>
        <v>0</v>
      </c>
      <c r="CM842" s="427">
        <f t="shared" si="304"/>
        <v>0</v>
      </c>
      <c r="CN842" s="544"/>
      <c r="CO842" s="544"/>
      <c r="CP842" s="544"/>
      <c r="CT842" s="544"/>
      <c r="CU842" s="544"/>
      <c r="CV842" s="544"/>
      <c r="CW842" s="544"/>
      <c r="CX842" s="544"/>
    </row>
    <row r="843" s="427" customFormat="1" ht="31" customHeight="1" spans="1:102">
      <c r="A843" s="518">
        <v>45960</v>
      </c>
      <c r="B843" s="519" t="s">
        <v>128</v>
      </c>
      <c r="C843" s="520" t="s">
        <v>90</v>
      </c>
      <c r="D843" s="427">
        <v>4500183718</v>
      </c>
      <c r="E843" s="890" t="s">
        <v>5288</v>
      </c>
      <c r="F843" s="427" t="s">
        <v>5289</v>
      </c>
      <c r="G843" s="521" t="s">
        <v>3180</v>
      </c>
      <c r="H843" s="521" t="s">
        <v>3181</v>
      </c>
      <c r="I843" s="521">
        <v>27840</v>
      </c>
      <c r="J843" s="521">
        <v>0</v>
      </c>
      <c r="K843" s="521">
        <v>16</v>
      </c>
      <c r="L843" s="524">
        <f t="shared" si="296"/>
        <v>1740</v>
      </c>
      <c r="M843" s="525">
        <v>46001</v>
      </c>
      <c r="N843" s="525">
        <v>45997</v>
      </c>
      <c r="O843" s="525">
        <v>46003</v>
      </c>
      <c r="P843" s="526" t="s">
        <v>103</v>
      </c>
      <c r="Q843" s="521"/>
      <c r="R843" s="530" t="s">
        <v>4194</v>
      </c>
      <c r="S843" s="530" t="s">
        <v>66</v>
      </c>
      <c r="T843" s="530" t="s">
        <v>133</v>
      </c>
      <c r="U843" s="530"/>
      <c r="V843" s="532" t="s">
        <v>4195</v>
      </c>
      <c r="W843" s="532" t="s">
        <v>98</v>
      </c>
      <c r="X843" s="532">
        <v>0.5783</v>
      </c>
      <c r="Y843" s="540">
        <f t="shared" si="307"/>
        <v>16099.872</v>
      </c>
      <c r="Z843" s="521"/>
      <c r="AA843" s="521" t="s">
        <v>3180</v>
      </c>
      <c r="AB843" s="521" t="s">
        <v>76</v>
      </c>
      <c r="AC843" s="521"/>
      <c r="AD843" s="521"/>
      <c r="AE843" s="521">
        <v>1</v>
      </c>
      <c r="AF843" s="521">
        <v>27840</v>
      </c>
      <c r="AG843" s="521">
        <f t="shared" si="306"/>
        <v>0</v>
      </c>
      <c r="AH843" s="542"/>
      <c r="AI843" s="521"/>
      <c r="AJ843" s="521"/>
      <c r="AK843" s="521">
        <f t="shared" ref="AK843:AK851" si="308">I843</f>
        <v>27840</v>
      </c>
      <c r="AL843" s="543"/>
      <c r="AM843" s="427">
        <f t="shared" ref="AM843:AM851" si="309">I843</f>
        <v>27840</v>
      </c>
      <c r="AR843" s="427">
        <f t="shared" ref="AR843:AR851" si="310">I843</f>
        <v>27840</v>
      </c>
      <c r="AS843" s="543"/>
      <c r="AT843" s="544"/>
      <c r="AU843" s="543"/>
      <c r="AY843" s="545">
        <f t="shared" ref="AY843:AY851" si="311">I843/24</f>
        <v>1160</v>
      </c>
      <c r="AZ843" s="546"/>
      <c r="BM843" s="427">
        <f>I843/16</f>
        <v>1740</v>
      </c>
      <c r="BT843" s="544"/>
      <c r="BV843" s="544"/>
      <c r="CK843" s="427">
        <f t="shared" si="302"/>
        <v>1740</v>
      </c>
      <c r="CL843" s="427">
        <f t="shared" si="303"/>
        <v>0</v>
      </c>
      <c r="CM843" s="427">
        <f t="shared" si="304"/>
        <v>0</v>
      </c>
      <c r="CN843" s="544"/>
      <c r="CO843" s="544"/>
      <c r="CP843" s="544"/>
      <c r="CT843" s="544"/>
      <c r="CU843" s="544"/>
      <c r="CV843" s="544"/>
      <c r="CW843" s="544"/>
      <c r="CX843" s="544"/>
    </row>
    <row r="844" s="427" customFormat="1" ht="31" customHeight="1" spans="1:102">
      <c r="A844" s="518">
        <v>45959</v>
      </c>
      <c r="B844" s="519" t="s">
        <v>5290</v>
      </c>
      <c r="C844" s="520" t="s">
        <v>90</v>
      </c>
      <c r="D844" s="427">
        <v>4500183538</v>
      </c>
      <c r="E844" s="520">
        <v>4559845141</v>
      </c>
      <c r="F844" s="427" t="s">
        <v>5291</v>
      </c>
      <c r="G844" s="521" t="s">
        <v>5191</v>
      </c>
      <c r="H844" s="521" t="s">
        <v>3214</v>
      </c>
      <c r="I844" s="521">
        <v>2340</v>
      </c>
      <c r="J844" s="521">
        <v>0</v>
      </c>
      <c r="K844" s="521">
        <v>6</v>
      </c>
      <c r="L844" s="524">
        <f t="shared" si="296"/>
        <v>390</v>
      </c>
      <c r="M844" s="528">
        <v>46001</v>
      </c>
      <c r="N844" s="528">
        <v>45997</v>
      </c>
      <c r="O844" s="526"/>
      <c r="P844" s="526" t="s">
        <v>103</v>
      </c>
      <c r="Q844" s="521"/>
      <c r="R844" s="530" t="s">
        <v>5292</v>
      </c>
      <c r="S844" s="530" t="s">
        <v>96</v>
      </c>
      <c r="T844" s="530" t="s">
        <v>5293</v>
      </c>
      <c r="U844" s="530"/>
      <c r="V844" s="531" t="s">
        <v>5294</v>
      </c>
      <c r="W844" s="532" t="s">
        <v>734</v>
      </c>
      <c r="X844" s="532">
        <v>0.5741</v>
      </c>
      <c r="Y844" s="540">
        <f t="shared" si="307"/>
        <v>1343.394</v>
      </c>
      <c r="Z844" s="521"/>
      <c r="AA844" s="521" t="s">
        <v>5191</v>
      </c>
      <c r="AB844" s="521" t="s">
        <v>76</v>
      </c>
      <c r="AC844" s="521"/>
      <c r="AD844" s="521"/>
      <c r="AE844" s="521">
        <v>1</v>
      </c>
      <c r="AF844" s="521">
        <v>2340</v>
      </c>
      <c r="AG844" s="521">
        <f t="shared" si="306"/>
        <v>0</v>
      </c>
      <c r="AH844" s="542"/>
      <c r="AI844" s="521"/>
      <c r="AJ844" s="521"/>
      <c r="AK844" s="521">
        <f t="shared" si="308"/>
        <v>2340</v>
      </c>
      <c r="AL844" s="543"/>
      <c r="AM844" s="427">
        <f t="shared" si="309"/>
        <v>2340</v>
      </c>
      <c r="AR844" s="543">
        <f t="shared" si="310"/>
        <v>2340</v>
      </c>
      <c r="AS844" s="543"/>
      <c r="AT844" s="544"/>
      <c r="AY844" s="545">
        <f t="shared" si="311"/>
        <v>97.5</v>
      </c>
      <c r="AZ844" s="546"/>
      <c r="BP844" s="427">
        <f>L844</f>
        <v>390</v>
      </c>
      <c r="BT844" s="544"/>
      <c r="BV844" s="544"/>
      <c r="CK844" s="428">
        <f t="shared" ref="CK844:CK850" si="312">BM844+BL844+BK844+BJ844+BS844</f>
        <v>0</v>
      </c>
      <c r="CL844" s="428">
        <f t="shared" ref="CL844:CL850" si="313">CA844+CB844+CC844+CD844+CE844+CG844+CF844</f>
        <v>0</v>
      </c>
      <c r="CM844" s="428">
        <f t="shared" ref="CM844:CM850" si="314">BY844+BZ844</f>
        <v>0</v>
      </c>
      <c r="CN844" s="544"/>
      <c r="CO844" s="544"/>
      <c r="CP844" s="544"/>
      <c r="CT844" s="544"/>
      <c r="CU844" s="544"/>
      <c r="CV844" s="544"/>
      <c r="CW844" s="544"/>
      <c r="CX844" s="544"/>
    </row>
    <row r="845" s="427" customFormat="1" ht="31" customHeight="1" spans="1:102">
      <c r="A845" s="518">
        <v>45959</v>
      </c>
      <c r="B845" s="519" t="s">
        <v>5290</v>
      </c>
      <c r="C845" s="520" t="s">
        <v>90</v>
      </c>
      <c r="D845" s="427">
        <v>4500183538</v>
      </c>
      <c r="E845" s="520">
        <v>4559845085</v>
      </c>
      <c r="F845" s="427" t="s">
        <v>5295</v>
      </c>
      <c r="G845" s="521" t="s">
        <v>5191</v>
      </c>
      <c r="H845" s="521" t="s">
        <v>3214</v>
      </c>
      <c r="I845" s="521">
        <v>1632</v>
      </c>
      <c r="J845" s="521">
        <v>0</v>
      </c>
      <c r="K845" s="521">
        <v>6</v>
      </c>
      <c r="L845" s="524">
        <f t="shared" si="296"/>
        <v>272</v>
      </c>
      <c r="M845" s="528">
        <v>46001</v>
      </c>
      <c r="N845" s="528">
        <v>45997</v>
      </c>
      <c r="O845" s="526"/>
      <c r="P845" s="526" t="s">
        <v>103</v>
      </c>
      <c r="Q845" s="521"/>
      <c r="R845" s="530" t="s">
        <v>5292</v>
      </c>
      <c r="S845" s="530" t="s">
        <v>96</v>
      </c>
      <c r="T845" s="530" t="s">
        <v>5293</v>
      </c>
      <c r="U845" s="530"/>
      <c r="V845" s="531" t="s">
        <v>5294</v>
      </c>
      <c r="W845" s="532" t="s">
        <v>734</v>
      </c>
      <c r="X845" s="532">
        <v>0.5741</v>
      </c>
      <c r="Y845" s="540">
        <f t="shared" si="307"/>
        <v>936.9312</v>
      </c>
      <c r="Z845" s="521"/>
      <c r="AA845" s="521" t="s">
        <v>5191</v>
      </c>
      <c r="AB845" s="521" t="s">
        <v>76</v>
      </c>
      <c r="AC845" s="521"/>
      <c r="AD845" s="521"/>
      <c r="AE845" s="521">
        <v>1</v>
      </c>
      <c r="AF845" s="521">
        <v>1632</v>
      </c>
      <c r="AG845" s="521">
        <f t="shared" si="306"/>
        <v>0</v>
      </c>
      <c r="AH845" s="542"/>
      <c r="AI845" s="521"/>
      <c r="AJ845" s="521"/>
      <c r="AK845" s="521">
        <f t="shared" si="308"/>
        <v>1632</v>
      </c>
      <c r="AL845" s="543"/>
      <c r="AM845" s="427">
        <f t="shared" si="309"/>
        <v>1632</v>
      </c>
      <c r="AR845" s="543">
        <f t="shared" si="310"/>
        <v>1632</v>
      </c>
      <c r="AS845" s="543"/>
      <c r="AT845" s="544"/>
      <c r="AY845" s="603">
        <f t="shared" si="311"/>
        <v>68</v>
      </c>
      <c r="AZ845" s="546"/>
      <c r="BP845" s="427">
        <f t="shared" ref="BP845:BP850" si="315">L845</f>
        <v>272</v>
      </c>
      <c r="BT845" s="544"/>
      <c r="BV845" s="544"/>
      <c r="CK845" s="428">
        <f t="shared" si="312"/>
        <v>0</v>
      </c>
      <c r="CL845" s="428">
        <f t="shared" si="313"/>
        <v>0</v>
      </c>
      <c r="CM845" s="428">
        <f t="shared" si="314"/>
        <v>0</v>
      </c>
      <c r="CN845" s="544"/>
      <c r="CO845" s="544"/>
      <c r="CP845" s="544"/>
      <c r="CT845" s="544"/>
      <c r="CU845" s="544"/>
      <c r="CV845" s="544"/>
      <c r="CW845" s="544"/>
      <c r="CX845" s="544"/>
    </row>
    <row r="846" s="427" customFormat="1" ht="31" customHeight="1" spans="1:102">
      <c r="A846" s="518">
        <v>45959</v>
      </c>
      <c r="B846" s="519" t="s">
        <v>5290</v>
      </c>
      <c r="C846" s="520" t="s">
        <v>90</v>
      </c>
      <c r="D846" s="427">
        <v>4500183538</v>
      </c>
      <c r="E846" s="520">
        <v>4559845142</v>
      </c>
      <c r="F846" s="427" t="s">
        <v>5296</v>
      </c>
      <c r="G846" s="521" t="s">
        <v>5191</v>
      </c>
      <c r="H846" s="521" t="s">
        <v>3214</v>
      </c>
      <c r="I846" s="521">
        <v>1308</v>
      </c>
      <c r="J846" s="521">
        <v>0</v>
      </c>
      <c r="K846" s="521">
        <v>6</v>
      </c>
      <c r="L846" s="524">
        <f t="shared" si="296"/>
        <v>218</v>
      </c>
      <c r="M846" s="528">
        <v>46001</v>
      </c>
      <c r="N846" s="528">
        <v>45997</v>
      </c>
      <c r="O846" s="526"/>
      <c r="P846" s="526" t="s">
        <v>103</v>
      </c>
      <c r="Q846" s="521"/>
      <c r="R846" s="530" t="s">
        <v>5292</v>
      </c>
      <c r="S846" s="530" t="s">
        <v>96</v>
      </c>
      <c r="T846" s="530" t="s">
        <v>5293</v>
      </c>
      <c r="U846" s="530"/>
      <c r="V846" s="531" t="s">
        <v>5294</v>
      </c>
      <c r="W846" s="532" t="s">
        <v>734</v>
      </c>
      <c r="X846" s="532">
        <v>0.5741</v>
      </c>
      <c r="Y846" s="540">
        <f t="shared" si="307"/>
        <v>750.9228</v>
      </c>
      <c r="Z846" s="521"/>
      <c r="AA846" s="521" t="s">
        <v>5191</v>
      </c>
      <c r="AB846" s="521" t="s">
        <v>76</v>
      </c>
      <c r="AC846" s="521"/>
      <c r="AD846" s="521"/>
      <c r="AE846" s="521">
        <v>1</v>
      </c>
      <c r="AF846" s="521">
        <v>1308</v>
      </c>
      <c r="AG846" s="521">
        <f t="shared" si="306"/>
        <v>0</v>
      </c>
      <c r="AH846" s="542"/>
      <c r="AI846" s="521"/>
      <c r="AJ846" s="521"/>
      <c r="AK846" s="521">
        <f t="shared" si="308"/>
        <v>1308</v>
      </c>
      <c r="AL846" s="543"/>
      <c r="AM846" s="427">
        <f t="shared" si="309"/>
        <v>1308</v>
      </c>
      <c r="AR846" s="543">
        <f t="shared" si="310"/>
        <v>1308</v>
      </c>
      <c r="AS846" s="543"/>
      <c r="AT846" s="544"/>
      <c r="AY846" s="603">
        <f t="shared" si="311"/>
        <v>54.5</v>
      </c>
      <c r="AZ846" s="546"/>
      <c r="BP846" s="427">
        <f t="shared" si="315"/>
        <v>218</v>
      </c>
      <c r="BT846" s="544"/>
      <c r="BV846" s="544"/>
      <c r="CK846" s="428">
        <f t="shared" si="312"/>
        <v>0</v>
      </c>
      <c r="CL846" s="428">
        <f t="shared" si="313"/>
        <v>0</v>
      </c>
      <c r="CM846" s="428">
        <f t="shared" si="314"/>
        <v>0</v>
      </c>
      <c r="CN846" s="544"/>
      <c r="CO846" s="544"/>
      <c r="CP846" s="544"/>
      <c r="CT846" s="544"/>
      <c r="CU846" s="544"/>
      <c r="CV846" s="544"/>
      <c r="CW846" s="544"/>
      <c r="CX846" s="544"/>
    </row>
    <row r="847" s="427" customFormat="1" ht="31" customHeight="1" spans="1:102">
      <c r="A847" s="518">
        <v>45959</v>
      </c>
      <c r="B847" s="519" t="s">
        <v>5290</v>
      </c>
      <c r="C847" s="520" t="s">
        <v>90</v>
      </c>
      <c r="D847" s="427">
        <v>4500183538</v>
      </c>
      <c r="E847" s="520">
        <v>4559844990</v>
      </c>
      <c r="F847" s="427" t="s">
        <v>5297</v>
      </c>
      <c r="G847" s="521" t="s">
        <v>5191</v>
      </c>
      <c r="H847" s="521" t="s">
        <v>3214</v>
      </c>
      <c r="I847" s="521">
        <v>1416</v>
      </c>
      <c r="J847" s="521">
        <v>0</v>
      </c>
      <c r="K847" s="521">
        <v>6</v>
      </c>
      <c r="L847" s="524">
        <f t="shared" si="296"/>
        <v>236</v>
      </c>
      <c r="M847" s="528">
        <v>46001</v>
      </c>
      <c r="N847" s="528">
        <v>45997</v>
      </c>
      <c r="O847" s="526"/>
      <c r="P847" s="526" t="s">
        <v>103</v>
      </c>
      <c r="Q847" s="521"/>
      <c r="R847" s="530" t="s">
        <v>5292</v>
      </c>
      <c r="S847" s="530" t="s">
        <v>96</v>
      </c>
      <c r="T847" s="530" t="s">
        <v>5293</v>
      </c>
      <c r="U847" s="530"/>
      <c r="V847" s="531" t="s">
        <v>5294</v>
      </c>
      <c r="W847" s="532" t="s">
        <v>734</v>
      </c>
      <c r="X847" s="532">
        <v>0.5741</v>
      </c>
      <c r="Y847" s="540">
        <f t="shared" si="307"/>
        <v>812.9256</v>
      </c>
      <c r="Z847" s="521"/>
      <c r="AA847" s="521" t="s">
        <v>5191</v>
      </c>
      <c r="AB847" s="521" t="s">
        <v>76</v>
      </c>
      <c r="AC847" s="521"/>
      <c r="AD847" s="521"/>
      <c r="AE847" s="521">
        <v>1</v>
      </c>
      <c r="AF847" s="521">
        <v>1416</v>
      </c>
      <c r="AG847" s="521">
        <f t="shared" si="306"/>
        <v>0</v>
      </c>
      <c r="AH847" s="542"/>
      <c r="AI847" s="521"/>
      <c r="AJ847" s="521"/>
      <c r="AK847" s="521">
        <f t="shared" si="308"/>
        <v>1416</v>
      </c>
      <c r="AL847" s="543"/>
      <c r="AM847" s="427">
        <f t="shared" si="309"/>
        <v>1416</v>
      </c>
      <c r="AR847" s="543">
        <f t="shared" si="310"/>
        <v>1416</v>
      </c>
      <c r="AS847" s="543"/>
      <c r="AT847" s="544"/>
      <c r="AY847" s="603">
        <f t="shared" si="311"/>
        <v>59</v>
      </c>
      <c r="AZ847" s="546"/>
      <c r="BP847" s="427">
        <f t="shared" si="315"/>
        <v>236</v>
      </c>
      <c r="BT847" s="544"/>
      <c r="BV847" s="544"/>
      <c r="CK847" s="428">
        <f t="shared" si="312"/>
        <v>0</v>
      </c>
      <c r="CL847" s="428">
        <f t="shared" si="313"/>
        <v>0</v>
      </c>
      <c r="CM847" s="428">
        <f t="shared" si="314"/>
        <v>0</v>
      </c>
      <c r="CN847" s="544"/>
      <c r="CO847" s="544"/>
      <c r="CP847" s="544"/>
      <c r="CT847" s="544"/>
      <c r="CU847" s="544"/>
      <c r="CV847" s="544"/>
      <c r="CW847" s="544"/>
      <c r="CX847" s="544"/>
    </row>
    <row r="848" s="427" customFormat="1" ht="31" customHeight="1" spans="1:102">
      <c r="A848" s="518">
        <v>45959</v>
      </c>
      <c r="B848" s="519" t="s">
        <v>5290</v>
      </c>
      <c r="C848" s="520" t="s">
        <v>90</v>
      </c>
      <c r="D848" s="427">
        <v>4500183538</v>
      </c>
      <c r="E848" s="520">
        <v>4559845066</v>
      </c>
      <c r="F848" s="427" t="s">
        <v>5298</v>
      </c>
      <c r="G848" s="521" t="s">
        <v>5191</v>
      </c>
      <c r="H848" s="521" t="s">
        <v>3214</v>
      </c>
      <c r="I848" s="521">
        <v>1038</v>
      </c>
      <c r="J848" s="521">
        <v>0</v>
      </c>
      <c r="K848" s="521">
        <v>6</v>
      </c>
      <c r="L848" s="524">
        <f t="shared" si="296"/>
        <v>173</v>
      </c>
      <c r="M848" s="528">
        <v>46001</v>
      </c>
      <c r="N848" s="528">
        <v>45997</v>
      </c>
      <c r="O848" s="526"/>
      <c r="P848" s="526" t="s">
        <v>103</v>
      </c>
      <c r="Q848" s="521"/>
      <c r="R848" s="530" t="s">
        <v>5292</v>
      </c>
      <c r="S848" s="530" t="s">
        <v>96</v>
      </c>
      <c r="T848" s="530" t="s">
        <v>5293</v>
      </c>
      <c r="U848" s="530"/>
      <c r="V848" s="531" t="s">
        <v>5294</v>
      </c>
      <c r="W848" s="532" t="s">
        <v>734</v>
      </c>
      <c r="X848" s="532">
        <v>0.5741</v>
      </c>
      <c r="Y848" s="540">
        <f t="shared" si="307"/>
        <v>595.9158</v>
      </c>
      <c r="Z848" s="521"/>
      <c r="AA848" s="521" t="s">
        <v>5191</v>
      </c>
      <c r="AB848" s="521" t="s">
        <v>76</v>
      </c>
      <c r="AC848" s="521"/>
      <c r="AD848" s="521"/>
      <c r="AE848" s="521">
        <v>1</v>
      </c>
      <c r="AF848" s="521">
        <v>1038</v>
      </c>
      <c r="AG848" s="521">
        <f t="shared" si="306"/>
        <v>0</v>
      </c>
      <c r="AH848" s="542"/>
      <c r="AI848" s="521"/>
      <c r="AJ848" s="521"/>
      <c r="AK848" s="521">
        <f t="shared" si="308"/>
        <v>1038</v>
      </c>
      <c r="AL848" s="543"/>
      <c r="AM848" s="427">
        <f t="shared" si="309"/>
        <v>1038</v>
      </c>
      <c r="AR848" s="543">
        <f t="shared" si="310"/>
        <v>1038</v>
      </c>
      <c r="AS848" s="543"/>
      <c r="AT848" s="544"/>
      <c r="AY848" s="603">
        <f t="shared" si="311"/>
        <v>43.25</v>
      </c>
      <c r="AZ848" s="546"/>
      <c r="BP848" s="427">
        <f t="shared" si="315"/>
        <v>173</v>
      </c>
      <c r="BT848" s="544"/>
      <c r="BV848" s="544"/>
      <c r="CK848" s="428">
        <f t="shared" si="312"/>
        <v>0</v>
      </c>
      <c r="CL848" s="428">
        <f t="shared" si="313"/>
        <v>0</v>
      </c>
      <c r="CM848" s="428">
        <f t="shared" si="314"/>
        <v>0</v>
      </c>
      <c r="CN848" s="544"/>
      <c r="CO848" s="544"/>
      <c r="CP848" s="544"/>
      <c r="CT848" s="544"/>
      <c r="CU848" s="544"/>
      <c r="CV848" s="544"/>
      <c r="CW848" s="544"/>
      <c r="CX848" s="544"/>
    </row>
    <row r="849" s="427" customFormat="1" ht="31" customHeight="1" spans="1:102">
      <c r="A849" s="518">
        <v>45959</v>
      </c>
      <c r="B849" s="519" t="s">
        <v>5290</v>
      </c>
      <c r="C849" s="520" t="s">
        <v>90</v>
      </c>
      <c r="D849" s="427">
        <v>4500183538</v>
      </c>
      <c r="E849" s="520">
        <v>4559844987</v>
      </c>
      <c r="F849" s="427" t="s">
        <v>5299</v>
      </c>
      <c r="G849" s="521" t="s">
        <v>5191</v>
      </c>
      <c r="H849" s="521" t="s">
        <v>3214</v>
      </c>
      <c r="I849" s="521">
        <v>1146</v>
      </c>
      <c r="J849" s="521">
        <v>0</v>
      </c>
      <c r="K849" s="521">
        <v>6</v>
      </c>
      <c r="L849" s="524">
        <f t="shared" si="296"/>
        <v>191</v>
      </c>
      <c r="M849" s="528">
        <v>46001</v>
      </c>
      <c r="N849" s="528">
        <v>45997</v>
      </c>
      <c r="O849" s="526"/>
      <c r="P849" s="526" t="s">
        <v>103</v>
      </c>
      <c r="Q849" s="521"/>
      <c r="R849" s="530" t="s">
        <v>5292</v>
      </c>
      <c r="S849" s="530" t="s">
        <v>96</v>
      </c>
      <c r="T849" s="530" t="s">
        <v>5293</v>
      </c>
      <c r="U849" s="530"/>
      <c r="V849" s="531" t="s">
        <v>5294</v>
      </c>
      <c r="W849" s="532" t="s">
        <v>734</v>
      </c>
      <c r="X849" s="532">
        <v>0.5741</v>
      </c>
      <c r="Y849" s="540">
        <f t="shared" si="307"/>
        <v>657.9186</v>
      </c>
      <c r="Z849" s="521"/>
      <c r="AA849" s="521" t="s">
        <v>5191</v>
      </c>
      <c r="AB849" s="521" t="s">
        <v>76</v>
      </c>
      <c r="AC849" s="521"/>
      <c r="AD849" s="521"/>
      <c r="AE849" s="521">
        <v>1</v>
      </c>
      <c r="AF849" s="521">
        <v>1146</v>
      </c>
      <c r="AG849" s="521">
        <f t="shared" si="306"/>
        <v>0</v>
      </c>
      <c r="AH849" s="542"/>
      <c r="AI849" s="521"/>
      <c r="AJ849" s="521"/>
      <c r="AK849" s="521">
        <f t="shared" si="308"/>
        <v>1146</v>
      </c>
      <c r="AL849" s="543"/>
      <c r="AM849" s="427">
        <f t="shared" si="309"/>
        <v>1146</v>
      </c>
      <c r="AR849" s="543">
        <f t="shared" si="310"/>
        <v>1146</v>
      </c>
      <c r="AS849" s="543"/>
      <c r="AT849" s="544"/>
      <c r="AY849" s="603">
        <f t="shared" si="311"/>
        <v>47.75</v>
      </c>
      <c r="AZ849" s="546"/>
      <c r="BP849" s="427">
        <f t="shared" si="315"/>
        <v>191</v>
      </c>
      <c r="BT849" s="544"/>
      <c r="BV849" s="544"/>
      <c r="CK849" s="428">
        <f t="shared" si="312"/>
        <v>0</v>
      </c>
      <c r="CL849" s="428">
        <f t="shared" si="313"/>
        <v>0</v>
      </c>
      <c r="CM849" s="428">
        <f t="shared" si="314"/>
        <v>0</v>
      </c>
      <c r="CN849" s="544"/>
      <c r="CO849" s="544"/>
      <c r="CP849" s="544"/>
      <c r="CT849" s="544"/>
      <c r="CU849" s="544"/>
      <c r="CV849" s="544"/>
      <c r="CW849" s="544"/>
      <c r="CX849" s="544"/>
    </row>
    <row r="850" s="427" customFormat="1" ht="31" customHeight="1" spans="1:102">
      <c r="A850" s="518">
        <v>45959</v>
      </c>
      <c r="B850" s="519" t="s">
        <v>5290</v>
      </c>
      <c r="C850" s="520" t="s">
        <v>90</v>
      </c>
      <c r="D850" s="427">
        <v>4500183538</v>
      </c>
      <c r="E850" s="520">
        <v>4559845143</v>
      </c>
      <c r="F850" s="427" t="s">
        <v>5300</v>
      </c>
      <c r="G850" s="521" t="s">
        <v>5191</v>
      </c>
      <c r="H850" s="521" t="s">
        <v>3214</v>
      </c>
      <c r="I850" s="521">
        <v>1146</v>
      </c>
      <c r="J850" s="521">
        <v>0</v>
      </c>
      <c r="K850" s="521">
        <v>6</v>
      </c>
      <c r="L850" s="524">
        <f t="shared" si="296"/>
        <v>191</v>
      </c>
      <c r="M850" s="528">
        <v>46001</v>
      </c>
      <c r="N850" s="528">
        <v>45997</v>
      </c>
      <c r="O850" s="526"/>
      <c r="P850" s="526" t="s">
        <v>103</v>
      </c>
      <c r="Q850" s="521"/>
      <c r="R850" s="530" t="s">
        <v>5292</v>
      </c>
      <c r="S850" s="530" t="s">
        <v>96</v>
      </c>
      <c r="T850" s="530" t="s">
        <v>5293</v>
      </c>
      <c r="U850" s="530"/>
      <c r="V850" s="531" t="s">
        <v>5294</v>
      </c>
      <c r="W850" s="532" t="s">
        <v>734</v>
      </c>
      <c r="X850" s="532">
        <v>0.5741</v>
      </c>
      <c r="Y850" s="540">
        <f t="shared" si="307"/>
        <v>657.9186</v>
      </c>
      <c r="Z850" s="521"/>
      <c r="AA850" s="521" t="s">
        <v>5191</v>
      </c>
      <c r="AB850" s="521" t="s">
        <v>76</v>
      </c>
      <c r="AC850" s="521"/>
      <c r="AD850" s="521"/>
      <c r="AE850" s="521">
        <v>1</v>
      </c>
      <c r="AF850" s="521">
        <f>1140+6</f>
        <v>1146</v>
      </c>
      <c r="AG850" s="521">
        <f t="shared" si="306"/>
        <v>0</v>
      </c>
      <c r="AH850" s="542"/>
      <c r="AI850" s="521"/>
      <c r="AJ850" s="521"/>
      <c r="AK850" s="521">
        <f t="shared" si="308"/>
        <v>1146</v>
      </c>
      <c r="AL850" s="543"/>
      <c r="AM850" s="427">
        <f t="shared" si="309"/>
        <v>1146</v>
      </c>
      <c r="AR850" s="543">
        <f t="shared" si="310"/>
        <v>1146</v>
      </c>
      <c r="AS850" s="543"/>
      <c r="AT850" s="544"/>
      <c r="AY850" s="603">
        <f t="shared" si="311"/>
        <v>47.75</v>
      </c>
      <c r="AZ850" s="546"/>
      <c r="BP850" s="427">
        <f t="shared" si="315"/>
        <v>191</v>
      </c>
      <c r="BT850" s="544"/>
      <c r="BV850" s="544"/>
      <c r="CK850" s="428">
        <f t="shared" si="312"/>
        <v>0</v>
      </c>
      <c r="CL850" s="428">
        <f t="shared" si="313"/>
        <v>0</v>
      </c>
      <c r="CM850" s="428">
        <f t="shared" si="314"/>
        <v>0</v>
      </c>
      <c r="CN850" s="544"/>
      <c r="CO850" s="544"/>
      <c r="CP850" s="544"/>
      <c r="CT850" s="544"/>
      <c r="CU850" s="544"/>
      <c r="CV850" s="544"/>
      <c r="CW850" s="544"/>
      <c r="CX850" s="544"/>
    </row>
    <row r="851" s="427" customFormat="1" ht="31" customHeight="1" spans="1:102">
      <c r="A851" s="518">
        <v>45965</v>
      </c>
      <c r="B851" s="519" t="s">
        <v>128</v>
      </c>
      <c r="C851" s="520" t="s">
        <v>90</v>
      </c>
      <c r="D851" s="427">
        <v>4500184387</v>
      </c>
      <c r="E851" s="890" t="s">
        <v>5301</v>
      </c>
      <c r="F851" s="427" t="s">
        <v>5302</v>
      </c>
      <c r="G851" s="521" t="s">
        <v>3180</v>
      </c>
      <c r="H851" s="521" t="s">
        <v>3181</v>
      </c>
      <c r="I851" s="521">
        <v>62400</v>
      </c>
      <c r="J851" s="521">
        <v>0</v>
      </c>
      <c r="K851" s="521">
        <v>16</v>
      </c>
      <c r="L851" s="524">
        <f t="shared" si="296"/>
        <v>3900</v>
      </c>
      <c r="M851" s="525">
        <v>46003</v>
      </c>
      <c r="N851" s="525">
        <v>45999</v>
      </c>
      <c r="O851" s="525">
        <v>46006</v>
      </c>
      <c r="P851" s="526" t="s">
        <v>103</v>
      </c>
      <c r="Q851" s="521"/>
      <c r="R851" s="530" t="s">
        <v>4194</v>
      </c>
      <c r="S851" s="530" t="s">
        <v>66</v>
      </c>
      <c r="T851" s="530" t="s">
        <v>133</v>
      </c>
      <c r="U851" s="530"/>
      <c r="V851" s="532" t="s">
        <v>4195</v>
      </c>
      <c r="W851" s="532" t="s">
        <v>98</v>
      </c>
      <c r="X851" s="532">
        <v>0.5783</v>
      </c>
      <c r="Y851" s="540">
        <f t="shared" si="307"/>
        <v>36085.92</v>
      </c>
      <c r="Z851" s="521"/>
      <c r="AA851" s="521" t="s">
        <v>3180</v>
      </c>
      <c r="AB851" s="521" t="s">
        <v>76</v>
      </c>
      <c r="AC851" s="521"/>
      <c r="AD851" s="521"/>
      <c r="AE851" s="521">
        <v>1</v>
      </c>
      <c r="AF851" s="521">
        <f>32448+29952</f>
        <v>62400</v>
      </c>
      <c r="AG851" s="521">
        <f t="shared" si="306"/>
        <v>0</v>
      </c>
      <c r="AH851" s="542"/>
      <c r="AI851" s="521"/>
      <c r="AJ851" s="521"/>
      <c r="AK851" s="521">
        <f t="shared" si="308"/>
        <v>62400</v>
      </c>
      <c r="AL851" s="543"/>
      <c r="AM851" s="427">
        <f t="shared" si="309"/>
        <v>62400</v>
      </c>
      <c r="AR851" s="427">
        <f t="shared" si="310"/>
        <v>62400</v>
      </c>
      <c r="AS851" s="543"/>
      <c r="AT851" s="544"/>
      <c r="AY851" s="545">
        <f t="shared" si="311"/>
        <v>2600</v>
      </c>
      <c r="AZ851" s="546"/>
      <c r="BM851" s="427">
        <f>I851/16</f>
        <v>3900</v>
      </c>
      <c r="BT851" s="544"/>
      <c r="BV851" s="544"/>
      <c r="CK851" s="427">
        <f t="shared" ref="CK851:CK858" si="316">BM851+BL851+BK851+BJ851+BS851</f>
        <v>3900</v>
      </c>
      <c r="CL851" s="427">
        <f t="shared" ref="CL851:CL858" si="317">CA851+CB851+CC851+CD851+CE851+CG851+CF851</f>
        <v>0</v>
      </c>
      <c r="CM851" s="427">
        <f t="shared" ref="CM851:CM858" si="318">BY851+BZ851</f>
        <v>0</v>
      </c>
      <c r="CN851" s="544"/>
      <c r="CO851" s="544"/>
      <c r="CP851" s="544"/>
      <c r="CT851" s="544"/>
      <c r="CU851" s="544"/>
      <c r="CV851" s="544"/>
      <c r="CW851" s="544"/>
      <c r="CX851" s="544"/>
    </row>
    <row r="852" s="427" customFormat="1" ht="31" customHeight="1" spans="1:102">
      <c r="A852" s="518">
        <v>45905</v>
      </c>
      <c r="B852" s="519" t="s">
        <v>1669</v>
      </c>
      <c r="C852" s="520" t="s">
        <v>663</v>
      </c>
      <c r="D852" s="427">
        <v>4500178919</v>
      </c>
      <c r="E852" s="520">
        <v>5000001988</v>
      </c>
      <c r="F852" s="427" t="s">
        <v>2169</v>
      </c>
      <c r="G852" s="521" t="s">
        <v>3436</v>
      </c>
      <c r="H852" s="521" t="s">
        <v>424</v>
      </c>
      <c r="I852" s="521">
        <v>10002</v>
      </c>
      <c r="J852" s="521">
        <v>0</v>
      </c>
      <c r="K852" s="521">
        <v>6</v>
      </c>
      <c r="L852" s="524">
        <f t="shared" si="296"/>
        <v>1667</v>
      </c>
      <c r="M852" s="525">
        <v>46003</v>
      </c>
      <c r="N852" s="525">
        <v>45999</v>
      </c>
      <c r="O852" s="526"/>
      <c r="P852" s="526" t="s">
        <v>103</v>
      </c>
      <c r="Q852" s="521"/>
      <c r="R852" s="530">
        <v>45960</v>
      </c>
      <c r="S852" s="530" t="s">
        <v>66</v>
      </c>
      <c r="T852" s="530" t="s">
        <v>5063</v>
      </c>
      <c r="U852" s="530"/>
      <c r="V852" s="531" t="s">
        <v>2538</v>
      </c>
      <c r="W852" s="532" t="s">
        <v>1674</v>
      </c>
      <c r="X852" s="532">
        <v>6.3409</v>
      </c>
      <c r="Y852" s="540">
        <f t="shared" si="307"/>
        <v>63421.6818</v>
      </c>
      <c r="Z852" s="521"/>
      <c r="AA852" s="615" t="s">
        <v>2069</v>
      </c>
      <c r="AB852" s="521" t="s">
        <v>76</v>
      </c>
      <c r="AC852" s="521"/>
      <c r="AD852" s="600"/>
      <c r="AE852" s="600">
        <v>1</v>
      </c>
      <c r="AF852" s="521">
        <v>10002</v>
      </c>
      <c r="AG852" s="521">
        <f t="shared" si="306"/>
        <v>0</v>
      </c>
      <c r="AH852" s="542"/>
      <c r="AI852" s="521" t="s">
        <v>403</v>
      </c>
      <c r="AJ852" s="521"/>
      <c r="AK852" s="521"/>
      <c r="AL852" s="543">
        <f>I852*2</f>
        <v>20004</v>
      </c>
      <c r="AQ852" s="427">
        <f>I852</f>
        <v>10002</v>
      </c>
      <c r="AS852" s="543"/>
      <c r="AT852" s="544"/>
      <c r="AU852" s="427">
        <f>I852*2</f>
        <v>20004</v>
      </c>
      <c r="AX852" s="602">
        <f>I852/24*2</f>
        <v>833.5</v>
      </c>
      <c r="AY852" s="603"/>
      <c r="AZ852" s="546"/>
      <c r="BT852" s="495"/>
      <c r="BU852" s="425">
        <f>I852</f>
        <v>10002</v>
      </c>
      <c r="BV852" s="544"/>
      <c r="CK852" s="427">
        <f t="shared" si="316"/>
        <v>0</v>
      </c>
      <c r="CL852" s="427">
        <f t="shared" si="317"/>
        <v>0</v>
      </c>
      <c r="CM852" s="427">
        <f t="shared" si="318"/>
        <v>0</v>
      </c>
      <c r="CN852" s="544"/>
      <c r="CO852" s="544"/>
      <c r="CP852" s="544"/>
      <c r="CT852" s="544"/>
      <c r="CU852" s="544"/>
      <c r="CV852" s="544"/>
      <c r="CW852" s="544"/>
      <c r="CX852" s="544"/>
    </row>
    <row r="853" s="427" customFormat="1" ht="31" customHeight="1" spans="1:102">
      <c r="A853" s="518">
        <v>45953</v>
      </c>
      <c r="B853" s="519" t="s">
        <v>220</v>
      </c>
      <c r="C853" s="520" t="s">
        <v>90</v>
      </c>
      <c r="D853" s="427">
        <v>4500182971</v>
      </c>
      <c r="E853" s="520" t="s">
        <v>2170</v>
      </c>
      <c r="F853" s="427" t="s">
        <v>5303</v>
      </c>
      <c r="G853" s="521" t="s">
        <v>3198</v>
      </c>
      <c r="H853" s="521" t="s">
        <v>3303</v>
      </c>
      <c r="I853" s="521">
        <v>36500</v>
      </c>
      <c r="J853" s="521">
        <v>0</v>
      </c>
      <c r="K853" s="521">
        <v>25</v>
      </c>
      <c r="L853" s="524">
        <f t="shared" si="296"/>
        <v>1460</v>
      </c>
      <c r="M853" s="525">
        <v>46003</v>
      </c>
      <c r="N853" s="525">
        <v>45999</v>
      </c>
      <c r="O853" s="526"/>
      <c r="P853" s="526" t="s">
        <v>103</v>
      </c>
      <c r="Q853" s="521"/>
      <c r="R853" s="530">
        <v>45957</v>
      </c>
      <c r="S853" s="530" t="s">
        <v>96</v>
      </c>
      <c r="T853" s="530" t="s">
        <v>2106</v>
      </c>
      <c r="U853" s="530"/>
      <c r="V853" s="532" t="s">
        <v>5304</v>
      </c>
      <c r="W853" s="532" t="s">
        <v>226</v>
      </c>
      <c r="X853" s="536">
        <v>0.5488</v>
      </c>
      <c r="Y853" s="540">
        <f t="shared" si="307"/>
        <v>20031.2</v>
      </c>
      <c r="Z853" s="521"/>
      <c r="AA853" s="521" t="s">
        <v>3198</v>
      </c>
      <c r="AB853" s="521" t="s">
        <v>76</v>
      </c>
      <c r="AC853" s="521"/>
      <c r="AD853" s="594"/>
      <c r="AE853" s="594">
        <v>1</v>
      </c>
      <c r="AF853" s="521">
        <f>5250+31250</f>
        <v>36500</v>
      </c>
      <c r="AG853" s="521">
        <f t="shared" si="306"/>
        <v>0</v>
      </c>
      <c r="AH853" s="542"/>
      <c r="AI853" s="521"/>
      <c r="AJ853" s="521"/>
      <c r="AK853" s="521">
        <f>I853</f>
        <v>36500</v>
      </c>
      <c r="AM853" s="427">
        <f>I853</f>
        <v>36500</v>
      </c>
      <c r="AR853" s="427">
        <f>I853</f>
        <v>36500</v>
      </c>
      <c r="AS853" s="543"/>
      <c r="AT853" s="544"/>
      <c r="AU853" s="543"/>
      <c r="AY853" s="545">
        <f>I853/24</f>
        <v>1520.83333333333</v>
      </c>
      <c r="AZ853" s="546"/>
      <c r="BJ853" s="427">
        <f>I853/25</f>
        <v>1460</v>
      </c>
      <c r="BT853" s="544"/>
      <c r="BV853" s="544"/>
      <c r="CK853" s="427">
        <f t="shared" si="316"/>
        <v>1460</v>
      </c>
      <c r="CL853" s="427">
        <f t="shared" si="317"/>
        <v>0</v>
      </c>
      <c r="CM853" s="427">
        <f t="shared" si="318"/>
        <v>0</v>
      </c>
      <c r="CN853" s="544"/>
      <c r="CO853" s="544"/>
      <c r="CP853" s="544"/>
      <c r="CT853" s="544"/>
      <c r="CU853" s="544"/>
      <c r="CV853" s="544"/>
      <c r="CW853" s="544"/>
      <c r="CX853" s="544"/>
    </row>
    <row r="854" s="427" customFormat="1" ht="31" customHeight="1" spans="1:102">
      <c r="A854" s="518">
        <v>45964</v>
      </c>
      <c r="B854" s="519" t="s">
        <v>1787</v>
      </c>
      <c r="C854" s="520" t="s">
        <v>377</v>
      </c>
      <c r="D854" s="427">
        <v>4500183825</v>
      </c>
      <c r="E854" s="520"/>
      <c r="F854" s="427" t="s">
        <v>5305</v>
      </c>
      <c r="G854" s="521" t="s">
        <v>3328</v>
      </c>
      <c r="H854" s="521" t="s">
        <v>3194</v>
      </c>
      <c r="I854" s="521">
        <v>1200</v>
      </c>
      <c r="J854" s="521">
        <v>0</v>
      </c>
      <c r="K854" s="521">
        <v>30</v>
      </c>
      <c r="L854" s="524">
        <f t="shared" si="296"/>
        <v>40</v>
      </c>
      <c r="M854" s="525">
        <v>46001</v>
      </c>
      <c r="N854" s="525">
        <v>45997</v>
      </c>
      <c r="O854" s="526"/>
      <c r="P854" s="526" t="s">
        <v>103</v>
      </c>
      <c r="Q854" s="521"/>
      <c r="R854" s="530">
        <v>45972</v>
      </c>
      <c r="S854" s="530" t="s">
        <v>66</v>
      </c>
      <c r="T854" s="530" t="s">
        <v>5306</v>
      </c>
      <c r="U854" s="530"/>
      <c r="V854" s="531" t="s">
        <v>5307</v>
      </c>
      <c r="W854" s="532" t="s">
        <v>5308</v>
      </c>
      <c r="X854" s="532">
        <v>41.4795</v>
      </c>
      <c r="Y854" s="540">
        <f>X854*L854</f>
        <v>1659.18</v>
      </c>
      <c r="Z854" s="521"/>
      <c r="AA854" s="521" t="s">
        <v>3328</v>
      </c>
      <c r="AB854" s="521" t="s">
        <v>76</v>
      </c>
      <c r="AC854" s="521"/>
      <c r="AD854" s="594"/>
      <c r="AE854" s="594">
        <v>1</v>
      </c>
      <c r="AF854" s="521">
        <v>1200</v>
      </c>
      <c r="AG854" s="521">
        <f t="shared" ref="AG854:AG865" si="319">AF854-I854</f>
        <v>0</v>
      </c>
      <c r="AH854" s="542"/>
      <c r="AI854" s="521"/>
      <c r="AJ854" s="521"/>
      <c r="AK854" s="521"/>
      <c r="AL854" s="427">
        <f>I854</f>
        <v>1200</v>
      </c>
      <c r="AQ854" s="427">
        <f>I854*2</f>
        <v>2400</v>
      </c>
      <c r="AR854" s="543"/>
      <c r="AS854" s="543">
        <f>I854*2</f>
        <v>2400</v>
      </c>
      <c r="AT854" s="544"/>
      <c r="AU854" s="543"/>
      <c r="AY854" s="603">
        <f>I854/24</f>
        <v>50</v>
      </c>
      <c r="AZ854" s="546"/>
      <c r="BT854" s="544"/>
      <c r="BV854" s="544"/>
      <c r="CF854" s="427">
        <f>I854/30</f>
        <v>40</v>
      </c>
      <c r="CK854" s="427">
        <f t="shared" si="316"/>
        <v>0</v>
      </c>
      <c r="CL854" s="427">
        <f t="shared" si="317"/>
        <v>40</v>
      </c>
      <c r="CM854" s="427">
        <f t="shared" si="318"/>
        <v>0</v>
      </c>
      <c r="CN854" s="544"/>
      <c r="CO854" s="544"/>
      <c r="CP854" s="544"/>
      <c r="CT854" s="544"/>
      <c r="CU854" s="544"/>
      <c r="CV854" s="544"/>
      <c r="CW854" s="544"/>
      <c r="CX854" s="544"/>
    </row>
    <row r="855" s="427" customFormat="1" ht="31" customHeight="1" spans="1:102">
      <c r="A855" s="518">
        <v>45964</v>
      </c>
      <c r="B855" s="519" t="s">
        <v>1787</v>
      </c>
      <c r="C855" s="520" t="s">
        <v>377</v>
      </c>
      <c r="D855" s="427">
        <v>4500183825</v>
      </c>
      <c r="E855" s="520"/>
      <c r="F855" s="427" t="s">
        <v>5309</v>
      </c>
      <c r="G855" s="521" t="s">
        <v>3165</v>
      </c>
      <c r="H855" s="521" t="s">
        <v>3303</v>
      </c>
      <c r="I855" s="521">
        <v>1200</v>
      </c>
      <c r="J855" s="521">
        <v>0</v>
      </c>
      <c r="K855" s="521">
        <v>25</v>
      </c>
      <c r="L855" s="524">
        <f t="shared" si="296"/>
        <v>48</v>
      </c>
      <c r="M855" s="525">
        <v>46001</v>
      </c>
      <c r="N855" s="525">
        <v>45997</v>
      </c>
      <c r="O855" s="526"/>
      <c r="P855" s="526" t="s">
        <v>103</v>
      </c>
      <c r="Q855" s="521"/>
      <c r="R855" s="530">
        <v>45972</v>
      </c>
      <c r="S855" s="530" t="s">
        <v>66</v>
      </c>
      <c r="T855" s="530" t="s">
        <v>5310</v>
      </c>
      <c r="U855" s="530"/>
      <c r="V855" s="531" t="s">
        <v>5311</v>
      </c>
      <c r="W855" s="532" t="s">
        <v>381</v>
      </c>
      <c r="X855" s="532">
        <v>0.9417</v>
      </c>
      <c r="Y855" s="540">
        <f t="shared" ref="Y855:Y865" si="320">X855*I855</f>
        <v>1130.04</v>
      </c>
      <c r="Z855" s="521"/>
      <c r="AA855" s="521" t="s">
        <v>3165</v>
      </c>
      <c r="AB855" s="521" t="s">
        <v>76</v>
      </c>
      <c r="AC855" s="521"/>
      <c r="AD855" s="594"/>
      <c r="AE855" s="594">
        <v>1</v>
      </c>
      <c r="AF855" s="521">
        <v>1200</v>
      </c>
      <c r="AG855" s="521">
        <f t="shared" si="319"/>
        <v>0</v>
      </c>
      <c r="AH855" s="542"/>
      <c r="AI855" s="521"/>
      <c r="AJ855" s="521"/>
      <c r="AK855" s="521"/>
      <c r="AL855" s="543">
        <f>I855</f>
        <v>1200</v>
      </c>
      <c r="AQ855" s="427">
        <f>I855</f>
        <v>1200</v>
      </c>
      <c r="AR855" s="543"/>
      <c r="AS855" s="543">
        <f>I855</f>
        <v>1200</v>
      </c>
      <c r="AT855" s="544"/>
      <c r="AU855" s="543"/>
      <c r="AY855" s="545">
        <f>I855/24</f>
        <v>50</v>
      </c>
      <c r="AZ855" s="546"/>
      <c r="BL855" s="427">
        <f>I855/25</f>
        <v>48</v>
      </c>
      <c r="BT855" s="544"/>
      <c r="BV855" s="544"/>
      <c r="CK855" s="427">
        <f t="shared" si="316"/>
        <v>48</v>
      </c>
      <c r="CL855" s="427">
        <f t="shared" si="317"/>
        <v>0</v>
      </c>
      <c r="CM855" s="427">
        <f t="shared" si="318"/>
        <v>0</v>
      </c>
      <c r="CN855" s="544"/>
      <c r="CO855" s="544"/>
      <c r="CP855" s="544"/>
      <c r="CT855" s="544"/>
      <c r="CU855" s="544"/>
      <c r="CV855" s="544"/>
      <c r="CW855" s="544"/>
      <c r="CX855" s="544"/>
    </row>
    <row r="856" s="427" customFormat="1" ht="31" customHeight="1" spans="1:102">
      <c r="A856" s="518">
        <v>45947</v>
      </c>
      <c r="B856" s="519" t="s">
        <v>1782</v>
      </c>
      <c r="C856" s="520" t="s">
        <v>139</v>
      </c>
      <c r="D856" s="427">
        <v>4500182289</v>
      </c>
      <c r="E856" s="520" t="s">
        <v>5312</v>
      </c>
      <c r="F856" s="427" t="s">
        <v>5313</v>
      </c>
      <c r="G856" s="521" t="s">
        <v>4962</v>
      </c>
      <c r="H856" s="521" t="s">
        <v>3237</v>
      </c>
      <c r="I856" s="521">
        <v>516</v>
      </c>
      <c r="J856" s="521">
        <v>0</v>
      </c>
      <c r="K856" s="521">
        <v>12</v>
      </c>
      <c r="L856" s="524">
        <f t="shared" si="296"/>
        <v>43</v>
      </c>
      <c r="M856" s="525">
        <v>46001</v>
      </c>
      <c r="N856" s="525">
        <v>45997</v>
      </c>
      <c r="O856" s="526"/>
      <c r="P856" s="526" t="s">
        <v>103</v>
      </c>
      <c r="Q856" s="521"/>
      <c r="R856" s="530" t="s">
        <v>4950</v>
      </c>
      <c r="S856" s="530" t="s">
        <v>96</v>
      </c>
      <c r="T856" s="530" t="s">
        <v>5314</v>
      </c>
      <c r="U856" s="530"/>
      <c r="V856" s="532" t="s">
        <v>5315</v>
      </c>
      <c r="W856" s="532" t="s">
        <v>414</v>
      </c>
      <c r="X856" s="532">
        <v>2.1629</v>
      </c>
      <c r="Y856" s="540">
        <f t="shared" si="320"/>
        <v>1116.0564</v>
      </c>
      <c r="Z856" s="521"/>
      <c r="AA856" s="521" t="s">
        <v>3464</v>
      </c>
      <c r="AB856" s="521" t="s">
        <v>76</v>
      </c>
      <c r="AC856" s="521"/>
      <c r="AD856" s="594"/>
      <c r="AE856" s="594">
        <v>1</v>
      </c>
      <c r="AF856" s="521">
        <v>516</v>
      </c>
      <c r="AG856" s="521">
        <f t="shared" si="319"/>
        <v>0</v>
      </c>
      <c r="AH856" s="542"/>
      <c r="AI856" s="521"/>
      <c r="AJ856" s="521"/>
      <c r="AK856" s="521"/>
      <c r="AL856" s="427">
        <f>I856*2</f>
        <v>1032</v>
      </c>
      <c r="AQ856" s="427">
        <f>I856*2</f>
        <v>1032</v>
      </c>
      <c r="AR856" s="543"/>
      <c r="AS856" s="543">
        <f>I856*2</f>
        <v>1032</v>
      </c>
      <c r="AT856" s="544"/>
      <c r="AU856" s="543"/>
      <c r="AY856" s="545">
        <f>I856/24*2</f>
        <v>43</v>
      </c>
      <c r="AZ856" s="546"/>
      <c r="BT856" s="544"/>
      <c r="BV856" s="544"/>
      <c r="CH856" s="427">
        <f>I856</f>
        <v>516</v>
      </c>
      <c r="CI856" s="427">
        <f>I856</f>
        <v>516</v>
      </c>
      <c r="CJ856" s="427">
        <f>I856</f>
        <v>516</v>
      </c>
      <c r="CK856" s="427">
        <f t="shared" si="316"/>
        <v>0</v>
      </c>
      <c r="CL856" s="427">
        <f t="shared" si="317"/>
        <v>0</v>
      </c>
      <c r="CM856" s="427">
        <f t="shared" si="318"/>
        <v>0</v>
      </c>
      <c r="CN856" s="544"/>
      <c r="CO856" s="544"/>
      <c r="CP856" s="544"/>
      <c r="CT856" s="544"/>
      <c r="CU856" s="544"/>
      <c r="CV856" s="544"/>
      <c r="CW856" s="544"/>
      <c r="CX856" s="544"/>
    </row>
    <row r="857" s="427" customFormat="1" ht="31" customHeight="1" spans="1:102">
      <c r="A857" s="518">
        <v>45947</v>
      </c>
      <c r="B857" s="519" t="s">
        <v>1782</v>
      </c>
      <c r="C857" s="520" t="s">
        <v>139</v>
      </c>
      <c r="D857" s="427">
        <v>4500182289</v>
      </c>
      <c r="E857" s="520" t="s">
        <v>5316</v>
      </c>
      <c r="F857" s="427" t="s">
        <v>5317</v>
      </c>
      <c r="G857" s="521" t="s">
        <v>4962</v>
      </c>
      <c r="H857" s="521" t="s">
        <v>3237</v>
      </c>
      <c r="I857" s="521">
        <v>516</v>
      </c>
      <c r="J857" s="521">
        <v>0</v>
      </c>
      <c r="K857" s="521">
        <v>12</v>
      </c>
      <c r="L857" s="524">
        <f t="shared" si="296"/>
        <v>43</v>
      </c>
      <c r="M857" s="525">
        <v>46001</v>
      </c>
      <c r="N857" s="525">
        <v>45997</v>
      </c>
      <c r="O857" s="526"/>
      <c r="P857" s="526" t="s">
        <v>103</v>
      </c>
      <c r="Q857" s="521"/>
      <c r="R857" s="530" t="s">
        <v>4950</v>
      </c>
      <c r="S857" s="530" t="s">
        <v>96</v>
      </c>
      <c r="T857" s="530" t="s">
        <v>5314</v>
      </c>
      <c r="U857" s="530"/>
      <c r="V857" s="532" t="s">
        <v>5315</v>
      </c>
      <c r="W857" s="532" t="s">
        <v>414</v>
      </c>
      <c r="X857" s="532">
        <v>2.1629</v>
      </c>
      <c r="Y857" s="540">
        <f t="shared" si="320"/>
        <v>1116.0564</v>
      </c>
      <c r="Z857" s="521"/>
      <c r="AA857" s="521" t="s">
        <v>3464</v>
      </c>
      <c r="AB857" s="521" t="s">
        <v>76</v>
      </c>
      <c r="AC857" s="521"/>
      <c r="AD857" s="594"/>
      <c r="AE857" s="594">
        <v>1</v>
      </c>
      <c r="AF857" s="521">
        <v>516</v>
      </c>
      <c r="AG857" s="521">
        <f t="shared" si="319"/>
        <v>0</v>
      </c>
      <c r="AH857" s="542"/>
      <c r="AI857" s="521"/>
      <c r="AJ857" s="521"/>
      <c r="AK857" s="521"/>
      <c r="AL857" s="427">
        <f>I857*2</f>
        <v>1032</v>
      </c>
      <c r="AQ857" s="427">
        <f>I857*2</f>
        <v>1032</v>
      </c>
      <c r="AR857" s="543"/>
      <c r="AS857" s="543">
        <f>I857*2</f>
        <v>1032</v>
      </c>
      <c r="AT857" s="544"/>
      <c r="AU857" s="543"/>
      <c r="AY857" s="545">
        <f>I857/24*2</f>
        <v>43</v>
      </c>
      <c r="AZ857" s="546"/>
      <c r="BT857" s="544"/>
      <c r="BV857" s="544"/>
      <c r="CH857" s="427">
        <f>I857</f>
        <v>516</v>
      </c>
      <c r="CI857" s="427">
        <f>I857</f>
        <v>516</v>
      </c>
      <c r="CJ857" s="427">
        <f>I857</f>
        <v>516</v>
      </c>
      <c r="CK857" s="427">
        <f t="shared" si="316"/>
        <v>0</v>
      </c>
      <c r="CL857" s="427">
        <f t="shared" si="317"/>
        <v>0</v>
      </c>
      <c r="CM857" s="427">
        <f t="shared" si="318"/>
        <v>0</v>
      </c>
      <c r="CN857" s="544"/>
      <c r="CO857" s="544"/>
      <c r="CP857" s="544"/>
      <c r="CT857" s="544"/>
      <c r="CU857" s="544"/>
      <c r="CV857" s="544"/>
      <c r="CW857" s="544"/>
      <c r="CX857" s="544"/>
    </row>
    <row r="858" s="427" customFormat="1" ht="31" customHeight="1" spans="1:102">
      <c r="A858" s="518">
        <v>45947</v>
      </c>
      <c r="B858" s="519" t="s">
        <v>1782</v>
      </c>
      <c r="C858" s="520" t="s">
        <v>249</v>
      </c>
      <c r="D858" s="427">
        <v>4500182289</v>
      </c>
      <c r="E858" s="520" t="s">
        <v>5318</v>
      </c>
      <c r="F858" s="427" t="s">
        <v>5319</v>
      </c>
      <c r="G858" s="521" t="s">
        <v>4962</v>
      </c>
      <c r="H858" s="521" t="s">
        <v>3237</v>
      </c>
      <c r="I858" s="521">
        <v>492</v>
      </c>
      <c r="J858" s="521">
        <v>0</v>
      </c>
      <c r="K858" s="521">
        <v>12</v>
      </c>
      <c r="L858" s="524">
        <f t="shared" si="296"/>
        <v>41</v>
      </c>
      <c r="M858" s="525">
        <v>46001</v>
      </c>
      <c r="N858" s="525">
        <v>45997</v>
      </c>
      <c r="O858" s="526"/>
      <c r="P858" s="526" t="s">
        <v>103</v>
      </c>
      <c r="Q858" s="521"/>
      <c r="R858" s="530" t="s">
        <v>4950</v>
      </c>
      <c r="S858" s="530" t="s">
        <v>96</v>
      </c>
      <c r="T858" s="530" t="s">
        <v>5314</v>
      </c>
      <c r="U858" s="530"/>
      <c r="V858" s="532" t="s">
        <v>5315</v>
      </c>
      <c r="W858" s="532" t="s">
        <v>414</v>
      </c>
      <c r="X858" s="532">
        <v>2.1629</v>
      </c>
      <c r="Y858" s="540">
        <f t="shared" si="320"/>
        <v>1064.1468</v>
      </c>
      <c r="Z858" s="521"/>
      <c r="AA858" s="521" t="s">
        <v>3464</v>
      </c>
      <c r="AB858" s="521" t="s">
        <v>76</v>
      </c>
      <c r="AC858" s="521"/>
      <c r="AD858" s="594"/>
      <c r="AE858" s="594">
        <v>1</v>
      </c>
      <c r="AF858" s="521">
        <v>492</v>
      </c>
      <c r="AG858" s="521">
        <f t="shared" si="319"/>
        <v>0</v>
      </c>
      <c r="AH858" s="542"/>
      <c r="AI858" s="521"/>
      <c r="AJ858" s="521"/>
      <c r="AK858" s="521"/>
      <c r="AL858" s="427">
        <f>I858*2</f>
        <v>984</v>
      </c>
      <c r="AQ858" s="427">
        <f>I858*2</f>
        <v>984</v>
      </c>
      <c r="AR858" s="543"/>
      <c r="AS858" s="543">
        <f>I858*2</f>
        <v>984</v>
      </c>
      <c r="AT858" s="544"/>
      <c r="AU858" s="543"/>
      <c r="AY858" s="545">
        <f>I858/24*2</f>
        <v>41</v>
      </c>
      <c r="AZ858" s="546"/>
      <c r="BT858" s="544"/>
      <c r="BV858" s="544"/>
      <c r="CH858" s="427">
        <f>I858</f>
        <v>492</v>
      </c>
      <c r="CI858" s="427">
        <f>I858</f>
        <v>492</v>
      </c>
      <c r="CJ858" s="427">
        <f>I858</f>
        <v>492</v>
      </c>
      <c r="CK858" s="427">
        <f t="shared" si="316"/>
        <v>0</v>
      </c>
      <c r="CL858" s="427">
        <f t="shared" si="317"/>
        <v>0</v>
      </c>
      <c r="CM858" s="427">
        <f t="shared" si="318"/>
        <v>0</v>
      </c>
      <c r="CN858" s="544"/>
      <c r="CO858" s="544"/>
      <c r="CP858" s="544"/>
      <c r="CT858" s="544"/>
      <c r="CU858" s="544"/>
      <c r="CV858" s="544"/>
      <c r="CW858" s="544"/>
      <c r="CX858" s="544"/>
    </row>
    <row r="859" s="427" customFormat="1" ht="31" customHeight="1" spans="1:102">
      <c r="A859" s="518">
        <v>45950</v>
      </c>
      <c r="B859" s="519" t="s">
        <v>1383</v>
      </c>
      <c r="C859" s="520" t="s">
        <v>90</v>
      </c>
      <c r="D859" s="427">
        <v>4500182436</v>
      </c>
      <c r="E859" s="520" t="s">
        <v>5320</v>
      </c>
      <c r="F859" s="427" t="s">
        <v>5321</v>
      </c>
      <c r="G859" s="521" t="s">
        <v>4564</v>
      </c>
      <c r="H859" s="521" t="s">
        <v>3237</v>
      </c>
      <c r="I859" s="521">
        <v>6096</v>
      </c>
      <c r="J859" s="521">
        <v>0</v>
      </c>
      <c r="K859" s="521">
        <v>12</v>
      </c>
      <c r="L859" s="524">
        <f t="shared" si="296"/>
        <v>508</v>
      </c>
      <c r="M859" s="525">
        <v>46001</v>
      </c>
      <c r="N859" s="525">
        <v>45997</v>
      </c>
      <c r="O859" s="526"/>
      <c r="P859" s="526" t="s">
        <v>103</v>
      </c>
      <c r="Q859" s="521"/>
      <c r="R859" s="530">
        <v>45950</v>
      </c>
      <c r="S859" s="599" t="s">
        <v>66</v>
      </c>
      <c r="T859" s="599" t="s">
        <v>66</v>
      </c>
      <c r="U859" s="530"/>
      <c r="V859" s="532" t="s">
        <v>5322</v>
      </c>
      <c r="W859" s="532" t="s">
        <v>113</v>
      </c>
      <c r="X859" s="532">
        <v>1.2814</v>
      </c>
      <c r="Y859" s="540">
        <f t="shared" si="320"/>
        <v>7811.4144</v>
      </c>
      <c r="Z859" s="521"/>
      <c r="AA859" s="521" t="s">
        <v>3236</v>
      </c>
      <c r="AB859" s="521" t="s">
        <v>76</v>
      </c>
      <c r="AC859" s="521"/>
      <c r="AD859" s="594"/>
      <c r="AE859" s="594">
        <v>1</v>
      </c>
      <c r="AF859" s="521">
        <v>6096</v>
      </c>
      <c r="AG859" s="521">
        <f t="shared" si="319"/>
        <v>0</v>
      </c>
      <c r="AH859" s="542"/>
      <c r="AI859" s="521"/>
      <c r="AJ859" s="521"/>
      <c r="AK859" s="521">
        <f>I859*2</f>
        <v>12192</v>
      </c>
      <c r="AN859" s="427">
        <f>I859*2</f>
        <v>12192</v>
      </c>
      <c r="AR859" s="543">
        <f>I859*2</f>
        <v>12192</v>
      </c>
      <c r="AS859" s="543"/>
      <c r="AT859" s="544"/>
      <c r="AU859" s="543"/>
      <c r="AY859" s="545">
        <f>I859/24*2</f>
        <v>508</v>
      </c>
      <c r="AZ859" s="546"/>
      <c r="BT859" s="544"/>
      <c r="BV859" s="544"/>
      <c r="CH859" s="427">
        <f>I859</f>
        <v>6096</v>
      </c>
      <c r="CI859" s="427">
        <f>I859</f>
        <v>6096</v>
      </c>
      <c r="CJ859" s="427">
        <f>I859</f>
        <v>6096</v>
      </c>
      <c r="CK859" s="427">
        <v>0</v>
      </c>
      <c r="CL859" s="427">
        <v>0</v>
      </c>
      <c r="CM859" s="427">
        <v>0</v>
      </c>
      <c r="CN859" s="544"/>
      <c r="CO859" s="544"/>
      <c r="CP859" s="544"/>
      <c r="CT859" s="544"/>
      <c r="CU859" s="544"/>
      <c r="CV859" s="544"/>
      <c r="CW859" s="544"/>
      <c r="CX859" s="544"/>
    </row>
    <row r="860" s="427" customFormat="1" ht="31" customHeight="1" spans="1:102">
      <c r="A860" s="518">
        <v>45950</v>
      </c>
      <c r="B860" s="519" t="s">
        <v>1383</v>
      </c>
      <c r="C860" s="520" t="s">
        <v>90</v>
      </c>
      <c r="D860" s="427">
        <v>4500182436</v>
      </c>
      <c r="E860" s="520" t="s">
        <v>5323</v>
      </c>
      <c r="F860" s="427" t="s">
        <v>5324</v>
      </c>
      <c r="G860" s="521" t="s">
        <v>4564</v>
      </c>
      <c r="H860" s="521" t="s">
        <v>3237</v>
      </c>
      <c r="I860" s="521">
        <v>7752</v>
      </c>
      <c r="J860" s="521">
        <v>0</v>
      </c>
      <c r="K860" s="521">
        <v>12</v>
      </c>
      <c r="L860" s="524">
        <f t="shared" si="296"/>
        <v>646</v>
      </c>
      <c r="M860" s="525">
        <v>46001</v>
      </c>
      <c r="N860" s="525">
        <v>45997</v>
      </c>
      <c r="O860" s="526"/>
      <c r="P860" s="526" t="s">
        <v>103</v>
      </c>
      <c r="Q860" s="521"/>
      <c r="R860" s="530">
        <v>45950</v>
      </c>
      <c r="S860" s="599" t="s">
        <v>66</v>
      </c>
      <c r="T860" s="599" t="s">
        <v>66</v>
      </c>
      <c r="U860" s="530"/>
      <c r="V860" s="532" t="s">
        <v>5322</v>
      </c>
      <c r="W860" s="532" t="s">
        <v>113</v>
      </c>
      <c r="X860" s="532">
        <v>1.2814</v>
      </c>
      <c r="Y860" s="540">
        <f t="shared" si="320"/>
        <v>9933.4128</v>
      </c>
      <c r="Z860" s="521"/>
      <c r="AA860" s="521" t="s">
        <v>3236</v>
      </c>
      <c r="AB860" s="521" t="s">
        <v>76</v>
      </c>
      <c r="AC860" s="521"/>
      <c r="AD860" s="594"/>
      <c r="AE860" s="594">
        <v>1</v>
      </c>
      <c r="AF860" s="521">
        <v>7752</v>
      </c>
      <c r="AG860" s="521">
        <f t="shared" si="319"/>
        <v>0</v>
      </c>
      <c r="AH860" s="542"/>
      <c r="AI860" s="521"/>
      <c r="AJ860" s="521"/>
      <c r="AK860" s="521">
        <f>I860*2</f>
        <v>15504</v>
      </c>
      <c r="AN860" s="427">
        <f>I860*2</f>
        <v>15504</v>
      </c>
      <c r="AR860" s="543">
        <f>I860*2</f>
        <v>15504</v>
      </c>
      <c r="AS860" s="543"/>
      <c r="AT860" s="544"/>
      <c r="AU860" s="543"/>
      <c r="AY860" s="545">
        <f>I860/24*2</f>
        <v>646</v>
      </c>
      <c r="AZ860" s="546"/>
      <c r="BT860" s="544"/>
      <c r="BV860" s="544"/>
      <c r="CH860" s="427">
        <f>I860</f>
        <v>7752</v>
      </c>
      <c r="CI860" s="427">
        <f>I860</f>
        <v>7752</v>
      </c>
      <c r="CJ860" s="427">
        <f>I860</f>
        <v>7752</v>
      </c>
      <c r="CK860" s="427">
        <v>0</v>
      </c>
      <c r="CL860" s="427">
        <v>0</v>
      </c>
      <c r="CM860" s="427">
        <v>0</v>
      </c>
      <c r="CN860" s="544"/>
      <c r="CO860" s="544"/>
      <c r="CP860" s="544"/>
      <c r="CT860" s="544"/>
      <c r="CU860" s="544"/>
      <c r="CV860" s="544"/>
      <c r="CW860" s="544"/>
      <c r="CX860" s="544"/>
    </row>
    <row r="861" s="427" customFormat="1" ht="31" customHeight="1" spans="1:102">
      <c r="A861" s="518">
        <v>45966</v>
      </c>
      <c r="B861" s="519" t="s">
        <v>4799</v>
      </c>
      <c r="C861" s="520" t="s">
        <v>249</v>
      </c>
      <c r="D861" s="427">
        <v>4500184536</v>
      </c>
      <c r="E861" s="520" t="s">
        <v>5325</v>
      </c>
      <c r="F861" s="427" t="s">
        <v>5326</v>
      </c>
      <c r="G861" s="521" t="s">
        <v>3245</v>
      </c>
      <c r="H861" s="521" t="s">
        <v>3246</v>
      </c>
      <c r="I861" s="521">
        <v>2704</v>
      </c>
      <c r="J861" s="521">
        <v>13</v>
      </c>
      <c r="K861" s="521">
        <f>J861*8</f>
        <v>104</v>
      </c>
      <c r="L861" s="524">
        <f t="shared" si="296"/>
        <v>26</v>
      </c>
      <c r="M861" s="525">
        <v>46001</v>
      </c>
      <c r="N861" s="525">
        <v>45997</v>
      </c>
      <c r="O861" s="526"/>
      <c r="P861" s="526" t="s">
        <v>103</v>
      </c>
      <c r="Q861" s="521"/>
      <c r="R861" s="530">
        <v>45975</v>
      </c>
      <c r="S861" s="530" t="s">
        <v>66</v>
      </c>
      <c r="T861" s="599" t="s">
        <v>66</v>
      </c>
      <c r="U861" s="530"/>
      <c r="V861" s="531" t="s">
        <v>5327</v>
      </c>
      <c r="W861" s="532" t="s">
        <v>1424</v>
      </c>
      <c r="X861" s="532">
        <v>0.9268</v>
      </c>
      <c r="Y861" s="540">
        <f t="shared" si="320"/>
        <v>2506.0672</v>
      </c>
      <c r="Z861" s="521"/>
      <c r="AA861" s="521" t="s">
        <v>3245</v>
      </c>
      <c r="AB861" s="521" t="s">
        <v>76</v>
      </c>
      <c r="AC861" s="521"/>
      <c r="AD861" s="521"/>
      <c r="AE861" s="521">
        <v>1</v>
      </c>
      <c r="AF861" s="521">
        <v>2704</v>
      </c>
      <c r="AG861" s="521">
        <f t="shared" si="319"/>
        <v>0</v>
      </c>
      <c r="AH861" s="542"/>
      <c r="AI861" s="521"/>
      <c r="AJ861" s="521"/>
      <c r="AK861" s="521"/>
      <c r="AL861" s="543">
        <f>I861</f>
        <v>2704</v>
      </c>
      <c r="AQ861" s="427">
        <f>I861</f>
        <v>2704</v>
      </c>
      <c r="AS861" s="427">
        <f>I861</f>
        <v>2704</v>
      </c>
      <c r="AT861" s="544"/>
      <c r="AU861" s="543"/>
      <c r="AY861" s="545">
        <f>I861/24</f>
        <v>112.666666666667</v>
      </c>
      <c r="AZ861" s="546"/>
      <c r="BI861" s="427">
        <f>I861/13</f>
        <v>208</v>
      </c>
      <c r="BT861" s="544"/>
      <c r="BV861" s="544"/>
      <c r="CK861" s="427">
        <f t="shared" ref="CK861:CK868" si="321">BM861+BL861+BK861+BJ861+BS861</f>
        <v>0</v>
      </c>
      <c r="CL861" s="427">
        <f t="shared" ref="CL861:CL868" si="322">CA861+CB861+CC861+CD861+CE861+CG861+CF861</f>
        <v>0</v>
      </c>
      <c r="CM861" s="427">
        <f t="shared" ref="CM861:CM868" si="323">BY861+BZ861</f>
        <v>0</v>
      </c>
      <c r="CN861" s="544"/>
      <c r="CO861" s="544"/>
      <c r="CP861" s="544"/>
      <c r="CT861" s="544"/>
      <c r="CU861" s="544"/>
      <c r="CV861" s="544"/>
      <c r="CW861" s="544"/>
      <c r="CX861" s="544"/>
    </row>
    <row r="862" s="427" customFormat="1" ht="30" customHeight="1" spans="1:102">
      <c r="A862" s="518">
        <v>45965</v>
      </c>
      <c r="B862" s="519" t="s">
        <v>509</v>
      </c>
      <c r="C862" s="520" t="s">
        <v>510</v>
      </c>
      <c r="D862" s="427">
        <v>4500184266</v>
      </c>
      <c r="E862" s="520"/>
      <c r="F862" s="427" t="s">
        <v>5328</v>
      </c>
      <c r="G862" s="521" t="s">
        <v>3158</v>
      </c>
      <c r="H862" s="521" t="s">
        <v>3159</v>
      </c>
      <c r="I862" s="521">
        <v>1248</v>
      </c>
      <c r="J862" s="521">
        <v>0</v>
      </c>
      <c r="K862" s="521">
        <v>52</v>
      </c>
      <c r="L862" s="524">
        <f t="shared" si="296"/>
        <v>24</v>
      </c>
      <c r="M862" s="525">
        <v>46003</v>
      </c>
      <c r="N862" s="525">
        <v>45999</v>
      </c>
      <c r="O862" s="526"/>
      <c r="P862" s="526" t="s">
        <v>103</v>
      </c>
      <c r="Q862" s="521"/>
      <c r="R862" s="530">
        <v>45965</v>
      </c>
      <c r="S862" s="530" t="s">
        <v>66</v>
      </c>
      <c r="T862" s="530" t="s">
        <v>5329</v>
      </c>
      <c r="U862" s="530"/>
      <c r="V862" s="532" t="s">
        <v>5330</v>
      </c>
      <c r="W862" s="532" t="s">
        <v>515</v>
      </c>
      <c r="X862" s="536">
        <v>0.9129</v>
      </c>
      <c r="Y862" s="540">
        <f t="shared" si="320"/>
        <v>1139.2992</v>
      </c>
      <c r="Z862" s="521"/>
      <c r="AA862" s="521" t="s">
        <v>3158</v>
      </c>
      <c r="AB862" s="521" t="s">
        <v>76</v>
      </c>
      <c r="AC862" s="521"/>
      <c r="AD862" s="600"/>
      <c r="AE862" s="600">
        <v>1</v>
      </c>
      <c r="AF862" s="521">
        <v>1248</v>
      </c>
      <c r="AG862" s="521">
        <f t="shared" si="319"/>
        <v>0</v>
      </c>
      <c r="AH862" s="542"/>
      <c r="AI862" s="521" t="s">
        <v>2191</v>
      </c>
      <c r="AJ862" s="521"/>
      <c r="AK862" s="521"/>
      <c r="AL862" s="543">
        <f>I862</f>
        <v>1248</v>
      </c>
      <c r="AQ862" s="427">
        <f>I862</f>
        <v>1248</v>
      </c>
      <c r="AS862" s="543">
        <f>I862</f>
        <v>1248</v>
      </c>
      <c r="AT862" s="544"/>
      <c r="AX862" s="602"/>
      <c r="AY862" s="545">
        <f>I862/24</f>
        <v>52</v>
      </c>
      <c r="AZ862" s="546"/>
      <c r="BI862" s="427">
        <f>I862/13</f>
        <v>96</v>
      </c>
      <c r="BT862" s="544"/>
      <c r="BV862" s="544"/>
      <c r="CK862" s="427">
        <f t="shared" si="321"/>
        <v>0</v>
      </c>
      <c r="CL862" s="427">
        <f t="shared" si="322"/>
        <v>0</v>
      </c>
      <c r="CM862" s="427">
        <f t="shared" si="323"/>
        <v>0</v>
      </c>
      <c r="CN862" s="544"/>
      <c r="CO862" s="544"/>
      <c r="CP862" s="544"/>
      <c r="CT862" s="544"/>
      <c r="CU862" s="544"/>
      <c r="CV862" s="544"/>
      <c r="CW862" s="544"/>
      <c r="CX862" s="544"/>
    </row>
    <row r="863" s="427" customFormat="1" ht="31" customHeight="1" spans="1:102">
      <c r="A863" s="518">
        <v>45947</v>
      </c>
      <c r="B863" s="519" t="s">
        <v>4956</v>
      </c>
      <c r="C863" s="520" t="s">
        <v>366</v>
      </c>
      <c r="D863" s="427">
        <v>4500182321</v>
      </c>
      <c r="E863" s="532" t="s">
        <v>5331</v>
      </c>
      <c r="F863" s="427" t="s">
        <v>5332</v>
      </c>
      <c r="G863" s="521" t="s">
        <v>4962</v>
      </c>
      <c r="H863" s="521" t="s">
        <v>3237</v>
      </c>
      <c r="I863" s="521">
        <v>984</v>
      </c>
      <c r="J863" s="521">
        <v>0</v>
      </c>
      <c r="K863" s="521">
        <v>12</v>
      </c>
      <c r="L863" s="524">
        <f t="shared" si="296"/>
        <v>82</v>
      </c>
      <c r="M863" s="525">
        <v>46003</v>
      </c>
      <c r="N863" s="525">
        <v>45999</v>
      </c>
      <c r="O863" s="526"/>
      <c r="P863" s="526" t="s">
        <v>103</v>
      </c>
      <c r="Q863" s="521"/>
      <c r="R863" s="530" t="s">
        <v>4950</v>
      </c>
      <c r="S863" s="530" t="s">
        <v>96</v>
      </c>
      <c r="T863" s="530" t="s">
        <v>5314</v>
      </c>
      <c r="U863" s="530"/>
      <c r="V863" s="532" t="s">
        <v>5333</v>
      </c>
      <c r="W863" s="532" t="s">
        <v>414</v>
      </c>
      <c r="X863" s="532">
        <v>2.2418</v>
      </c>
      <c r="Y863" s="540">
        <f t="shared" si="320"/>
        <v>2205.9312</v>
      </c>
      <c r="Z863" s="521"/>
      <c r="AA863" s="521" t="s">
        <v>3464</v>
      </c>
      <c r="AB863" s="521" t="s">
        <v>76</v>
      </c>
      <c r="AC863" s="521"/>
      <c r="AD863" s="594"/>
      <c r="AE863" s="594">
        <v>1</v>
      </c>
      <c r="AF863" s="521">
        <v>984</v>
      </c>
      <c r="AG863" s="521">
        <f t="shared" si="319"/>
        <v>0</v>
      </c>
      <c r="AH863" s="542"/>
      <c r="AI863" s="521" t="s">
        <v>2191</v>
      </c>
      <c r="AJ863" s="521"/>
      <c r="AK863" s="521"/>
      <c r="AL863" s="427">
        <f>I863*2</f>
        <v>1968</v>
      </c>
      <c r="AQ863" s="427">
        <f>I863*2</f>
        <v>1968</v>
      </c>
      <c r="AR863" s="543"/>
      <c r="AS863" s="543">
        <f>I863*2</f>
        <v>1968</v>
      </c>
      <c r="AT863" s="544"/>
      <c r="AU863" s="543"/>
      <c r="AY863" s="545">
        <f>I863/24*2</f>
        <v>82</v>
      </c>
      <c r="AZ863" s="546"/>
      <c r="BT863" s="544"/>
      <c r="BV863" s="544"/>
      <c r="CH863" s="427">
        <f>I863</f>
        <v>984</v>
      </c>
      <c r="CI863" s="427">
        <f>I863</f>
        <v>984</v>
      </c>
      <c r="CJ863" s="427">
        <f>I863</f>
        <v>984</v>
      </c>
      <c r="CK863" s="427">
        <f t="shared" si="321"/>
        <v>0</v>
      </c>
      <c r="CL863" s="427">
        <f t="shared" si="322"/>
        <v>0</v>
      </c>
      <c r="CM863" s="427">
        <f t="shared" si="323"/>
        <v>0</v>
      </c>
      <c r="CN863" s="544"/>
      <c r="CO863" s="544"/>
      <c r="CP863" s="544"/>
      <c r="CT863" s="544"/>
      <c r="CU863" s="544"/>
      <c r="CV863" s="544"/>
      <c r="CW863" s="544"/>
      <c r="CX863" s="544"/>
    </row>
    <row r="864" s="427" customFormat="1" ht="31" customHeight="1" spans="1:102">
      <c r="A864" s="518">
        <v>45897</v>
      </c>
      <c r="B864" s="519" t="s">
        <v>2186</v>
      </c>
      <c r="C864" s="520" t="s">
        <v>468</v>
      </c>
      <c r="D864" s="427">
        <v>4500177857</v>
      </c>
      <c r="E864" s="520">
        <v>62007522</v>
      </c>
      <c r="F864" s="427" t="s">
        <v>5334</v>
      </c>
      <c r="G864" s="521" t="s">
        <v>3161</v>
      </c>
      <c r="H864" s="521" t="s">
        <v>3221</v>
      </c>
      <c r="I864" s="521">
        <v>1200</v>
      </c>
      <c r="J864" s="521">
        <v>0</v>
      </c>
      <c r="K864" s="521">
        <v>50</v>
      </c>
      <c r="L864" s="524">
        <f t="shared" si="296"/>
        <v>24</v>
      </c>
      <c r="M864" s="525">
        <v>46006</v>
      </c>
      <c r="N864" s="525">
        <v>46002</v>
      </c>
      <c r="O864" s="526" t="s">
        <v>5335</v>
      </c>
      <c r="P864" s="526" t="s">
        <v>103</v>
      </c>
      <c r="Q864" s="521"/>
      <c r="R864" s="530">
        <v>45951</v>
      </c>
      <c r="S864" s="530" t="s">
        <v>66</v>
      </c>
      <c r="T864" s="530">
        <v>45989</v>
      </c>
      <c r="U864" s="530"/>
      <c r="V864" s="532" t="s">
        <v>5336</v>
      </c>
      <c r="W864" s="532" t="s">
        <v>473</v>
      </c>
      <c r="X864" s="532">
        <v>0.941</v>
      </c>
      <c r="Y864" s="540">
        <f t="shared" si="320"/>
        <v>1129.2</v>
      </c>
      <c r="Z864" s="521"/>
      <c r="AA864" s="519" t="s">
        <v>3161</v>
      </c>
      <c r="AB864" s="521" t="s">
        <v>76</v>
      </c>
      <c r="AC864" s="521"/>
      <c r="AD864" s="519" t="s">
        <v>3161</v>
      </c>
      <c r="AE864" s="519">
        <v>1</v>
      </c>
      <c r="AF864" s="521">
        <v>1200</v>
      </c>
      <c r="AG864" s="521">
        <f t="shared" si="319"/>
        <v>0</v>
      </c>
      <c r="AH864" s="542"/>
      <c r="AI864" s="521" t="s">
        <v>403</v>
      </c>
      <c r="AJ864" s="521"/>
      <c r="AK864" s="521"/>
      <c r="AL864" s="543">
        <f>I864</f>
        <v>1200</v>
      </c>
      <c r="AQ864" s="427">
        <f>I864</f>
        <v>1200</v>
      </c>
      <c r="AS864" s="427">
        <f>I864</f>
        <v>1200</v>
      </c>
      <c r="AT864" s="544"/>
      <c r="AY864" s="545">
        <f>I864/24</f>
        <v>50</v>
      </c>
      <c r="AZ864" s="546"/>
      <c r="BL864" s="427">
        <f>I864/25</f>
        <v>48</v>
      </c>
      <c r="BT864" s="544"/>
      <c r="BV864" s="544"/>
      <c r="CK864" s="427">
        <f t="shared" si="321"/>
        <v>48</v>
      </c>
      <c r="CL864" s="427">
        <f t="shared" si="322"/>
        <v>0</v>
      </c>
      <c r="CM864" s="427">
        <f t="shared" si="323"/>
        <v>0</v>
      </c>
      <c r="CN864" s="544"/>
      <c r="CO864" s="544"/>
      <c r="CP864" s="544"/>
      <c r="CT864" s="544"/>
      <c r="CU864" s="544"/>
      <c r="CV864" s="544"/>
      <c r="CW864" s="544"/>
      <c r="CX864" s="544"/>
    </row>
    <row r="865" s="427" customFormat="1" ht="31" customHeight="1" spans="1:102">
      <c r="A865" s="518">
        <v>45915</v>
      </c>
      <c r="B865" s="519" t="s">
        <v>1355</v>
      </c>
      <c r="C865" s="520" t="s">
        <v>468</v>
      </c>
      <c r="D865" s="427">
        <v>4500179539</v>
      </c>
      <c r="E865" s="520">
        <v>5251218195</v>
      </c>
      <c r="F865" s="427" t="s">
        <v>5337</v>
      </c>
      <c r="G865" s="521" t="s">
        <v>3165</v>
      </c>
      <c r="H865" s="521" t="s">
        <v>3303</v>
      </c>
      <c r="I865" s="521">
        <v>10000</v>
      </c>
      <c r="J865" s="521">
        <v>0</v>
      </c>
      <c r="K865" s="521">
        <v>25</v>
      </c>
      <c r="L865" s="524">
        <f t="shared" si="296"/>
        <v>400</v>
      </c>
      <c r="M865" s="525">
        <v>46006</v>
      </c>
      <c r="N865" s="525">
        <v>46002</v>
      </c>
      <c r="O865" s="526"/>
      <c r="P865" s="526" t="s">
        <v>103</v>
      </c>
      <c r="Q865" s="521"/>
      <c r="R865" s="530">
        <v>45916</v>
      </c>
      <c r="S865" s="530" t="s">
        <v>66</v>
      </c>
      <c r="T865" s="530" t="s">
        <v>5338</v>
      </c>
      <c r="U865" s="530"/>
      <c r="V865" s="531" t="s">
        <v>5339</v>
      </c>
      <c r="W865" s="532" t="s">
        <v>304</v>
      </c>
      <c r="X865" s="532">
        <v>0.9313</v>
      </c>
      <c r="Y865" s="540">
        <f t="shared" si="320"/>
        <v>9313</v>
      </c>
      <c r="Z865" s="521"/>
      <c r="AA865" s="521" t="s">
        <v>3165</v>
      </c>
      <c r="AB865" s="521" t="s">
        <v>76</v>
      </c>
      <c r="AC865" s="521"/>
      <c r="AD865" s="521"/>
      <c r="AE865" s="521">
        <v>1</v>
      </c>
      <c r="AF865" s="521">
        <v>10000</v>
      </c>
      <c r="AG865" s="521">
        <f t="shared" si="319"/>
        <v>0</v>
      </c>
      <c r="AH865" s="542"/>
      <c r="AI865" s="521"/>
      <c r="AJ865" s="521"/>
      <c r="AK865" s="521"/>
      <c r="AL865" s="543">
        <f>I865</f>
        <v>10000</v>
      </c>
      <c r="AQ865" s="427">
        <f>I865</f>
        <v>10000</v>
      </c>
      <c r="AS865" s="601">
        <f>I865</f>
        <v>10000</v>
      </c>
      <c r="AT865" s="544"/>
      <c r="AY865" s="545">
        <f>I865/24*2</f>
        <v>833.333333333333</v>
      </c>
      <c r="AZ865" s="546"/>
      <c r="BL865" s="427">
        <f>I865/25</f>
        <v>400</v>
      </c>
      <c r="BT865" s="544"/>
      <c r="BV865" s="544"/>
      <c r="CK865" s="427">
        <f t="shared" si="321"/>
        <v>400</v>
      </c>
      <c r="CL865" s="427">
        <f t="shared" si="322"/>
        <v>0</v>
      </c>
      <c r="CM865" s="427">
        <f t="shared" si="323"/>
        <v>0</v>
      </c>
      <c r="CN865" s="544"/>
      <c r="CO865" s="544"/>
      <c r="CP865" s="544"/>
      <c r="CT865" s="544"/>
      <c r="CU865" s="544"/>
      <c r="CV865" s="544"/>
      <c r="CW865" s="544"/>
      <c r="CX865" s="544"/>
    </row>
    <row r="866" s="427" customFormat="1" ht="31" customHeight="1" spans="1:102">
      <c r="A866" s="518">
        <v>45971</v>
      </c>
      <c r="B866" s="519"/>
      <c r="C866" s="520"/>
      <c r="D866" s="427" t="s">
        <v>2177</v>
      </c>
      <c r="E866" s="520"/>
      <c r="G866" s="521" t="s">
        <v>3459</v>
      </c>
      <c r="H866" s="521" t="s">
        <v>424</v>
      </c>
      <c r="I866" s="521">
        <v>150</v>
      </c>
      <c r="J866" s="521">
        <v>0</v>
      </c>
      <c r="K866" s="521">
        <v>6</v>
      </c>
      <c r="L866" s="524">
        <f t="shared" si="296"/>
        <v>25</v>
      </c>
      <c r="M866" s="525">
        <v>45985</v>
      </c>
      <c r="N866" s="525">
        <v>45981</v>
      </c>
      <c r="O866" s="526"/>
      <c r="P866" s="526"/>
      <c r="Q866" s="521"/>
      <c r="R866" s="530"/>
      <c r="S866" s="530"/>
      <c r="T866" s="530"/>
      <c r="U866" s="530"/>
      <c r="V866" s="532" t="s">
        <v>2178</v>
      </c>
      <c r="W866" s="532" t="s">
        <v>85</v>
      </c>
      <c r="X866" s="532"/>
      <c r="Y866" s="540"/>
      <c r="Z866" s="521" t="s">
        <v>2179</v>
      </c>
      <c r="AA866" s="521" t="s">
        <v>5340</v>
      </c>
      <c r="AB866" s="521" t="s">
        <v>5341</v>
      </c>
      <c r="AC866" s="521"/>
      <c r="AD866" s="521"/>
      <c r="AE866" s="521"/>
      <c r="AF866" s="521">
        <v>150</v>
      </c>
      <c r="AG866" s="521">
        <v>0</v>
      </c>
      <c r="AH866" s="542"/>
      <c r="AI866" s="521"/>
      <c r="AJ866" s="521"/>
      <c r="AK866" s="521"/>
      <c r="AL866" s="427">
        <f>I866*2</f>
        <v>300</v>
      </c>
      <c r="AQ866" s="427">
        <f>I866*2</f>
        <v>300</v>
      </c>
      <c r="AS866" s="543">
        <f>I866*2</f>
        <v>300</v>
      </c>
      <c r="AT866" s="544"/>
      <c r="AY866" s="603">
        <f>I866/24</f>
        <v>6.25</v>
      </c>
      <c r="AZ866" s="546"/>
      <c r="BT866" s="495"/>
      <c r="BU866" s="425">
        <f>I866</f>
        <v>150</v>
      </c>
      <c r="BV866" s="544"/>
      <c r="CK866" s="427">
        <f t="shared" si="321"/>
        <v>0</v>
      </c>
      <c r="CL866" s="427">
        <f t="shared" si="322"/>
        <v>0</v>
      </c>
      <c r="CM866" s="427">
        <f t="shared" si="323"/>
        <v>0</v>
      </c>
      <c r="CN866" s="544"/>
      <c r="CO866" s="544"/>
      <c r="CP866" s="544"/>
      <c r="CT866" s="544"/>
      <c r="CU866" s="544"/>
      <c r="CV866" s="544"/>
      <c r="CW866" s="544"/>
      <c r="CX866" s="544"/>
    </row>
    <row r="867" s="427" customFormat="1" ht="31" customHeight="1" spans="1:102">
      <c r="A867" s="518">
        <v>45966</v>
      </c>
      <c r="B867" s="519"/>
      <c r="C867" s="520"/>
      <c r="D867" s="427" t="s">
        <v>5342</v>
      </c>
      <c r="G867" s="521" t="s">
        <v>3143</v>
      </c>
      <c r="H867" s="521" t="s">
        <v>3144</v>
      </c>
      <c r="I867" s="521">
        <v>15</v>
      </c>
      <c r="J867" s="521">
        <v>0</v>
      </c>
      <c r="K867" s="521">
        <v>24</v>
      </c>
      <c r="L867" s="524">
        <f t="shared" si="296"/>
        <v>0.625</v>
      </c>
      <c r="M867" s="525">
        <v>45974</v>
      </c>
      <c r="N867" s="525">
        <v>45971</v>
      </c>
      <c r="O867" s="526"/>
      <c r="P867" s="526"/>
      <c r="Q867" s="521"/>
      <c r="R867" s="530"/>
      <c r="S867" s="530"/>
      <c r="T867" s="530"/>
      <c r="U867" s="530"/>
      <c r="V867" s="532" t="s">
        <v>5343</v>
      </c>
      <c r="W867" s="532" t="s">
        <v>79</v>
      </c>
      <c r="X867" s="532"/>
      <c r="Y867" s="540"/>
      <c r="Z867" s="521" t="s">
        <v>5344</v>
      </c>
      <c r="AA867" s="458" t="s">
        <v>5345</v>
      </c>
      <c r="AB867" s="521" t="s">
        <v>76</v>
      </c>
      <c r="AC867" s="521"/>
      <c r="AD867" s="521"/>
      <c r="AE867" s="521"/>
      <c r="AF867" s="521">
        <v>15</v>
      </c>
      <c r="AG867" s="521">
        <f>AF867-I867</f>
        <v>0</v>
      </c>
      <c r="AH867" s="542"/>
      <c r="AI867" s="521"/>
      <c r="AJ867" s="521"/>
      <c r="AK867" s="521"/>
      <c r="AL867" s="543">
        <f>I867</f>
        <v>15</v>
      </c>
      <c r="AM867" s="427">
        <f>I867</f>
        <v>15</v>
      </c>
      <c r="AS867" s="427">
        <f>I867</f>
        <v>15</v>
      </c>
      <c r="AT867" s="544"/>
      <c r="AU867" s="543"/>
      <c r="AY867" s="545">
        <f>I867/24</f>
        <v>0.625</v>
      </c>
      <c r="AZ867" s="546"/>
      <c r="BT867" s="544"/>
      <c r="BV867" s="544"/>
      <c r="CK867" s="427">
        <f t="shared" si="321"/>
        <v>0</v>
      </c>
      <c r="CL867" s="427">
        <f t="shared" si="322"/>
        <v>0</v>
      </c>
      <c r="CM867" s="427">
        <f t="shared" si="323"/>
        <v>0</v>
      </c>
      <c r="CN867" s="544"/>
      <c r="CO867" s="544"/>
      <c r="CP867" s="544"/>
      <c r="CT867" s="544"/>
      <c r="CU867" s="544"/>
      <c r="CV867" s="544"/>
      <c r="CW867" s="544"/>
      <c r="CX867" s="544"/>
    </row>
    <row r="868" s="427" customFormat="1" ht="31" customHeight="1" spans="1:102">
      <c r="A868" s="518">
        <v>45979</v>
      </c>
      <c r="C868" s="520"/>
      <c r="D868" s="427" t="s">
        <v>5346</v>
      </c>
      <c r="E868" s="520"/>
      <c r="F868" s="427" t="s">
        <v>5347</v>
      </c>
      <c r="G868" s="521" t="s">
        <v>3138</v>
      </c>
      <c r="H868" s="521" t="s">
        <v>3139</v>
      </c>
      <c r="I868" s="521">
        <v>1008</v>
      </c>
      <c r="J868" s="521">
        <v>0</v>
      </c>
      <c r="K868" s="521">
        <v>24</v>
      </c>
      <c r="L868" s="524">
        <f t="shared" si="296"/>
        <v>42</v>
      </c>
      <c r="M868" s="525">
        <v>45999</v>
      </c>
      <c r="N868" s="525">
        <v>45995</v>
      </c>
      <c r="O868" s="526"/>
      <c r="P868" s="526"/>
      <c r="Q868" s="521"/>
      <c r="R868" s="530">
        <v>45979</v>
      </c>
      <c r="S868" s="530" t="s">
        <v>66</v>
      </c>
      <c r="T868" s="530" t="s">
        <v>66</v>
      </c>
      <c r="U868" s="530"/>
      <c r="V868" s="532" t="s">
        <v>5348</v>
      </c>
      <c r="W868" s="519" t="s">
        <v>85</v>
      </c>
      <c r="X868" s="536"/>
      <c r="Y868" s="540"/>
      <c r="Z868" s="521"/>
      <c r="AA868" s="458" t="s">
        <v>3138</v>
      </c>
      <c r="AB868" s="549" t="s">
        <v>76</v>
      </c>
      <c r="AC868" s="521"/>
      <c r="AD868" s="521"/>
      <c r="AE868" s="521"/>
      <c r="AF868" s="521">
        <v>1008</v>
      </c>
      <c r="AG868" s="521"/>
      <c r="AH868" s="542"/>
      <c r="AI868" s="521"/>
      <c r="AJ868" s="521"/>
      <c r="AK868" s="521">
        <f>I868</f>
        <v>1008</v>
      </c>
      <c r="AL868" s="543"/>
      <c r="AM868" s="427">
        <f>I868</f>
        <v>1008</v>
      </c>
      <c r="AR868" s="427">
        <f>I868</f>
        <v>1008</v>
      </c>
      <c r="AS868" s="543"/>
      <c r="AT868" s="544"/>
      <c r="AY868" s="545">
        <f>I868/24</f>
        <v>42</v>
      </c>
      <c r="AZ868" s="546"/>
      <c r="BT868" s="544"/>
      <c r="BV868" s="544"/>
      <c r="CK868" s="428">
        <f t="shared" si="321"/>
        <v>0</v>
      </c>
      <c r="CL868" s="428">
        <f t="shared" si="322"/>
        <v>0</v>
      </c>
      <c r="CM868" s="428">
        <f t="shared" si="323"/>
        <v>0</v>
      </c>
      <c r="CN868" s="544"/>
      <c r="CO868" s="544"/>
      <c r="CP868" s="544"/>
      <c r="CT868" s="544"/>
      <c r="CU868" s="544"/>
      <c r="CV868" s="544"/>
      <c r="CW868" s="544"/>
      <c r="CX868" s="544"/>
    </row>
    <row r="869" s="427" customFormat="1" ht="31" customHeight="1" spans="1:102">
      <c r="A869" s="518">
        <v>45979</v>
      </c>
      <c r="C869" s="520"/>
      <c r="D869" s="427" t="s">
        <v>5346</v>
      </c>
      <c r="E869" s="520"/>
      <c r="F869" s="427" t="s">
        <v>5349</v>
      </c>
      <c r="G869" s="521" t="s">
        <v>3143</v>
      </c>
      <c r="H869" s="521" t="s">
        <v>3144</v>
      </c>
      <c r="I869" s="521">
        <v>1008</v>
      </c>
      <c r="J869" s="521">
        <v>0</v>
      </c>
      <c r="K869" s="521">
        <v>24</v>
      </c>
      <c r="L869" s="524">
        <f t="shared" si="296"/>
        <v>42</v>
      </c>
      <c r="M869" s="525">
        <v>45999</v>
      </c>
      <c r="N869" s="525">
        <v>45995</v>
      </c>
      <c r="O869" s="526"/>
      <c r="P869" s="526"/>
      <c r="Q869" s="521"/>
      <c r="R869" s="530">
        <v>45979</v>
      </c>
      <c r="S869" s="530" t="s">
        <v>66</v>
      </c>
      <c r="T869" s="530" t="s">
        <v>66</v>
      </c>
      <c r="U869" s="530"/>
      <c r="V869" s="532" t="s">
        <v>5348</v>
      </c>
      <c r="W869" s="519" t="s">
        <v>85</v>
      </c>
      <c r="X869" s="536"/>
      <c r="Y869" s="540"/>
      <c r="Z869" s="521"/>
      <c r="AA869" s="458" t="s">
        <v>5345</v>
      </c>
      <c r="AB869" s="521" t="s">
        <v>76</v>
      </c>
      <c r="AC869" s="521"/>
      <c r="AD869" s="521"/>
      <c r="AE869" s="521"/>
      <c r="AF869" s="521">
        <v>1008</v>
      </c>
      <c r="AG869" s="521">
        <f t="shared" ref="AG869:AG875" si="324">AF869-I869</f>
        <v>0</v>
      </c>
      <c r="AH869" s="542"/>
      <c r="AI869" s="521"/>
      <c r="AJ869" s="521"/>
      <c r="AK869" s="521"/>
      <c r="AL869" s="546">
        <f>I869</f>
        <v>1008</v>
      </c>
      <c r="AM869" s="427">
        <f>I869</f>
        <v>1008</v>
      </c>
      <c r="AS869" s="427">
        <f>I869</f>
        <v>1008</v>
      </c>
      <c r="AT869" s="544"/>
      <c r="AY869" s="427">
        <f>I869/24</f>
        <v>42</v>
      </c>
      <c r="AZ869" s="546"/>
      <c r="BT869" s="544"/>
      <c r="BV869" s="544"/>
      <c r="CK869" s="427">
        <f t="shared" ref="CK869:CK876" si="325">BM869+BL869+BK869+BJ869+BS869</f>
        <v>0</v>
      </c>
      <c r="CL869" s="427">
        <f t="shared" ref="CL869:CL876" si="326">CA869+CB869+CC869+CD869+CE869+CG869+CF869</f>
        <v>0</v>
      </c>
      <c r="CM869" s="427">
        <f t="shared" ref="CM869:CM876" si="327">BY869+BZ869</f>
        <v>0</v>
      </c>
      <c r="CN869" s="544"/>
      <c r="CO869" s="544"/>
      <c r="CP869" s="544"/>
      <c r="CT869" s="544"/>
      <c r="CU869" s="544"/>
      <c r="CV869" s="544"/>
      <c r="CW869" s="544"/>
      <c r="CX869" s="544"/>
    </row>
    <row r="870" s="427" customFormat="1" ht="31" customHeight="1" spans="1:102">
      <c r="A870" s="518">
        <v>45952</v>
      </c>
      <c r="B870" s="519" t="s">
        <v>1492</v>
      </c>
      <c r="C870" s="520" t="s">
        <v>249</v>
      </c>
      <c r="D870" s="427">
        <v>4500182619</v>
      </c>
      <c r="E870" s="520" t="s">
        <v>5350</v>
      </c>
      <c r="F870" s="427" t="s">
        <v>5351</v>
      </c>
      <c r="G870" s="521" t="s">
        <v>3165</v>
      </c>
      <c r="H870" s="521" t="s">
        <v>3303</v>
      </c>
      <c r="I870" s="521">
        <v>7000</v>
      </c>
      <c r="J870" s="521">
        <v>0</v>
      </c>
      <c r="K870" s="521">
        <v>25</v>
      </c>
      <c r="L870" s="524">
        <f t="shared" si="296"/>
        <v>280</v>
      </c>
      <c r="M870" s="525">
        <v>46007</v>
      </c>
      <c r="N870" s="525">
        <v>46003</v>
      </c>
      <c r="O870" s="526"/>
      <c r="P870" s="526" t="s">
        <v>103</v>
      </c>
      <c r="Q870" s="521"/>
      <c r="R870" s="530">
        <v>45964</v>
      </c>
      <c r="S870" s="530" t="s">
        <v>66</v>
      </c>
      <c r="T870" s="530" t="s">
        <v>5352</v>
      </c>
      <c r="U870" s="530"/>
      <c r="V870" s="531" t="s">
        <v>5353</v>
      </c>
      <c r="W870" s="532" t="s">
        <v>1424</v>
      </c>
      <c r="X870" s="532">
        <v>0.9193</v>
      </c>
      <c r="Y870" s="540">
        <f t="shared" ref="Y870:Y875" si="328">X870*I870</f>
        <v>6435.1</v>
      </c>
      <c r="Z870" s="521"/>
      <c r="AA870" s="527" t="s">
        <v>3165</v>
      </c>
      <c r="AB870" s="521" t="s">
        <v>76</v>
      </c>
      <c r="AC870" s="521"/>
      <c r="AD870" s="521"/>
      <c r="AE870" s="521">
        <v>1</v>
      </c>
      <c r="AF870" s="521">
        <v>7000</v>
      </c>
      <c r="AG870" s="521">
        <f t="shared" si="324"/>
        <v>0</v>
      </c>
      <c r="AH870" s="542"/>
      <c r="AI870" s="521"/>
      <c r="AJ870" s="521"/>
      <c r="AK870" s="521"/>
      <c r="AL870" s="543">
        <f t="shared" ref="AL870:AL876" si="329">I870</f>
        <v>7000</v>
      </c>
      <c r="AQ870" s="427">
        <f>I870*2</f>
        <v>14000</v>
      </c>
      <c r="AS870" s="543">
        <f t="shared" ref="AS870:AS876" si="330">I870</f>
        <v>7000</v>
      </c>
      <c r="AT870" s="544"/>
      <c r="AY870" s="545">
        <f>I870/24*2</f>
        <v>583.333333333333</v>
      </c>
      <c r="AZ870" s="546"/>
      <c r="BL870" s="427">
        <f>I870/25</f>
        <v>280</v>
      </c>
      <c r="BT870" s="544"/>
      <c r="BV870" s="544"/>
      <c r="CK870" s="427">
        <f t="shared" si="325"/>
        <v>280</v>
      </c>
      <c r="CL870" s="427">
        <f t="shared" si="326"/>
        <v>0</v>
      </c>
      <c r="CM870" s="427">
        <f t="shared" si="327"/>
        <v>0</v>
      </c>
      <c r="CN870" s="544"/>
      <c r="CO870" s="544"/>
      <c r="CP870" s="544"/>
      <c r="CT870" s="544"/>
      <c r="CU870" s="544"/>
      <c r="CV870" s="544"/>
      <c r="CW870" s="544"/>
      <c r="CX870" s="544"/>
    </row>
    <row r="871" s="427" customFormat="1" ht="31" customHeight="1" spans="1:102">
      <c r="A871" s="518">
        <v>45959</v>
      </c>
      <c r="B871" s="519" t="s">
        <v>769</v>
      </c>
      <c r="C871" s="520" t="s">
        <v>249</v>
      </c>
      <c r="D871" s="427">
        <v>4500183596</v>
      </c>
      <c r="E871" s="520" t="s">
        <v>2203</v>
      </c>
      <c r="F871" s="427" t="s">
        <v>5354</v>
      </c>
      <c r="G871" s="521" t="s">
        <v>3158</v>
      </c>
      <c r="H871" s="521" t="s">
        <v>3159</v>
      </c>
      <c r="I871" s="521">
        <v>19760</v>
      </c>
      <c r="J871" s="521">
        <v>0</v>
      </c>
      <c r="K871" s="521">
        <v>52</v>
      </c>
      <c r="L871" s="524">
        <f t="shared" si="296"/>
        <v>380</v>
      </c>
      <c r="M871" s="525">
        <v>46007</v>
      </c>
      <c r="N871" s="525">
        <v>46003</v>
      </c>
      <c r="O871" s="526"/>
      <c r="P871" s="526" t="s">
        <v>103</v>
      </c>
      <c r="Q871" s="521"/>
      <c r="R871" s="530">
        <v>45959</v>
      </c>
      <c r="S871" s="530" t="s">
        <v>96</v>
      </c>
      <c r="T871" s="530" t="s">
        <v>5355</v>
      </c>
      <c r="U871" s="530"/>
      <c r="V871" s="532" t="s">
        <v>5356</v>
      </c>
      <c r="W871" s="532" t="s">
        <v>5357</v>
      </c>
      <c r="X871" s="536">
        <v>0.9002</v>
      </c>
      <c r="Y871" s="540">
        <f t="shared" si="328"/>
        <v>17787.952</v>
      </c>
      <c r="Z871" s="521"/>
      <c r="AA871" s="521" t="s">
        <v>3158</v>
      </c>
      <c r="AB871" s="521" t="s">
        <v>76</v>
      </c>
      <c r="AC871" s="521"/>
      <c r="AD871" s="521"/>
      <c r="AE871" s="521">
        <v>1</v>
      </c>
      <c r="AF871" s="521">
        <v>19760</v>
      </c>
      <c r="AG871" s="521">
        <f t="shared" si="324"/>
        <v>0</v>
      </c>
      <c r="AH871" s="542"/>
      <c r="AI871" s="521"/>
      <c r="AJ871" s="521"/>
      <c r="AK871" s="521"/>
      <c r="AL871" s="543">
        <f t="shared" si="329"/>
        <v>19760</v>
      </c>
      <c r="AQ871" s="427">
        <f t="shared" ref="AQ871:AQ876" si="331">I871</f>
        <v>19760</v>
      </c>
      <c r="AS871" s="543">
        <f t="shared" si="330"/>
        <v>19760</v>
      </c>
      <c r="AT871" s="544"/>
      <c r="AY871" s="545">
        <f>I871/24</f>
        <v>823.333333333333</v>
      </c>
      <c r="AZ871" s="546"/>
      <c r="BI871" s="427">
        <f>I871/13</f>
        <v>1520</v>
      </c>
      <c r="BT871" s="544"/>
      <c r="BV871" s="544"/>
      <c r="CK871" s="427">
        <f t="shared" si="325"/>
        <v>0</v>
      </c>
      <c r="CL871" s="427">
        <f t="shared" si="326"/>
        <v>0</v>
      </c>
      <c r="CM871" s="427">
        <f t="shared" si="327"/>
        <v>0</v>
      </c>
      <c r="CN871" s="544"/>
      <c r="CO871" s="544"/>
      <c r="CP871" s="544"/>
      <c r="CT871" s="544"/>
      <c r="CU871" s="544"/>
      <c r="CV871" s="544"/>
      <c r="CW871" s="544"/>
      <c r="CX871" s="544"/>
    </row>
    <row r="872" s="427" customFormat="1" ht="31" customHeight="1" spans="1:102">
      <c r="A872" s="518">
        <v>45959</v>
      </c>
      <c r="B872" s="519" t="s">
        <v>769</v>
      </c>
      <c r="C872" s="520" t="s">
        <v>249</v>
      </c>
      <c r="D872" s="427">
        <v>4500183596</v>
      </c>
      <c r="E872" s="520" t="s">
        <v>2272</v>
      </c>
      <c r="F872" s="427" t="s">
        <v>5358</v>
      </c>
      <c r="G872" s="521" t="s">
        <v>3158</v>
      </c>
      <c r="H872" s="521" t="s">
        <v>3159</v>
      </c>
      <c r="I872" s="521">
        <v>13520</v>
      </c>
      <c r="J872" s="521">
        <v>0</v>
      </c>
      <c r="K872" s="521">
        <v>52</v>
      </c>
      <c r="L872" s="524">
        <f t="shared" si="296"/>
        <v>260</v>
      </c>
      <c r="M872" s="525">
        <v>46007</v>
      </c>
      <c r="N872" s="525">
        <v>46003</v>
      </c>
      <c r="O872" s="526"/>
      <c r="P872" s="526" t="s">
        <v>103</v>
      </c>
      <c r="Q872" s="521"/>
      <c r="R872" s="530">
        <v>45959</v>
      </c>
      <c r="S872" s="530" t="s">
        <v>96</v>
      </c>
      <c r="T872" s="530" t="s">
        <v>5355</v>
      </c>
      <c r="U872" s="530"/>
      <c r="V872" s="532" t="s">
        <v>5356</v>
      </c>
      <c r="W872" s="532" t="s">
        <v>5357</v>
      </c>
      <c r="X872" s="536">
        <v>0.9002</v>
      </c>
      <c r="Y872" s="540">
        <f t="shared" si="328"/>
        <v>12170.704</v>
      </c>
      <c r="Z872" s="521"/>
      <c r="AA872" s="521" t="s">
        <v>3158</v>
      </c>
      <c r="AB872" s="521" t="s">
        <v>76</v>
      </c>
      <c r="AC872" s="521"/>
      <c r="AD872" s="521"/>
      <c r="AE872" s="521">
        <v>1</v>
      </c>
      <c r="AF872" s="521">
        <v>13520</v>
      </c>
      <c r="AG872" s="521">
        <f t="shared" si="324"/>
        <v>0</v>
      </c>
      <c r="AH872" s="542"/>
      <c r="AI872" s="521"/>
      <c r="AJ872" s="521"/>
      <c r="AK872" s="521"/>
      <c r="AL872" s="543">
        <f t="shared" si="329"/>
        <v>13520</v>
      </c>
      <c r="AQ872" s="427">
        <f t="shared" si="331"/>
        <v>13520</v>
      </c>
      <c r="AS872" s="543">
        <f t="shared" si="330"/>
        <v>13520</v>
      </c>
      <c r="AT872" s="544"/>
      <c r="AY872" s="545">
        <f>I872/24</f>
        <v>563.333333333333</v>
      </c>
      <c r="AZ872" s="546"/>
      <c r="BI872" s="427">
        <f>I872/13</f>
        <v>1040</v>
      </c>
      <c r="BT872" s="544"/>
      <c r="BV872" s="544"/>
      <c r="CK872" s="427">
        <f t="shared" si="325"/>
        <v>0</v>
      </c>
      <c r="CL872" s="427">
        <f t="shared" si="326"/>
        <v>0</v>
      </c>
      <c r="CM872" s="427">
        <f t="shared" si="327"/>
        <v>0</v>
      </c>
      <c r="CN872" s="544"/>
      <c r="CO872" s="544"/>
      <c r="CP872" s="544"/>
      <c r="CT872" s="544"/>
      <c r="CU872" s="544"/>
      <c r="CV872" s="544"/>
      <c r="CW872" s="544"/>
      <c r="CX872" s="544"/>
    </row>
    <row r="873" s="430" customFormat="1" ht="31" customHeight="1" spans="1:102">
      <c r="A873" s="604">
        <v>45972</v>
      </c>
      <c r="B873" s="605" t="s">
        <v>3210</v>
      </c>
      <c r="C873" s="606" t="s">
        <v>116</v>
      </c>
      <c r="D873" s="430">
        <v>4500185187</v>
      </c>
      <c r="E873" s="606" t="s">
        <v>5359</v>
      </c>
      <c r="F873" s="430" t="s">
        <v>5360</v>
      </c>
      <c r="G873" s="607" t="s">
        <v>3213</v>
      </c>
      <c r="H873" s="607" t="s">
        <v>3214</v>
      </c>
      <c r="I873" s="607">
        <v>1968</v>
      </c>
      <c r="J873" s="607">
        <v>0</v>
      </c>
      <c r="K873" s="607">
        <v>6</v>
      </c>
      <c r="L873" s="609">
        <f t="shared" si="296"/>
        <v>328</v>
      </c>
      <c r="M873" s="528">
        <v>46009</v>
      </c>
      <c r="N873" s="610">
        <v>46010</v>
      </c>
      <c r="O873" s="611"/>
      <c r="P873" s="526" t="s">
        <v>103</v>
      </c>
      <c r="Q873" s="607"/>
      <c r="R873" s="612">
        <v>45985</v>
      </c>
      <c r="S873" s="612" t="s">
        <v>66</v>
      </c>
      <c r="T873" s="612" t="s">
        <v>5361</v>
      </c>
      <c r="U873" s="612"/>
      <c r="V873" s="613" t="s">
        <v>4599</v>
      </c>
      <c r="W873" s="613" t="s">
        <v>1602</v>
      </c>
      <c r="X873" s="613">
        <v>1.0006</v>
      </c>
      <c r="Y873" s="616">
        <f t="shared" si="328"/>
        <v>1969.1808</v>
      </c>
      <c r="Z873" s="607"/>
      <c r="AA873" s="607" t="s">
        <v>3213</v>
      </c>
      <c r="AB873" s="607" t="s">
        <v>76</v>
      </c>
      <c r="AC873" s="607"/>
      <c r="AD873" s="605"/>
      <c r="AE873" s="605">
        <v>1</v>
      </c>
      <c r="AF873" s="607">
        <v>1968</v>
      </c>
      <c r="AG873" s="607">
        <f t="shared" si="324"/>
        <v>0</v>
      </c>
      <c r="AH873" s="618"/>
      <c r="AI873" s="607" t="s">
        <v>2191</v>
      </c>
      <c r="AJ873" s="607"/>
      <c r="AK873" s="607"/>
      <c r="AL873" s="619">
        <f t="shared" si="329"/>
        <v>1968</v>
      </c>
      <c r="AQ873" s="430">
        <f t="shared" si="331"/>
        <v>1968</v>
      </c>
      <c r="AS873" s="619">
        <f t="shared" si="330"/>
        <v>1968</v>
      </c>
      <c r="AT873" s="620"/>
      <c r="AY873" s="621">
        <f>I873/24</f>
        <v>82</v>
      </c>
      <c r="AZ873" s="622"/>
      <c r="BP873" s="430">
        <f>I873/6</f>
        <v>328</v>
      </c>
      <c r="BT873" s="620"/>
      <c r="BV873" s="620"/>
      <c r="CK873" s="430">
        <f t="shared" si="325"/>
        <v>0</v>
      </c>
      <c r="CL873" s="430">
        <f t="shared" si="326"/>
        <v>0</v>
      </c>
      <c r="CM873" s="430">
        <f t="shared" si="327"/>
        <v>0</v>
      </c>
      <c r="CN873" s="620"/>
      <c r="CO873" s="620"/>
      <c r="CP873" s="620"/>
      <c r="CT873" s="620"/>
      <c r="CU873" s="620"/>
      <c r="CV873" s="620"/>
      <c r="CW873" s="620"/>
      <c r="CX873" s="620"/>
    </row>
    <row r="874" s="427" customFormat="1" ht="31" customHeight="1" spans="1:102">
      <c r="A874" s="518">
        <v>45972</v>
      </c>
      <c r="B874" s="519" t="s">
        <v>3210</v>
      </c>
      <c r="C874" s="520" t="s">
        <v>116</v>
      </c>
      <c r="D874" s="427">
        <v>4500185187</v>
      </c>
      <c r="E874" s="520" t="s">
        <v>5362</v>
      </c>
      <c r="F874" s="427" t="s">
        <v>5363</v>
      </c>
      <c r="G874" s="521" t="s">
        <v>3213</v>
      </c>
      <c r="H874" s="521" t="s">
        <v>3214</v>
      </c>
      <c r="I874" s="521">
        <v>1728</v>
      </c>
      <c r="J874" s="521">
        <v>0</v>
      </c>
      <c r="K874" s="521">
        <v>6</v>
      </c>
      <c r="L874" s="524">
        <f t="shared" si="296"/>
        <v>288</v>
      </c>
      <c r="M874" s="528">
        <v>46009</v>
      </c>
      <c r="N874" s="525">
        <v>46006</v>
      </c>
      <c r="O874" s="526"/>
      <c r="P874" s="526" t="s">
        <v>103</v>
      </c>
      <c r="Q874" s="521"/>
      <c r="R874" s="530">
        <v>45985</v>
      </c>
      <c r="S874" s="530" t="s">
        <v>66</v>
      </c>
      <c r="T874" s="530" t="s">
        <v>5361</v>
      </c>
      <c r="U874" s="530"/>
      <c r="V874" s="532" t="s">
        <v>4599</v>
      </c>
      <c r="W874" s="532" t="s">
        <v>1602</v>
      </c>
      <c r="X874" s="532">
        <v>1.0006</v>
      </c>
      <c r="Y874" s="540">
        <f t="shared" si="328"/>
        <v>1729.0368</v>
      </c>
      <c r="Z874" s="521"/>
      <c r="AA874" s="521" t="s">
        <v>3213</v>
      </c>
      <c r="AB874" s="521" t="s">
        <v>76</v>
      </c>
      <c r="AC874" s="521"/>
      <c r="AD874" s="519"/>
      <c r="AE874" s="519">
        <v>1</v>
      </c>
      <c r="AF874" s="521">
        <f>1722+6</f>
        <v>1728</v>
      </c>
      <c r="AG874" s="521">
        <f t="shared" si="324"/>
        <v>0</v>
      </c>
      <c r="AH874" s="542"/>
      <c r="AI874" s="521" t="s">
        <v>2191</v>
      </c>
      <c r="AJ874" s="521"/>
      <c r="AK874" s="521"/>
      <c r="AL874" s="543">
        <f t="shared" si="329"/>
        <v>1728</v>
      </c>
      <c r="AQ874" s="427">
        <f t="shared" si="331"/>
        <v>1728</v>
      </c>
      <c r="AS874" s="543">
        <f t="shared" si="330"/>
        <v>1728</v>
      </c>
      <c r="AT874" s="544"/>
      <c r="AY874" s="545">
        <f>I874/24</f>
        <v>72</v>
      </c>
      <c r="AZ874" s="546"/>
      <c r="BP874" s="427">
        <f>I874/6</f>
        <v>288</v>
      </c>
      <c r="BT874" s="544"/>
      <c r="BV874" s="544"/>
      <c r="CK874" s="427">
        <f t="shared" si="325"/>
        <v>0</v>
      </c>
      <c r="CL874" s="427">
        <f t="shared" si="326"/>
        <v>0</v>
      </c>
      <c r="CM874" s="427">
        <f t="shared" si="327"/>
        <v>0</v>
      </c>
      <c r="CN874" s="544"/>
      <c r="CO874" s="544"/>
      <c r="CP874" s="544"/>
      <c r="CT874" s="544"/>
      <c r="CU874" s="544"/>
      <c r="CV874" s="544"/>
      <c r="CW874" s="544"/>
      <c r="CX874" s="544"/>
    </row>
    <row r="875" s="427" customFormat="1" ht="31" customHeight="1" spans="1:102">
      <c r="A875" s="518">
        <v>45972</v>
      </c>
      <c r="B875" s="519" t="s">
        <v>3210</v>
      </c>
      <c r="C875" s="520" t="s">
        <v>116</v>
      </c>
      <c r="D875" s="427">
        <v>4500185187</v>
      </c>
      <c r="E875" s="520" t="s">
        <v>5364</v>
      </c>
      <c r="F875" s="427" t="s">
        <v>5365</v>
      </c>
      <c r="G875" s="521" t="s">
        <v>3213</v>
      </c>
      <c r="H875" s="521" t="s">
        <v>3214</v>
      </c>
      <c r="I875" s="521">
        <v>1968</v>
      </c>
      <c r="J875" s="521">
        <v>0</v>
      </c>
      <c r="K875" s="521">
        <v>6</v>
      </c>
      <c r="L875" s="524">
        <f t="shared" si="296"/>
        <v>328</v>
      </c>
      <c r="M875" s="528">
        <v>46009</v>
      </c>
      <c r="N875" s="525">
        <v>46006</v>
      </c>
      <c r="O875" s="526"/>
      <c r="P875" s="526" t="s">
        <v>103</v>
      </c>
      <c r="Q875" s="521"/>
      <c r="R875" s="530">
        <v>45985</v>
      </c>
      <c r="S875" s="530" t="s">
        <v>66</v>
      </c>
      <c r="T875" s="530" t="s">
        <v>5361</v>
      </c>
      <c r="U875" s="530"/>
      <c r="V875" s="532" t="s">
        <v>4599</v>
      </c>
      <c r="W875" s="532" t="s">
        <v>1602</v>
      </c>
      <c r="X875" s="532">
        <v>1.0006</v>
      </c>
      <c r="Y875" s="540">
        <f t="shared" si="328"/>
        <v>1969.1808</v>
      </c>
      <c r="Z875" s="521"/>
      <c r="AA875" s="521" t="s">
        <v>3213</v>
      </c>
      <c r="AB875" s="521" t="s">
        <v>76</v>
      </c>
      <c r="AC875" s="521"/>
      <c r="AD875" s="519"/>
      <c r="AE875" s="519">
        <v>1</v>
      </c>
      <c r="AF875" s="521">
        <v>1968</v>
      </c>
      <c r="AG875" s="521">
        <f t="shared" si="324"/>
        <v>0</v>
      </c>
      <c r="AH875" s="542"/>
      <c r="AI875" s="521" t="s">
        <v>2191</v>
      </c>
      <c r="AJ875" s="521"/>
      <c r="AK875" s="521"/>
      <c r="AL875" s="543">
        <f t="shared" si="329"/>
        <v>1968</v>
      </c>
      <c r="AQ875" s="427">
        <f t="shared" si="331"/>
        <v>1968</v>
      </c>
      <c r="AS875" s="543">
        <f t="shared" si="330"/>
        <v>1968</v>
      </c>
      <c r="AT875" s="544"/>
      <c r="AY875" s="545">
        <f>I875/24</f>
        <v>82</v>
      </c>
      <c r="AZ875" s="546"/>
      <c r="BP875" s="427">
        <f>I875/6</f>
        <v>328</v>
      </c>
      <c r="BT875" s="544"/>
      <c r="BV875" s="544"/>
      <c r="CK875" s="427">
        <f t="shared" si="325"/>
        <v>0</v>
      </c>
      <c r="CL875" s="427">
        <f t="shared" si="326"/>
        <v>0</v>
      </c>
      <c r="CM875" s="427">
        <f t="shared" si="327"/>
        <v>0</v>
      </c>
      <c r="CN875" s="544"/>
      <c r="CO875" s="544"/>
      <c r="CP875" s="544"/>
      <c r="CT875" s="544"/>
      <c r="CU875" s="544"/>
      <c r="CV875" s="544"/>
      <c r="CW875" s="544"/>
      <c r="CX875" s="544"/>
    </row>
    <row r="876" s="427" customFormat="1" ht="31" customHeight="1" spans="1:102">
      <c r="A876" s="518">
        <v>45978</v>
      </c>
      <c r="B876" s="519" t="s">
        <v>445</v>
      </c>
      <c r="C876" s="520" t="s">
        <v>801</v>
      </c>
      <c r="D876" s="427">
        <v>4500180735</v>
      </c>
      <c r="E876" s="520"/>
      <c r="F876" s="427" t="s">
        <v>5366</v>
      </c>
      <c r="G876" s="521" t="s">
        <v>3541</v>
      </c>
      <c r="H876" s="521" t="s">
        <v>3542</v>
      </c>
      <c r="I876" s="521">
        <v>1000</v>
      </c>
      <c r="J876" s="521">
        <v>0</v>
      </c>
      <c r="K876" s="521">
        <v>50</v>
      </c>
      <c r="L876" s="524">
        <f t="shared" si="296"/>
        <v>20</v>
      </c>
      <c r="M876" s="525">
        <v>46006</v>
      </c>
      <c r="N876" s="525">
        <v>46002</v>
      </c>
      <c r="O876" s="526"/>
      <c r="P876" s="526" t="s">
        <v>103</v>
      </c>
      <c r="Q876" s="521"/>
      <c r="R876" s="530">
        <v>45973</v>
      </c>
      <c r="S876" s="530" t="s">
        <v>66</v>
      </c>
      <c r="T876" s="530" t="s">
        <v>5367</v>
      </c>
      <c r="U876" s="530"/>
      <c r="V876" s="531" t="s">
        <v>5368</v>
      </c>
      <c r="W876" s="532" t="s">
        <v>2216</v>
      </c>
      <c r="X876" s="536">
        <v>0.9543</v>
      </c>
      <c r="Y876" s="540">
        <f t="shared" ref="Y876:Y885" si="332">X876*I876</f>
        <v>954.3</v>
      </c>
      <c r="Z876" s="521"/>
      <c r="AA876" s="521" t="s">
        <v>3541</v>
      </c>
      <c r="AB876" s="521" t="s">
        <v>76</v>
      </c>
      <c r="AC876" s="521"/>
      <c r="AD876" s="594"/>
      <c r="AE876" s="594">
        <v>1</v>
      </c>
      <c r="AF876" s="521">
        <v>1000</v>
      </c>
      <c r="AG876" s="521">
        <f t="shared" ref="AG876:AG914" si="333">AF876-I876</f>
        <v>0</v>
      </c>
      <c r="AH876" s="542"/>
      <c r="AI876" s="521"/>
      <c r="AJ876" s="521"/>
      <c r="AK876" s="521"/>
      <c r="AL876" s="427">
        <f t="shared" si="329"/>
        <v>1000</v>
      </c>
      <c r="AQ876" s="427">
        <f t="shared" si="331"/>
        <v>1000</v>
      </c>
      <c r="AS876" s="543"/>
      <c r="AT876" s="544"/>
      <c r="AU876" s="543"/>
      <c r="AW876" s="427">
        <f>I876</f>
        <v>1000</v>
      </c>
      <c r="AY876" s="545">
        <f t="shared" ref="AY876:AY885" si="334">I876/24</f>
        <v>41.6666666666667</v>
      </c>
      <c r="AZ876" s="546"/>
      <c r="BS876" s="427">
        <f>I876/25</f>
        <v>40</v>
      </c>
      <c r="BT876" s="544"/>
      <c r="BV876" s="544"/>
      <c r="CK876" s="427">
        <f t="shared" ref="CK876:CK888" si="335">BM876+BL876+BK876+BJ876+BS876</f>
        <v>40</v>
      </c>
      <c r="CL876" s="427">
        <f t="shared" ref="CL876:CL888" si="336">CA876+CB876+CC876+CD876+CE876+CG876+CF876</f>
        <v>0</v>
      </c>
      <c r="CM876" s="427">
        <f t="shared" ref="CM876:CM888" si="337">BY876+BZ876</f>
        <v>0</v>
      </c>
      <c r="CN876" s="544"/>
      <c r="CO876" s="544"/>
      <c r="CP876" s="544"/>
      <c r="CT876" s="544"/>
      <c r="CU876" s="544"/>
      <c r="CV876" s="544"/>
      <c r="CW876" s="544"/>
      <c r="CX876" s="544"/>
    </row>
    <row r="877" s="430" customFormat="1" ht="31" customHeight="1" spans="1:102">
      <c r="A877" s="604">
        <v>45965</v>
      </c>
      <c r="B877" s="605" t="s">
        <v>128</v>
      </c>
      <c r="C877" s="606" t="s">
        <v>90</v>
      </c>
      <c r="D877" s="430">
        <v>4500184388</v>
      </c>
      <c r="E877" s="892" t="s">
        <v>5369</v>
      </c>
      <c r="F877" s="430" t="s">
        <v>5370</v>
      </c>
      <c r="G877" s="607" t="s">
        <v>3180</v>
      </c>
      <c r="H877" s="607" t="s">
        <v>3181</v>
      </c>
      <c r="I877" s="607">
        <v>23040</v>
      </c>
      <c r="J877" s="607">
        <v>0</v>
      </c>
      <c r="K877" s="607">
        <v>16</v>
      </c>
      <c r="L877" s="609">
        <f t="shared" si="296"/>
        <v>1440</v>
      </c>
      <c r="M877" s="610">
        <v>46006</v>
      </c>
      <c r="N877" s="610">
        <v>46002</v>
      </c>
      <c r="O877" s="610">
        <v>46008</v>
      </c>
      <c r="P877" s="526" t="s">
        <v>103</v>
      </c>
      <c r="Q877" s="607" t="s">
        <v>5371</v>
      </c>
      <c r="R877" s="612" t="s">
        <v>4194</v>
      </c>
      <c r="S877" s="612" t="s">
        <v>66</v>
      </c>
      <c r="T877" s="612" t="s">
        <v>133</v>
      </c>
      <c r="U877" s="612"/>
      <c r="V877" s="613" t="s">
        <v>4195</v>
      </c>
      <c r="W877" s="613" t="s">
        <v>98</v>
      </c>
      <c r="X877" s="613">
        <v>0.5837</v>
      </c>
      <c r="Y877" s="616">
        <f t="shared" si="332"/>
        <v>13448.448</v>
      </c>
      <c r="Z877" s="607"/>
      <c r="AA877" s="607" t="s">
        <v>3180</v>
      </c>
      <c r="AB877" s="607" t="s">
        <v>76</v>
      </c>
      <c r="AC877" s="607"/>
      <c r="AD877" s="617"/>
      <c r="AE877" s="617">
        <v>1</v>
      </c>
      <c r="AF877" s="607">
        <v>23040</v>
      </c>
      <c r="AG877" s="607">
        <f t="shared" si="333"/>
        <v>0</v>
      </c>
      <c r="AH877" s="618"/>
      <c r="AI877" s="607"/>
      <c r="AJ877" s="607"/>
      <c r="AK877" s="607">
        <f>I877</f>
        <v>23040</v>
      </c>
      <c r="AM877" s="430">
        <f>I877</f>
        <v>23040</v>
      </c>
      <c r="AR877" s="430">
        <f>I877</f>
        <v>23040</v>
      </c>
      <c r="AS877" s="619"/>
      <c r="AT877" s="620"/>
      <c r="AU877" s="619"/>
      <c r="AY877" s="621">
        <f t="shared" si="334"/>
        <v>960</v>
      </c>
      <c r="AZ877" s="622"/>
      <c r="BM877" s="430">
        <f>I877/16</f>
        <v>1440</v>
      </c>
      <c r="BT877" s="620"/>
      <c r="BV877" s="620"/>
      <c r="CK877" s="430">
        <f t="shared" si="335"/>
        <v>1440</v>
      </c>
      <c r="CL877" s="430">
        <f t="shared" si="336"/>
        <v>0</v>
      </c>
      <c r="CM877" s="430">
        <f t="shared" si="337"/>
        <v>0</v>
      </c>
      <c r="CN877" s="620"/>
      <c r="CO877" s="620"/>
      <c r="CP877" s="620"/>
      <c r="CT877" s="620"/>
      <c r="CU877" s="620"/>
      <c r="CV877" s="620"/>
      <c r="CW877" s="620"/>
      <c r="CX877" s="620"/>
    </row>
    <row r="878" s="427" customFormat="1" ht="31" customHeight="1" spans="1:102">
      <c r="A878" s="518">
        <v>45965</v>
      </c>
      <c r="B878" s="519" t="s">
        <v>128</v>
      </c>
      <c r="C878" s="520" t="s">
        <v>90</v>
      </c>
      <c r="D878" s="427">
        <v>4500184388</v>
      </c>
      <c r="E878" s="890" t="s">
        <v>5372</v>
      </c>
      <c r="F878" s="427" t="s">
        <v>5373</v>
      </c>
      <c r="G878" s="521" t="s">
        <v>3180</v>
      </c>
      <c r="H878" s="521" t="s">
        <v>3181</v>
      </c>
      <c r="I878" s="521">
        <v>15360</v>
      </c>
      <c r="J878" s="521">
        <v>0</v>
      </c>
      <c r="K878" s="521">
        <v>16</v>
      </c>
      <c r="L878" s="524">
        <f t="shared" si="296"/>
        <v>960</v>
      </c>
      <c r="M878" s="525">
        <v>46006</v>
      </c>
      <c r="N878" s="525">
        <v>46002</v>
      </c>
      <c r="O878" s="525">
        <v>46009</v>
      </c>
      <c r="P878" s="526" t="s">
        <v>103</v>
      </c>
      <c r="Q878" s="521" t="s">
        <v>5374</v>
      </c>
      <c r="R878" s="530" t="s">
        <v>4194</v>
      </c>
      <c r="S878" s="530" t="s">
        <v>66</v>
      </c>
      <c r="T878" s="530" t="s">
        <v>133</v>
      </c>
      <c r="U878" s="530"/>
      <c r="V878" s="532" t="s">
        <v>4195</v>
      </c>
      <c r="W878" s="532" t="s">
        <v>98</v>
      </c>
      <c r="X878" s="532">
        <v>0.5905</v>
      </c>
      <c r="Y878" s="540">
        <f t="shared" si="332"/>
        <v>9070.08</v>
      </c>
      <c r="Z878" s="521"/>
      <c r="AA878" s="521" t="s">
        <v>3180</v>
      </c>
      <c r="AB878" s="521" t="s">
        <v>76</v>
      </c>
      <c r="AC878" s="521"/>
      <c r="AD878" s="594"/>
      <c r="AE878" s="594">
        <v>1</v>
      </c>
      <c r="AF878" s="521">
        <v>15360</v>
      </c>
      <c r="AG878" s="521">
        <f t="shared" si="333"/>
        <v>0</v>
      </c>
      <c r="AH878" s="542"/>
      <c r="AI878" s="521"/>
      <c r="AJ878" s="521"/>
      <c r="AK878" s="521">
        <f>I878</f>
        <v>15360</v>
      </c>
      <c r="AM878" s="427">
        <f>I878</f>
        <v>15360</v>
      </c>
      <c r="AR878" s="427">
        <f>I878</f>
        <v>15360</v>
      </c>
      <c r="AS878" s="543"/>
      <c r="AT878" s="544"/>
      <c r="AU878" s="543"/>
      <c r="AY878" s="545">
        <f t="shared" si="334"/>
        <v>640</v>
      </c>
      <c r="AZ878" s="546"/>
      <c r="BM878" s="427">
        <f>I878/16</f>
        <v>960</v>
      </c>
      <c r="BT878" s="544"/>
      <c r="BV878" s="544"/>
      <c r="CK878" s="427">
        <f t="shared" si="335"/>
        <v>960</v>
      </c>
      <c r="CL878" s="427">
        <f t="shared" si="336"/>
        <v>0</v>
      </c>
      <c r="CM878" s="427">
        <f t="shared" si="337"/>
        <v>0</v>
      </c>
      <c r="CN878" s="544"/>
      <c r="CO878" s="544"/>
      <c r="CP878" s="544"/>
      <c r="CT878" s="544"/>
      <c r="CU878" s="544"/>
      <c r="CV878" s="544"/>
      <c r="CW878" s="544"/>
      <c r="CX878" s="544"/>
    </row>
    <row r="879" s="430" customFormat="1" ht="31" customHeight="1" spans="1:102">
      <c r="A879" s="604">
        <v>45965</v>
      </c>
      <c r="B879" s="605" t="s">
        <v>128</v>
      </c>
      <c r="C879" s="606" t="s">
        <v>90</v>
      </c>
      <c r="D879" s="430">
        <v>4500184388</v>
      </c>
      <c r="E879" s="892" t="s">
        <v>5375</v>
      </c>
      <c r="F879" s="430" t="s">
        <v>5376</v>
      </c>
      <c r="G879" s="607" t="s">
        <v>3180</v>
      </c>
      <c r="H879" s="607" t="s">
        <v>3181</v>
      </c>
      <c r="I879" s="607">
        <v>48000</v>
      </c>
      <c r="J879" s="607">
        <v>0</v>
      </c>
      <c r="K879" s="607">
        <v>16</v>
      </c>
      <c r="L879" s="609">
        <f t="shared" si="296"/>
        <v>3000</v>
      </c>
      <c r="M879" s="610">
        <v>46006</v>
      </c>
      <c r="N879" s="610">
        <v>46002</v>
      </c>
      <c r="O879" s="610">
        <v>46008</v>
      </c>
      <c r="P879" s="526" t="s">
        <v>103</v>
      </c>
      <c r="Q879" s="607" t="s">
        <v>5377</v>
      </c>
      <c r="R879" s="612" t="s">
        <v>4194</v>
      </c>
      <c r="S879" s="612" t="s">
        <v>66</v>
      </c>
      <c r="T879" s="612" t="s">
        <v>133</v>
      </c>
      <c r="U879" s="612"/>
      <c r="V879" s="613" t="s">
        <v>4195</v>
      </c>
      <c r="W879" s="613" t="s">
        <v>98</v>
      </c>
      <c r="X879" s="613">
        <v>0.5837</v>
      </c>
      <c r="Y879" s="616">
        <f t="shared" si="332"/>
        <v>28017.6</v>
      </c>
      <c r="Z879" s="607"/>
      <c r="AA879" s="607" t="s">
        <v>3180</v>
      </c>
      <c r="AB879" s="607" t="s">
        <v>76</v>
      </c>
      <c r="AC879" s="607"/>
      <c r="AD879" s="617"/>
      <c r="AE879" s="617">
        <v>1</v>
      </c>
      <c r="AF879" s="607">
        <f>22960+25040</f>
        <v>48000</v>
      </c>
      <c r="AG879" s="607">
        <f t="shared" si="333"/>
        <v>0</v>
      </c>
      <c r="AH879" s="618"/>
      <c r="AI879" s="607"/>
      <c r="AJ879" s="607"/>
      <c r="AK879" s="607">
        <f>I879</f>
        <v>48000</v>
      </c>
      <c r="AM879" s="430">
        <f>I879</f>
        <v>48000</v>
      </c>
      <c r="AR879" s="430">
        <f>I879</f>
        <v>48000</v>
      </c>
      <c r="AS879" s="619"/>
      <c r="AT879" s="620"/>
      <c r="AU879" s="619"/>
      <c r="AY879" s="621">
        <f t="shared" si="334"/>
        <v>2000</v>
      </c>
      <c r="AZ879" s="622"/>
      <c r="BM879" s="430">
        <f>I879/16</f>
        <v>3000</v>
      </c>
      <c r="BT879" s="620"/>
      <c r="BV879" s="620"/>
      <c r="CK879" s="430">
        <f t="shared" si="335"/>
        <v>3000</v>
      </c>
      <c r="CL879" s="430">
        <f t="shared" si="336"/>
        <v>0</v>
      </c>
      <c r="CM879" s="430">
        <f t="shared" si="337"/>
        <v>0</v>
      </c>
      <c r="CN879" s="620"/>
      <c r="CO879" s="620"/>
      <c r="CP879" s="620"/>
      <c r="CT879" s="620"/>
      <c r="CU879" s="620"/>
      <c r="CV879" s="620"/>
      <c r="CW879" s="620"/>
      <c r="CX879" s="620"/>
    </row>
    <row r="880" s="427" customFormat="1" ht="31" customHeight="1" spans="1:102">
      <c r="A880" s="518">
        <v>45965</v>
      </c>
      <c r="B880" s="519" t="s">
        <v>128</v>
      </c>
      <c r="C880" s="520" t="s">
        <v>90</v>
      </c>
      <c r="D880" s="427">
        <v>4500184388</v>
      </c>
      <c r="E880" s="890" t="s">
        <v>5378</v>
      </c>
      <c r="F880" s="427" t="s">
        <v>5379</v>
      </c>
      <c r="G880" s="521" t="s">
        <v>3180</v>
      </c>
      <c r="H880" s="521" t="s">
        <v>3181</v>
      </c>
      <c r="I880" s="521">
        <v>18240</v>
      </c>
      <c r="J880" s="521">
        <v>0</v>
      </c>
      <c r="K880" s="521">
        <v>16</v>
      </c>
      <c r="L880" s="524">
        <f t="shared" si="296"/>
        <v>1140</v>
      </c>
      <c r="M880" s="525">
        <v>46006</v>
      </c>
      <c r="N880" s="525">
        <v>46002</v>
      </c>
      <c r="O880" s="525">
        <v>46009</v>
      </c>
      <c r="P880" s="526" t="s">
        <v>103</v>
      </c>
      <c r="Q880" s="521" t="s">
        <v>5374</v>
      </c>
      <c r="R880" s="530" t="s">
        <v>4194</v>
      </c>
      <c r="S880" s="530" t="s">
        <v>66</v>
      </c>
      <c r="T880" s="530" t="s">
        <v>133</v>
      </c>
      <c r="U880" s="530"/>
      <c r="V880" s="532" t="s">
        <v>4195</v>
      </c>
      <c r="W880" s="532" t="s">
        <v>98</v>
      </c>
      <c r="X880" s="532">
        <v>0.5905</v>
      </c>
      <c r="Y880" s="540">
        <f t="shared" si="332"/>
        <v>10770.72</v>
      </c>
      <c r="Z880" s="521"/>
      <c r="AA880" s="521" t="s">
        <v>3180</v>
      </c>
      <c r="AB880" s="521" t="s">
        <v>76</v>
      </c>
      <c r="AC880" s="521"/>
      <c r="AD880" s="594"/>
      <c r="AE880" s="594">
        <v>1</v>
      </c>
      <c r="AF880" s="521">
        <f>8064+10176</f>
        <v>18240</v>
      </c>
      <c r="AG880" s="521">
        <f t="shared" si="333"/>
        <v>0</v>
      </c>
      <c r="AH880" s="542"/>
      <c r="AI880" s="521"/>
      <c r="AJ880" s="521"/>
      <c r="AK880" s="521">
        <f>I880</f>
        <v>18240</v>
      </c>
      <c r="AM880" s="427">
        <f>I880</f>
        <v>18240</v>
      </c>
      <c r="AR880" s="427">
        <f>I880</f>
        <v>18240</v>
      </c>
      <c r="AS880" s="543"/>
      <c r="AT880" s="544"/>
      <c r="AU880" s="543"/>
      <c r="AY880" s="545">
        <f t="shared" si="334"/>
        <v>760</v>
      </c>
      <c r="AZ880" s="546"/>
      <c r="BM880" s="427">
        <f>I880/16</f>
        <v>1140</v>
      </c>
      <c r="BT880" s="544"/>
      <c r="BV880" s="544"/>
      <c r="CK880" s="427">
        <f t="shared" si="335"/>
        <v>1140</v>
      </c>
      <c r="CL880" s="427">
        <f t="shared" si="336"/>
        <v>0</v>
      </c>
      <c r="CM880" s="427">
        <f t="shared" si="337"/>
        <v>0</v>
      </c>
      <c r="CN880" s="544"/>
      <c r="CO880" s="544"/>
      <c r="CP880" s="544"/>
      <c r="CT880" s="544"/>
      <c r="CU880" s="544"/>
      <c r="CV880" s="544"/>
      <c r="CW880" s="544"/>
      <c r="CX880" s="544"/>
    </row>
    <row r="881" s="427" customFormat="1" ht="31" customHeight="1" spans="1:102">
      <c r="A881" s="518">
        <v>45965</v>
      </c>
      <c r="B881" s="519" t="s">
        <v>128</v>
      </c>
      <c r="C881" s="520" t="s">
        <v>90</v>
      </c>
      <c r="D881" s="427">
        <v>4500184388</v>
      </c>
      <c r="E881" s="890" t="s">
        <v>5380</v>
      </c>
      <c r="F881" s="427" t="s">
        <v>5381</v>
      </c>
      <c r="G881" s="521" t="s">
        <v>3180</v>
      </c>
      <c r="H881" s="521" t="s">
        <v>3181</v>
      </c>
      <c r="I881" s="521">
        <v>25920</v>
      </c>
      <c r="J881" s="521">
        <v>0</v>
      </c>
      <c r="K881" s="521">
        <v>16</v>
      </c>
      <c r="L881" s="524">
        <f t="shared" si="296"/>
        <v>1620</v>
      </c>
      <c r="M881" s="525">
        <v>46006</v>
      </c>
      <c r="N881" s="525">
        <v>46002</v>
      </c>
      <c r="O881" s="525">
        <v>46009</v>
      </c>
      <c r="P881" s="526" t="s">
        <v>103</v>
      </c>
      <c r="Q881" s="521"/>
      <c r="R881" s="530" t="s">
        <v>4194</v>
      </c>
      <c r="S881" s="530" t="s">
        <v>66</v>
      </c>
      <c r="T881" s="530" t="s">
        <v>133</v>
      </c>
      <c r="U881" s="530"/>
      <c r="V881" s="532" t="s">
        <v>4195</v>
      </c>
      <c r="W881" s="532" t="s">
        <v>98</v>
      </c>
      <c r="X881" s="532">
        <v>0.5837</v>
      </c>
      <c r="Y881" s="540">
        <f t="shared" si="332"/>
        <v>15129.504</v>
      </c>
      <c r="Z881" s="521"/>
      <c r="AA881" s="521" t="s">
        <v>3180</v>
      </c>
      <c r="AB881" s="521" t="s">
        <v>76</v>
      </c>
      <c r="AC881" s="521"/>
      <c r="AD881" s="594"/>
      <c r="AE881" s="594">
        <v>1</v>
      </c>
      <c r="AF881" s="521">
        <v>25920</v>
      </c>
      <c r="AG881" s="521">
        <f t="shared" si="333"/>
        <v>0</v>
      </c>
      <c r="AH881" s="542"/>
      <c r="AI881" s="521"/>
      <c r="AJ881" s="521"/>
      <c r="AK881" s="521">
        <f>I881</f>
        <v>25920</v>
      </c>
      <c r="AM881" s="427">
        <f>I881</f>
        <v>25920</v>
      </c>
      <c r="AR881" s="427">
        <f>I881</f>
        <v>25920</v>
      </c>
      <c r="AS881" s="543"/>
      <c r="AT881" s="544"/>
      <c r="AU881" s="543"/>
      <c r="AY881" s="545">
        <f t="shared" si="334"/>
        <v>1080</v>
      </c>
      <c r="AZ881" s="546"/>
      <c r="BM881" s="427">
        <f>I881/16</f>
        <v>1620</v>
      </c>
      <c r="BT881" s="544"/>
      <c r="BV881" s="544"/>
      <c r="CK881" s="427">
        <f t="shared" si="335"/>
        <v>1620</v>
      </c>
      <c r="CL881" s="427">
        <f t="shared" si="336"/>
        <v>0</v>
      </c>
      <c r="CM881" s="427">
        <f t="shared" si="337"/>
        <v>0</v>
      </c>
      <c r="CN881" s="544"/>
      <c r="CO881" s="544"/>
      <c r="CP881" s="544"/>
      <c r="CT881" s="544"/>
      <c r="CU881" s="544"/>
      <c r="CV881" s="544"/>
      <c r="CW881" s="544"/>
      <c r="CX881" s="544"/>
    </row>
    <row r="882" s="427" customFormat="1" ht="31" customHeight="1" spans="1:102">
      <c r="A882" s="518">
        <v>45952</v>
      </c>
      <c r="B882" s="519" t="s">
        <v>2186</v>
      </c>
      <c r="C882" s="520" t="s">
        <v>468</v>
      </c>
      <c r="D882" s="427">
        <v>4500182578</v>
      </c>
      <c r="E882" s="520" t="s">
        <v>2187</v>
      </c>
      <c r="F882" s="427" t="s">
        <v>5382</v>
      </c>
      <c r="G882" s="521" t="s">
        <v>3161</v>
      </c>
      <c r="H882" s="521" t="s">
        <v>3221</v>
      </c>
      <c r="I882" s="521">
        <v>2250</v>
      </c>
      <c r="J882" s="521">
        <v>0</v>
      </c>
      <c r="K882" s="521">
        <v>50</v>
      </c>
      <c r="L882" s="524">
        <f>I882/K882</f>
        <v>45</v>
      </c>
      <c r="M882" s="525">
        <v>46006</v>
      </c>
      <c r="N882" s="525">
        <v>46002</v>
      </c>
      <c r="O882" s="526"/>
      <c r="P882" s="526" t="s">
        <v>103</v>
      </c>
      <c r="Q882" s="521"/>
      <c r="R882" s="530">
        <v>45971</v>
      </c>
      <c r="S882" s="530" t="s">
        <v>66</v>
      </c>
      <c r="T882" s="530" t="s">
        <v>5383</v>
      </c>
      <c r="U882" s="530"/>
      <c r="V882" s="532" t="s">
        <v>5384</v>
      </c>
      <c r="W882" s="532" t="s">
        <v>473</v>
      </c>
      <c r="X882" s="532">
        <v>0.924</v>
      </c>
      <c r="Y882" s="540">
        <f t="shared" si="332"/>
        <v>2079</v>
      </c>
      <c r="Z882" s="521"/>
      <c r="AA882" s="519" t="s">
        <v>3161</v>
      </c>
      <c r="AB882" s="521" t="s">
        <v>76</v>
      </c>
      <c r="AC882" s="521"/>
      <c r="AD882" s="521"/>
      <c r="AE882" s="521">
        <v>1</v>
      </c>
      <c r="AF882" s="521">
        <v>2250</v>
      </c>
      <c r="AG882" s="521">
        <f t="shared" si="333"/>
        <v>0</v>
      </c>
      <c r="AH882" s="542"/>
      <c r="AI882" s="521" t="s">
        <v>2191</v>
      </c>
      <c r="AJ882" s="521"/>
      <c r="AK882" s="521"/>
      <c r="AL882" s="543">
        <f>I882</f>
        <v>2250</v>
      </c>
      <c r="AQ882" s="427">
        <f>I882</f>
        <v>2250</v>
      </c>
      <c r="AS882" s="427">
        <f>I882</f>
        <v>2250</v>
      </c>
      <c r="AT882" s="544"/>
      <c r="AY882" s="545">
        <f t="shared" si="334"/>
        <v>93.75</v>
      </c>
      <c r="AZ882" s="546"/>
      <c r="BL882" s="427">
        <f>I882/25</f>
        <v>90</v>
      </c>
      <c r="BT882" s="544"/>
      <c r="BV882" s="544"/>
      <c r="CK882" s="427">
        <f t="shared" si="335"/>
        <v>90</v>
      </c>
      <c r="CL882" s="427">
        <f t="shared" si="336"/>
        <v>0</v>
      </c>
      <c r="CM882" s="427">
        <f t="shared" si="337"/>
        <v>0</v>
      </c>
      <c r="CN882" s="544"/>
      <c r="CO882" s="544"/>
      <c r="CP882" s="544"/>
      <c r="CT882" s="544"/>
      <c r="CU882" s="544"/>
      <c r="CV882" s="544"/>
      <c r="CW882" s="544"/>
      <c r="CX882" s="544"/>
    </row>
    <row r="883" s="427" customFormat="1" ht="31" customHeight="1" spans="1:102">
      <c r="A883" s="518">
        <v>45958</v>
      </c>
      <c r="B883" s="519" t="s">
        <v>2238</v>
      </c>
      <c r="C883" s="520" t="s">
        <v>153</v>
      </c>
      <c r="D883" s="427">
        <v>4500183410</v>
      </c>
      <c r="E883" s="520" t="s">
        <v>2239</v>
      </c>
      <c r="F883" s="427" t="s">
        <v>5385</v>
      </c>
      <c r="G883" s="521" t="s">
        <v>3198</v>
      </c>
      <c r="H883" s="521" t="s">
        <v>3303</v>
      </c>
      <c r="I883" s="521">
        <v>3750</v>
      </c>
      <c r="J883" s="521">
        <v>0</v>
      </c>
      <c r="K883" s="521">
        <v>25</v>
      </c>
      <c r="L883" s="524">
        <f>I883/K883</f>
        <v>150</v>
      </c>
      <c r="M883" s="525">
        <v>46006</v>
      </c>
      <c r="N883" s="525">
        <v>46002</v>
      </c>
      <c r="O883" s="526"/>
      <c r="P883" s="526" t="s">
        <v>103</v>
      </c>
      <c r="Q883" s="521" t="s">
        <v>5386</v>
      </c>
      <c r="R883" s="530">
        <v>45965</v>
      </c>
      <c r="S883" s="530" t="s">
        <v>66</v>
      </c>
      <c r="T883" s="530" t="s">
        <v>66</v>
      </c>
      <c r="U883" s="530"/>
      <c r="V883" s="532" t="s">
        <v>5387</v>
      </c>
      <c r="W883" s="532" t="s">
        <v>1213</v>
      </c>
      <c r="X883" s="536">
        <v>0.9514</v>
      </c>
      <c r="Y883" s="540">
        <f t="shared" si="332"/>
        <v>3567.75</v>
      </c>
      <c r="Z883" s="521"/>
      <c r="AA883" s="521" t="s">
        <v>3202</v>
      </c>
      <c r="AB883" s="521" t="s">
        <v>76</v>
      </c>
      <c r="AC883" s="521"/>
      <c r="AD883" s="521"/>
      <c r="AE883" s="521">
        <v>1</v>
      </c>
      <c r="AF883" s="521">
        <v>3750</v>
      </c>
      <c r="AG883" s="521">
        <f t="shared" si="333"/>
        <v>0</v>
      </c>
      <c r="AH883" s="542"/>
      <c r="AI883" s="521"/>
      <c r="AJ883" s="521"/>
      <c r="AK883" s="521">
        <f>I883</f>
        <v>3750</v>
      </c>
      <c r="AL883" s="543"/>
      <c r="AP883" s="427">
        <f>I883</f>
        <v>3750</v>
      </c>
      <c r="AR883" s="427">
        <f>I883</f>
        <v>3750</v>
      </c>
      <c r="AS883" s="543"/>
      <c r="AT883" s="544"/>
      <c r="AU883" s="543"/>
      <c r="AY883" s="545">
        <f t="shared" si="334"/>
        <v>156.25</v>
      </c>
      <c r="AZ883" s="546"/>
      <c r="BK883" s="427">
        <f>I883/25</f>
        <v>150</v>
      </c>
      <c r="BT883" s="544"/>
      <c r="BV883" s="544"/>
      <c r="CK883" s="427">
        <f t="shared" si="335"/>
        <v>150</v>
      </c>
      <c r="CL883" s="427">
        <f t="shared" si="336"/>
        <v>0</v>
      </c>
      <c r="CM883" s="427">
        <f t="shared" si="337"/>
        <v>0</v>
      </c>
      <c r="CN883" s="544"/>
      <c r="CO883" s="544"/>
      <c r="CP883" s="544"/>
      <c r="CT883" s="544"/>
      <c r="CU883" s="544"/>
      <c r="CV883" s="544"/>
      <c r="CW883" s="544"/>
      <c r="CX883" s="544"/>
    </row>
    <row r="884" s="427" customFormat="1" ht="31" customHeight="1" spans="1:102">
      <c r="A884" s="518">
        <v>45975</v>
      </c>
      <c r="B884" s="519" t="s">
        <v>190</v>
      </c>
      <c r="C884" s="520" t="s">
        <v>191</v>
      </c>
      <c r="D884" s="427">
        <v>4500185735</v>
      </c>
      <c r="E884" s="520" t="s">
        <v>5388</v>
      </c>
      <c r="F884" s="427" t="s">
        <v>5389</v>
      </c>
      <c r="G884" s="521" t="s">
        <v>3158</v>
      </c>
      <c r="H884" s="521" t="s">
        <v>3159</v>
      </c>
      <c r="I884" s="521">
        <v>1560</v>
      </c>
      <c r="J884" s="521">
        <v>0</v>
      </c>
      <c r="K884" s="521">
        <v>52</v>
      </c>
      <c r="L884" s="524">
        <f>I884/K884</f>
        <v>30</v>
      </c>
      <c r="M884" s="525">
        <v>46006</v>
      </c>
      <c r="N884" s="525">
        <v>46002</v>
      </c>
      <c r="O884" s="526"/>
      <c r="P884" s="526" t="s">
        <v>103</v>
      </c>
      <c r="Q884" s="521" t="s">
        <v>5390</v>
      </c>
      <c r="R884" s="530">
        <v>45975</v>
      </c>
      <c r="S884" s="530" t="s">
        <v>66</v>
      </c>
      <c r="T884" s="530" t="s">
        <v>5118</v>
      </c>
      <c r="U884" s="530"/>
      <c r="V884" s="532" t="s">
        <v>5391</v>
      </c>
      <c r="W884" s="532" t="s">
        <v>1663</v>
      </c>
      <c r="X884" s="536">
        <v>0.8951</v>
      </c>
      <c r="Y884" s="540">
        <f t="shared" si="332"/>
        <v>1396.356</v>
      </c>
      <c r="Z884" s="521"/>
      <c r="AA884" s="521" t="s">
        <v>3158</v>
      </c>
      <c r="AB884" s="521" t="s">
        <v>76</v>
      </c>
      <c r="AC884" s="521"/>
      <c r="AD884" s="519"/>
      <c r="AE884" s="519">
        <v>1</v>
      </c>
      <c r="AF884" s="521">
        <f>728+832</f>
        <v>1560</v>
      </c>
      <c r="AG884" s="521">
        <f t="shared" si="333"/>
        <v>0</v>
      </c>
      <c r="AH884" s="542"/>
      <c r="AI884" s="521"/>
      <c r="AJ884" s="521"/>
      <c r="AK884" s="521"/>
      <c r="AL884" s="543">
        <f>I884</f>
        <v>1560</v>
      </c>
      <c r="AQ884" s="427">
        <f>I884</f>
        <v>1560</v>
      </c>
      <c r="AR884" s="543"/>
      <c r="AS884" s="543">
        <f>I884</f>
        <v>1560</v>
      </c>
      <c r="AT884" s="544"/>
      <c r="AY884" s="545">
        <f t="shared" si="334"/>
        <v>65</v>
      </c>
      <c r="AZ884" s="546"/>
      <c r="BI884" s="427">
        <f>I884/13</f>
        <v>120</v>
      </c>
      <c r="BT884" s="544"/>
      <c r="BV884" s="544"/>
      <c r="CK884" s="427">
        <f t="shared" si="335"/>
        <v>0</v>
      </c>
      <c r="CL884" s="427">
        <f t="shared" si="336"/>
        <v>0</v>
      </c>
      <c r="CM884" s="427">
        <f t="shared" si="337"/>
        <v>0</v>
      </c>
      <c r="CN884" s="544"/>
      <c r="CO884" s="544"/>
      <c r="CP884" s="544"/>
      <c r="CT884" s="544"/>
      <c r="CU884" s="544"/>
      <c r="CV884" s="544"/>
      <c r="CW884" s="544"/>
      <c r="CX884" s="544"/>
    </row>
    <row r="885" s="427" customFormat="1" ht="31" customHeight="1" spans="1:102">
      <c r="A885" s="518">
        <v>45975</v>
      </c>
      <c r="B885" s="519" t="s">
        <v>190</v>
      </c>
      <c r="C885" s="520" t="s">
        <v>191</v>
      </c>
      <c r="D885" s="427">
        <v>4500185736</v>
      </c>
      <c r="E885" s="520" t="s">
        <v>2192</v>
      </c>
      <c r="F885" s="427" t="s">
        <v>2198</v>
      </c>
      <c r="G885" s="521" t="s">
        <v>3436</v>
      </c>
      <c r="H885" s="521" t="s">
        <v>424</v>
      </c>
      <c r="I885" s="521">
        <v>576</v>
      </c>
      <c r="J885" s="521">
        <v>0</v>
      </c>
      <c r="K885" s="521">
        <v>6</v>
      </c>
      <c r="L885" s="524">
        <f>I885/K885</f>
        <v>96</v>
      </c>
      <c r="M885" s="525">
        <v>46006</v>
      </c>
      <c r="N885" s="525">
        <v>46002</v>
      </c>
      <c r="O885" s="526"/>
      <c r="P885" s="526" t="s">
        <v>103</v>
      </c>
      <c r="Q885" s="521"/>
      <c r="R885" s="530">
        <v>45975</v>
      </c>
      <c r="S885" s="530" t="s">
        <v>66</v>
      </c>
      <c r="T885" s="530" t="s">
        <v>5392</v>
      </c>
      <c r="U885" s="530"/>
      <c r="V885" s="597" t="s">
        <v>2199</v>
      </c>
      <c r="W885" s="532" t="s">
        <v>1663</v>
      </c>
      <c r="X885" s="614">
        <v>7.0238</v>
      </c>
      <c r="Y885" s="540">
        <f t="shared" si="332"/>
        <v>4045.7088</v>
      </c>
      <c r="Z885" s="521"/>
      <c r="AA885" s="600" t="s">
        <v>2069</v>
      </c>
      <c r="AB885" s="521" t="s">
        <v>76</v>
      </c>
      <c r="AC885" s="521"/>
      <c r="AD885" s="519"/>
      <c r="AE885" s="519">
        <v>1</v>
      </c>
      <c r="AF885" s="521">
        <v>576</v>
      </c>
      <c r="AG885" s="521">
        <f t="shared" si="333"/>
        <v>0</v>
      </c>
      <c r="AH885" s="542"/>
      <c r="AI885" s="521"/>
      <c r="AJ885" s="521"/>
      <c r="AK885" s="521"/>
      <c r="AL885" s="543">
        <f>I885*2</f>
        <v>1152</v>
      </c>
      <c r="AQ885" s="427">
        <f>I885*2</f>
        <v>1152</v>
      </c>
      <c r="AR885" s="543"/>
      <c r="AS885" s="427">
        <f>I885*2</f>
        <v>1152</v>
      </c>
      <c r="AT885" s="544"/>
      <c r="AU885" s="427">
        <f>I885*2</f>
        <v>1152</v>
      </c>
      <c r="AX885" s="602"/>
      <c r="AY885" s="581">
        <f t="shared" si="334"/>
        <v>24</v>
      </c>
      <c r="AZ885" s="546"/>
      <c r="BT885" s="495"/>
      <c r="BU885" s="425">
        <f>I885</f>
        <v>576</v>
      </c>
      <c r="BV885" s="544"/>
      <c r="CK885" s="427">
        <f t="shared" si="335"/>
        <v>0</v>
      </c>
      <c r="CL885" s="427">
        <f t="shared" si="336"/>
        <v>0</v>
      </c>
      <c r="CM885" s="427">
        <f t="shared" si="337"/>
        <v>0</v>
      </c>
      <c r="CN885" s="544"/>
      <c r="CO885" s="544"/>
      <c r="CP885" s="544"/>
      <c r="CT885" s="544"/>
      <c r="CU885" s="544"/>
      <c r="CV885" s="544"/>
      <c r="CW885" s="544"/>
      <c r="CX885" s="544"/>
    </row>
    <row r="886" s="427" customFormat="1" ht="31" customHeight="1" spans="1:102">
      <c r="A886" s="518">
        <v>45965</v>
      </c>
      <c r="B886" s="519" t="s">
        <v>2258</v>
      </c>
      <c r="C886" s="520" t="s">
        <v>299</v>
      </c>
      <c r="D886" s="427">
        <v>4500184422</v>
      </c>
      <c r="E886" s="608">
        <v>5907187951</v>
      </c>
      <c r="F886" s="427" t="s">
        <v>5393</v>
      </c>
      <c r="G886" s="521" t="s">
        <v>3378</v>
      </c>
      <c r="H886" s="521" t="s">
        <v>3379</v>
      </c>
      <c r="I886" s="527">
        <v>1050</v>
      </c>
      <c r="J886" s="521">
        <v>0</v>
      </c>
      <c r="K886" s="521">
        <v>50</v>
      </c>
      <c r="L886" s="524">
        <f t="shared" ref="L886:L897" si="338">I886/K886</f>
        <v>21</v>
      </c>
      <c r="M886" s="525">
        <v>46009</v>
      </c>
      <c r="N886" s="525">
        <v>46006</v>
      </c>
      <c r="O886" s="526"/>
      <c r="P886" s="526" t="s">
        <v>103</v>
      </c>
      <c r="Q886" s="521"/>
      <c r="R886" s="530">
        <v>45971</v>
      </c>
      <c r="S886" s="530" t="s">
        <v>66</v>
      </c>
      <c r="T886" s="530" t="s">
        <v>3381</v>
      </c>
      <c r="U886" s="530"/>
      <c r="V886" s="532" t="s">
        <v>5394</v>
      </c>
      <c r="W886" s="532" t="s">
        <v>304</v>
      </c>
      <c r="X886" s="532">
        <v>0.9292</v>
      </c>
      <c r="Y886" s="540">
        <v>464.6</v>
      </c>
      <c r="Z886" s="521"/>
      <c r="AA886" s="521" t="s">
        <v>3378</v>
      </c>
      <c r="AB886" s="521" t="s">
        <v>76</v>
      </c>
      <c r="AC886" s="521"/>
      <c r="AD886" s="519"/>
      <c r="AE886" s="519">
        <v>1</v>
      </c>
      <c r="AF886" s="521">
        <v>1050</v>
      </c>
      <c r="AG886" s="521">
        <f t="shared" si="333"/>
        <v>0</v>
      </c>
      <c r="AH886" s="542"/>
      <c r="AI886" s="521"/>
      <c r="AJ886" s="521"/>
      <c r="AK886" s="521"/>
      <c r="AL886" s="543">
        <f>I886</f>
        <v>1050</v>
      </c>
      <c r="AS886" s="543"/>
      <c r="AT886" s="544"/>
      <c r="AY886" s="545">
        <f>I886/24*2</f>
        <v>87.5</v>
      </c>
      <c r="AZ886" s="546"/>
      <c r="BQ886" s="427">
        <f>I886</f>
        <v>1050</v>
      </c>
      <c r="BR886" s="427">
        <f>I886</f>
        <v>1050</v>
      </c>
      <c r="BS886" s="427">
        <f>I886/25</f>
        <v>42</v>
      </c>
      <c r="BT886" s="544"/>
      <c r="BV886" s="544"/>
      <c r="CK886" s="428">
        <f t="shared" si="335"/>
        <v>42</v>
      </c>
      <c r="CL886" s="428">
        <f t="shared" si="336"/>
        <v>0</v>
      </c>
      <c r="CM886" s="428">
        <f t="shared" si="337"/>
        <v>0</v>
      </c>
      <c r="CN886" s="544"/>
      <c r="CO886" s="544"/>
      <c r="CP886" s="544"/>
      <c r="CT886" s="544"/>
      <c r="CU886" s="544"/>
      <c r="CV886" s="544"/>
      <c r="CW886" s="544"/>
      <c r="CX886" s="544"/>
    </row>
    <row r="887" s="427" customFormat="1" ht="31" customHeight="1" spans="1:102">
      <c r="A887" s="518">
        <v>45950</v>
      </c>
      <c r="B887" s="519" t="s">
        <v>2283</v>
      </c>
      <c r="C887" s="520" t="s">
        <v>139</v>
      </c>
      <c r="D887" s="427">
        <v>4500181926</v>
      </c>
      <c r="E887" s="520" t="s">
        <v>2284</v>
      </c>
      <c r="F887" s="427" t="s">
        <v>5395</v>
      </c>
      <c r="G887" s="521" t="s">
        <v>4962</v>
      </c>
      <c r="H887" s="521" t="s">
        <v>3237</v>
      </c>
      <c r="I887" s="521">
        <v>504</v>
      </c>
      <c r="J887" s="521">
        <v>0</v>
      </c>
      <c r="K887" s="521">
        <v>12</v>
      </c>
      <c r="L887" s="524">
        <f t="shared" si="338"/>
        <v>42</v>
      </c>
      <c r="M887" s="525">
        <v>46009</v>
      </c>
      <c r="N887" s="525">
        <v>46006</v>
      </c>
      <c r="O887" s="526"/>
      <c r="P887" s="526" t="s">
        <v>103</v>
      </c>
      <c r="Q887" s="521"/>
      <c r="R887" s="530">
        <v>45950</v>
      </c>
      <c r="S887" s="530" t="s">
        <v>96</v>
      </c>
      <c r="T887" s="530" t="s">
        <v>5396</v>
      </c>
      <c r="U887" s="530"/>
      <c r="V887" s="532" t="s">
        <v>5397</v>
      </c>
      <c r="W887" s="532" t="s">
        <v>2288</v>
      </c>
      <c r="X887" s="532">
        <v>2.1629</v>
      </c>
      <c r="Y887" s="540">
        <f t="shared" ref="Y887:Y894" si="339">X887*I887</f>
        <v>1090.1016</v>
      </c>
      <c r="Z887" s="521"/>
      <c r="AA887" s="521" t="s">
        <v>3464</v>
      </c>
      <c r="AB887" s="521" t="s">
        <v>76</v>
      </c>
      <c r="AC887" s="521"/>
      <c r="AD887" s="521"/>
      <c r="AE887" s="521">
        <v>1</v>
      </c>
      <c r="AF887" s="521">
        <v>504</v>
      </c>
      <c r="AG887" s="521">
        <f t="shared" si="333"/>
        <v>0</v>
      </c>
      <c r="AH887" s="542"/>
      <c r="AI887" s="521"/>
      <c r="AJ887" s="521"/>
      <c r="AK887" s="521"/>
      <c r="AL887" s="427">
        <f>I887*2</f>
        <v>1008</v>
      </c>
      <c r="AQ887" s="427">
        <f>I887*2</f>
        <v>1008</v>
      </c>
      <c r="AS887" s="543">
        <f>I887*2</f>
        <v>1008</v>
      </c>
      <c r="AT887" s="544"/>
      <c r="AY887" s="545">
        <f>I887/24*2</f>
        <v>42</v>
      </c>
      <c r="AZ887" s="546"/>
      <c r="BT887" s="544"/>
      <c r="BV887" s="544"/>
      <c r="CH887" s="427">
        <f>I887</f>
        <v>504</v>
      </c>
      <c r="CI887" s="427">
        <f>I887</f>
        <v>504</v>
      </c>
      <c r="CJ887" s="427">
        <f>I887</f>
        <v>504</v>
      </c>
      <c r="CK887" s="427">
        <f t="shared" si="335"/>
        <v>0</v>
      </c>
      <c r="CL887" s="427">
        <f t="shared" si="336"/>
        <v>0</v>
      </c>
      <c r="CM887" s="427">
        <f t="shared" si="337"/>
        <v>0</v>
      </c>
      <c r="CN887" s="544"/>
      <c r="CO887" s="544"/>
      <c r="CP887" s="544"/>
      <c r="CT887" s="544"/>
      <c r="CU887" s="544"/>
      <c r="CV887" s="544"/>
      <c r="CW887" s="544"/>
      <c r="CX887" s="544"/>
    </row>
    <row r="888" s="427" customFormat="1" ht="31" customHeight="1" spans="1:102">
      <c r="A888" s="518">
        <v>45953</v>
      </c>
      <c r="B888" s="519" t="s">
        <v>2232</v>
      </c>
      <c r="C888" s="520" t="s">
        <v>416</v>
      </c>
      <c r="D888" s="427">
        <v>4500182863</v>
      </c>
      <c r="E888" s="520">
        <v>50876</v>
      </c>
      <c r="F888" s="427" t="s">
        <v>5398</v>
      </c>
      <c r="G888" s="521" t="s">
        <v>3143</v>
      </c>
      <c r="H888" s="521" t="s">
        <v>3144</v>
      </c>
      <c r="I888" s="521">
        <v>1008</v>
      </c>
      <c r="J888" s="521">
        <v>0</v>
      </c>
      <c r="K888" s="521">
        <v>24</v>
      </c>
      <c r="L888" s="524">
        <f t="shared" si="338"/>
        <v>42</v>
      </c>
      <c r="M888" s="525">
        <v>46009</v>
      </c>
      <c r="N888" s="525">
        <v>46006</v>
      </c>
      <c r="O888" s="526"/>
      <c r="P888" s="526" t="s">
        <v>103</v>
      </c>
      <c r="Q888" s="521"/>
      <c r="R888" s="530">
        <v>45953</v>
      </c>
      <c r="S888" s="530" t="s">
        <v>66</v>
      </c>
      <c r="T888" s="530" t="s">
        <v>5399</v>
      </c>
      <c r="U888" s="530"/>
      <c r="V888" s="532" t="s">
        <v>5400</v>
      </c>
      <c r="W888" s="532" t="s">
        <v>2236</v>
      </c>
      <c r="X888" s="532">
        <v>0.8513</v>
      </c>
      <c r="Y888" s="540">
        <f t="shared" si="339"/>
        <v>858.1104</v>
      </c>
      <c r="Z888" s="521"/>
      <c r="AA888" s="527" t="s">
        <v>5345</v>
      </c>
      <c r="AB888" s="521" t="s">
        <v>76</v>
      </c>
      <c r="AC888" s="521"/>
      <c r="AD888" s="521"/>
      <c r="AE888" s="521">
        <v>1</v>
      </c>
      <c r="AF888" s="521">
        <v>1008</v>
      </c>
      <c r="AG888" s="521">
        <f t="shared" si="333"/>
        <v>0</v>
      </c>
      <c r="AH888" s="542"/>
      <c r="AI888" s="521"/>
      <c r="AJ888" s="521"/>
      <c r="AK888" s="521"/>
      <c r="AL888" s="546">
        <f>I888</f>
        <v>1008</v>
      </c>
      <c r="AS888" s="427">
        <f>I888</f>
        <v>1008</v>
      </c>
      <c r="AT888" s="544"/>
      <c r="AY888" s="427">
        <f>I888/24</f>
        <v>42</v>
      </c>
      <c r="AZ888" s="546"/>
      <c r="BB888" s="427">
        <f>I888</f>
        <v>1008</v>
      </c>
      <c r="BT888" s="544"/>
      <c r="BV888" s="544"/>
      <c r="CK888" s="427">
        <f t="shared" si="335"/>
        <v>0</v>
      </c>
      <c r="CL888" s="427">
        <f t="shared" si="336"/>
        <v>0</v>
      </c>
      <c r="CM888" s="427">
        <f t="shared" si="337"/>
        <v>0</v>
      </c>
      <c r="CN888" s="544"/>
      <c r="CO888" s="544"/>
      <c r="CP888" s="544"/>
      <c r="CT888" s="544"/>
      <c r="CU888" s="544"/>
      <c r="CV888" s="544"/>
      <c r="CW888" s="544"/>
      <c r="CX888" s="544"/>
    </row>
    <row r="889" s="427" customFormat="1" ht="31" customHeight="1" spans="1:102">
      <c r="A889" s="518">
        <v>45960</v>
      </c>
      <c r="B889" s="519" t="s">
        <v>5201</v>
      </c>
      <c r="C889" s="520" t="s">
        <v>90</v>
      </c>
      <c r="D889" s="427">
        <v>4500183802</v>
      </c>
      <c r="E889" s="520" t="s">
        <v>5401</v>
      </c>
      <c r="F889" s="427" t="s">
        <v>5402</v>
      </c>
      <c r="G889" s="521" t="s">
        <v>4564</v>
      </c>
      <c r="H889" s="521" t="s">
        <v>3237</v>
      </c>
      <c r="I889" s="521">
        <v>1200</v>
      </c>
      <c r="J889" s="521">
        <v>0</v>
      </c>
      <c r="K889" s="521">
        <v>12</v>
      </c>
      <c r="L889" s="524">
        <f t="shared" si="338"/>
        <v>100</v>
      </c>
      <c r="M889" s="525">
        <v>46009</v>
      </c>
      <c r="N889" s="525">
        <v>46006</v>
      </c>
      <c r="O889" s="526"/>
      <c r="P889" s="526" t="s">
        <v>103</v>
      </c>
      <c r="Q889" s="521"/>
      <c r="R889" s="530">
        <v>45965</v>
      </c>
      <c r="S889" s="530" t="s">
        <v>66</v>
      </c>
      <c r="T889" s="530" t="s">
        <v>5204</v>
      </c>
      <c r="U889" s="530"/>
      <c r="V889" s="532" t="s">
        <v>5208</v>
      </c>
      <c r="W889" s="532" t="s">
        <v>2340</v>
      </c>
      <c r="X889" s="532">
        <v>1.3094</v>
      </c>
      <c r="Y889" s="540">
        <f t="shared" si="339"/>
        <v>1571.28</v>
      </c>
      <c r="Z889" s="521"/>
      <c r="AA889" s="521" t="s">
        <v>3236</v>
      </c>
      <c r="AB889" s="521" t="s">
        <v>76</v>
      </c>
      <c r="AC889" s="521"/>
      <c r="AD889" s="521"/>
      <c r="AE889" s="521">
        <v>1</v>
      </c>
      <c r="AF889" s="521">
        <v>1200</v>
      </c>
      <c r="AG889" s="521">
        <f t="shared" si="333"/>
        <v>0</v>
      </c>
      <c r="AH889" s="542"/>
      <c r="AI889" s="521"/>
      <c r="AJ889" s="521"/>
      <c r="AK889" s="521">
        <f>I889*2</f>
        <v>2400</v>
      </c>
      <c r="AL889" s="543"/>
      <c r="AN889" s="427">
        <f>I889*2</f>
        <v>2400</v>
      </c>
      <c r="AR889" s="543">
        <f>I889*2</f>
        <v>2400</v>
      </c>
      <c r="AS889" s="543"/>
      <c r="AT889" s="544"/>
      <c r="AY889" s="545">
        <f>I889/24*2</f>
        <v>100</v>
      </c>
      <c r="AZ889" s="546"/>
      <c r="BT889" s="544"/>
      <c r="BV889" s="544"/>
      <c r="CH889" s="427">
        <f>I889</f>
        <v>1200</v>
      </c>
      <c r="CI889" s="427">
        <f>I889</f>
        <v>1200</v>
      </c>
      <c r="CJ889" s="427">
        <f>I889</f>
        <v>1200</v>
      </c>
      <c r="CK889" s="427">
        <v>0</v>
      </c>
      <c r="CL889" s="427">
        <v>0</v>
      </c>
      <c r="CM889" s="427">
        <v>0</v>
      </c>
      <c r="CN889" s="544"/>
      <c r="CO889" s="544"/>
      <c r="CP889" s="544"/>
      <c r="CT889" s="544"/>
      <c r="CU889" s="544"/>
      <c r="CV889" s="544"/>
      <c r="CW889" s="544"/>
      <c r="CX889" s="544"/>
    </row>
    <row r="890" s="427" customFormat="1" ht="31" customHeight="1" spans="1:102">
      <c r="A890" s="518">
        <v>45960</v>
      </c>
      <c r="B890" s="519" t="s">
        <v>5201</v>
      </c>
      <c r="C890" s="520" t="s">
        <v>90</v>
      </c>
      <c r="D890" s="427">
        <v>4500183801</v>
      </c>
      <c r="E890" s="520" t="s">
        <v>5403</v>
      </c>
      <c r="F890" s="427" t="s">
        <v>5404</v>
      </c>
      <c r="G890" s="521" t="s">
        <v>4564</v>
      </c>
      <c r="H890" s="521" t="s">
        <v>3237</v>
      </c>
      <c r="I890" s="521">
        <v>996</v>
      </c>
      <c r="J890" s="521">
        <v>0</v>
      </c>
      <c r="K890" s="521">
        <v>12</v>
      </c>
      <c r="L890" s="524">
        <f t="shared" si="338"/>
        <v>83</v>
      </c>
      <c r="M890" s="525">
        <v>46009</v>
      </c>
      <c r="N890" s="525">
        <v>46006</v>
      </c>
      <c r="O890" s="526"/>
      <c r="P890" s="526" t="s">
        <v>103</v>
      </c>
      <c r="Q890" s="521"/>
      <c r="R890" s="530">
        <v>45965</v>
      </c>
      <c r="S890" s="530" t="s">
        <v>66</v>
      </c>
      <c r="T890" s="530" t="s">
        <v>5204</v>
      </c>
      <c r="U890" s="530"/>
      <c r="V890" s="532" t="s">
        <v>5405</v>
      </c>
      <c r="W890" s="532" t="s">
        <v>2340</v>
      </c>
      <c r="X890" s="532">
        <v>1.3094</v>
      </c>
      <c r="Y890" s="540">
        <f t="shared" si="339"/>
        <v>1304.1624</v>
      </c>
      <c r="Z890" s="521"/>
      <c r="AA890" s="521" t="s">
        <v>3236</v>
      </c>
      <c r="AB890" s="521" t="s">
        <v>76</v>
      </c>
      <c r="AC890" s="521"/>
      <c r="AD890" s="521"/>
      <c r="AE890" s="521">
        <v>1</v>
      </c>
      <c r="AF890" s="521">
        <v>996</v>
      </c>
      <c r="AG890" s="521">
        <f t="shared" si="333"/>
        <v>0</v>
      </c>
      <c r="AH890" s="542"/>
      <c r="AI890" s="521"/>
      <c r="AJ890" s="521"/>
      <c r="AK890" s="521">
        <f>I890*2</f>
        <v>1992</v>
      </c>
      <c r="AL890" s="543"/>
      <c r="AN890" s="427">
        <f>I890*2</f>
        <v>1992</v>
      </c>
      <c r="AR890" s="543">
        <f>I890*2</f>
        <v>1992</v>
      </c>
      <c r="AS890" s="543"/>
      <c r="AT890" s="544"/>
      <c r="AY890" s="545">
        <f>I890/24*2</f>
        <v>83</v>
      </c>
      <c r="AZ890" s="546"/>
      <c r="BT890" s="544"/>
      <c r="BV890" s="544"/>
      <c r="CH890" s="427">
        <f>I890</f>
        <v>996</v>
      </c>
      <c r="CI890" s="427">
        <f>I890</f>
        <v>996</v>
      </c>
      <c r="CJ890" s="427">
        <f>I890</f>
        <v>996</v>
      </c>
      <c r="CK890" s="427">
        <v>0</v>
      </c>
      <c r="CL890" s="427">
        <v>0</v>
      </c>
      <c r="CM890" s="427">
        <v>0</v>
      </c>
      <c r="CN890" s="544"/>
      <c r="CO890" s="544"/>
      <c r="CP890" s="544"/>
      <c r="CT890" s="544"/>
      <c r="CU890" s="544"/>
      <c r="CV890" s="544"/>
      <c r="CW890" s="544"/>
      <c r="CX890" s="544"/>
    </row>
    <row r="891" s="427" customFormat="1" ht="31" customHeight="1" spans="1:102">
      <c r="A891" s="518">
        <v>45965</v>
      </c>
      <c r="B891" s="519" t="s">
        <v>2266</v>
      </c>
      <c r="C891" s="520" t="s">
        <v>310</v>
      </c>
      <c r="D891" s="427">
        <v>4500184316</v>
      </c>
      <c r="E891" s="608">
        <v>8807187952</v>
      </c>
      <c r="F891" s="427" t="s">
        <v>5406</v>
      </c>
      <c r="G891" s="521" t="s">
        <v>3378</v>
      </c>
      <c r="H891" s="521" t="s">
        <v>3379</v>
      </c>
      <c r="I891" s="521">
        <v>1500</v>
      </c>
      <c r="J891" s="521">
        <v>0</v>
      </c>
      <c r="K891" s="521">
        <v>50</v>
      </c>
      <c r="L891" s="524">
        <f t="shared" si="338"/>
        <v>30</v>
      </c>
      <c r="M891" s="525">
        <v>46009</v>
      </c>
      <c r="N891" s="525">
        <v>46006</v>
      </c>
      <c r="O891" s="526"/>
      <c r="P891" s="526" t="s">
        <v>103</v>
      </c>
      <c r="Q891" s="521"/>
      <c r="R891" s="530">
        <v>45974</v>
      </c>
      <c r="S891" s="530" t="s">
        <v>66</v>
      </c>
      <c r="T891" s="530" t="s">
        <v>406</v>
      </c>
      <c r="U891" s="530"/>
      <c r="V891" s="532" t="s">
        <v>5407</v>
      </c>
      <c r="W891" s="532" t="s">
        <v>304</v>
      </c>
      <c r="X891" s="536">
        <v>0.924</v>
      </c>
      <c r="Y891" s="540">
        <f t="shared" si="339"/>
        <v>1386</v>
      </c>
      <c r="Z891" s="521"/>
      <c r="AA891" s="521" t="s">
        <v>3378</v>
      </c>
      <c r="AB891" s="521" t="s">
        <v>76</v>
      </c>
      <c r="AC891" s="521"/>
      <c r="AD891" s="521"/>
      <c r="AE891" s="521">
        <v>1</v>
      </c>
      <c r="AF891" s="521">
        <v>1500</v>
      </c>
      <c r="AG891" s="521">
        <f t="shared" si="333"/>
        <v>0</v>
      </c>
      <c r="AH891" s="542"/>
      <c r="AI891" s="521"/>
      <c r="AJ891" s="521"/>
      <c r="AK891" s="521"/>
      <c r="AL891" s="543">
        <f>I891</f>
        <v>1500</v>
      </c>
      <c r="AR891" s="543"/>
      <c r="AS891" s="543"/>
      <c r="AT891" s="544"/>
      <c r="AY891" s="545">
        <f>I891/24*2</f>
        <v>125</v>
      </c>
      <c r="AZ891" s="546"/>
      <c r="BQ891" s="427">
        <f>I891</f>
        <v>1500</v>
      </c>
      <c r="BR891" s="427">
        <f>I891</f>
        <v>1500</v>
      </c>
      <c r="BS891" s="427">
        <f>I891/25</f>
        <v>60</v>
      </c>
      <c r="BT891" s="544"/>
      <c r="BV891" s="544"/>
      <c r="CK891" s="428">
        <f>BM891+BL891+BK891+BJ891+BS891</f>
        <v>60</v>
      </c>
      <c r="CL891" s="428">
        <f>CA891+CB891+CC891+CD891+CE891+CG891+CF891</f>
        <v>0</v>
      </c>
      <c r="CM891" s="428">
        <f>BY891+BZ891</f>
        <v>0</v>
      </c>
      <c r="CN891" s="544"/>
      <c r="CO891" s="544"/>
      <c r="CP891" s="544"/>
      <c r="CT891" s="544"/>
      <c r="CU891" s="544"/>
      <c r="CV891" s="544"/>
      <c r="CW891" s="544"/>
      <c r="CX891" s="544"/>
    </row>
    <row r="892" s="427" customFormat="1" ht="31" customHeight="1" spans="1:102">
      <c r="A892" s="518">
        <v>45965</v>
      </c>
      <c r="B892" s="519" t="s">
        <v>2270</v>
      </c>
      <c r="C892" s="520" t="s">
        <v>306</v>
      </c>
      <c r="D892" s="427">
        <v>4500184355</v>
      </c>
      <c r="E892" s="608">
        <v>4407187950</v>
      </c>
      <c r="F892" s="427" t="s">
        <v>5408</v>
      </c>
      <c r="G892" s="521" t="s">
        <v>3378</v>
      </c>
      <c r="H892" s="521" t="s">
        <v>3379</v>
      </c>
      <c r="I892" s="521">
        <v>1250</v>
      </c>
      <c r="J892" s="521">
        <v>0</v>
      </c>
      <c r="K892" s="521">
        <v>50</v>
      </c>
      <c r="L892" s="524">
        <f t="shared" si="338"/>
        <v>25</v>
      </c>
      <c r="M892" s="525">
        <v>46009</v>
      </c>
      <c r="N892" s="525">
        <v>46006</v>
      </c>
      <c r="O892" s="526"/>
      <c r="P892" s="526" t="s">
        <v>103</v>
      </c>
      <c r="Q892" s="521"/>
      <c r="R892" s="530">
        <v>45974</v>
      </c>
      <c r="S892" s="530" t="s">
        <v>66</v>
      </c>
      <c r="T892" s="530" t="s">
        <v>3381</v>
      </c>
      <c r="U892" s="530"/>
      <c r="V892" s="532" t="s">
        <v>5394</v>
      </c>
      <c r="W892" s="532" t="s">
        <v>304</v>
      </c>
      <c r="X892" s="536">
        <v>0.924</v>
      </c>
      <c r="Y892" s="540">
        <f t="shared" si="339"/>
        <v>1155</v>
      </c>
      <c r="Z892" s="521"/>
      <c r="AA892" s="521" t="s">
        <v>3378</v>
      </c>
      <c r="AB892" s="521" t="s">
        <v>76</v>
      </c>
      <c r="AC892" s="521"/>
      <c r="AD892" s="600"/>
      <c r="AE892" s="600">
        <v>1</v>
      </c>
      <c r="AF892" s="521">
        <v>1250</v>
      </c>
      <c r="AG892" s="521">
        <f t="shared" si="333"/>
        <v>0</v>
      </c>
      <c r="AH892" s="542"/>
      <c r="AI892" s="521"/>
      <c r="AJ892" s="521"/>
      <c r="AK892" s="521"/>
      <c r="AL892" s="543">
        <f>I892</f>
        <v>1250</v>
      </c>
      <c r="AS892" s="543"/>
      <c r="AT892" s="544"/>
      <c r="AX892" s="602"/>
      <c r="AY892" s="545">
        <f>I892/24*2</f>
        <v>104.166666666667</v>
      </c>
      <c r="AZ892" s="546"/>
      <c r="BQ892" s="427">
        <f>I892</f>
        <v>1250</v>
      </c>
      <c r="BR892" s="427">
        <f>I892</f>
        <v>1250</v>
      </c>
      <c r="BS892" s="427">
        <f>I892/25</f>
        <v>50</v>
      </c>
      <c r="BT892" s="544"/>
      <c r="BV892" s="544"/>
      <c r="CK892" s="428">
        <f>BM892+BL892+BK892+BJ892+BS892</f>
        <v>50</v>
      </c>
      <c r="CL892" s="428">
        <f>CA892+CB892+CC892+CD892+CE892+CG892+CF892</f>
        <v>0</v>
      </c>
      <c r="CM892" s="428">
        <f>BY892+BZ892</f>
        <v>0</v>
      </c>
      <c r="CN892" s="544"/>
      <c r="CO892" s="544"/>
      <c r="CP892" s="544"/>
      <c r="CT892" s="544"/>
      <c r="CU892" s="544"/>
      <c r="CV892" s="544"/>
      <c r="CW892" s="544"/>
      <c r="CX892" s="544"/>
    </row>
    <row r="893" s="427" customFormat="1" ht="31" customHeight="1" spans="1:102">
      <c r="A893" s="518">
        <v>45905</v>
      </c>
      <c r="B893" s="519" t="s">
        <v>1669</v>
      </c>
      <c r="C893" s="520" t="s">
        <v>663</v>
      </c>
      <c r="D893" s="427">
        <v>4500178919</v>
      </c>
      <c r="E893" s="520">
        <v>5000001988</v>
      </c>
      <c r="F893" s="427" t="s">
        <v>2231</v>
      </c>
      <c r="G893" s="521" t="s">
        <v>3436</v>
      </c>
      <c r="H893" s="521" t="s">
        <v>424</v>
      </c>
      <c r="I893" s="521">
        <v>9996</v>
      </c>
      <c r="J893" s="521">
        <v>0</v>
      </c>
      <c r="K893" s="521">
        <v>6</v>
      </c>
      <c r="L893" s="524">
        <f t="shared" si="338"/>
        <v>1666</v>
      </c>
      <c r="M893" s="525">
        <v>46010</v>
      </c>
      <c r="N893" s="525">
        <v>46006</v>
      </c>
      <c r="O893" s="526"/>
      <c r="P893" s="526" t="s">
        <v>103</v>
      </c>
      <c r="Q893" s="521"/>
      <c r="R893" s="530">
        <v>45960</v>
      </c>
      <c r="S893" s="530" t="s">
        <v>66</v>
      </c>
      <c r="T893" s="530" t="s">
        <v>5063</v>
      </c>
      <c r="U893" s="530"/>
      <c r="V893" s="531" t="s">
        <v>2538</v>
      </c>
      <c r="W893" s="532" t="s">
        <v>1674</v>
      </c>
      <c r="X893" s="532">
        <v>6.3409</v>
      </c>
      <c r="Y893" s="540">
        <f t="shared" si="339"/>
        <v>63383.6364</v>
      </c>
      <c r="Z893" s="521"/>
      <c r="AA893" s="615" t="s">
        <v>2069</v>
      </c>
      <c r="AB893" s="521" t="s">
        <v>76</v>
      </c>
      <c r="AC893" s="521"/>
      <c r="AD893" s="600"/>
      <c r="AE893" s="600">
        <v>1</v>
      </c>
      <c r="AF893" s="521"/>
      <c r="AG893" s="521">
        <f t="shared" si="333"/>
        <v>-9996</v>
      </c>
      <c r="AH893" s="542"/>
      <c r="AI893" s="521" t="s">
        <v>403</v>
      </c>
      <c r="AJ893" s="521"/>
      <c r="AK893" s="521"/>
      <c r="AL893" s="543">
        <f>I893*2</f>
        <v>19992</v>
      </c>
      <c r="AQ893" s="427">
        <f>I893</f>
        <v>9996</v>
      </c>
      <c r="AS893" s="543"/>
      <c r="AT893" s="544"/>
      <c r="AU893" s="427">
        <f>I893*2</f>
        <v>19992</v>
      </c>
      <c r="AX893" s="602">
        <f>I893/24*2</f>
        <v>833</v>
      </c>
      <c r="AY893" s="603"/>
      <c r="AZ893" s="546"/>
      <c r="BT893" s="495"/>
      <c r="BU893" s="425">
        <f>I893</f>
        <v>9996</v>
      </c>
      <c r="BV893" s="544"/>
      <c r="CK893" s="427">
        <f>BM893+BL893+BK893+BJ893+BS893</f>
        <v>0</v>
      </c>
      <c r="CL893" s="427">
        <f>CA893+CB893+CC893+CD893+CE893+CG893+CF893</f>
        <v>0</v>
      </c>
      <c r="CM893" s="427">
        <f>BY893+BZ893</f>
        <v>0</v>
      </c>
      <c r="CN893" s="544"/>
      <c r="CO893" s="544"/>
      <c r="CP893" s="544"/>
      <c r="CT893" s="544"/>
      <c r="CU893" s="544"/>
      <c r="CV893" s="544"/>
      <c r="CW893" s="544"/>
      <c r="CX893" s="544"/>
    </row>
    <row r="894" s="427" customFormat="1" ht="31" customHeight="1" spans="1:102">
      <c r="A894" s="518">
        <v>45965</v>
      </c>
      <c r="B894" s="519" t="s">
        <v>2489</v>
      </c>
      <c r="C894" s="520" t="s">
        <v>90</v>
      </c>
      <c r="D894" s="427">
        <v>4500184377</v>
      </c>
      <c r="E894" s="520">
        <v>60261157</v>
      </c>
      <c r="F894" s="427" t="s">
        <v>5409</v>
      </c>
      <c r="G894" s="521" t="s">
        <v>4564</v>
      </c>
      <c r="H894" s="521" t="s">
        <v>3237</v>
      </c>
      <c r="I894" s="521">
        <v>2004</v>
      </c>
      <c r="J894" s="521">
        <v>0</v>
      </c>
      <c r="K894" s="521">
        <v>12</v>
      </c>
      <c r="L894" s="524">
        <f t="shared" si="338"/>
        <v>167</v>
      </c>
      <c r="M894" s="525">
        <v>46010</v>
      </c>
      <c r="N894" s="525">
        <v>46006</v>
      </c>
      <c r="O894" s="526"/>
      <c r="P894" s="526" t="s">
        <v>103</v>
      </c>
      <c r="Q894" s="521"/>
      <c r="R894" s="530">
        <v>45965</v>
      </c>
      <c r="S894" s="530" t="s">
        <v>66</v>
      </c>
      <c r="T894" s="530" t="s">
        <v>2493</v>
      </c>
      <c r="U894" s="530"/>
      <c r="V894" s="532" t="s">
        <v>5410</v>
      </c>
      <c r="W894" s="532" t="s">
        <v>2441</v>
      </c>
      <c r="X894" s="532">
        <v>1.2871</v>
      </c>
      <c r="Y894" s="540">
        <f t="shared" si="339"/>
        <v>2579.3484</v>
      </c>
      <c r="Z894" s="521"/>
      <c r="AA894" s="521" t="s">
        <v>3236</v>
      </c>
      <c r="AB894" s="521" t="s">
        <v>76</v>
      </c>
      <c r="AC894" s="521"/>
      <c r="AD894" s="519"/>
      <c r="AE894" s="519">
        <v>1</v>
      </c>
      <c r="AF894" s="521">
        <v>2004</v>
      </c>
      <c r="AG894" s="521">
        <f t="shared" si="333"/>
        <v>0</v>
      </c>
      <c r="AH894" s="542"/>
      <c r="AI894" s="521"/>
      <c r="AJ894" s="521"/>
      <c r="AK894" s="521">
        <f>I894*2</f>
        <v>4008</v>
      </c>
      <c r="AL894" s="543"/>
      <c r="AN894" s="427">
        <f>I894*2</f>
        <v>4008</v>
      </c>
      <c r="AR894" s="543">
        <f>I894*2</f>
        <v>4008</v>
      </c>
      <c r="AS894" s="543"/>
      <c r="AT894" s="544"/>
      <c r="AY894" s="545">
        <f>I894/24*2</f>
        <v>167</v>
      </c>
      <c r="AZ894" s="546"/>
      <c r="BT894" s="544"/>
      <c r="BV894" s="544"/>
      <c r="CH894" s="427">
        <f>I894</f>
        <v>2004</v>
      </c>
      <c r="CI894" s="427">
        <f>I894</f>
        <v>2004</v>
      </c>
      <c r="CJ894" s="427">
        <f>I894</f>
        <v>2004</v>
      </c>
      <c r="CK894" s="427">
        <v>0</v>
      </c>
      <c r="CL894" s="427">
        <v>0</v>
      </c>
      <c r="CM894" s="427">
        <v>0</v>
      </c>
      <c r="CN894" s="544"/>
      <c r="CO894" s="544"/>
      <c r="CP894" s="544"/>
      <c r="CT894" s="544"/>
      <c r="CU894" s="544"/>
      <c r="CV894" s="544"/>
      <c r="CW894" s="544"/>
      <c r="CX894" s="544"/>
    </row>
    <row r="895" s="427" customFormat="1" ht="31" customHeight="1" spans="1:102">
      <c r="A895" s="518">
        <v>45941</v>
      </c>
      <c r="B895" s="519" t="s">
        <v>1220</v>
      </c>
      <c r="C895" s="520" t="s">
        <v>468</v>
      </c>
      <c r="D895" s="427">
        <v>4500181556</v>
      </c>
      <c r="E895" s="520"/>
      <c r="F895" s="427" t="s">
        <v>5411</v>
      </c>
      <c r="G895" s="521" t="s">
        <v>3165</v>
      </c>
      <c r="H895" s="521" t="s">
        <v>3303</v>
      </c>
      <c r="I895" s="521">
        <v>1200</v>
      </c>
      <c r="J895" s="521">
        <v>0</v>
      </c>
      <c r="K895" s="521">
        <v>25</v>
      </c>
      <c r="L895" s="524">
        <f t="shared" si="338"/>
        <v>48</v>
      </c>
      <c r="M895" s="525">
        <v>46013</v>
      </c>
      <c r="N895" s="525">
        <v>46009</v>
      </c>
      <c r="O895" s="526"/>
      <c r="P895" s="526" t="s">
        <v>103</v>
      </c>
      <c r="Q895" s="521"/>
      <c r="R895" s="530">
        <v>45943</v>
      </c>
      <c r="S895" s="530" t="s">
        <v>66</v>
      </c>
      <c r="T895" s="530" t="s">
        <v>5412</v>
      </c>
      <c r="U895" s="530"/>
      <c r="V895" s="532" t="s">
        <v>5413</v>
      </c>
      <c r="W895" s="532" t="s">
        <v>304</v>
      </c>
      <c r="X895" s="532">
        <v>0.9245</v>
      </c>
      <c r="Y895" s="540">
        <f t="shared" ref="Y886:Y908" si="340">X895*I895</f>
        <v>1109.4</v>
      </c>
      <c r="Z895" s="521"/>
      <c r="AA895" s="521" t="s">
        <v>3165</v>
      </c>
      <c r="AB895" s="521" t="s">
        <v>76</v>
      </c>
      <c r="AC895" s="521"/>
      <c r="AD895" s="521"/>
      <c r="AE895" s="521">
        <v>1</v>
      </c>
      <c r="AF895" s="521">
        <v>1200</v>
      </c>
      <c r="AG895" s="521">
        <f t="shared" si="333"/>
        <v>0</v>
      </c>
      <c r="AH895" s="542"/>
      <c r="AI895" s="521" t="s">
        <v>2191</v>
      </c>
      <c r="AJ895" s="521"/>
      <c r="AK895" s="521"/>
      <c r="AL895" s="543">
        <f>I895</f>
        <v>1200</v>
      </c>
      <c r="AQ895" s="427">
        <f>I895</f>
        <v>1200</v>
      </c>
      <c r="AS895" s="543">
        <f>I895</f>
        <v>1200</v>
      </c>
      <c r="AT895" s="544"/>
      <c r="AY895" s="545">
        <f>I895/24*2</f>
        <v>100</v>
      </c>
      <c r="AZ895" s="546"/>
      <c r="BL895" s="427">
        <f>I895/25</f>
        <v>48</v>
      </c>
      <c r="BT895" s="544"/>
      <c r="BV895" s="544"/>
      <c r="CK895" s="427">
        <f>BM895+BL895+BK895+BJ895+BS895</f>
        <v>48</v>
      </c>
      <c r="CL895" s="427">
        <f>CA895+CB895+CC895+CD895+CE895+CG895+CF895</f>
        <v>0</v>
      </c>
      <c r="CM895" s="427">
        <f>BY895+BZ895</f>
        <v>0</v>
      </c>
      <c r="CN895" s="544"/>
      <c r="CO895" s="544"/>
      <c r="CP895" s="544"/>
      <c r="CT895" s="544"/>
      <c r="CU895" s="544"/>
      <c r="CV895" s="544"/>
      <c r="CW895" s="544"/>
      <c r="CX895" s="544"/>
    </row>
    <row r="896" s="427" customFormat="1" ht="31" customHeight="1" spans="1:102">
      <c r="A896" s="518">
        <v>45966</v>
      </c>
      <c r="B896" s="519" t="s">
        <v>4799</v>
      </c>
      <c r="C896" s="520" t="s">
        <v>249</v>
      </c>
      <c r="D896" s="427">
        <v>4500184546</v>
      </c>
      <c r="E896" s="520" t="s">
        <v>5414</v>
      </c>
      <c r="F896" s="427" t="s">
        <v>5415</v>
      </c>
      <c r="G896" s="521" t="s">
        <v>3245</v>
      </c>
      <c r="H896" s="521" t="s">
        <v>3246</v>
      </c>
      <c r="I896" s="521">
        <v>1872</v>
      </c>
      <c r="J896" s="521">
        <v>13</v>
      </c>
      <c r="K896" s="521">
        <f>J896*8</f>
        <v>104</v>
      </c>
      <c r="L896" s="524">
        <f t="shared" si="338"/>
        <v>18</v>
      </c>
      <c r="M896" s="525">
        <v>46013</v>
      </c>
      <c r="N896" s="525">
        <v>46009</v>
      </c>
      <c r="O896" s="526"/>
      <c r="P896" s="526" t="s">
        <v>103</v>
      </c>
      <c r="Q896" s="521"/>
      <c r="R896" s="530">
        <v>45975</v>
      </c>
      <c r="S896" s="530" t="s">
        <v>66</v>
      </c>
      <c r="T896" s="530"/>
      <c r="U896" s="530"/>
      <c r="V896" s="531" t="s">
        <v>5416</v>
      </c>
      <c r="W896" s="532" t="s">
        <v>1424</v>
      </c>
      <c r="X896" s="532">
        <v>0.9077</v>
      </c>
      <c r="Y896" s="540">
        <f t="shared" si="340"/>
        <v>1699.2144</v>
      </c>
      <c r="Z896" s="521"/>
      <c r="AA896" s="521" t="s">
        <v>3245</v>
      </c>
      <c r="AB896" s="521" t="s">
        <v>76</v>
      </c>
      <c r="AC896" s="521"/>
      <c r="AD896" s="519"/>
      <c r="AE896" s="519">
        <v>1</v>
      </c>
      <c r="AF896" s="521">
        <f>1768+104</f>
        <v>1872</v>
      </c>
      <c r="AG896" s="521">
        <f t="shared" si="333"/>
        <v>0</v>
      </c>
      <c r="AH896" s="542"/>
      <c r="AI896" s="521"/>
      <c r="AJ896" s="521"/>
      <c r="AK896" s="521"/>
      <c r="AL896" s="543">
        <f>I896</f>
        <v>1872</v>
      </c>
      <c r="AQ896" s="427">
        <f>I896</f>
        <v>1872</v>
      </c>
      <c r="AS896" s="427">
        <f>I896</f>
        <v>1872</v>
      </c>
      <c r="AT896" s="544"/>
      <c r="AY896" s="545">
        <f>I896/24</f>
        <v>78</v>
      </c>
      <c r="AZ896" s="546"/>
      <c r="BI896" s="427">
        <f>I896/13</f>
        <v>144</v>
      </c>
      <c r="BT896" s="544"/>
      <c r="BV896" s="544"/>
      <c r="CK896" s="427">
        <f>BM896+BL896+BK896+BJ896+BS896</f>
        <v>0</v>
      </c>
      <c r="CL896" s="427">
        <f>CA896+CB896+CC896+CD896+CE896+CG896+CF896</f>
        <v>0</v>
      </c>
      <c r="CM896" s="427">
        <f>BY896+BZ896</f>
        <v>0</v>
      </c>
      <c r="CN896" s="544"/>
      <c r="CO896" s="544"/>
      <c r="CP896" s="544"/>
      <c r="CT896" s="544"/>
      <c r="CU896" s="544"/>
      <c r="CV896" s="544"/>
      <c r="CW896" s="544"/>
      <c r="CX896" s="544"/>
    </row>
    <row r="897" s="431" customFormat="1" ht="31" customHeight="1" spans="1:102">
      <c r="A897" s="518">
        <v>45968</v>
      </c>
      <c r="B897" s="519" t="s">
        <v>5417</v>
      </c>
      <c r="C897" s="520" t="s">
        <v>90</v>
      </c>
      <c r="D897" s="427" t="s">
        <v>5418</v>
      </c>
      <c r="E897" s="520"/>
      <c r="F897" s="427" t="s">
        <v>5419</v>
      </c>
      <c r="G897" s="521" t="s">
        <v>5420</v>
      </c>
      <c r="H897" s="521" t="s">
        <v>5421</v>
      </c>
      <c r="I897" s="527">
        <v>7008</v>
      </c>
      <c r="J897" s="521">
        <v>0</v>
      </c>
      <c r="K897" s="521">
        <v>24</v>
      </c>
      <c r="L897" s="524">
        <f t="shared" si="338"/>
        <v>292</v>
      </c>
      <c r="M897" s="525">
        <v>46001</v>
      </c>
      <c r="N897" s="525">
        <v>45997</v>
      </c>
      <c r="O897" s="526" t="s">
        <v>5422</v>
      </c>
      <c r="P897" s="526"/>
      <c r="Q897" s="521"/>
      <c r="R897" s="530" t="s">
        <v>1144</v>
      </c>
      <c r="S897" s="530" t="s">
        <v>66</v>
      </c>
      <c r="T897" s="530" t="s">
        <v>66</v>
      </c>
      <c r="U897" s="530"/>
      <c r="V897" s="532" t="s">
        <v>5423</v>
      </c>
      <c r="W897" s="532" t="s">
        <v>734</v>
      </c>
      <c r="X897" s="532">
        <v>0.8573</v>
      </c>
      <c r="Y897" s="540">
        <f t="shared" si="340"/>
        <v>6007.9584</v>
      </c>
      <c r="Z897" s="521"/>
      <c r="AA897" s="458" t="s">
        <v>3138</v>
      </c>
      <c r="AB897" s="549" t="s">
        <v>76</v>
      </c>
      <c r="AC897" s="521"/>
      <c r="AD897" s="594"/>
      <c r="AE897" s="594"/>
      <c r="AF897" s="521">
        <v>7008</v>
      </c>
      <c r="AG897" s="521">
        <f t="shared" si="333"/>
        <v>0</v>
      </c>
      <c r="AH897" s="542"/>
      <c r="AI897" s="521" t="s">
        <v>2191</v>
      </c>
      <c r="AJ897" s="521"/>
      <c r="AK897" s="521">
        <f>I897</f>
        <v>7008</v>
      </c>
      <c r="AL897" s="543"/>
      <c r="AM897" s="427">
        <f>I897</f>
        <v>7008</v>
      </c>
      <c r="AN897" s="628"/>
      <c r="AO897" s="630"/>
      <c r="AP897" s="628"/>
      <c r="AQ897" s="628"/>
      <c r="AR897" s="427">
        <f>I897</f>
        <v>7008</v>
      </c>
      <c r="AS897" s="628"/>
      <c r="AT897" s="544"/>
      <c r="AU897" s="543"/>
      <c r="AV897" s="628"/>
      <c r="AW897" s="628"/>
      <c r="AX897" s="628"/>
      <c r="AY897" s="545">
        <f>I897/24</f>
        <v>292</v>
      </c>
      <c r="AZ897" s="546"/>
      <c r="BA897" s="628"/>
      <c r="BB897" s="628"/>
      <c r="BC897" s="628"/>
      <c r="BD897" s="628"/>
      <c r="BE897" s="628"/>
      <c r="BF897" s="628"/>
      <c r="BG897" s="628"/>
      <c r="BH897" s="628"/>
      <c r="BI897" s="628"/>
      <c r="BJ897" s="628"/>
      <c r="BK897" s="628"/>
      <c r="BL897" s="628"/>
      <c r="BM897" s="628"/>
      <c r="BN897" s="628"/>
      <c r="BO897" s="628"/>
      <c r="BP897" s="628"/>
      <c r="BQ897" s="628"/>
      <c r="BR897" s="628"/>
      <c r="BS897" s="628"/>
      <c r="BT897" s="544"/>
      <c r="BU897" s="628"/>
      <c r="BV897" s="544"/>
      <c r="BW897" s="628"/>
      <c r="BX897" s="628"/>
      <c r="BY897" s="628"/>
      <c r="BZ897" s="628"/>
      <c r="CA897" s="628"/>
      <c r="CB897" s="628"/>
      <c r="CC897" s="628"/>
      <c r="CD897" s="628"/>
      <c r="CE897" s="628"/>
      <c r="CF897" s="628"/>
      <c r="CG897" s="628"/>
      <c r="CH897" s="628"/>
      <c r="CI897" s="628"/>
      <c r="CJ897" s="628"/>
      <c r="CK897" s="428">
        <f>BM897+BL897+BK897+BJ897+BS897</f>
        <v>0</v>
      </c>
      <c r="CL897" s="428">
        <f>CA897+CB897+CC897+CD897+CE897+CG897+CF897</f>
        <v>0</v>
      </c>
      <c r="CM897" s="428">
        <f>BY897+BZ897</f>
        <v>0</v>
      </c>
      <c r="CN897" s="544"/>
      <c r="CO897" s="544"/>
      <c r="CP897" s="544"/>
      <c r="CT897" s="544"/>
      <c r="CU897" s="544"/>
      <c r="CV897" s="544"/>
      <c r="CW897" s="544"/>
      <c r="CX897" s="544"/>
    </row>
    <row r="898" s="431" customFormat="1" ht="31" customHeight="1" spans="1:102">
      <c r="A898" s="518">
        <v>45945</v>
      </c>
      <c r="B898" s="519" t="s">
        <v>2247</v>
      </c>
      <c r="C898" s="520" t="s">
        <v>216</v>
      </c>
      <c r="D898" s="427">
        <v>4500182014</v>
      </c>
      <c r="E898" s="520">
        <v>20119</v>
      </c>
      <c r="F898" s="427" t="s">
        <v>5424</v>
      </c>
      <c r="G898" s="521" t="s">
        <v>3165</v>
      </c>
      <c r="H898" s="521" t="s">
        <v>3303</v>
      </c>
      <c r="I898" s="521">
        <v>750</v>
      </c>
      <c r="J898" s="521">
        <v>0</v>
      </c>
      <c r="K898" s="521">
        <v>25</v>
      </c>
      <c r="L898" s="524">
        <f t="shared" ref="L898:L929" si="341">I898/K898</f>
        <v>30</v>
      </c>
      <c r="M898" s="525">
        <v>46010</v>
      </c>
      <c r="N898" s="525">
        <v>46006</v>
      </c>
      <c r="O898" s="526"/>
      <c r="P898" s="526" t="s">
        <v>103</v>
      </c>
      <c r="Q898" s="521"/>
      <c r="R898" s="530">
        <v>45946</v>
      </c>
      <c r="S898" s="530" t="s">
        <v>66</v>
      </c>
      <c r="T898" s="530" t="s">
        <v>2249</v>
      </c>
      <c r="U898" s="530"/>
      <c r="V898" s="531" t="s">
        <v>5425</v>
      </c>
      <c r="W898" s="532" t="s">
        <v>269</v>
      </c>
      <c r="X898" s="532">
        <v>0.9297</v>
      </c>
      <c r="Y898" s="540">
        <f t="shared" si="340"/>
        <v>697.275</v>
      </c>
      <c r="Z898" s="521"/>
      <c r="AA898" s="521" t="s">
        <v>3165</v>
      </c>
      <c r="AB898" s="521" t="s">
        <v>76</v>
      </c>
      <c r="AC898" s="521"/>
      <c r="AD898" s="521"/>
      <c r="AE898" s="521">
        <v>1</v>
      </c>
      <c r="AF898" s="521">
        <v>750</v>
      </c>
      <c r="AG898" s="521">
        <f t="shared" ref="AG898:AG921" si="342">AF898-I898</f>
        <v>0</v>
      </c>
      <c r="AH898" s="542"/>
      <c r="AI898" s="521"/>
      <c r="AJ898" s="521"/>
      <c r="AK898" s="521"/>
      <c r="AL898" s="543">
        <f>I898</f>
        <v>750</v>
      </c>
      <c r="AM898" s="628"/>
      <c r="AN898" s="628"/>
      <c r="AO898" s="630"/>
      <c r="AP898" s="628"/>
      <c r="AQ898" s="427">
        <f>I898</f>
        <v>750</v>
      </c>
      <c r="AR898" s="628"/>
      <c r="AS898" s="543">
        <f>I898</f>
        <v>750</v>
      </c>
      <c r="AT898" s="544"/>
      <c r="AU898" s="628"/>
      <c r="AV898" s="628"/>
      <c r="AW898" s="628"/>
      <c r="AX898" s="628"/>
      <c r="AY898" s="545">
        <f>I898/24*2</f>
        <v>62.5</v>
      </c>
      <c r="AZ898" s="546"/>
      <c r="BA898" s="628"/>
      <c r="BB898" s="628"/>
      <c r="BC898" s="628"/>
      <c r="BD898" s="628"/>
      <c r="BE898" s="628"/>
      <c r="BF898" s="628"/>
      <c r="BG898" s="628"/>
      <c r="BH898" s="628"/>
      <c r="BI898" s="628"/>
      <c r="BJ898" s="628"/>
      <c r="BK898" s="628"/>
      <c r="BL898" s="427">
        <f>I898/25</f>
        <v>30</v>
      </c>
      <c r="BM898" s="628"/>
      <c r="BN898" s="628"/>
      <c r="BO898" s="628"/>
      <c r="BP898" s="628"/>
      <c r="BQ898" s="628"/>
      <c r="BR898" s="628"/>
      <c r="BS898" s="628"/>
      <c r="BT898" s="544"/>
      <c r="BU898" s="628"/>
      <c r="BV898" s="544"/>
      <c r="BW898" s="628"/>
      <c r="BX898" s="628"/>
      <c r="BY898" s="628"/>
      <c r="BZ898" s="628"/>
      <c r="CA898" s="628"/>
      <c r="CB898" s="628"/>
      <c r="CC898" s="628"/>
      <c r="CD898" s="628"/>
      <c r="CE898" s="628"/>
      <c r="CF898" s="628"/>
      <c r="CG898" s="628"/>
      <c r="CH898" s="628"/>
      <c r="CI898" s="628"/>
      <c r="CJ898" s="628"/>
      <c r="CK898" s="427">
        <f t="shared" ref="CK898:CK906" si="343">BM898+BL898+BK898+BJ898+BS898</f>
        <v>30</v>
      </c>
      <c r="CL898" s="427">
        <f t="shared" ref="CL898:CL906" si="344">CA898+CB898+CC898+CD898+CE898+CG898+CF898</f>
        <v>0</v>
      </c>
      <c r="CM898" s="427">
        <f t="shared" ref="CM898:CM906" si="345">BY898+BZ898</f>
        <v>0</v>
      </c>
      <c r="CN898" s="544"/>
      <c r="CO898" s="544"/>
      <c r="CP898" s="544"/>
      <c r="CT898" s="544"/>
      <c r="CU898" s="544"/>
      <c r="CV898" s="544"/>
      <c r="CW898" s="544"/>
      <c r="CX898" s="544"/>
    </row>
    <row r="899" s="431" customFormat="1" ht="31" customHeight="1" spans="1:102">
      <c r="A899" s="518">
        <v>45975</v>
      </c>
      <c r="B899" s="519" t="s">
        <v>845</v>
      </c>
      <c r="C899" s="520" t="s">
        <v>271</v>
      </c>
      <c r="D899" s="427">
        <v>4500185790</v>
      </c>
      <c r="E899" s="520">
        <v>4400520724</v>
      </c>
      <c r="F899" s="427" t="s">
        <v>5426</v>
      </c>
      <c r="G899" s="521" t="s">
        <v>3165</v>
      </c>
      <c r="H899" s="521" t="s">
        <v>3303</v>
      </c>
      <c r="I899" s="521">
        <v>3025</v>
      </c>
      <c r="J899" s="521">
        <v>0</v>
      </c>
      <c r="K899" s="521">
        <v>25</v>
      </c>
      <c r="L899" s="524">
        <f t="shared" si="341"/>
        <v>121</v>
      </c>
      <c r="M899" s="525">
        <v>46010</v>
      </c>
      <c r="N899" s="525">
        <v>46006</v>
      </c>
      <c r="O899" s="526"/>
      <c r="P899" s="526" t="s">
        <v>103</v>
      </c>
      <c r="Q899" s="521"/>
      <c r="R899" s="530">
        <v>45975</v>
      </c>
      <c r="S899" s="530" t="s">
        <v>66</v>
      </c>
      <c r="T899" s="530" t="s">
        <v>5427</v>
      </c>
      <c r="U899" s="530"/>
      <c r="V899" s="532" t="s">
        <v>5428</v>
      </c>
      <c r="W899" s="532" t="s">
        <v>1424</v>
      </c>
      <c r="X899" s="532">
        <v>0.9417</v>
      </c>
      <c r="Y899" s="540">
        <f t="shared" si="340"/>
        <v>2848.6425</v>
      </c>
      <c r="Z899" s="521"/>
      <c r="AA899" s="521" t="s">
        <v>3165</v>
      </c>
      <c r="AB899" s="521" t="s">
        <v>76</v>
      </c>
      <c r="AC899" s="521"/>
      <c r="AD899" s="519"/>
      <c r="AE899" s="519">
        <v>1</v>
      </c>
      <c r="AF899" s="521">
        <v>3025</v>
      </c>
      <c r="AG899" s="521">
        <f t="shared" si="342"/>
        <v>0</v>
      </c>
      <c r="AH899" s="542"/>
      <c r="AI899" s="521"/>
      <c r="AJ899" s="521"/>
      <c r="AK899" s="521"/>
      <c r="AL899" s="543">
        <f>I899</f>
        <v>3025</v>
      </c>
      <c r="AM899" s="628"/>
      <c r="AN899" s="628"/>
      <c r="AO899" s="630"/>
      <c r="AP899" s="628"/>
      <c r="AQ899" s="427">
        <f>I899</f>
        <v>3025</v>
      </c>
      <c r="AR899" s="543"/>
      <c r="AS899" s="543">
        <f>I899</f>
        <v>3025</v>
      </c>
      <c r="AT899" s="544"/>
      <c r="AU899" s="628"/>
      <c r="AV899" s="628"/>
      <c r="AW899" s="628"/>
      <c r="AX899" s="628"/>
      <c r="AY899" s="545">
        <f>I899/24*2</f>
        <v>252.083333333333</v>
      </c>
      <c r="AZ899" s="546"/>
      <c r="BA899" s="628"/>
      <c r="BB899" s="628"/>
      <c r="BC899" s="628"/>
      <c r="BD899" s="628"/>
      <c r="BE899" s="628"/>
      <c r="BF899" s="628"/>
      <c r="BG899" s="628"/>
      <c r="BH899" s="628"/>
      <c r="BI899" s="628"/>
      <c r="BJ899" s="628"/>
      <c r="BK899" s="628"/>
      <c r="BL899" s="427">
        <f>I899/25</f>
        <v>121</v>
      </c>
      <c r="BM899" s="628"/>
      <c r="BN899" s="628"/>
      <c r="BO899" s="628"/>
      <c r="BP899" s="628"/>
      <c r="BQ899" s="628"/>
      <c r="BR899" s="628"/>
      <c r="BS899" s="628"/>
      <c r="BT899" s="544"/>
      <c r="BU899" s="628"/>
      <c r="BV899" s="544"/>
      <c r="BW899" s="628"/>
      <c r="BX899" s="628"/>
      <c r="BY899" s="628"/>
      <c r="BZ899" s="628"/>
      <c r="CA899" s="628"/>
      <c r="CB899" s="628"/>
      <c r="CC899" s="628"/>
      <c r="CD899" s="628"/>
      <c r="CE899" s="628"/>
      <c r="CF899" s="628"/>
      <c r="CG899" s="628"/>
      <c r="CH899" s="628"/>
      <c r="CI899" s="628"/>
      <c r="CJ899" s="628"/>
      <c r="CK899" s="427">
        <f t="shared" si="343"/>
        <v>121</v>
      </c>
      <c r="CL899" s="427">
        <f t="shared" si="344"/>
        <v>0</v>
      </c>
      <c r="CM899" s="427">
        <f t="shared" si="345"/>
        <v>0</v>
      </c>
      <c r="CN899" s="544"/>
      <c r="CO899" s="544"/>
      <c r="CP899" s="544"/>
      <c r="CT899" s="544"/>
      <c r="CU899" s="544"/>
      <c r="CV899" s="544"/>
      <c r="CW899" s="544"/>
      <c r="CX899" s="544"/>
    </row>
    <row r="900" s="431" customFormat="1" ht="31" customHeight="1" spans="1:102">
      <c r="A900" s="518">
        <v>45964</v>
      </c>
      <c r="B900" s="519" t="s">
        <v>1172</v>
      </c>
      <c r="C900" s="520" t="s">
        <v>90</v>
      </c>
      <c r="D900" s="427">
        <v>4500184164</v>
      </c>
      <c r="E900" s="520">
        <v>16000287</v>
      </c>
      <c r="F900" s="427" t="s">
        <v>5429</v>
      </c>
      <c r="G900" s="521" t="s">
        <v>4285</v>
      </c>
      <c r="H900" s="521" t="s">
        <v>3151</v>
      </c>
      <c r="I900" s="521">
        <v>234</v>
      </c>
      <c r="J900" s="521">
        <v>0</v>
      </c>
      <c r="K900" s="521">
        <v>13</v>
      </c>
      <c r="L900" s="524">
        <f t="shared" si="341"/>
        <v>18</v>
      </c>
      <c r="M900" s="528">
        <v>46013</v>
      </c>
      <c r="N900" s="528">
        <v>46009</v>
      </c>
      <c r="O900" s="526"/>
      <c r="P900" s="526" t="s">
        <v>103</v>
      </c>
      <c r="Q900" s="521"/>
      <c r="R900" s="530" t="s">
        <v>1176</v>
      </c>
      <c r="S900" s="530" t="s">
        <v>96</v>
      </c>
      <c r="T900" s="530" t="s">
        <v>5430</v>
      </c>
      <c r="U900" s="530"/>
      <c r="V900" s="532" t="s">
        <v>5431</v>
      </c>
      <c r="W900" s="532" t="s">
        <v>1178</v>
      </c>
      <c r="X900" s="532">
        <v>0.5293</v>
      </c>
      <c r="Y900" s="540">
        <f t="shared" si="340"/>
        <v>123.8562</v>
      </c>
      <c r="Z900" s="521"/>
      <c r="AA900" s="521" t="s">
        <v>4285</v>
      </c>
      <c r="AB900" s="521" t="s">
        <v>76</v>
      </c>
      <c r="AC900" s="521"/>
      <c r="AD900" s="521"/>
      <c r="AE900" s="521">
        <v>1</v>
      </c>
      <c r="AF900" s="521">
        <v>234</v>
      </c>
      <c r="AG900" s="521">
        <f t="shared" si="342"/>
        <v>0</v>
      </c>
      <c r="AH900" s="542"/>
      <c r="AI900" s="521"/>
      <c r="AJ900" s="521"/>
      <c r="AK900" s="521">
        <f>I900</f>
        <v>234</v>
      </c>
      <c r="AL900" s="543"/>
      <c r="AM900" s="427">
        <f>I900</f>
        <v>234</v>
      </c>
      <c r="AN900" s="628"/>
      <c r="AO900" s="630"/>
      <c r="AP900" s="628"/>
      <c r="AQ900" s="628"/>
      <c r="AR900" s="427">
        <f>I900</f>
        <v>234</v>
      </c>
      <c r="AS900" s="543"/>
      <c r="AT900" s="544"/>
      <c r="AU900" s="628"/>
      <c r="AV900" s="628"/>
      <c r="AW900" s="628"/>
      <c r="AX900" s="628"/>
      <c r="AY900" s="545">
        <f>I900/24</f>
        <v>9.75</v>
      </c>
      <c r="AZ900" s="546"/>
      <c r="BA900" s="628"/>
      <c r="BB900" s="628"/>
      <c r="BC900" s="628"/>
      <c r="BD900" s="628"/>
      <c r="BE900" s="628"/>
      <c r="BF900" s="628"/>
      <c r="BG900" s="628"/>
      <c r="BH900" s="628"/>
      <c r="BI900" s="628"/>
      <c r="BJ900" s="628"/>
      <c r="BK900" s="628"/>
      <c r="BL900" s="628"/>
      <c r="BM900" s="628"/>
      <c r="BN900" s="628"/>
      <c r="BO900" s="628"/>
      <c r="BP900" s="628"/>
      <c r="BQ900" s="628"/>
      <c r="BR900" s="628"/>
      <c r="BS900" s="628"/>
      <c r="BT900" s="544"/>
      <c r="BU900" s="628"/>
      <c r="BV900" s="544"/>
      <c r="BW900" s="628"/>
      <c r="BX900" s="628"/>
      <c r="BY900" s="628"/>
      <c r="BZ900" s="628"/>
      <c r="CA900" s="628"/>
      <c r="CB900" s="628"/>
      <c r="CC900" s="628"/>
      <c r="CD900" s="628"/>
      <c r="CE900" s="628"/>
      <c r="CF900" s="628"/>
      <c r="CG900" s="628"/>
      <c r="CH900" s="628"/>
      <c r="CI900" s="628"/>
      <c r="CJ900" s="628"/>
      <c r="CK900" s="427">
        <f t="shared" si="343"/>
        <v>0</v>
      </c>
      <c r="CL900" s="427">
        <f t="shared" si="344"/>
        <v>0</v>
      </c>
      <c r="CM900" s="427">
        <f t="shared" si="345"/>
        <v>0</v>
      </c>
      <c r="CN900" s="544"/>
      <c r="CO900" s="544"/>
      <c r="CP900" s="544"/>
      <c r="CT900" s="544"/>
      <c r="CU900" s="544"/>
      <c r="CV900" s="544"/>
      <c r="CW900" s="544"/>
      <c r="CX900" s="544"/>
    </row>
    <row r="901" s="431" customFormat="1" ht="31" customHeight="1" spans="1:102">
      <c r="A901" s="518">
        <v>45964</v>
      </c>
      <c r="B901" s="519" t="s">
        <v>1172</v>
      </c>
      <c r="C901" s="520" t="s">
        <v>90</v>
      </c>
      <c r="D901" s="427">
        <v>4500184162</v>
      </c>
      <c r="E901" s="520">
        <v>16000286</v>
      </c>
      <c r="F901" s="427" t="s">
        <v>5432</v>
      </c>
      <c r="G901" s="521" t="s">
        <v>3272</v>
      </c>
      <c r="H901" s="521" t="s">
        <v>3207</v>
      </c>
      <c r="I901" s="521">
        <v>1456</v>
      </c>
      <c r="J901" s="521">
        <v>0</v>
      </c>
      <c r="K901" s="521">
        <v>13</v>
      </c>
      <c r="L901" s="524">
        <f t="shared" si="341"/>
        <v>112</v>
      </c>
      <c r="M901" s="525">
        <v>46013</v>
      </c>
      <c r="N901" s="525">
        <v>46009</v>
      </c>
      <c r="O901" s="526"/>
      <c r="P901" s="526" t="s">
        <v>103</v>
      </c>
      <c r="Q901" s="521"/>
      <c r="R901" s="530">
        <v>45965</v>
      </c>
      <c r="S901" s="530" t="s">
        <v>96</v>
      </c>
      <c r="T901" s="530" t="s">
        <v>5433</v>
      </c>
      <c r="U901" s="530"/>
      <c r="V901" s="532" t="s">
        <v>5434</v>
      </c>
      <c r="W901" s="532" t="s">
        <v>1178</v>
      </c>
      <c r="X901" s="536">
        <v>0.5528</v>
      </c>
      <c r="Y901" s="540">
        <f t="shared" si="340"/>
        <v>804.8768</v>
      </c>
      <c r="Z901" s="521"/>
      <c r="AA901" s="519" t="s">
        <v>3359</v>
      </c>
      <c r="AB901" s="521" t="s">
        <v>76</v>
      </c>
      <c r="AC901" s="521"/>
      <c r="AD901" s="519"/>
      <c r="AE901" s="519">
        <v>1</v>
      </c>
      <c r="AF901" s="521">
        <v>1456</v>
      </c>
      <c r="AG901" s="521">
        <f t="shared" si="342"/>
        <v>0</v>
      </c>
      <c r="AH901" s="542"/>
      <c r="AI901" s="521"/>
      <c r="AJ901" s="521"/>
      <c r="AK901" s="521">
        <f>I901</f>
        <v>1456</v>
      </c>
      <c r="AL901" s="543"/>
      <c r="AM901" s="427">
        <f>I901</f>
        <v>1456</v>
      </c>
      <c r="AN901" s="628"/>
      <c r="AO901" s="630"/>
      <c r="AP901" s="628"/>
      <c r="AQ901" s="628"/>
      <c r="AR901" s="427">
        <f>I901</f>
        <v>1456</v>
      </c>
      <c r="AS901" s="543"/>
      <c r="AT901" s="544"/>
      <c r="AU901" s="628"/>
      <c r="AV901" s="628"/>
      <c r="AW901" s="628"/>
      <c r="AX901" s="628"/>
      <c r="AY901" s="545">
        <f>I901/24</f>
        <v>60.6666666666667</v>
      </c>
      <c r="AZ901" s="546"/>
      <c r="BA901" s="628"/>
      <c r="BB901" s="628"/>
      <c r="BC901" s="628"/>
      <c r="BD901" s="628"/>
      <c r="BE901" s="628"/>
      <c r="BF901" s="628"/>
      <c r="BG901" s="427">
        <f>I901/13</f>
        <v>112</v>
      </c>
      <c r="BH901" s="628"/>
      <c r="BI901" s="628"/>
      <c r="BJ901" s="628"/>
      <c r="BK901" s="628"/>
      <c r="BL901" s="628"/>
      <c r="BM901" s="628"/>
      <c r="BN901" s="628"/>
      <c r="BO901" s="628"/>
      <c r="BP901" s="628"/>
      <c r="BQ901" s="628"/>
      <c r="BR901" s="628"/>
      <c r="BS901" s="628"/>
      <c r="BT901" s="544"/>
      <c r="BU901" s="628"/>
      <c r="BV901" s="544"/>
      <c r="BW901" s="628"/>
      <c r="BX901" s="628"/>
      <c r="BY901" s="628"/>
      <c r="BZ901" s="628"/>
      <c r="CA901" s="628"/>
      <c r="CB901" s="628"/>
      <c r="CC901" s="628"/>
      <c r="CD901" s="628"/>
      <c r="CE901" s="628"/>
      <c r="CF901" s="628"/>
      <c r="CG901" s="628"/>
      <c r="CH901" s="628"/>
      <c r="CI901" s="628"/>
      <c r="CJ901" s="628"/>
      <c r="CK901" s="427">
        <f t="shared" si="343"/>
        <v>0</v>
      </c>
      <c r="CL901" s="427">
        <f t="shared" si="344"/>
        <v>0</v>
      </c>
      <c r="CM901" s="427">
        <f t="shared" si="345"/>
        <v>0</v>
      </c>
      <c r="CN901" s="544"/>
      <c r="CO901" s="544"/>
      <c r="CP901" s="544"/>
      <c r="CT901" s="544"/>
      <c r="CU901" s="544"/>
      <c r="CV901" s="544"/>
      <c r="CW901" s="544"/>
      <c r="CX901" s="544"/>
    </row>
    <row r="902" s="431" customFormat="1" ht="31" customHeight="1" spans="1:102">
      <c r="A902" s="518">
        <v>45965</v>
      </c>
      <c r="B902" s="519" t="s">
        <v>128</v>
      </c>
      <c r="C902" s="520" t="s">
        <v>90</v>
      </c>
      <c r="D902" s="427">
        <v>4500184391</v>
      </c>
      <c r="E902" s="890" t="s">
        <v>5435</v>
      </c>
      <c r="F902" s="427" t="s">
        <v>5436</v>
      </c>
      <c r="G902" s="521" t="s">
        <v>3180</v>
      </c>
      <c r="H902" s="521" t="s">
        <v>3181</v>
      </c>
      <c r="I902" s="521">
        <v>31680</v>
      </c>
      <c r="J902" s="521">
        <v>0</v>
      </c>
      <c r="K902" s="521">
        <v>16</v>
      </c>
      <c r="L902" s="524">
        <f t="shared" si="341"/>
        <v>1980</v>
      </c>
      <c r="M902" s="525">
        <v>46013</v>
      </c>
      <c r="N902" s="525">
        <v>46009</v>
      </c>
      <c r="O902" s="525">
        <v>46015</v>
      </c>
      <c r="P902" s="526" t="s">
        <v>103</v>
      </c>
      <c r="Q902" s="521"/>
      <c r="R902" s="530" t="s">
        <v>4194</v>
      </c>
      <c r="S902" s="530" t="s">
        <v>66</v>
      </c>
      <c r="T902" s="530" t="s">
        <v>133</v>
      </c>
      <c r="U902" s="530"/>
      <c r="V902" s="532" t="s">
        <v>4195</v>
      </c>
      <c r="W902" s="532" t="s">
        <v>98</v>
      </c>
      <c r="X902" s="532">
        <v>0.5837</v>
      </c>
      <c r="Y902" s="540">
        <f t="shared" si="340"/>
        <v>18491.616</v>
      </c>
      <c r="Z902" s="521"/>
      <c r="AA902" s="521" t="s">
        <v>3180</v>
      </c>
      <c r="AB902" s="521" t="s">
        <v>76</v>
      </c>
      <c r="AC902" s="521"/>
      <c r="AD902" s="519"/>
      <c r="AE902" s="519">
        <v>1</v>
      </c>
      <c r="AF902" s="521">
        <f>18432+13216+32</f>
        <v>31680</v>
      </c>
      <c r="AG902" s="521">
        <f t="shared" si="342"/>
        <v>0</v>
      </c>
      <c r="AH902" s="542"/>
      <c r="AI902" s="521"/>
      <c r="AJ902" s="521"/>
      <c r="AK902" s="521">
        <f>I902</f>
        <v>31680</v>
      </c>
      <c r="AL902" s="543"/>
      <c r="AM902" s="427">
        <f>I902</f>
        <v>31680</v>
      </c>
      <c r="AN902" s="628"/>
      <c r="AO902" s="630"/>
      <c r="AP902" s="628"/>
      <c r="AQ902" s="628"/>
      <c r="AR902" s="427">
        <f>I902</f>
        <v>31680</v>
      </c>
      <c r="AS902" s="543"/>
      <c r="AT902" s="544"/>
      <c r="AU902" s="628"/>
      <c r="AV902" s="628"/>
      <c r="AW902" s="628"/>
      <c r="AX902" s="628"/>
      <c r="AY902" s="545">
        <f>I902/24</f>
        <v>1320</v>
      </c>
      <c r="AZ902" s="546"/>
      <c r="BA902" s="628"/>
      <c r="BB902" s="628"/>
      <c r="BC902" s="628"/>
      <c r="BD902" s="628"/>
      <c r="BE902" s="628"/>
      <c r="BF902" s="628"/>
      <c r="BG902" s="628"/>
      <c r="BH902" s="628"/>
      <c r="BI902" s="628"/>
      <c r="BJ902" s="628"/>
      <c r="BK902" s="628"/>
      <c r="BL902" s="628"/>
      <c r="BM902" s="427">
        <f>I902/16</f>
        <v>1980</v>
      </c>
      <c r="BN902" s="628"/>
      <c r="BO902" s="628"/>
      <c r="BP902" s="628"/>
      <c r="BQ902" s="628"/>
      <c r="BR902" s="628"/>
      <c r="BS902" s="628"/>
      <c r="BT902" s="544"/>
      <c r="BU902" s="628"/>
      <c r="BV902" s="544"/>
      <c r="BW902" s="628"/>
      <c r="BX902" s="628"/>
      <c r="BY902" s="628"/>
      <c r="BZ902" s="628"/>
      <c r="CA902" s="628"/>
      <c r="CB902" s="628"/>
      <c r="CC902" s="628"/>
      <c r="CD902" s="628"/>
      <c r="CE902" s="628"/>
      <c r="CF902" s="628"/>
      <c r="CG902" s="628"/>
      <c r="CH902" s="628"/>
      <c r="CI902" s="628"/>
      <c r="CJ902" s="628"/>
      <c r="CK902" s="427">
        <f t="shared" si="343"/>
        <v>1980</v>
      </c>
      <c r="CL902" s="427">
        <f t="shared" si="344"/>
        <v>0</v>
      </c>
      <c r="CM902" s="427">
        <f t="shared" si="345"/>
        <v>0</v>
      </c>
      <c r="CN902" s="544"/>
      <c r="CO902" s="544"/>
      <c r="CP902" s="544"/>
      <c r="CT902" s="544"/>
      <c r="CU902" s="544"/>
      <c r="CV902" s="544"/>
      <c r="CW902" s="544"/>
      <c r="CX902" s="544"/>
    </row>
    <row r="903" s="431" customFormat="1" ht="31" customHeight="1" spans="1:102">
      <c r="A903" s="518">
        <v>45960</v>
      </c>
      <c r="B903" s="519" t="s">
        <v>220</v>
      </c>
      <c r="C903" s="520" t="s">
        <v>90</v>
      </c>
      <c r="D903" s="427">
        <v>4500183643</v>
      </c>
      <c r="E903" s="520" t="s">
        <v>5437</v>
      </c>
      <c r="F903" s="427" t="s">
        <v>5438</v>
      </c>
      <c r="G903" s="521" t="s">
        <v>3198</v>
      </c>
      <c r="H903" s="521" t="s">
        <v>3303</v>
      </c>
      <c r="I903" s="521">
        <v>35000</v>
      </c>
      <c r="J903" s="521">
        <v>0</v>
      </c>
      <c r="K903" s="521">
        <v>25</v>
      </c>
      <c r="L903" s="524">
        <f t="shared" si="341"/>
        <v>1400</v>
      </c>
      <c r="M903" s="525">
        <v>46013</v>
      </c>
      <c r="N903" s="525">
        <v>46009</v>
      </c>
      <c r="O903" s="526"/>
      <c r="P903" s="526" t="s">
        <v>103</v>
      </c>
      <c r="Q903" s="521"/>
      <c r="R903" s="530">
        <v>45979</v>
      </c>
      <c r="S903" s="530" t="s">
        <v>96</v>
      </c>
      <c r="T903" s="530" t="s">
        <v>2106</v>
      </c>
      <c r="U903" s="530"/>
      <c r="V903" s="532" t="s">
        <v>5439</v>
      </c>
      <c r="W903" s="532" t="s">
        <v>226</v>
      </c>
      <c r="X903" s="536">
        <v>0.5488</v>
      </c>
      <c r="Y903" s="540">
        <f t="shared" si="340"/>
        <v>19208</v>
      </c>
      <c r="Z903" s="521"/>
      <c r="AA903" s="521" t="s">
        <v>3198</v>
      </c>
      <c r="AB903" s="521" t="s">
        <v>76</v>
      </c>
      <c r="AC903" s="521"/>
      <c r="AD903" s="521"/>
      <c r="AE903" s="521">
        <v>1</v>
      </c>
      <c r="AF903" s="521">
        <v>35000</v>
      </c>
      <c r="AG903" s="521">
        <f t="shared" si="342"/>
        <v>0</v>
      </c>
      <c r="AH903" s="542"/>
      <c r="AI903" s="521"/>
      <c r="AJ903" s="521"/>
      <c r="AK903" s="521">
        <f>I903</f>
        <v>35000</v>
      </c>
      <c r="AL903" s="543"/>
      <c r="AM903" s="427">
        <f>I903</f>
        <v>35000</v>
      </c>
      <c r="AN903" s="628"/>
      <c r="AO903" s="630"/>
      <c r="AP903" s="628"/>
      <c r="AQ903" s="628"/>
      <c r="AR903" s="427">
        <f>I903</f>
        <v>35000</v>
      </c>
      <c r="AS903" s="543"/>
      <c r="AT903" s="544"/>
      <c r="AU903" s="628"/>
      <c r="AV903" s="628"/>
      <c r="AW903" s="628"/>
      <c r="AX903" s="628"/>
      <c r="AY903" s="545">
        <f>I903/24</f>
        <v>1458.33333333333</v>
      </c>
      <c r="AZ903" s="546"/>
      <c r="BA903" s="628"/>
      <c r="BB903" s="628"/>
      <c r="BC903" s="628"/>
      <c r="BD903" s="628"/>
      <c r="BE903" s="628"/>
      <c r="BF903" s="628"/>
      <c r="BG903" s="628"/>
      <c r="BH903" s="628"/>
      <c r="BI903" s="628"/>
      <c r="BJ903" s="427">
        <f>I903/25</f>
        <v>1400</v>
      </c>
      <c r="BK903" s="543"/>
      <c r="BL903" s="628"/>
      <c r="BM903" s="628"/>
      <c r="BN903" s="628"/>
      <c r="BO903" s="628"/>
      <c r="BP903" s="628"/>
      <c r="BQ903" s="628"/>
      <c r="BR903" s="628"/>
      <c r="BS903" s="628"/>
      <c r="BT903" s="544"/>
      <c r="BU903" s="628"/>
      <c r="BV903" s="544"/>
      <c r="BW903" s="628"/>
      <c r="BX903" s="628"/>
      <c r="BY903" s="628"/>
      <c r="BZ903" s="628"/>
      <c r="CA903" s="628"/>
      <c r="CB903" s="628"/>
      <c r="CC903" s="628"/>
      <c r="CD903" s="628"/>
      <c r="CE903" s="628"/>
      <c r="CF903" s="628"/>
      <c r="CG903" s="628"/>
      <c r="CH903" s="628"/>
      <c r="CI903" s="628"/>
      <c r="CJ903" s="628"/>
      <c r="CK903" s="427">
        <f t="shared" si="343"/>
        <v>1400</v>
      </c>
      <c r="CL903" s="427">
        <f t="shared" si="344"/>
        <v>0</v>
      </c>
      <c r="CM903" s="427">
        <f t="shared" si="345"/>
        <v>0</v>
      </c>
      <c r="CN903" s="544"/>
      <c r="CO903" s="544"/>
      <c r="CP903" s="544"/>
      <c r="CT903" s="544"/>
      <c r="CU903" s="544"/>
      <c r="CV903" s="544"/>
      <c r="CW903" s="544"/>
      <c r="CX903" s="544"/>
    </row>
    <row r="904" s="431" customFormat="1" ht="31" customHeight="1" spans="1:102">
      <c r="A904" s="518">
        <v>45979</v>
      </c>
      <c r="B904" s="519" t="s">
        <v>202</v>
      </c>
      <c r="C904" s="520" t="s">
        <v>203</v>
      </c>
      <c r="D904" s="427">
        <v>4500184690</v>
      </c>
      <c r="E904" s="520" t="s">
        <v>2351</v>
      </c>
      <c r="F904" s="427" t="s">
        <v>5440</v>
      </c>
      <c r="G904" s="521" t="s">
        <v>3158</v>
      </c>
      <c r="H904" s="521" t="s">
        <v>3159</v>
      </c>
      <c r="I904" s="521">
        <v>12116</v>
      </c>
      <c r="J904" s="521">
        <v>0</v>
      </c>
      <c r="K904" s="521">
        <v>52</v>
      </c>
      <c r="L904" s="524">
        <f t="shared" si="341"/>
        <v>233</v>
      </c>
      <c r="M904" s="525">
        <v>46014</v>
      </c>
      <c r="N904" s="525">
        <v>46010</v>
      </c>
      <c r="O904" s="526"/>
      <c r="P904" s="526" t="s">
        <v>103</v>
      </c>
      <c r="Q904" s="521"/>
      <c r="R904" s="530">
        <v>45967</v>
      </c>
      <c r="S904" s="530" t="s">
        <v>66</v>
      </c>
      <c r="T904" s="530" t="s">
        <v>5441</v>
      </c>
      <c r="U904" s="530"/>
      <c r="V904" s="531" t="s">
        <v>5442</v>
      </c>
      <c r="W904" s="532" t="s">
        <v>207</v>
      </c>
      <c r="X904" s="536">
        <v>0.9002</v>
      </c>
      <c r="Y904" s="540">
        <f t="shared" si="340"/>
        <v>10906.8232</v>
      </c>
      <c r="Z904" s="521"/>
      <c r="AA904" s="521" t="s">
        <v>3357</v>
      </c>
      <c r="AB904" s="521" t="s">
        <v>76</v>
      </c>
      <c r="AC904" s="521"/>
      <c r="AD904" s="519"/>
      <c r="AE904" s="519">
        <v>1</v>
      </c>
      <c r="AF904" s="521">
        <v>12116</v>
      </c>
      <c r="AG904" s="521">
        <f t="shared" si="342"/>
        <v>0</v>
      </c>
      <c r="AH904" s="542"/>
      <c r="AI904" s="521" t="s">
        <v>2191</v>
      </c>
      <c r="AJ904" s="521"/>
      <c r="AK904" s="521"/>
      <c r="AL904" s="543">
        <f>I904</f>
        <v>12116</v>
      </c>
      <c r="AM904" s="427">
        <f>I904</f>
        <v>12116</v>
      </c>
      <c r="AN904" s="628"/>
      <c r="AO904" s="630"/>
      <c r="AP904" s="628"/>
      <c r="AQ904" s="628"/>
      <c r="AR904" s="628"/>
      <c r="AS904" s="543">
        <f>I904</f>
        <v>12116</v>
      </c>
      <c r="AT904" s="544"/>
      <c r="AU904" s="628"/>
      <c r="AV904" s="628"/>
      <c r="AW904" s="628"/>
      <c r="AX904" s="628"/>
      <c r="AY904" s="545">
        <f>I904/24</f>
        <v>504.833333333333</v>
      </c>
      <c r="AZ904" s="546"/>
      <c r="BA904" s="628"/>
      <c r="BB904" s="628"/>
      <c r="BC904" s="628"/>
      <c r="BD904" s="628"/>
      <c r="BE904" s="628"/>
      <c r="BF904" s="628"/>
      <c r="BG904" s="628"/>
      <c r="BH904" s="628"/>
      <c r="BI904" s="427">
        <f>I904/13</f>
        <v>932</v>
      </c>
      <c r="BJ904" s="628"/>
      <c r="BK904" s="628"/>
      <c r="BL904" s="628"/>
      <c r="BM904" s="628"/>
      <c r="BN904" s="628"/>
      <c r="BO904" s="628"/>
      <c r="BP904" s="628"/>
      <c r="BQ904" s="628"/>
      <c r="BR904" s="628"/>
      <c r="BS904" s="628"/>
      <c r="BT904" s="544"/>
      <c r="BU904" s="628"/>
      <c r="BV904" s="544"/>
      <c r="BW904" s="628"/>
      <c r="BX904" s="628"/>
      <c r="BY904" s="628"/>
      <c r="BZ904" s="628"/>
      <c r="CA904" s="628"/>
      <c r="CB904" s="628"/>
      <c r="CC904" s="628"/>
      <c r="CD904" s="628"/>
      <c r="CE904" s="628"/>
      <c r="CF904" s="628"/>
      <c r="CG904" s="628"/>
      <c r="CH904" s="628"/>
      <c r="CI904" s="628"/>
      <c r="CJ904" s="628"/>
      <c r="CK904" s="427">
        <f t="shared" si="343"/>
        <v>0</v>
      </c>
      <c r="CL904" s="427">
        <f t="shared" si="344"/>
        <v>0</v>
      </c>
      <c r="CM904" s="427">
        <f t="shared" si="345"/>
        <v>0</v>
      </c>
      <c r="CN904" s="544"/>
      <c r="CO904" s="544"/>
      <c r="CP904" s="544"/>
      <c r="CT904" s="544"/>
      <c r="CU904" s="544"/>
      <c r="CV904" s="544"/>
      <c r="CW904" s="544"/>
      <c r="CX904" s="544"/>
    </row>
    <row r="905" s="431" customFormat="1" ht="31" customHeight="1" spans="1:102">
      <c r="A905" s="518">
        <v>45981</v>
      </c>
      <c r="B905" s="519" t="s">
        <v>2612</v>
      </c>
      <c r="C905" s="520" t="s">
        <v>416</v>
      </c>
      <c r="D905" s="427">
        <v>4500186266</v>
      </c>
      <c r="E905" s="520" t="s">
        <v>5443</v>
      </c>
      <c r="F905" s="427" t="s">
        <v>5444</v>
      </c>
      <c r="G905" s="521" t="s">
        <v>4962</v>
      </c>
      <c r="H905" s="521" t="s">
        <v>3237</v>
      </c>
      <c r="I905" s="521">
        <v>492</v>
      </c>
      <c r="J905" s="521">
        <v>0</v>
      </c>
      <c r="K905" s="521">
        <v>12</v>
      </c>
      <c r="L905" s="524">
        <f t="shared" si="341"/>
        <v>41</v>
      </c>
      <c r="M905" s="525">
        <v>46014</v>
      </c>
      <c r="N905" s="525">
        <v>46010</v>
      </c>
      <c r="O905" s="526"/>
      <c r="P905" s="526" t="s">
        <v>103</v>
      </c>
      <c r="Q905" s="521"/>
      <c r="R905" s="530">
        <v>45986</v>
      </c>
      <c r="S905" s="530" t="s">
        <v>66</v>
      </c>
      <c r="T905" s="530" t="s">
        <v>5445</v>
      </c>
      <c r="U905" s="530"/>
      <c r="V905" s="532" t="s">
        <v>5446</v>
      </c>
      <c r="W905" s="532" t="s">
        <v>414</v>
      </c>
      <c r="X905" s="532">
        <v>2.1629</v>
      </c>
      <c r="Y905" s="540">
        <f t="shared" si="340"/>
        <v>1064.1468</v>
      </c>
      <c r="Z905" s="521"/>
      <c r="AA905" s="521" t="s">
        <v>3464</v>
      </c>
      <c r="AB905" s="521" t="s">
        <v>76</v>
      </c>
      <c r="AC905" s="521"/>
      <c r="AD905" s="519"/>
      <c r="AE905" s="519">
        <v>1</v>
      </c>
      <c r="AF905" s="521">
        <v>492</v>
      </c>
      <c r="AG905" s="521">
        <f t="shared" si="342"/>
        <v>0</v>
      </c>
      <c r="AH905" s="542"/>
      <c r="AI905" s="521" t="s">
        <v>2191</v>
      </c>
      <c r="AJ905" s="521"/>
      <c r="AK905" s="521"/>
      <c r="AL905" s="427">
        <f>I905*2</f>
        <v>984</v>
      </c>
      <c r="AM905" s="628"/>
      <c r="AN905" s="628"/>
      <c r="AO905" s="630"/>
      <c r="AP905" s="628"/>
      <c r="AQ905" s="427">
        <f>I905*2</f>
        <v>984</v>
      </c>
      <c r="AR905" s="628"/>
      <c r="AS905" s="543">
        <f>I905*2</f>
        <v>984</v>
      </c>
      <c r="AT905" s="544"/>
      <c r="AU905" s="628"/>
      <c r="AV905" s="628"/>
      <c r="AW905" s="628"/>
      <c r="AX905" s="628"/>
      <c r="AY905" s="545">
        <f>I905/24*2</f>
        <v>41</v>
      </c>
      <c r="AZ905" s="546"/>
      <c r="BA905" s="628"/>
      <c r="BB905" s="628"/>
      <c r="BC905" s="628"/>
      <c r="BD905" s="628"/>
      <c r="BE905" s="628"/>
      <c r="BF905" s="628"/>
      <c r="BG905" s="628"/>
      <c r="BH905" s="628"/>
      <c r="BI905" s="628"/>
      <c r="BJ905" s="628"/>
      <c r="BK905" s="628"/>
      <c r="BL905" s="628"/>
      <c r="BM905" s="628"/>
      <c r="BN905" s="628"/>
      <c r="BO905" s="628"/>
      <c r="BP905" s="628"/>
      <c r="BQ905" s="628"/>
      <c r="BR905" s="628"/>
      <c r="BS905" s="628"/>
      <c r="BT905" s="544"/>
      <c r="BU905" s="628"/>
      <c r="BV905" s="544"/>
      <c r="BW905" s="628"/>
      <c r="BX905" s="628"/>
      <c r="BY905" s="628"/>
      <c r="BZ905" s="628"/>
      <c r="CA905" s="628"/>
      <c r="CB905" s="628"/>
      <c r="CC905" s="628"/>
      <c r="CD905" s="628"/>
      <c r="CE905" s="628"/>
      <c r="CF905" s="628"/>
      <c r="CG905" s="628"/>
      <c r="CH905" s="427">
        <f>I905</f>
        <v>492</v>
      </c>
      <c r="CI905" s="427">
        <f>I905</f>
        <v>492</v>
      </c>
      <c r="CJ905" s="427">
        <f>I905</f>
        <v>492</v>
      </c>
      <c r="CK905" s="427">
        <f t="shared" si="343"/>
        <v>0</v>
      </c>
      <c r="CL905" s="427">
        <f t="shared" si="344"/>
        <v>0</v>
      </c>
      <c r="CM905" s="427">
        <f t="shared" si="345"/>
        <v>0</v>
      </c>
      <c r="CN905" s="544"/>
      <c r="CO905" s="544"/>
      <c r="CP905" s="544"/>
      <c r="CT905" s="544"/>
      <c r="CU905" s="544"/>
      <c r="CV905" s="544"/>
      <c r="CW905" s="544"/>
      <c r="CX905" s="544"/>
    </row>
    <row r="906" s="431" customFormat="1" ht="31" customHeight="1" spans="1:102">
      <c r="A906" s="518">
        <v>46002</v>
      </c>
      <c r="B906" s="519"/>
      <c r="C906" s="520"/>
      <c r="D906" s="427" t="s">
        <v>5447</v>
      </c>
      <c r="E906" s="520"/>
      <c r="F906" s="427" t="s">
        <v>5448</v>
      </c>
      <c r="G906" s="521" t="s">
        <v>3138</v>
      </c>
      <c r="H906" s="521" t="s">
        <v>3139</v>
      </c>
      <c r="I906" s="521">
        <v>770</v>
      </c>
      <c r="J906" s="521">
        <v>0</v>
      </c>
      <c r="K906" s="521">
        <v>24</v>
      </c>
      <c r="L906" s="524">
        <f t="shared" si="341"/>
        <v>32.0833333333333</v>
      </c>
      <c r="M906" s="525">
        <v>46014</v>
      </c>
      <c r="N906" s="525">
        <v>46010</v>
      </c>
      <c r="O906" s="526"/>
      <c r="P906" s="526"/>
      <c r="Q906" s="521"/>
      <c r="R906" s="530"/>
      <c r="S906" s="530"/>
      <c r="T906" s="530"/>
      <c r="U906" s="530"/>
      <c r="V906" s="532" t="s">
        <v>5449</v>
      </c>
      <c r="W906" s="532"/>
      <c r="X906" s="532"/>
      <c r="Y906" s="540"/>
      <c r="Z906" s="521"/>
      <c r="AA906" s="458" t="s">
        <v>3138</v>
      </c>
      <c r="AB906" s="549" t="s">
        <v>76</v>
      </c>
      <c r="AC906" s="521"/>
      <c r="AD906" s="519"/>
      <c r="AE906" s="519"/>
      <c r="AF906" s="521">
        <v>770</v>
      </c>
      <c r="AG906" s="521">
        <f t="shared" si="342"/>
        <v>0</v>
      </c>
      <c r="AH906" s="542"/>
      <c r="AI906" s="521"/>
      <c r="AJ906" s="521"/>
      <c r="AK906" s="521">
        <f>I906</f>
        <v>770</v>
      </c>
      <c r="AL906" s="628"/>
      <c r="AM906" s="427">
        <f>I906</f>
        <v>770</v>
      </c>
      <c r="AN906" s="628"/>
      <c r="AO906" s="630"/>
      <c r="AP906" s="628"/>
      <c r="AQ906" s="628"/>
      <c r="AR906" s="427">
        <f>I906</f>
        <v>770</v>
      </c>
      <c r="AS906" s="543">
        <f>I906*2</f>
        <v>1540</v>
      </c>
      <c r="AT906" s="544"/>
      <c r="AU906" s="628"/>
      <c r="AV906" s="628"/>
      <c r="AW906" s="628"/>
      <c r="AX906" s="628"/>
      <c r="AY906" s="545">
        <f>I906/24*2</f>
        <v>64.1666666666667</v>
      </c>
      <c r="AZ906" s="546"/>
      <c r="BA906" s="628"/>
      <c r="BB906" s="628"/>
      <c r="BC906" s="628"/>
      <c r="BD906" s="628"/>
      <c r="BE906" s="628"/>
      <c r="BF906" s="628"/>
      <c r="BG906" s="628"/>
      <c r="BH906" s="628"/>
      <c r="BI906" s="628"/>
      <c r="BJ906" s="628"/>
      <c r="BK906" s="628"/>
      <c r="BL906" s="628"/>
      <c r="BM906" s="628"/>
      <c r="BN906" s="628"/>
      <c r="BO906" s="628"/>
      <c r="BP906" s="628"/>
      <c r="BQ906" s="628"/>
      <c r="BR906" s="628"/>
      <c r="BS906" s="628"/>
      <c r="BT906" s="544"/>
      <c r="BU906" s="628"/>
      <c r="BV906" s="544"/>
      <c r="BW906" s="628"/>
      <c r="BX906" s="628"/>
      <c r="BY906" s="628"/>
      <c r="BZ906" s="628"/>
      <c r="CA906" s="628"/>
      <c r="CB906" s="628"/>
      <c r="CC906" s="628"/>
      <c r="CD906" s="628"/>
      <c r="CE906" s="628"/>
      <c r="CF906" s="628"/>
      <c r="CG906" s="628"/>
      <c r="CH906" s="628"/>
      <c r="CI906" s="628"/>
      <c r="CJ906" s="628"/>
      <c r="CK906" s="428">
        <f t="shared" si="343"/>
        <v>0</v>
      </c>
      <c r="CL906" s="428">
        <f t="shared" si="344"/>
        <v>0</v>
      </c>
      <c r="CM906" s="428">
        <f t="shared" si="345"/>
        <v>0</v>
      </c>
      <c r="CN906" s="544"/>
      <c r="CO906" s="544"/>
      <c r="CP906" s="544"/>
      <c r="CT906" s="544"/>
      <c r="CU906" s="544"/>
      <c r="CV906" s="544"/>
      <c r="CW906" s="544"/>
      <c r="CX906" s="544"/>
    </row>
    <row r="907" s="431" customFormat="1" ht="31" customHeight="1" spans="1:102">
      <c r="A907" s="518">
        <v>45968</v>
      </c>
      <c r="B907" s="519" t="s">
        <v>467</v>
      </c>
      <c r="C907" s="520" t="s">
        <v>468</v>
      </c>
      <c r="D907" s="427">
        <v>4500184791</v>
      </c>
      <c r="E907" s="520">
        <v>50212600121</v>
      </c>
      <c r="F907" s="427" t="s">
        <v>5450</v>
      </c>
      <c r="G907" s="521" t="s">
        <v>3165</v>
      </c>
      <c r="H907" s="521" t="s">
        <v>3303</v>
      </c>
      <c r="I907" s="521">
        <v>11500</v>
      </c>
      <c r="J907" s="521">
        <v>0</v>
      </c>
      <c r="K907" s="521">
        <v>25</v>
      </c>
      <c r="L907" s="524">
        <f t="shared" si="341"/>
        <v>460</v>
      </c>
      <c r="M907" s="525">
        <v>46015</v>
      </c>
      <c r="N907" s="525">
        <v>46011</v>
      </c>
      <c r="O907" s="526"/>
      <c r="P907" s="526" t="s">
        <v>103</v>
      </c>
      <c r="Q907" s="521"/>
      <c r="R907" s="530">
        <v>45973</v>
      </c>
      <c r="S907" s="530" t="s">
        <v>96</v>
      </c>
      <c r="T907" s="530" t="s">
        <v>5451</v>
      </c>
      <c r="U907" s="530"/>
      <c r="V907" s="531" t="s">
        <v>5452</v>
      </c>
      <c r="W907" s="532" t="s">
        <v>473</v>
      </c>
      <c r="X907" s="532">
        <v>0.9142</v>
      </c>
      <c r="Y907" s="540">
        <f t="shared" ref="Y907:Y928" si="346">X907*I907</f>
        <v>10513.3</v>
      </c>
      <c r="Z907" s="521"/>
      <c r="AA907" s="521" t="s">
        <v>3165</v>
      </c>
      <c r="AB907" s="521" t="s">
        <v>76</v>
      </c>
      <c r="AC907" s="521"/>
      <c r="AD907" s="519"/>
      <c r="AE907" s="519">
        <v>1</v>
      </c>
      <c r="AF907" s="521">
        <v>11500</v>
      </c>
      <c r="AG907" s="521">
        <f t="shared" si="342"/>
        <v>0</v>
      </c>
      <c r="AH907" s="542"/>
      <c r="AI907" s="521" t="s">
        <v>2191</v>
      </c>
      <c r="AJ907" s="521"/>
      <c r="AK907" s="521"/>
      <c r="AL907" s="543">
        <f>I907</f>
        <v>11500</v>
      </c>
      <c r="AM907" s="628"/>
      <c r="AN907" s="628"/>
      <c r="AO907" s="630"/>
      <c r="AP907" s="628"/>
      <c r="AQ907" s="427">
        <f>I907</f>
        <v>11500</v>
      </c>
      <c r="AR907" s="628"/>
      <c r="AS907" s="543">
        <f>I907</f>
        <v>11500</v>
      </c>
      <c r="AT907" s="544"/>
      <c r="AU907" s="628"/>
      <c r="AV907" s="628"/>
      <c r="AW907" s="628"/>
      <c r="AX907" s="628"/>
      <c r="AY907" s="545">
        <f>I907/24*2</f>
        <v>958.333333333333</v>
      </c>
      <c r="AZ907" s="546"/>
      <c r="BA907" s="628"/>
      <c r="BB907" s="628"/>
      <c r="BC907" s="628"/>
      <c r="BD907" s="628"/>
      <c r="BE907" s="628"/>
      <c r="BF907" s="628"/>
      <c r="BG907" s="628"/>
      <c r="BH907" s="628"/>
      <c r="BI907" s="628"/>
      <c r="BJ907" s="628"/>
      <c r="BK907" s="628"/>
      <c r="BL907" s="427">
        <f>I907/25</f>
        <v>460</v>
      </c>
      <c r="BM907" s="628"/>
      <c r="BN907" s="628"/>
      <c r="BO907" s="628"/>
      <c r="BP907" s="628"/>
      <c r="BQ907" s="628"/>
      <c r="BR907" s="628"/>
      <c r="BS907" s="628"/>
      <c r="BT907" s="544"/>
      <c r="BU907" s="628"/>
      <c r="BV907" s="544"/>
      <c r="BW907" s="628"/>
      <c r="BX907" s="628"/>
      <c r="BY907" s="628"/>
      <c r="BZ907" s="628"/>
      <c r="CA907" s="628"/>
      <c r="CB907" s="628"/>
      <c r="CC907" s="628"/>
      <c r="CD907" s="628"/>
      <c r="CE907" s="628"/>
      <c r="CF907" s="628"/>
      <c r="CG907" s="628"/>
      <c r="CH907" s="628"/>
      <c r="CI907" s="628"/>
      <c r="CJ907" s="628"/>
      <c r="CK907" s="427">
        <f t="shared" ref="CK907:CK918" si="347">BM907+BL907+BK907+BJ907+BS907</f>
        <v>460</v>
      </c>
      <c r="CL907" s="427">
        <f t="shared" ref="CL907:CL926" si="348">CA907+CB907+CC907+CD907+CE907+CG907+CF907</f>
        <v>0</v>
      </c>
      <c r="CM907" s="427">
        <f t="shared" ref="CM907:CM926" si="349">BY907+BZ907</f>
        <v>0</v>
      </c>
      <c r="CN907" s="544"/>
      <c r="CO907" s="544"/>
      <c r="CP907" s="544"/>
      <c r="CT907" s="544"/>
      <c r="CU907" s="544"/>
      <c r="CV907" s="544"/>
      <c r="CW907" s="544"/>
      <c r="CX907" s="544"/>
    </row>
    <row r="908" s="431" customFormat="1" ht="31" customHeight="1" spans="1:102">
      <c r="A908" s="518">
        <v>45958</v>
      </c>
      <c r="B908" s="519" t="s">
        <v>2328</v>
      </c>
      <c r="C908" s="520" t="s">
        <v>90</v>
      </c>
      <c r="D908" s="427">
        <v>4500183330</v>
      </c>
      <c r="E908" s="520">
        <v>4864</v>
      </c>
      <c r="F908" s="427" t="s">
        <v>5453</v>
      </c>
      <c r="G908" s="521" t="s">
        <v>3154</v>
      </c>
      <c r="H908" s="521" t="s">
        <v>3151</v>
      </c>
      <c r="I908" s="521">
        <v>600</v>
      </c>
      <c r="J908" s="521">
        <v>0</v>
      </c>
      <c r="K908" s="521">
        <v>50</v>
      </c>
      <c r="L908" s="524">
        <f t="shared" si="341"/>
        <v>12</v>
      </c>
      <c r="M908" s="525">
        <v>46016</v>
      </c>
      <c r="N908" s="525">
        <v>46013</v>
      </c>
      <c r="O908" s="526"/>
      <c r="P908" s="526" t="s">
        <v>103</v>
      </c>
      <c r="Q908" s="521"/>
      <c r="R908" s="530">
        <v>45981</v>
      </c>
      <c r="S908" s="530" t="s">
        <v>66</v>
      </c>
      <c r="T908" s="530" t="s">
        <v>66</v>
      </c>
      <c r="U908" s="530"/>
      <c r="V908" s="532" t="s">
        <v>3964</v>
      </c>
      <c r="W908" s="532" t="s">
        <v>2331</v>
      </c>
      <c r="X908" s="532">
        <v>0.5633</v>
      </c>
      <c r="Y908" s="540">
        <f t="shared" si="346"/>
        <v>337.98</v>
      </c>
      <c r="Z908" s="521"/>
      <c r="AA908" s="521" t="s">
        <v>3154</v>
      </c>
      <c r="AB908" s="521" t="s">
        <v>76</v>
      </c>
      <c r="AC908" s="521"/>
      <c r="AD908" s="519"/>
      <c r="AE908" s="519">
        <v>1</v>
      </c>
      <c r="AF908" s="521">
        <v>600</v>
      </c>
      <c r="AG908" s="521">
        <f t="shared" si="342"/>
        <v>0</v>
      </c>
      <c r="AH908" s="542"/>
      <c r="AI908" s="521" t="s">
        <v>66</v>
      </c>
      <c r="AJ908" s="521"/>
      <c r="AK908" s="521">
        <f>I908</f>
        <v>600</v>
      </c>
      <c r="AL908" s="543"/>
      <c r="AM908" s="427">
        <f>I908</f>
        <v>600</v>
      </c>
      <c r="AN908" s="628"/>
      <c r="AO908" s="630"/>
      <c r="AP908" s="628"/>
      <c r="AQ908" s="628"/>
      <c r="AR908" s="427">
        <f>I908</f>
        <v>600</v>
      </c>
      <c r="AS908" s="543"/>
      <c r="AT908" s="544"/>
      <c r="AU908" s="628"/>
      <c r="AV908" s="628"/>
      <c r="AW908" s="628"/>
      <c r="AX908" s="628"/>
      <c r="AY908" s="545">
        <f>I908/24</f>
        <v>25</v>
      </c>
      <c r="AZ908" s="546"/>
      <c r="BA908" s="628"/>
      <c r="BB908" s="628"/>
      <c r="BC908" s="628"/>
      <c r="BD908" s="628"/>
      <c r="BE908" s="628"/>
      <c r="BF908" s="628"/>
      <c r="BG908" s="628"/>
      <c r="BH908" s="628"/>
      <c r="BI908" s="628"/>
      <c r="BJ908" s="427">
        <f>I908/25</f>
        <v>24</v>
      </c>
      <c r="BK908" s="628"/>
      <c r="BL908" s="628"/>
      <c r="BM908" s="628"/>
      <c r="BN908" s="628"/>
      <c r="BO908" s="628"/>
      <c r="BP908" s="628"/>
      <c r="BQ908" s="628"/>
      <c r="BR908" s="628"/>
      <c r="BS908" s="628"/>
      <c r="BT908" s="544"/>
      <c r="BU908" s="628"/>
      <c r="BV908" s="544"/>
      <c r="BW908" s="628"/>
      <c r="BX908" s="628"/>
      <c r="BY908" s="628"/>
      <c r="BZ908" s="628"/>
      <c r="CA908" s="628"/>
      <c r="CB908" s="628"/>
      <c r="CC908" s="628"/>
      <c r="CD908" s="628"/>
      <c r="CE908" s="628"/>
      <c r="CF908" s="628"/>
      <c r="CG908" s="628"/>
      <c r="CH908" s="628"/>
      <c r="CI908" s="628"/>
      <c r="CJ908" s="628"/>
      <c r="CK908" s="427">
        <f t="shared" si="347"/>
        <v>24</v>
      </c>
      <c r="CL908" s="427">
        <f t="shared" si="348"/>
        <v>0</v>
      </c>
      <c r="CM908" s="427">
        <f t="shared" si="349"/>
        <v>0</v>
      </c>
      <c r="CN908" s="544"/>
      <c r="CO908" s="544"/>
      <c r="CP908" s="544"/>
      <c r="CT908" s="544"/>
      <c r="CU908" s="544"/>
      <c r="CV908" s="544"/>
      <c r="CW908" s="544"/>
      <c r="CX908" s="544"/>
    </row>
    <row r="909" s="431" customFormat="1" ht="31" customHeight="1" spans="1:102">
      <c r="A909" s="518">
        <v>45912</v>
      </c>
      <c r="B909" s="519" t="s">
        <v>2332</v>
      </c>
      <c r="C909" s="520" t="s">
        <v>2118</v>
      </c>
      <c r="D909" s="427">
        <v>4500179365</v>
      </c>
      <c r="E909" s="520" t="s">
        <v>5454</v>
      </c>
      <c r="F909" s="427" t="s">
        <v>5455</v>
      </c>
      <c r="G909" s="521" t="s">
        <v>3161</v>
      </c>
      <c r="H909" s="521" t="s">
        <v>3221</v>
      </c>
      <c r="I909" s="521">
        <v>5000</v>
      </c>
      <c r="J909" s="521">
        <v>0</v>
      </c>
      <c r="K909" s="521">
        <v>50</v>
      </c>
      <c r="L909" s="524">
        <f t="shared" si="341"/>
        <v>100</v>
      </c>
      <c r="M909" s="525">
        <v>46016</v>
      </c>
      <c r="N909" s="525">
        <v>46013</v>
      </c>
      <c r="O909" s="526"/>
      <c r="P909" s="526" t="s">
        <v>103</v>
      </c>
      <c r="Q909" s="521"/>
      <c r="R909" s="530">
        <v>45919</v>
      </c>
      <c r="S909" s="530" t="s">
        <v>66</v>
      </c>
      <c r="T909" s="530" t="s">
        <v>2121</v>
      </c>
      <c r="U909" s="530"/>
      <c r="V909" s="532" t="s">
        <v>2335</v>
      </c>
      <c r="W909" s="532" t="s">
        <v>473</v>
      </c>
      <c r="X909" s="532">
        <v>0.9358</v>
      </c>
      <c r="Y909" s="540">
        <f t="shared" si="346"/>
        <v>4679</v>
      </c>
      <c r="Z909" s="521"/>
      <c r="AA909" s="519" t="s">
        <v>3161</v>
      </c>
      <c r="AB909" s="521" t="s">
        <v>76</v>
      </c>
      <c r="AC909" s="521"/>
      <c r="AD909" s="519" t="s">
        <v>3161</v>
      </c>
      <c r="AE909" s="519">
        <v>1</v>
      </c>
      <c r="AF909" s="521">
        <f>4950+50</f>
        <v>5000</v>
      </c>
      <c r="AG909" s="521">
        <f t="shared" si="342"/>
        <v>0</v>
      </c>
      <c r="AH909" s="542"/>
      <c r="AI909" s="521"/>
      <c r="AJ909" s="521"/>
      <c r="AK909" s="521"/>
      <c r="AL909" s="543">
        <f>I909</f>
        <v>5000</v>
      </c>
      <c r="AM909" s="628"/>
      <c r="AN909" s="628"/>
      <c r="AO909" s="630"/>
      <c r="AP909" s="628"/>
      <c r="AQ909" s="427">
        <f t="shared" ref="AQ909:AQ916" si="350">I909</f>
        <v>5000</v>
      </c>
      <c r="AR909" s="628"/>
      <c r="AS909" s="543">
        <f>I909</f>
        <v>5000</v>
      </c>
      <c r="AT909" s="544"/>
      <c r="AU909" s="628"/>
      <c r="AV909" s="628"/>
      <c r="AW909" s="628"/>
      <c r="AX909" s="628"/>
      <c r="AY909" s="545">
        <f>I909/24</f>
        <v>208.333333333333</v>
      </c>
      <c r="AZ909" s="546"/>
      <c r="BA909" s="628"/>
      <c r="BB909" s="628"/>
      <c r="BC909" s="628"/>
      <c r="BD909" s="628"/>
      <c r="BE909" s="628"/>
      <c r="BF909" s="628"/>
      <c r="BG909" s="628"/>
      <c r="BH909" s="628"/>
      <c r="BI909" s="628"/>
      <c r="BJ909" s="628"/>
      <c r="BK909" s="628"/>
      <c r="BL909" s="427">
        <f>I909/25</f>
        <v>200</v>
      </c>
      <c r="BM909" s="628"/>
      <c r="BN909" s="628"/>
      <c r="BO909" s="628"/>
      <c r="BP909" s="628"/>
      <c r="BQ909" s="628"/>
      <c r="BR909" s="628"/>
      <c r="BS909" s="628"/>
      <c r="BT909" s="544"/>
      <c r="BU909" s="628"/>
      <c r="BV909" s="544"/>
      <c r="BW909" s="628"/>
      <c r="BX909" s="628"/>
      <c r="BY909" s="628"/>
      <c r="BZ909" s="628"/>
      <c r="CA909" s="628"/>
      <c r="CB909" s="628"/>
      <c r="CC909" s="628"/>
      <c r="CD909" s="628"/>
      <c r="CE909" s="628"/>
      <c r="CF909" s="628"/>
      <c r="CG909" s="628"/>
      <c r="CH909" s="628"/>
      <c r="CI909" s="628"/>
      <c r="CJ909" s="628"/>
      <c r="CK909" s="427">
        <f t="shared" si="347"/>
        <v>200</v>
      </c>
      <c r="CL909" s="427">
        <f t="shared" si="348"/>
        <v>0</v>
      </c>
      <c r="CM909" s="427">
        <f t="shared" si="349"/>
        <v>0</v>
      </c>
      <c r="CN909" s="544"/>
      <c r="CO909" s="544"/>
      <c r="CP909" s="544"/>
      <c r="CT909" s="544"/>
      <c r="CU909" s="544"/>
      <c r="CV909" s="544"/>
      <c r="CW909" s="544"/>
      <c r="CX909" s="544"/>
    </row>
    <row r="910" s="431" customFormat="1" ht="31" customHeight="1" spans="1:102">
      <c r="A910" s="518">
        <v>45916</v>
      </c>
      <c r="B910" s="519" t="s">
        <v>650</v>
      </c>
      <c r="C910" s="520" t="s">
        <v>249</v>
      </c>
      <c r="D910" s="427">
        <v>4500179611</v>
      </c>
      <c r="E910" s="520" t="s">
        <v>2306</v>
      </c>
      <c r="F910" s="427" t="s">
        <v>5456</v>
      </c>
      <c r="G910" s="521" t="s">
        <v>3165</v>
      </c>
      <c r="H910" s="521" t="s">
        <v>3303</v>
      </c>
      <c r="I910" s="521">
        <v>17550</v>
      </c>
      <c r="J910" s="521">
        <v>0</v>
      </c>
      <c r="K910" s="521">
        <v>25</v>
      </c>
      <c r="L910" s="524">
        <f t="shared" si="341"/>
        <v>702</v>
      </c>
      <c r="M910" s="525">
        <v>46016</v>
      </c>
      <c r="N910" s="525">
        <v>46013</v>
      </c>
      <c r="O910" s="526"/>
      <c r="P910" s="526" t="s">
        <v>103</v>
      </c>
      <c r="Q910" s="521"/>
      <c r="R910" s="530">
        <v>45916</v>
      </c>
      <c r="S910" s="530" t="s">
        <v>66</v>
      </c>
      <c r="T910" s="530" t="s">
        <v>5457</v>
      </c>
      <c r="U910" s="530"/>
      <c r="V910" s="532" t="s">
        <v>5458</v>
      </c>
      <c r="W910" s="532" t="s">
        <v>1499</v>
      </c>
      <c r="X910" s="532">
        <v>0.9313</v>
      </c>
      <c r="Y910" s="540">
        <f t="shared" si="346"/>
        <v>16344.315</v>
      </c>
      <c r="Z910" s="521"/>
      <c r="AA910" s="521" t="s">
        <v>3165</v>
      </c>
      <c r="AB910" s="521" t="s">
        <v>76</v>
      </c>
      <c r="AC910" s="521"/>
      <c r="AD910" s="521"/>
      <c r="AE910" s="521">
        <v>1</v>
      </c>
      <c r="AF910" s="521">
        <f>7650+9900</f>
        <v>17550</v>
      </c>
      <c r="AG910" s="521">
        <f t="shared" si="342"/>
        <v>0</v>
      </c>
      <c r="AH910" s="542"/>
      <c r="AI910" s="521" t="s">
        <v>2191</v>
      </c>
      <c r="AJ910" s="521"/>
      <c r="AK910" s="521"/>
      <c r="AL910" s="543">
        <f>I910</f>
        <v>17550</v>
      </c>
      <c r="AM910" s="628"/>
      <c r="AN910" s="628"/>
      <c r="AO910" s="630"/>
      <c r="AP910" s="628"/>
      <c r="AQ910" s="427">
        <f t="shared" si="350"/>
        <v>17550</v>
      </c>
      <c r="AR910" s="628"/>
      <c r="AS910" s="543">
        <f>I910</f>
        <v>17550</v>
      </c>
      <c r="AT910" s="544"/>
      <c r="AU910" s="628"/>
      <c r="AV910" s="628"/>
      <c r="AW910" s="628"/>
      <c r="AX910" s="628"/>
      <c r="AY910" s="545">
        <f>I910/24*2</f>
        <v>1462.5</v>
      </c>
      <c r="AZ910" s="546"/>
      <c r="BA910" s="628"/>
      <c r="BB910" s="628"/>
      <c r="BC910" s="628"/>
      <c r="BD910" s="628"/>
      <c r="BE910" s="628"/>
      <c r="BF910" s="628"/>
      <c r="BG910" s="628"/>
      <c r="BH910" s="628"/>
      <c r="BI910" s="628"/>
      <c r="BJ910" s="628"/>
      <c r="BK910" s="628"/>
      <c r="BL910" s="427">
        <f>I910/25</f>
        <v>702</v>
      </c>
      <c r="BM910" s="628"/>
      <c r="BN910" s="628"/>
      <c r="BO910" s="628"/>
      <c r="BP910" s="628"/>
      <c r="BQ910" s="628"/>
      <c r="BR910" s="628"/>
      <c r="BS910" s="628"/>
      <c r="BT910" s="544"/>
      <c r="BU910" s="628"/>
      <c r="BV910" s="544"/>
      <c r="BW910" s="628"/>
      <c r="BX910" s="628"/>
      <c r="BY910" s="628"/>
      <c r="BZ910" s="628"/>
      <c r="CA910" s="628"/>
      <c r="CB910" s="628"/>
      <c r="CC910" s="628"/>
      <c r="CD910" s="628"/>
      <c r="CE910" s="628"/>
      <c r="CF910" s="628"/>
      <c r="CG910" s="628"/>
      <c r="CH910" s="628"/>
      <c r="CI910" s="628"/>
      <c r="CJ910" s="628"/>
      <c r="CK910" s="427">
        <f t="shared" si="347"/>
        <v>702</v>
      </c>
      <c r="CL910" s="427">
        <f t="shared" si="348"/>
        <v>0</v>
      </c>
      <c r="CM910" s="427">
        <f t="shared" si="349"/>
        <v>0</v>
      </c>
      <c r="CN910" s="544"/>
      <c r="CO910" s="544"/>
      <c r="CP910" s="544"/>
      <c r="CT910" s="544"/>
      <c r="CU910" s="544"/>
      <c r="CV910" s="544"/>
      <c r="CW910" s="544"/>
      <c r="CX910" s="544"/>
    </row>
    <row r="911" s="431" customFormat="1" ht="31" customHeight="1" spans="1:102">
      <c r="A911" s="518">
        <v>45916</v>
      </c>
      <c r="B911" s="519" t="s">
        <v>650</v>
      </c>
      <c r="C911" s="520" t="s">
        <v>249</v>
      </c>
      <c r="D911" s="427">
        <v>4500179611</v>
      </c>
      <c r="E911" s="520" t="s">
        <v>2309</v>
      </c>
      <c r="F911" s="427" t="s">
        <v>5459</v>
      </c>
      <c r="G911" s="521" t="s">
        <v>3165</v>
      </c>
      <c r="H911" s="521" t="s">
        <v>3303</v>
      </c>
      <c r="I911" s="521">
        <v>17550</v>
      </c>
      <c r="J911" s="521">
        <v>0</v>
      </c>
      <c r="K911" s="521">
        <v>25</v>
      </c>
      <c r="L911" s="524">
        <f t="shared" si="341"/>
        <v>702</v>
      </c>
      <c r="M911" s="525">
        <v>46016</v>
      </c>
      <c r="N911" s="525">
        <v>46013</v>
      </c>
      <c r="O911" s="526"/>
      <c r="P911" s="526" t="s">
        <v>103</v>
      </c>
      <c r="Q911" s="521"/>
      <c r="R911" s="530">
        <v>45916</v>
      </c>
      <c r="S911" s="530" t="s">
        <v>66</v>
      </c>
      <c r="T911" s="530" t="s">
        <v>5457</v>
      </c>
      <c r="U911" s="530"/>
      <c r="V911" s="532" t="s">
        <v>5458</v>
      </c>
      <c r="W911" s="532" t="s">
        <v>1499</v>
      </c>
      <c r="X911" s="532">
        <v>0.9245</v>
      </c>
      <c r="Y911" s="540">
        <f t="shared" si="346"/>
        <v>16224.975</v>
      </c>
      <c r="Z911" s="521"/>
      <c r="AA911" s="521" t="s">
        <v>3165</v>
      </c>
      <c r="AB911" s="521" t="s">
        <v>76</v>
      </c>
      <c r="AC911" s="521"/>
      <c r="AD911" s="521"/>
      <c r="AE911" s="521">
        <v>1</v>
      </c>
      <c r="AF911" s="521">
        <v>17550</v>
      </c>
      <c r="AG911" s="521">
        <f t="shared" si="342"/>
        <v>0</v>
      </c>
      <c r="AH911" s="542"/>
      <c r="AI911" s="521" t="s">
        <v>2191</v>
      </c>
      <c r="AJ911" s="521"/>
      <c r="AK911" s="521"/>
      <c r="AL911" s="543">
        <f>I911</f>
        <v>17550</v>
      </c>
      <c r="AM911" s="628"/>
      <c r="AN911" s="628"/>
      <c r="AO911" s="630"/>
      <c r="AP911" s="628"/>
      <c r="AQ911" s="427">
        <f t="shared" si="350"/>
        <v>17550</v>
      </c>
      <c r="AR911" s="628"/>
      <c r="AS911" s="543">
        <f>I911</f>
        <v>17550</v>
      </c>
      <c r="AT911" s="544"/>
      <c r="AU911" s="628"/>
      <c r="AV911" s="628"/>
      <c r="AW911" s="628"/>
      <c r="AX911" s="628"/>
      <c r="AY911" s="545">
        <f>I911/24*2</f>
        <v>1462.5</v>
      </c>
      <c r="AZ911" s="546"/>
      <c r="BA911" s="628"/>
      <c r="BB911" s="628"/>
      <c r="BC911" s="628"/>
      <c r="BD911" s="628"/>
      <c r="BE911" s="628"/>
      <c r="BF911" s="628"/>
      <c r="BG911" s="628"/>
      <c r="BH911" s="628"/>
      <c r="BI911" s="628"/>
      <c r="BJ911" s="628"/>
      <c r="BK911" s="628"/>
      <c r="BL911" s="427">
        <f>I911/25</f>
        <v>702</v>
      </c>
      <c r="BM911" s="628"/>
      <c r="BN911" s="628"/>
      <c r="BO911" s="628"/>
      <c r="BP911" s="628"/>
      <c r="BQ911" s="628"/>
      <c r="BR911" s="628"/>
      <c r="BS911" s="628"/>
      <c r="BT911" s="544"/>
      <c r="BU911" s="628"/>
      <c r="BV911" s="544"/>
      <c r="BW911" s="628"/>
      <c r="BX911" s="628"/>
      <c r="BY911" s="628"/>
      <c r="BZ911" s="628"/>
      <c r="CA911" s="628"/>
      <c r="CB911" s="628"/>
      <c r="CC911" s="628"/>
      <c r="CD911" s="628"/>
      <c r="CE911" s="628"/>
      <c r="CF911" s="628"/>
      <c r="CG911" s="628"/>
      <c r="CH911" s="628"/>
      <c r="CI911" s="628"/>
      <c r="CJ911" s="628"/>
      <c r="CK911" s="427">
        <f t="shared" si="347"/>
        <v>702</v>
      </c>
      <c r="CL911" s="427">
        <f t="shared" si="348"/>
        <v>0</v>
      </c>
      <c r="CM911" s="427">
        <f t="shared" si="349"/>
        <v>0</v>
      </c>
      <c r="CN911" s="544"/>
      <c r="CO911" s="544"/>
      <c r="CP911" s="544"/>
      <c r="CT911" s="544"/>
      <c r="CU911" s="544"/>
      <c r="CV911" s="544"/>
      <c r="CW911" s="544"/>
      <c r="CX911" s="544"/>
    </row>
    <row r="912" s="431" customFormat="1" ht="31" customHeight="1" spans="1:102">
      <c r="A912" s="518">
        <v>45954</v>
      </c>
      <c r="B912" s="595" t="s">
        <v>2316</v>
      </c>
      <c r="C912" s="596" t="s">
        <v>2317</v>
      </c>
      <c r="D912" s="427">
        <v>4500182689</v>
      </c>
      <c r="E912" s="520" t="s">
        <v>2318</v>
      </c>
      <c r="F912" s="427" t="s">
        <v>5460</v>
      </c>
      <c r="G912" s="521" t="s">
        <v>3158</v>
      </c>
      <c r="H912" s="521" t="s">
        <v>3159</v>
      </c>
      <c r="I912" s="521">
        <v>1976</v>
      </c>
      <c r="J912" s="521">
        <v>0</v>
      </c>
      <c r="K912" s="521">
        <v>52</v>
      </c>
      <c r="L912" s="524">
        <f t="shared" si="341"/>
        <v>38</v>
      </c>
      <c r="M912" s="525">
        <v>46017</v>
      </c>
      <c r="N912" s="525">
        <v>46013</v>
      </c>
      <c r="O912" s="526"/>
      <c r="P912" s="526" t="s">
        <v>103</v>
      </c>
      <c r="Q912" s="521"/>
      <c r="R912" s="530">
        <v>45959</v>
      </c>
      <c r="S912" s="530" t="s">
        <v>66</v>
      </c>
      <c r="T912" s="530" t="s">
        <v>5461</v>
      </c>
      <c r="U912" s="530"/>
      <c r="V912" s="532" t="s">
        <v>5462</v>
      </c>
      <c r="W912" s="598" t="s">
        <v>2322</v>
      </c>
      <c r="X912" s="536">
        <v>0.9129</v>
      </c>
      <c r="Y912" s="540">
        <f t="shared" si="346"/>
        <v>1803.8904</v>
      </c>
      <c r="Z912" s="521"/>
      <c r="AA912" s="521" t="s">
        <v>3158</v>
      </c>
      <c r="AB912" s="521" t="s">
        <v>76</v>
      </c>
      <c r="AC912" s="521"/>
      <c r="AD912" s="521"/>
      <c r="AE912" s="521">
        <v>1</v>
      </c>
      <c r="AF912" s="521">
        <v>1976</v>
      </c>
      <c r="AG912" s="521">
        <f t="shared" si="342"/>
        <v>0</v>
      </c>
      <c r="AH912" s="542"/>
      <c r="AI912" s="521"/>
      <c r="AJ912" s="521"/>
      <c r="AK912" s="521"/>
      <c r="AL912" s="543">
        <f>I912</f>
        <v>1976</v>
      </c>
      <c r="AM912" s="628"/>
      <c r="AN912" s="628"/>
      <c r="AO912" s="630"/>
      <c r="AP912" s="628"/>
      <c r="AQ912" s="427">
        <f t="shared" si="350"/>
        <v>1976</v>
      </c>
      <c r="AR912" s="543"/>
      <c r="AS912" s="543">
        <f>I912</f>
        <v>1976</v>
      </c>
      <c r="AT912" s="544"/>
      <c r="AU912" s="543"/>
      <c r="AV912" s="628"/>
      <c r="AW912" s="628"/>
      <c r="AX912" s="628"/>
      <c r="AY912" s="545">
        <f>I912/24</f>
        <v>82.3333333333333</v>
      </c>
      <c r="AZ912" s="546"/>
      <c r="BA912" s="628"/>
      <c r="BB912" s="628"/>
      <c r="BC912" s="628"/>
      <c r="BD912" s="628"/>
      <c r="BE912" s="628"/>
      <c r="BF912" s="628"/>
      <c r="BG912" s="628"/>
      <c r="BH912" s="628"/>
      <c r="BI912" s="427">
        <f>I912/13</f>
        <v>152</v>
      </c>
      <c r="BJ912" s="628"/>
      <c r="BK912" s="628"/>
      <c r="BL912" s="628"/>
      <c r="BM912" s="628"/>
      <c r="BN912" s="628"/>
      <c r="BO912" s="628"/>
      <c r="BP912" s="628"/>
      <c r="BQ912" s="628"/>
      <c r="BR912" s="628"/>
      <c r="BS912" s="628"/>
      <c r="BT912" s="544"/>
      <c r="BU912" s="628"/>
      <c r="BV912" s="544"/>
      <c r="BW912" s="628"/>
      <c r="BX912" s="628"/>
      <c r="BY912" s="628"/>
      <c r="BZ912" s="628"/>
      <c r="CA912" s="628"/>
      <c r="CB912" s="628"/>
      <c r="CC912" s="628"/>
      <c r="CD912" s="628"/>
      <c r="CE912" s="628"/>
      <c r="CF912" s="628"/>
      <c r="CG912" s="628"/>
      <c r="CH912" s="628"/>
      <c r="CI912" s="628"/>
      <c r="CJ912" s="628"/>
      <c r="CK912" s="427">
        <f t="shared" si="347"/>
        <v>0</v>
      </c>
      <c r="CL912" s="427">
        <f t="shared" si="348"/>
        <v>0</v>
      </c>
      <c r="CM912" s="427">
        <f t="shared" si="349"/>
        <v>0</v>
      </c>
      <c r="CN912" s="544"/>
      <c r="CO912" s="544"/>
      <c r="CP912" s="544"/>
      <c r="CT912" s="544"/>
      <c r="CU912" s="544"/>
      <c r="CV912" s="544"/>
      <c r="CW912" s="544"/>
      <c r="CX912" s="544"/>
    </row>
    <row r="913" s="431" customFormat="1" ht="31" customHeight="1" spans="1:102">
      <c r="A913" s="518">
        <v>45905</v>
      </c>
      <c r="B913" s="519" t="s">
        <v>1669</v>
      </c>
      <c r="C913" s="520" t="s">
        <v>663</v>
      </c>
      <c r="D913" s="427">
        <v>4500178919</v>
      </c>
      <c r="E913" s="520">
        <v>5000001988</v>
      </c>
      <c r="F913" s="427" t="s">
        <v>2313</v>
      </c>
      <c r="G913" s="521" t="s">
        <v>3436</v>
      </c>
      <c r="H913" s="521" t="s">
        <v>424</v>
      </c>
      <c r="I913" s="521">
        <v>9996</v>
      </c>
      <c r="J913" s="521">
        <v>0</v>
      </c>
      <c r="K913" s="521">
        <v>6</v>
      </c>
      <c r="L913" s="524">
        <f t="shared" si="341"/>
        <v>1666</v>
      </c>
      <c r="M913" s="525">
        <v>46017</v>
      </c>
      <c r="N913" s="525">
        <v>46013</v>
      </c>
      <c r="O913" s="526"/>
      <c r="P913" s="526" t="s">
        <v>103</v>
      </c>
      <c r="Q913" s="521"/>
      <c r="R913" s="530">
        <v>45960</v>
      </c>
      <c r="S913" s="530" t="s">
        <v>66</v>
      </c>
      <c r="T913" s="530" t="s">
        <v>5063</v>
      </c>
      <c r="U913" s="530"/>
      <c r="V913" s="531" t="s">
        <v>2538</v>
      </c>
      <c r="W913" s="532" t="s">
        <v>1674</v>
      </c>
      <c r="X913" s="532">
        <v>6.3409</v>
      </c>
      <c r="Y913" s="540">
        <f t="shared" si="346"/>
        <v>63383.6364</v>
      </c>
      <c r="Z913" s="521"/>
      <c r="AA913" s="615" t="s">
        <v>2069</v>
      </c>
      <c r="AB913" s="521" t="s">
        <v>76</v>
      </c>
      <c r="AC913" s="521"/>
      <c r="AD913" s="600"/>
      <c r="AE913" s="600">
        <v>1</v>
      </c>
      <c r="AF913" s="521"/>
      <c r="AG913" s="521">
        <f t="shared" si="342"/>
        <v>-9996</v>
      </c>
      <c r="AH913" s="542"/>
      <c r="AI913" s="521" t="s">
        <v>403</v>
      </c>
      <c r="AJ913" s="521"/>
      <c r="AK913" s="521"/>
      <c r="AL913" s="543">
        <f>I913*2</f>
        <v>19992</v>
      </c>
      <c r="AM913" s="628"/>
      <c r="AN913" s="628"/>
      <c r="AO913" s="630"/>
      <c r="AP913" s="628"/>
      <c r="AQ913" s="427">
        <f t="shared" si="350"/>
        <v>9996</v>
      </c>
      <c r="AR913" s="628"/>
      <c r="AS913" s="543"/>
      <c r="AT913" s="544"/>
      <c r="AU913" s="427">
        <f>I913*2</f>
        <v>19992</v>
      </c>
      <c r="AV913" s="628"/>
      <c r="AW913" s="628"/>
      <c r="AX913" s="602">
        <f>I913/24*2</f>
        <v>833</v>
      </c>
      <c r="AY913" s="603"/>
      <c r="AZ913" s="546"/>
      <c r="BA913" s="628"/>
      <c r="BB913" s="628"/>
      <c r="BC913" s="628"/>
      <c r="BD913" s="628"/>
      <c r="BE913" s="628"/>
      <c r="BF913" s="628"/>
      <c r="BG913" s="628"/>
      <c r="BH913" s="628"/>
      <c r="BI913" s="628"/>
      <c r="BJ913" s="628"/>
      <c r="BK913" s="628"/>
      <c r="BL913" s="628"/>
      <c r="BM913" s="628"/>
      <c r="BN913" s="628"/>
      <c r="BO913" s="628"/>
      <c r="BP913" s="628"/>
      <c r="BQ913" s="628"/>
      <c r="BR913" s="628"/>
      <c r="BS913" s="628"/>
      <c r="BT913" s="495"/>
      <c r="BU913" s="425">
        <f>I913</f>
        <v>9996</v>
      </c>
      <c r="BV913" s="544"/>
      <c r="BW913" s="628"/>
      <c r="BX913" s="628"/>
      <c r="BY913" s="628"/>
      <c r="BZ913" s="628"/>
      <c r="CA913" s="628"/>
      <c r="CB913" s="628"/>
      <c r="CC913" s="628"/>
      <c r="CD913" s="628"/>
      <c r="CE913" s="628"/>
      <c r="CF913" s="628"/>
      <c r="CG913" s="628"/>
      <c r="CH913" s="628"/>
      <c r="CI913" s="628"/>
      <c r="CJ913" s="628"/>
      <c r="CK913" s="427">
        <f t="shared" si="347"/>
        <v>0</v>
      </c>
      <c r="CL913" s="427">
        <f t="shared" si="348"/>
        <v>0</v>
      </c>
      <c r="CM913" s="427">
        <f t="shared" si="349"/>
        <v>0</v>
      </c>
      <c r="CN913" s="544"/>
      <c r="CO913" s="544"/>
      <c r="CP913" s="544"/>
      <c r="CQ913" s="427"/>
      <c r="CR913" s="427"/>
      <c r="CS913" s="427"/>
      <c r="CT913" s="544"/>
      <c r="CU913" s="544"/>
      <c r="CV913" s="544"/>
      <c r="CW913" s="544"/>
      <c r="CX913" s="544"/>
    </row>
    <row r="914" s="431" customFormat="1" ht="31" customHeight="1" spans="1:102">
      <c r="A914" s="518">
        <v>45965</v>
      </c>
      <c r="B914" s="519" t="s">
        <v>1419</v>
      </c>
      <c r="C914" s="520" t="s">
        <v>231</v>
      </c>
      <c r="D914" s="427">
        <v>4500184259</v>
      </c>
      <c r="E914" s="520">
        <v>4400515790</v>
      </c>
      <c r="F914" s="427" t="s">
        <v>5463</v>
      </c>
      <c r="G914" s="521" t="s">
        <v>3165</v>
      </c>
      <c r="H914" s="521" t="s">
        <v>3303</v>
      </c>
      <c r="I914" s="521">
        <v>4000</v>
      </c>
      <c r="J914" s="521">
        <v>0</v>
      </c>
      <c r="K914" s="521">
        <v>25</v>
      </c>
      <c r="L914" s="524">
        <f t="shared" si="341"/>
        <v>160</v>
      </c>
      <c r="M914" s="525">
        <v>46017</v>
      </c>
      <c r="N914" s="525">
        <v>46013</v>
      </c>
      <c r="O914" s="526"/>
      <c r="P914" s="526" t="s">
        <v>103</v>
      </c>
      <c r="Q914" s="521"/>
      <c r="R914" s="530">
        <v>45965</v>
      </c>
      <c r="S914" s="530" t="s">
        <v>66</v>
      </c>
      <c r="T914" s="530" t="s">
        <v>5352</v>
      </c>
      <c r="U914" s="530"/>
      <c r="V914" s="532" t="s">
        <v>5464</v>
      </c>
      <c r="W914" s="532" t="s">
        <v>1424</v>
      </c>
      <c r="X914" s="532">
        <v>0.9245</v>
      </c>
      <c r="Y914" s="540">
        <f t="shared" si="346"/>
        <v>3698</v>
      </c>
      <c r="Z914" s="521"/>
      <c r="AA914" s="521" t="s">
        <v>3165</v>
      </c>
      <c r="AB914" s="521" t="s">
        <v>76</v>
      </c>
      <c r="AC914" s="521"/>
      <c r="AD914" s="600"/>
      <c r="AE914" s="600">
        <v>1</v>
      </c>
      <c r="AF914" s="521">
        <f>3975+25</f>
        <v>4000</v>
      </c>
      <c r="AG914" s="521">
        <f t="shared" si="342"/>
        <v>0</v>
      </c>
      <c r="AH914" s="521"/>
      <c r="AI914" s="542" t="s">
        <v>2191</v>
      </c>
      <c r="AJ914" s="521"/>
      <c r="AK914" s="521"/>
      <c r="AL914" s="543">
        <f>I914</f>
        <v>4000</v>
      </c>
      <c r="AM914" s="628"/>
      <c r="AN914" s="628"/>
      <c r="AO914" s="630"/>
      <c r="AP914" s="628"/>
      <c r="AQ914" s="427">
        <f t="shared" si="350"/>
        <v>4000</v>
      </c>
      <c r="AR914" s="628"/>
      <c r="AS914" s="543">
        <f>I914</f>
        <v>4000</v>
      </c>
      <c r="AT914" s="544"/>
      <c r="AU914" s="628"/>
      <c r="AV914" s="628"/>
      <c r="AW914" s="628"/>
      <c r="AX914" s="602"/>
      <c r="AY914" s="545">
        <f>I914/24*2</f>
        <v>333.333333333333</v>
      </c>
      <c r="AZ914" s="546"/>
      <c r="BA914" s="628"/>
      <c r="BB914" s="628"/>
      <c r="BC914" s="628"/>
      <c r="BD914" s="628"/>
      <c r="BE914" s="628"/>
      <c r="BF914" s="628"/>
      <c r="BG914" s="628"/>
      <c r="BH914" s="628"/>
      <c r="BI914" s="628"/>
      <c r="BJ914" s="628"/>
      <c r="BK914" s="628"/>
      <c r="BL914" s="427">
        <f>I914/25</f>
        <v>160</v>
      </c>
      <c r="BM914" s="628"/>
      <c r="BN914" s="628"/>
      <c r="BO914" s="628"/>
      <c r="BP914" s="628"/>
      <c r="BQ914" s="628"/>
      <c r="BR914" s="628"/>
      <c r="BS914" s="628"/>
      <c r="BT914" s="544"/>
      <c r="BU914" s="628"/>
      <c r="BV914" s="544"/>
      <c r="BW914" s="628"/>
      <c r="BX914" s="628"/>
      <c r="BY914" s="628"/>
      <c r="BZ914" s="628"/>
      <c r="CA914" s="628"/>
      <c r="CB914" s="628"/>
      <c r="CC914" s="628"/>
      <c r="CD914" s="628"/>
      <c r="CE914" s="628"/>
      <c r="CF914" s="628"/>
      <c r="CG914" s="628"/>
      <c r="CH914" s="628"/>
      <c r="CI914" s="628"/>
      <c r="CJ914" s="628"/>
      <c r="CK914" s="427">
        <f t="shared" si="347"/>
        <v>160</v>
      </c>
      <c r="CL914" s="427">
        <f t="shared" si="348"/>
        <v>0</v>
      </c>
      <c r="CM914" s="427">
        <f t="shared" si="349"/>
        <v>0</v>
      </c>
      <c r="CN914" s="544"/>
      <c r="CO914" s="544"/>
      <c r="CP914" s="544"/>
      <c r="CT914" s="544"/>
      <c r="CU914" s="544"/>
      <c r="CV914" s="544"/>
      <c r="CW914" s="544"/>
      <c r="CX914" s="544"/>
    </row>
    <row r="915" s="431" customFormat="1" ht="31" customHeight="1" spans="1:102">
      <c r="A915" s="518">
        <v>45905</v>
      </c>
      <c r="B915" s="519" t="s">
        <v>1669</v>
      </c>
      <c r="C915" s="520" t="s">
        <v>663</v>
      </c>
      <c r="D915" s="427">
        <v>4500178919</v>
      </c>
      <c r="E915" s="520">
        <v>5000001988</v>
      </c>
      <c r="F915" s="427" t="s">
        <v>2315</v>
      </c>
      <c r="G915" s="521" t="s">
        <v>3436</v>
      </c>
      <c r="H915" s="521" t="s">
        <v>424</v>
      </c>
      <c r="I915" s="521">
        <v>2004</v>
      </c>
      <c r="J915" s="521">
        <v>0</v>
      </c>
      <c r="K915" s="521">
        <v>6</v>
      </c>
      <c r="L915" s="524">
        <f t="shared" si="341"/>
        <v>334</v>
      </c>
      <c r="M915" s="525">
        <v>46017</v>
      </c>
      <c r="N915" s="525">
        <v>46013</v>
      </c>
      <c r="O915" s="526"/>
      <c r="P915" s="526" t="s">
        <v>103</v>
      </c>
      <c r="Q915" s="521"/>
      <c r="R915" s="530">
        <v>45960</v>
      </c>
      <c r="S915" s="530" t="s">
        <v>66</v>
      </c>
      <c r="T915" s="530" t="s">
        <v>5063</v>
      </c>
      <c r="U915" s="530"/>
      <c r="V915" s="531" t="s">
        <v>2538</v>
      </c>
      <c r="W915" s="532" t="s">
        <v>1674</v>
      </c>
      <c r="X915" s="532">
        <v>6.3409</v>
      </c>
      <c r="Y915" s="540">
        <f t="shared" si="346"/>
        <v>12707.1636</v>
      </c>
      <c r="Z915" s="521"/>
      <c r="AA915" s="615" t="s">
        <v>2069</v>
      </c>
      <c r="AB915" s="521" t="s">
        <v>76</v>
      </c>
      <c r="AC915" s="521"/>
      <c r="AD915" s="600"/>
      <c r="AE915" s="600">
        <v>1</v>
      </c>
      <c r="AF915" s="521"/>
      <c r="AG915" s="521">
        <f t="shared" si="342"/>
        <v>-2004</v>
      </c>
      <c r="AH915" s="521"/>
      <c r="AI915" s="521" t="s">
        <v>403</v>
      </c>
      <c r="AJ915" s="521"/>
      <c r="AK915" s="521"/>
      <c r="AL915" s="543">
        <f>I915*2</f>
        <v>4008</v>
      </c>
      <c r="AM915" s="628"/>
      <c r="AN915" s="628"/>
      <c r="AO915" s="630"/>
      <c r="AP915" s="628"/>
      <c r="AQ915" s="427">
        <f t="shared" si="350"/>
        <v>2004</v>
      </c>
      <c r="AR915" s="628"/>
      <c r="AS915" s="543"/>
      <c r="AT915" s="544"/>
      <c r="AU915" s="427">
        <f>I915*2</f>
        <v>4008</v>
      </c>
      <c r="AV915" s="628"/>
      <c r="AW915" s="628"/>
      <c r="AX915" s="602">
        <f>I915/24*2</f>
        <v>167</v>
      </c>
      <c r="AY915" s="603"/>
      <c r="AZ915" s="546"/>
      <c r="BA915" s="628"/>
      <c r="BB915" s="628"/>
      <c r="BC915" s="628"/>
      <c r="BD915" s="628"/>
      <c r="BE915" s="628"/>
      <c r="BF915" s="628"/>
      <c r="BG915" s="628"/>
      <c r="BH915" s="628"/>
      <c r="BI915" s="628"/>
      <c r="BJ915" s="628"/>
      <c r="BK915" s="628"/>
      <c r="BL915" s="628"/>
      <c r="BM915" s="628"/>
      <c r="BN915" s="628"/>
      <c r="BO915" s="628"/>
      <c r="BP915" s="628"/>
      <c r="BQ915" s="628"/>
      <c r="BR915" s="628"/>
      <c r="BS915" s="628"/>
      <c r="BT915" s="544"/>
      <c r="BU915" s="427"/>
      <c r="BV915" s="544">
        <f>I915</f>
        <v>2004</v>
      </c>
      <c r="BW915" s="628"/>
      <c r="BX915" s="628"/>
      <c r="BY915" s="628"/>
      <c r="BZ915" s="628"/>
      <c r="CA915" s="628"/>
      <c r="CB915" s="628"/>
      <c r="CC915" s="628"/>
      <c r="CD915" s="628"/>
      <c r="CE915" s="628"/>
      <c r="CF915" s="628"/>
      <c r="CG915" s="628"/>
      <c r="CH915" s="628"/>
      <c r="CI915" s="628"/>
      <c r="CJ915" s="628"/>
      <c r="CK915" s="427">
        <f t="shared" si="347"/>
        <v>0</v>
      </c>
      <c r="CL915" s="427">
        <f t="shared" si="348"/>
        <v>0</v>
      </c>
      <c r="CM915" s="427">
        <f t="shared" si="349"/>
        <v>0</v>
      </c>
      <c r="CN915" s="544"/>
      <c r="CO915" s="544"/>
      <c r="CP915" s="544"/>
      <c r="CQ915" s="427"/>
      <c r="CR915" s="427"/>
      <c r="CS915" s="427"/>
      <c r="CT915" s="544"/>
      <c r="CU915" s="544"/>
      <c r="CV915" s="544"/>
      <c r="CW915" s="544"/>
      <c r="CX915" s="544"/>
    </row>
    <row r="916" s="431" customFormat="1" ht="31" customHeight="1" spans="1:102">
      <c r="A916" s="518">
        <v>45979</v>
      </c>
      <c r="B916" s="519" t="s">
        <v>1669</v>
      </c>
      <c r="C916" s="520" t="s">
        <v>663</v>
      </c>
      <c r="D916" s="427">
        <v>4500185221</v>
      </c>
      <c r="E916" s="520">
        <v>5000002057</v>
      </c>
      <c r="F916" s="427" t="s">
        <v>5465</v>
      </c>
      <c r="G916" s="521" t="s">
        <v>3206</v>
      </c>
      <c r="H916" s="521" t="s">
        <v>4939</v>
      </c>
      <c r="I916" s="521">
        <v>10010</v>
      </c>
      <c r="J916" s="521">
        <v>0</v>
      </c>
      <c r="K916" s="521">
        <v>13</v>
      </c>
      <c r="L916" s="524">
        <f t="shared" si="341"/>
        <v>770</v>
      </c>
      <c r="M916" s="525">
        <v>46020</v>
      </c>
      <c r="N916" s="525">
        <v>46016</v>
      </c>
      <c r="O916" s="526"/>
      <c r="P916" s="526" t="s">
        <v>103</v>
      </c>
      <c r="Q916" s="521"/>
      <c r="R916" s="530" t="s">
        <v>4940</v>
      </c>
      <c r="S916" s="530" t="s">
        <v>96</v>
      </c>
      <c r="T916" s="530" t="s">
        <v>5153</v>
      </c>
      <c r="U916" s="530"/>
      <c r="V916" s="531" t="s">
        <v>5466</v>
      </c>
      <c r="W916" s="532" t="s">
        <v>1674</v>
      </c>
      <c r="X916" s="532">
        <v>0.882</v>
      </c>
      <c r="Y916" s="540">
        <f t="shared" si="346"/>
        <v>8828.82</v>
      </c>
      <c r="Z916" s="521"/>
      <c r="AA916" s="594" t="s">
        <v>5467</v>
      </c>
      <c r="AB916" s="521" t="s">
        <v>76</v>
      </c>
      <c r="AC916" s="521"/>
      <c r="AD916" s="519"/>
      <c r="AE916" s="519">
        <v>1</v>
      </c>
      <c r="AF916" s="521">
        <f>9971+39</f>
        <v>10010</v>
      </c>
      <c r="AG916" s="521">
        <f t="shared" si="342"/>
        <v>0</v>
      </c>
      <c r="AH916" s="542"/>
      <c r="AI916" s="521" t="s">
        <v>2191</v>
      </c>
      <c r="AJ916" s="521"/>
      <c r="AK916" s="521"/>
      <c r="AL916" s="543">
        <f>I916</f>
        <v>10010</v>
      </c>
      <c r="AM916" s="425"/>
      <c r="AN916" s="425"/>
      <c r="AO916" s="495"/>
      <c r="AP916" s="425"/>
      <c r="AQ916" s="427">
        <f t="shared" si="350"/>
        <v>10010</v>
      </c>
      <c r="AR916" s="427"/>
      <c r="AS916" s="543"/>
      <c r="AT916" s="544"/>
      <c r="AU916" s="427">
        <f>I916*2</f>
        <v>20020</v>
      </c>
      <c r="AV916" s="427"/>
      <c r="AW916" s="427"/>
      <c r="AX916" s="427">
        <f>I916/13</f>
        <v>770</v>
      </c>
      <c r="AY916" s="545"/>
      <c r="AZ916" s="546"/>
      <c r="BA916" s="427"/>
      <c r="BB916" s="427"/>
      <c r="BC916" s="427"/>
      <c r="BD916" s="427"/>
      <c r="BE916" s="427"/>
      <c r="BF916" s="427"/>
      <c r="BG916" s="427"/>
      <c r="BH916" s="628"/>
      <c r="BI916" s="427">
        <f>I916/13</f>
        <v>770</v>
      </c>
      <c r="BJ916" s="427"/>
      <c r="BK916" s="427"/>
      <c r="BL916" s="427"/>
      <c r="BM916" s="427"/>
      <c r="BN916" s="427"/>
      <c r="BO916" s="427"/>
      <c r="BP916" s="427"/>
      <c r="BQ916" s="427"/>
      <c r="BR916" s="427"/>
      <c r="BS916" s="427"/>
      <c r="BT916" s="544"/>
      <c r="BU916" s="427"/>
      <c r="BV916" s="544"/>
      <c r="BW916" s="427"/>
      <c r="BX916" s="427"/>
      <c r="BY916" s="427"/>
      <c r="BZ916" s="427"/>
      <c r="CA916" s="427"/>
      <c r="CB916" s="427"/>
      <c r="CC916" s="427"/>
      <c r="CD916" s="427"/>
      <c r="CE916" s="427"/>
      <c r="CF916" s="427"/>
      <c r="CG916" s="427"/>
      <c r="CH916" s="427"/>
      <c r="CI916" s="427"/>
      <c r="CJ916" s="427"/>
      <c r="CK916" s="427">
        <f t="shared" si="347"/>
        <v>0</v>
      </c>
      <c r="CL916" s="427">
        <f t="shared" si="348"/>
        <v>0</v>
      </c>
      <c r="CM916" s="427">
        <f t="shared" si="349"/>
        <v>0</v>
      </c>
      <c r="CN916" s="544"/>
      <c r="CO916" s="544"/>
      <c r="CP916" s="544"/>
      <c r="CT916" s="544"/>
      <c r="CU916" s="544"/>
      <c r="CV916" s="544"/>
      <c r="CW916" s="544"/>
      <c r="CX916" s="544"/>
    </row>
    <row r="917" s="431" customFormat="1" ht="31" customHeight="1" spans="1:102">
      <c r="A917" s="518">
        <v>45982</v>
      </c>
      <c r="B917" s="519" t="s">
        <v>2566</v>
      </c>
      <c r="C917" s="520" t="s">
        <v>90</v>
      </c>
      <c r="D917" s="427">
        <v>4500186619</v>
      </c>
      <c r="E917" s="520">
        <v>384258604</v>
      </c>
      <c r="F917" s="427" t="s">
        <v>5468</v>
      </c>
      <c r="G917" s="521" t="s">
        <v>5469</v>
      </c>
      <c r="H917" s="521" t="s">
        <v>5470</v>
      </c>
      <c r="I917" s="521">
        <v>3600</v>
      </c>
      <c r="J917" s="521">
        <v>0</v>
      </c>
      <c r="K917" s="521">
        <v>6</v>
      </c>
      <c r="L917" s="524">
        <f t="shared" si="341"/>
        <v>600</v>
      </c>
      <c r="M917" s="525">
        <v>46020</v>
      </c>
      <c r="N917" s="525">
        <v>46016</v>
      </c>
      <c r="O917" s="526"/>
      <c r="P917" s="526" t="s">
        <v>103</v>
      </c>
      <c r="Q917" s="521"/>
      <c r="R917" s="530">
        <v>45988</v>
      </c>
      <c r="S917" s="530" t="s">
        <v>96</v>
      </c>
      <c r="T917" s="530" t="s">
        <v>2568</v>
      </c>
      <c r="U917" s="530"/>
      <c r="V917" s="532" t="s">
        <v>5471</v>
      </c>
      <c r="W917" s="532" t="s">
        <v>1178</v>
      </c>
      <c r="X917" s="532">
        <v>1.3031</v>
      </c>
      <c r="Y917" s="540">
        <f t="shared" si="346"/>
        <v>4691.16</v>
      </c>
      <c r="Z917" s="521"/>
      <c r="AA917" s="521" t="s">
        <v>5469</v>
      </c>
      <c r="AB917" s="521" t="s">
        <v>76</v>
      </c>
      <c r="AC917" s="521"/>
      <c r="AD917" s="519"/>
      <c r="AE917" s="519">
        <v>1</v>
      </c>
      <c r="AF917" s="521">
        <v>3600</v>
      </c>
      <c r="AG917" s="521">
        <f t="shared" si="342"/>
        <v>0</v>
      </c>
      <c r="AH917" s="542"/>
      <c r="AI917" s="521" t="s">
        <v>2191</v>
      </c>
      <c r="AJ917" s="521"/>
      <c r="AK917" s="521">
        <f>I917*2</f>
        <v>7200</v>
      </c>
      <c r="AL917" s="543"/>
      <c r="AM917" s="427">
        <f>I917*2</f>
        <v>7200</v>
      </c>
      <c r="AN917" s="628"/>
      <c r="AO917" s="630"/>
      <c r="AP917" s="628"/>
      <c r="AQ917" s="628"/>
      <c r="AR917" s="543">
        <f>I917*2</f>
        <v>7200</v>
      </c>
      <c r="AS917" s="628"/>
      <c r="AT917" s="544"/>
      <c r="AU917" s="628"/>
      <c r="AV917" s="628"/>
      <c r="AW917" s="628"/>
      <c r="AX917" s="628"/>
      <c r="AY917" s="545">
        <f>I917/24*2</f>
        <v>300</v>
      </c>
      <c r="AZ917" s="546"/>
      <c r="BA917" s="628"/>
      <c r="BB917" s="628"/>
      <c r="BC917" s="628"/>
      <c r="BD917" s="628"/>
      <c r="BE917" s="628"/>
      <c r="BF917" s="628"/>
      <c r="BG917" s="628"/>
      <c r="BH917" s="628"/>
      <c r="BI917" s="628"/>
      <c r="BJ917" s="628"/>
      <c r="BK917" s="628"/>
      <c r="BL917" s="628"/>
      <c r="BM917" s="628"/>
      <c r="BN917" s="628"/>
      <c r="BO917" s="628"/>
      <c r="BP917" s="628"/>
      <c r="BQ917" s="628"/>
      <c r="BR917" s="628"/>
      <c r="BS917" s="628"/>
      <c r="BT917" s="544"/>
      <c r="BU917" s="628"/>
      <c r="BV917" s="544"/>
      <c r="BW917" s="628"/>
      <c r="BX917" s="628"/>
      <c r="BY917" s="628"/>
      <c r="BZ917" s="628"/>
      <c r="CA917" s="628"/>
      <c r="CB917" s="628"/>
      <c r="CC917" s="628"/>
      <c r="CD917" s="628"/>
      <c r="CE917" s="628"/>
      <c r="CF917" s="628"/>
      <c r="CG917" s="628"/>
      <c r="CH917" s="427">
        <f>I917</f>
        <v>3600</v>
      </c>
      <c r="CI917" s="427">
        <f>I917</f>
        <v>3600</v>
      </c>
      <c r="CJ917" s="427">
        <f>I917</f>
        <v>3600</v>
      </c>
      <c r="CK917" s="427">
        <f t="shared" si="347"/>
        <v>0</v>
      </c>
      <c r="CL917" s="427">
        <f t="shared" si="348"/>
        <v>0</v>
      </c>
      <c r="CM917" s="427">
        <f t="shared" si="349"/>
        <v>0</v>
      </c>
      <c r="CN917" s="544"/>
      <c r="CO917" s="544"/>
      <c r="CP917" s="544"/>
      <c r="CT917" s="544"/>
      <c r="CU917" s="544"/>
      <c r="CV917" s="544"/>
      <c r="CW917" s="544"/>
      <c r="CX917" s="544"/>
    </row>
    <row r="918" s="431" customFormat="1" ht="31" customHeight="1" spans="1:102">
      <c r="A918" s="518">
        <v>45982</v>
      </c>
      <c r="B918" s="519" t="s">
        <v>2566</v>
      </c>
      <c r="C918" s="520" t="s">
        <v>90</v>
      </c>
      <c r="D918" s="427">
        <v>4500186619</v>
      </c>
      <c r="E918" s="520">
        <v>384258805</v>
      </c>
      <c r="F918" s="427" t="s">
        <v>5472</v>
      </c>
      <c r="G918" s="521" t="s">
        <v>5469</v>
      </c>
      <c r="H918" s="521" t="s">
        <v>5470</v>
      </c>
      <c r="I918" s="521">
        <v>1800</v>
      </c>
      <c r="J918" s="521">
        <v>0</v>
      </c>
      <c r="K918" s="521">
        <v>6</v>
      </c>
      <c r="L918" s="524">
        <f t="shared" si="341"/>
        <v>300</v>
      </c>
      <c r="M918" s="525">
        <v>46020</v>
      </c>
      <c r="N918" s="525">
        <v>46016</v>
      </c>
      <c r="O918" s="526"/>
      <c r="P918" s="526" t="s">
        <v>103</v>
      </c>
      <c r="Q918" s="521"/>
      <c r="R918" s="530">
        <v>45988</v>
      </c>
      <c r="S918" s="530" t="s">
        <v>96</v>
      </c>
      <c r="T918" s="530" t="s">
        <v>2568</v>
      </c>
      <c r="U918" s="530"/>
      <c r="V918" s="532" t="s">
        <v>5471</v>
      </c>
      <c r="W918" s="532" t="s">
        <v>1178</v>
      </c>
      <c r="X918" s="532">
        <v>1.3094</v>
      </c>
      <c r="Y918" s="540">
        <f t="shared" si="346"/>
        <v>2356.92</v>
      </c>
      <c r="Z918" s="521"/>
      <c r="AA918" s="521" t="s">
        <v>5469</v>
      </c>
      <c r="AB918" s="521" t="s">
        <v>76</v>
      </c>
      <c r="AC918" s="521"/>
      <c r="AD918" s="519"/>
      <c r="AE918" s="519">
        <v>1</v>
      </c>
      <c r="AF918" s="521">
        <v>1800</v>
      </c>
      <c r="AG918" s="521">
        <f t="shared" si="342"/>
        <v>0</v>
      </c>
      <c r="AH918" s="542"/>
      <c r="AI918" s="521" t="s">
        <v>2191</v>
      </c>
      <c r="AJ918" s="521"/>
      <c r="AK918" s="521">
        <f>I918*2</f>
        <v>3600</v>
      </c>
      <c r="AL918" s="543"/>
      <c r="AM918" s="427">
        <f>I918*2</f>
        <v>3600</v>
      </c>
      <c r="AN918" s="628"/>
      <c r="AO918" s="630"/>
      <c r="AP918" s="628"/>
      <c r="AQ918" s="628"/>
      <c r="AR918" s="543">
        <f>I918*2</f>
        <v>3600</v>
      </c>
      <c r="AS918" s="628"/>
      <c r="AT918" s="544"/>
      <c r="AU918" s="628"/>
      <c r="AV918" s="628"/>
      <c r="AW918" s="628"/>
      <c r="AX918" s="628"/>
      <c r="AY918" s="545">
        <f>I918/24*2</f>
        <v>150</v>
      </c>
      <c r="AZ918" s="546"/>
      <c r="BA918" s="628"/>
      <c r="BB918" s="628"/>
      <c r="BC918" s="628"/>
      <c r="BD918" s="628"/>
      <c r="BE918" s="628"/>
      <c r="BF918" s="628"/>
      <c r="BG918" s="628"/>
      <c r="BH918" s="628"/>
      <c r="BI918" s="628"/>
      <c r="BJ918" s="628"/>
      <c r="BK918" s="628"/>
      <c r="BL918" s="628"/>
      <c r="BM918" s="628"/>
      <c r="BN918" s="628"/>
      <c r="BO918" s="628"/>
      <c r="BP918" s="628"/>
      <c r="BQ918" s="628"/>
      <c r="BR918" s="628"/>
      <c r="BS918" s="628"/>
      <c r="BT918" s="544"/>
      <c r="BU918" s="628"/>
      <c r="BV918" s="544"/>
      <c r="BW918" s="628"/>
      <c r="BX918" s="628"/>
      <c r="BY918" s="628"/>
      <c r="BZ918" s="628"/>
      <c r="CA918" s="628"/>
      <c r="CB918" s="628"/>
      <c r="CC918" s="628"/>
      <c r="CD918" s="628"/>
      <c r="CE918" s="628"/>
      <c r="CF918" s="628"/>
      <c r="CG918" s="628"/>
      <c r="CH918" s="427">
        <f>I918</f>
        <v>1800</v>
      </c>
      <c r="CI918" s="427">
        <f>I918</f>
        <v>1800</v>
      </c>
      <c r="CJ918" s="427">
        <f>I918</f>
        <v>1800</v>
      </c>
      <c r="CK918" s="427">
        <f t="shared" si="347"/>
        <v>0</v>
      </c>
      <c r="CL918" s="427">
        <f t="shared" si="348"/>
        <v>0</v>
      </c>
      <c r="CM918" s="427">
        <f t="shared" si="349"/>
        <v>0</v>
      </c>
      <c r="CN918" s="544"/>
      <c r="CO918" s="544"/>
      <c r="CP918" s="544"/>
      <c r="CT918" s="544"/>
      <c r="CU918" s="544"/>
      <c r="CV918" s="544"/>
      <c r="CW918" s="544"/>
      <c r="CX918" s="544"/>
    </row>
    <row r="919" s="431" customFormat="1" ht="31" customHeight="1" spans="1:102">
      <c r="A919" s="623">
        <v>45985</v>
      </c>
      <c r="B919" s="624" t="s">
        <v>152</v>
      </c>
      <c r="C919" s="625" t="s">
        <v>153</v>
      </c>
      <c r="D919" s="626">
        <v>4500186723</v>
      </c>
      <c r="E919" s="627" t="s">
        <v>5473</v>
      </c>
      <c r="F919" s="626" t="s">
        <v>5474</v>
      </c>
      <c r="G919" s="521" t="s">
        <v>3180</v>
      </c>
      <c r="H919" s="521" t="s">
        <v>3181</v>
      </c>
      <c r="I919" s="521">
        <v>5776</v>
      </c>
      <c r="J919" s="521">
        <v>0</v>
      </c>
      <c r="K919" s="521">
        <v>16</v>
      </c>
      <c r="L919" s="524">
        <f t="shared" si="341"/>
        <v>361</v>
      </c>
      <c r="M919" s="525">
        <v>46020</v>
      </c>
      <c r="N919" s="525">
        <v>46016</v>
      </c>
      <c r="O919" s="526" t="s">
        <v>5475</v>
      </c>
      <c r="P919" s="526" t="s">
        <v>103</v>
      </c>
      <c r="Q919" s="521"/>
      <c r="R919" s="530">
        <v>45985</v>
      </c>
      <c r="S919" s="530" t="s">
        <v>66</v>
      </c>
      <c r="T919" s="530" t="s">
        <v>66</v>
      </c>
      <c r="U919" s="530"/>
      <c r="V919" s="532" t="s">
        <v>5476</v>
      </c>
      <c r="W919" s="629" t="s">
        <v>1912</v>
      </c>
      <c r="X919" s="532">
        <v>0.9894</v>
      </c>
      <c r="Y919" s="540">
        <f t="shared" si="346"/>
        <v>5714.7744</v>
      </c>
      <c r="Z919" s="521"/>
      <c r="AA919" s="521" t="s">
        <v>5477</v>
      </c>
      <c r="AB919" s="521" t="s">
        <v>76</v>
      </c>
      <c r="AC919" s="521"/>
      <c r="AD919" s="519"/>
      <c r="AE919" s="519">
        <v>1</v>
      </c>
      <c r="AF919" s="521">
        <v>5776</v>
      </c>
      <c r="AG919" s="521">
        <f t="shared" si="342"/>
        <v>0</v>
      </c>
      <c r="AH919" s="542"/>
      <c r="AI919" s="521"/>
      <c r="AJ919" s="521"/>
      <c r="AK919" s="521">
        <f>I919</f>
        <v>5776</v>
      </c>
      <c r="AL919" s="543"/>
      <c r="AM919" s="628"/>
      <c r="AN919" s="628"/>
      <c r="AO919" s="630"/>
      <c r="AP919" s="427">
        <f>I919</f>
        <v>5776</v>
      </c>
      <c r="AQ919" s="628"/>
      <c r="AR919" s="427">
        <f>I919</f>
        <v>5776</v>
      </c>
      <c r="AS919" s="628"/>
      <c r="AT919" s="544"/>
      <c r="AU919" s="628"/>
      <c r="AV919" s="628"/>
      <c r="AW919" s="628"/>
      <c r="AX919" s="628"/>
      <c r="AY919" s="545">
        <f>I919/24</f>
        <v>240.666666666667</v>
      </c>
      <c r="AZ919" s="546"/>
      <c r="BA919" s="628"/>
      <c r="BB919" s="628"/>
      <c r="BC919" s="628"/>
      <c r="BD919" s="628"/>
      <c r="BE919" s="628"/>
      <c r="BF919" s="628"/>
      <c r="BG919" s="628"/>
      <c r="BH919" s="628"/>
      <c r="BI919" s="628"/>
      <c r="BJ919" s="628"/>
      <c r="BK919" s="628"/>
      <c r="BL919" s="628"/>
      <c r="BM919" s="628"/>
      <c r="BN919" s="427">
        <f>L919</f>
        <v>361</v>
      </c>
      <c r="BO919" s="628"/>
      <c r="BP919" s="628"/>
      <c r="BQ919" s="628"/>
      <c r="BR919" s="628"/>
      <c r="BS919" s="628"/>
      <c r="BT919" s="544"/>
      <c r="BU919" s="628"/>
      <c r="BV919" s="544"/>
      <c r="BW919" s="628"/>
      <c r="BX919" s="628"/>
      <c r="BY919" s="628"/>
      <c r="BZ919" s="628"/>
      <c r="CA919" s="628"/>
      <c r="CB919" s="628"/>
      <c r="CC919" s="628"/>
      <c r="CD919" s="628"/>
      <c r="CE919" s="628"/>
      <c r="CF919" s="628"/>
      <c r="CG919" s="628"/>
      <c r="CH919" s="628"/>
      <c r="CI919" s="628"/>
      <c r="CJ919" s="628"/>
      <c r="CK919" s="427">
        <f>BM919+BL919+BK919+BJ919+BS919+BN919</f>
        <v>361</v>
      </c>
      <c r="CL919" s="427">
        <f t="shared" si="348"/>
        <v>0</v>
      </c>
      <c r="CM919" s="427">
        <f t="shared" si="349"/>
        <v>0</v>
      </c>
      <c r="CN919" s="544"/>
      <c r="CO919" s="544"/>
      <c r="CP919" s="544"/>
      <c r="CT919" s="544"/>
      <c r="CU919" s="544"/>
      <c r="CV919" s="544"/>
      <c r="CW919" s="544"/>
      <c r="CX919" s="544"/>
    </row>
    <row r="920" s="431" customFormat="1" ht="31" customHeight="1" spans="1:102">
      <c r="A920" s="518">
        <v>45968</v>
      </c>
      <c r="B920" s="519" t="s">
        <v>152</v>
      </c>
      <c r="C920" s="520" t="s">
        <v>153</v>
      </c>
      <c r="D920" s="427" t="s">
        <v>5478</v>
      </c>
      <c r="E920" s="520"/>
      <c r="F920" s="628"/>
      <c r="G920" s="521" t="s">
        <v>5420</v>
      </c>
      <c r="H920" s="521" t="s">
        <v>5421</v>
      </c>
      <c r="I920" s="521">
        <v>36192</v>
      </c>
      <c r="J920" s="521">
        <v>0</v>
      </c>
      <c r="K920" s="521">
        <v>24</v>
      </c>
      <c r="L920" s="524">
        <f t="shared" si="341"/>
        <v>1508</v>
      </c>
      <c r="M920" s="525">
        <v>46010</v>
      </c>
      <c r="N920" s="525">
        <v>46006</v>
      </c>
      <c r="O920" s="526" t="s">
        <v>5479</v>
      </c>
      <c r="P920" s="526" t="s">
        <v>103</v>
      </c>
      <c r="Q920" s="521" t="s">
        <v>5480</v>
      </c>
      <c r="R920" s="530"/>
      <c r="S920" s="530"/>
      <c r="T920" s="530"/>
      <c r="U920" s="530"/>
      <c r="V920" s="532" t="s">
        <v>5481</v>
      </c>
      <c r="W920" s="532" t="s">
        <v>5482</v>
      </c>
      <c r="X920" s="532">
        <v>0.8469</v>
      </c>
      <c r="Y920" s="540">
        <f t="shared" si="346"/>
        <v>30651.0048</v>
      </c>
      <c r="Z920" s="521"/>
      <c r="AA920" s="458" t="s">
        <v>4357</v>
      </c>
      <c r="AB920" s="521" t="s">
        <v>76</v>
      </c>
      <c r="AC920" s="521"/>
      <c r="AD920" s="600"/>
      <c r="AE920" s="600"/>
      <c r="AF920" s="521">
        <v>36192</v>
      </c>
      <c r="AG920" s="521">
        <f t="shared" ref="AG920:AG925" si="351">AF920-I920</f>
        <v>0</v>
      </c>
      <c r="AH920" s="542"/>
      <c r="AI920" s="521"/>
      <c r="AJ920" s="521"/>
      <c r="AK920" s="521">
        <f>I920</f>
        <v>36192</v>
      </c>
      <c r="AL920" s="543"/>
      <c r="AM920" s="628"/>
      <c r="AN920" s="628"/>
      <c r="AO920" s="630"/>
      <c r="AP920" s="427">
        <f>I920</f>
        <v>36192</v>
      </c>
      <c r="AQ920" s="628"/>
      <c r="AR920" s="543">
        <f>I920</f>
        <v>36192</v>
      </c>
      <c r="AS920" s="543"/>
      <c r="AT920" s="544"/>
      <c r="AU920" s="628"/>
      <c r="AV920" s="628"/>
      <c r="AW920" s="628"/>
      <c r="AX920" s="602"/>
      <c r="AY920" s="545"/>
      <c r="AZ920" s="546"/>
      <c r="BA920" s="628"/>
      <c r="BB920" s="628"/>
      <c r="BC920" s="628"/>
      <c r="BD920" s="628"/>
      <c r="BE920" s="628"/>
      <c r="BF920" s="628"/>
      <c r="BG920" s="628"/>
      <c r="BH920" s="628"/>
      <c r="BI920" s="628"/>
      <c r="BJ920" s="628"/>
      <c r="BK920" s="628"/>
      <c r="BL920" s="628"/>
      <c r="BM920" s="628"/>
      <c r="BN920" s="628"/>
      <c r="BO920" s="628"/>
      <c r="BP920" s="628"/>
      <c r="BQ920" s="628"/>
      <c r="BR920" s="628"/>
      <c r="BS920" s="628"/>
      <c r="BT920" s="544"/>
      <c r="BU920" s="628"/>
      <c r="BV920" s="544"/>
      <c r="BW920" s="628"/>
      <c r="BX920" s="628"/>
      <c r="BY920" s="628"/>
      <c r="BZ920" s="628"/>
      <c r="CA920" s="628"/>
      <c r="CB920" s="628"/>
      <c r="CC920" s="628"/>
      <c r="CD920" s="628"/>
      <c r="CE920" s="628"/>
      <c r="CF920" s="628"/>
      <c r="CG920" s="628"/>
      <c r="CH920" s="628"/>
      <c r="CI920" s="628"/>
      <c r="CJ920" s="628"/>
      <c r="CK920" s="428">
        <f t="shared" ref="CK920:CK925" si="352">BM920+BL920+BK920+BJ920+BS920</f>
        <v>0</v>
      </c>
      <c r="CL920" s="428">
        <f t="shared" si="348"/>
        <v>0</v>
      </c>
      <c r="CM920" s="428">
        <f t="shared" si="349"/>
        <v>0</v>
      </c>
      <c r="CN920" s="544"/>
      <c r="CO920" s="544"/>
      <c r="CP920" s="544"/>
      <c r="CT920" s="544"/>
      <c r="CU920" s="544"/>
      <c r="CV920" s="544"/>
      <c r="CW920" s="544"/>
      <c r="CX920" s="544"/>
    </row>
    <row r="921" s="431" customFormat="1" ht="31" customHeight="1" spans="1:102">
      <c r="A921" s="518">
        <v>45975</v>
      </c>
      <c r="B921" s="519" t="s">
        <v>719</v>
      </c>
      <c r="C921" s="520" t="s">
        <v>720</v>
      </c>
      <c r="D921" s="427">
        <v>4500185573</v>
      </c>
      <c r="E921" s="520"/>
      <c r="F921" s="427" t="s">
        <v>5483</v>
      </c>
      <c r="G921" s="521" t="s">
        <v>3681</v>
      </c>
      <c r="H921" s="521" t="s">
        <v>3682</v>
      </c>
      <c r="I921" s="521">
        <v>4000</v>
      </c>
      <c r="J921" s="521">
        <v>0</v>
      </c>
      <c r="K921" s="521">
        <v>50</v>
      </c>
      <c r="L921" s="524">
        <f t="shared" si="341"/>
        <v>80</v>
      </c>
      <c r="M921" s="525">
        <v>46016</v>
      </c>
      <c r="N921" s="525">
        <v>46013</v>
      </c>
      <c r="O921" s="526"/>
      <c r="P921" s="526" t="s">
        <v>103</v>
      </c>
      <c r="Q921" s="521"/>
      <c r="R921" s="530">
        <v>45975</v>
      </c>
      <c r="S921" s="530" t="s">
        <v>96</v>
      </c>
      <c r="T921" s="530">
        <v>45975</v>
      </c>
      <c r="U921" s="530"/>
      <c r="V921" s="532" t="s">
        <v>5484</v>
      </c>
      <c r="W921" s="532" t="s">
        <v>207</v>
      </c>
      <c r="X921" s="532">
        <v>0.921</v>
      </c>
      <c r="Y921" s="540">
        <f t="shared" si="346"/>
        <v>3684</v>
      </c>
      <c r="Z921" s="521"/>
      <c r="AA921" s="458" t="s">
        <v>3681</v>
      </c>
      <c r="AB921" s="521" t="s">
        <v>76</v>
      </c>
      <c r="AC921" s="521"/>
      <c r="AD921" s="521"/>
      <c r="AE921" s="521" t="s">
        <v>2400</v>
      </c>
      <c r="AF921" s="521">
        <v>4000</v>
      </c>
      <c r="AG921" s="521">
        <f t="shared" si="351"/>
        <v>0</v>
      </c>
      <c r="AH921" s="542"/>
      <c r="AI921" s="521"/>
      <c r="AJ921" s="521"/>
      <c r="AK921" s="521"/>
      <c r="AL921" s="427">
        <f>I921</f>
        <v>4000</v>
      </c>
      <c r="AM921" s="628"/>
      <c r="AN921" s="628"/>
      <c r="AO921" s="630"/>
      <c r="AP921" s="628"/>
      <c r="AQ921" s="427">
        <f>I921</f>
        <v>4000</v>
      </c>
      <c r="AR921" s="628"/>
      <c r="AS921" s="543">
        <f>I921</f>
        <v>4000</v>
      </c>
      <c r="AT921" s="544"/>
      <c r="AU921" s="628"/>
      <c r="AV921" s="628"/>
      <c r="AW921" s="628"/>
      <c r="AX921" s="628"/>
      <c r="AY921" s="545">
        <f>I921/24*2</f>
        <v>333.333333333333</v>
      </c>
      <c r="AZ921" s="546"/>
      <c r="BA921" s="628"/>
      <c r="BB921" s="628"/>
      <c r="BC921" s="628"/>
      <c r="BD921" s="628"/>
      <c r="BE921" s="628"/>
      <c r="BF921" s="628"/>
      <c r="BG921" s="628"/>
      <c r="BH921" s="628"/>
      <c r="BI921" s="628"/>
      <c r="BJ921" s="628"/>
      <c r="BK921" s="628"/>
      <c r="BL921" s="628"/>
      <c r="BM921" s="628"/>
      <c r="BN921" s="628"/>
      <c r="BO921" s="628"/>
      <c r="BP921" s="628"/>
      <c r="BQ921" s="628"/>
      <c r="BR921" s="628"/>
      <c r="BS921" s="427">
        <f>I921/25</f>
        <v>160</v>
      </c>
      <c r="BT921" s="544"/>
      <c r="BU921" s="628"/>
      <c r="BV921" s="544"/>
      <c r="BW921" s="628"/>
      <c r="BX921" s="628"/>
      <c r="BY921" s="628"/>
      <c r="BZ921" s="628"/>
      <c r="CA921" s="628"/>
      <c r="CB921" s="628"/>
      <c r="CC921" s="628"/>
      <c r="CD921" s="628"/>
      <c r="CE921" s="628"/>
      <c r="CF921" s="628"/>
      <c r="CG921" s="628"/>
      <c r="CH921" s="628"/>
      <c r="CI921" s="628"/>
      <c r="CJ921" s="628"/>
      <c r="CK921" s="428">
        <f t="shared" si="352"/>
        <v>160</v>
      </c>
      <c r="CL921" s="428">
        <f t="shared" si="348"/>
        <v>0</v>
      </c>
      <c r="CM921" s="428">
        <f t="shared" si="349"/>
        <v>0</v>
      </c>
      <c r="CN921" s="544"/>
      <c r="CO921" s="544"/>
      <c r="CP921" s="544"/>
      <c r="CT921" s="544"/>
      <c r="CU921" s="544"/>
      <c r="CV921" s="544"/>
      <c r="CW921" s="544"/>
      <c r="CX921" s="544"/>
    </row>
    <row r="922" s="431" customFormat="1" ht="31" customHeight="1" spans="1:102">
      <c r="A922" s="518">
        <v>45968</v>
      </c>
      <c r="B922" s="519" t="s">
        <v>5417</v>
      </c>
      <c r="C922" s="520" t="s">
        <v>90</v>
      </c>
      <c r="D922" s="427" t="s">
        <v>5418</v>
      </c>
      <c r="E922" s="520"/>
      <c r="F922" s="427" t="s">
        <v>5485</v>
      </c>
      <c r="G922" s="521" t="s">
        <v>5420</v>
      </c>
      <c r="H922" s="521" t="s">
        <v>5421</v>
      </c>
      <c r="I922" s="527">
        <v>25032</v>
      </c>
      <c r="J922" s="521">
        <v>0</v>
      </c>
      <c r="K922" s="521">
        <v>24</v>
      </c>
      <c r="L922" s="524">
        <f t="shared" si="341"/>
        <v>1043</v>
      </c>
      <c r="M922" s="525">
        <v>46017</v>
      </c>
      <c r="N922" s="525">
        <v>46013</v>
      </c>
      <c r="O922" s="526"/>
      <c r="P922" s="526" t="s">
        <v>103</v>
      </c>
      <c r="Q922" s="521" t="s">
        <v>5486</v>
      </c>
      <c r="R922" s="530"/>
      <c r="S922" s="530"/>
      <c r="T922" s="530"/>
      <c r="U922" s="530"/>
      <c r="V922" s="532" t="s">
        <v>5423</v>
      </c>
      <c r="W922" s="532" t="s">
        <v>734</v>
      </c>
      <c r="X922" s="532">
        <v>0.8469</v>
      </c>
      <c r="Y922" s="540">
        <f t="shared" si="346"/>
        <v>21199.6008</v>
      </c>
      <c r="Z922" s="521"/>
      <c r="AA922" s="458" t="s">
        <v>3138</v>
      </c>
      <c r="AB922" s="549" t="s">
        <v>76</v>
      </c>
      <c r="AC922" s="521"/>
      <c r="AD922" s="594"/>
      <c r="AE922" s="594"/>
      <c r="AF922" s="521">
        <v>25032</v>
      </c>
      <c r="AG922" s="521">
        <f t="shared" si="351"/>
        <v>0</v>
      </c>
      <c r="AH922" s="542"/>
      <c r="AI922" s="521" t="s">
        <v>2191</v>
      </c>
      <c r="AJ922" s="521"/>
      <c r="AK922" s="521">
        <f>I922</f>
        <v>25032</v>
      </c>
      <c r="AL922" s="543"/>
      <c r="AM922" s="427">
        <f>I922</f>
        <v>25032</v>
      </c>
      <c r="AN922" s="628"/>
      <c r="AO922" s="630"/>
      <c r="AP922" s="628"/>
      <c r="AQ922" s="628"/>
      <c r="AR922" s="427">
        <f>I922</f>
        <v>25032</v>
      </c>
      <c r="AS922" s="628"/>
      <c r="AT922" s="544"/>
      <c r="AU922" s="543"/>
      <c r="AV922" s="628"/>
      <c r="AW922" s="628"/>
      <c r="AX922" s="628"/>
      <c r="AY922" s="545">
        <f>I922/24*2</f>
        <v>2086</v>
      </c>
      <c r="AZ922" s="546"/>
      <c r="BA922" s="628"/>
      <c r="BB922" s="628"/>
      <c r="BC922" s="628"/>
      <c r="BD922" s="628"/>
      <c r="BE922" s="628"/>
      <c r="BF922" s="628"/>
      <c r="BG922" s="628"/>
      <c r="BH922" s="628"/>
      <c r="BI922" s="628"/>
      <c r="BJ922" s="628"/>
      <c r="BK922" s="628"/>
      <c r="BL922" s="628"/>
      <c r="BM922" s="628"/>
      <c r="BN922" s="628"/>
      <c r="BO922" s="628"/>
      <c r="BP922" s="628"/>
      <c r="BQ922" s="628"/>
      <c r="BR922" s="628"/>
      <c r="BS922" s="628"/>
      <c r="BT922" s="544"/>
      <c r="BU922" s="628"/>
      <c r="BV922" s="544"/>
      <c r="BW922" s="628"/>
      <c r="BX922" s="628"/>
      <c r="BY922" s="628"/>
      <c r="BZ922" s="628"/>
      <c r="CA922" s="628"/>
      <c r="CB922" s="628"/>
      <c r="CC922" s="628"/>
      <c r="CD922" s="628"/>
      <c r="CE922" s="628"/>
      <c r="CF922" s="628"/>
      <c r="CG922" s="628"/>
      <c r="CH922" s="628"/>
      <c r="CI922" s="628"/>
      <c r="CJ922" s="628"/>
      <c r="CK922" s="428">
        <f t="shared" si="352"/>
        <v>0</v>
      </c>
      <c r="CL922" s="428">
        <f t="shared" si="348"/>
        <v>0</v>
      </c>
      <c r="CM922" s="428">
        <f t="shared" si="349"/>
        <v>0</v>
      </c>
      <c r="CN922" s="544"/>
      <c r="CO922" s="544"/>
      <c r="CP922" s="544"/>
      <c r="CT922" s="544"/>
      <c r="CU922" s="544"/>
      <c r="CV922" s="544"/>
      <c r="CW922" s="544"/>
      <c r="CX922" s="544"/>
    </row>
    <row r="923" s="431" customFormat="1" ht="31" customHeight="1" spans="1:102">
      <c r="A923" s="518">
        <v>45951</v>
      </c>
      <c r="B923" s="519" t="s">
        <v>2336</v>
      </c>
      <c r="C923" s="520" t="s">
        <v>90</v>
      </c>
      <c r="D923" s="427">
        <v>4500182502</v>
      </c>
      <c r="E923" s="520">
        <v>116986319</v>
      </c>
      <c r="F923" s="427" t="s">
        <v>2337</v>
      </c>
      <c r="G923" s="521" t="s">
        <v>5487</v>
      </c>
      <c r="H923" s="521" t="s">
        <v>2462</v>
      </c>
      <c r="I923" s="521">
        <v>9464</v>
      </c>
      <c r="J923" s="521">
        <v>0</v>
      </c>
      <c r="K923" s="521">
        <v>8</v>
      </c>
      <c r="L923" s="524">
        <f t="shared" si="341"/>
        <v>1183</v>
      </c>
      <c r="M923" s="525">
        <v>46017</v>
      </c>
      <c r="N923" s="525">
        <v>46013</v>
      </c>
      <c r="O923" s="526" t="s">
        <v>5488</v>
      </c>
      <c r="P923" s="526" t="s">
        <v>103</v>
      </c>
      <c r="Q923" s="521"/>
      <c r="R923" s="530">
        <v>45957</v>
      </c>
      <c r="S923" s="530" t="s">
        <v>66</v>
      </c>
      <c r="T923" s="530" t="s">
        <v>66</v>
      </c>
      <c r="U923" s="530"/>
      <c r="V923" s="532" t="s">
        <v>2339</v>
      </c>
      <c r="W923" s="532" t="s">
        <v>2340</v>
      </c>
      <c r="X923" s="536">
        <v>4.14</v>
      </c>
      <c r="Y923" s="540">
        <f t="shared" si="346"/>
        <v>39180.96</v>
      </c>
      <c r="Z923" s="521"/>
      <c r="AA923" s="521" t="s">
        <v>2341</v>
      </c>
      <c r="AB923" s="521" t="s">
        <v>76</v>
      </c>
      <c r="AC923" s="521"/>
      <c r="AD923" s="519"/>
      <c r="AE923" s="519">
        <v>1</v>
      </c>
      <c r="AF923" s="521">
        <v>9464</v>
      </c>
      <c r="AG923" s="521">
        <f t="shared" si="351"/>
        <v>0</v>
      </c>
      <c r="AH923" s="542"/>
      <c r="AI923" s="521"/>
      <c r="AJ923" s="521"/>
      <c r="AK923" s="521">
        <f>I923*2</f>
        <v>18928</v>
      </c>
      <c r="AL923" s="543"/>
      <c r="AM923" s="427">
        <f>I923*2</f>
        <v>18928</v>
      </c>
      <c r="AN923" s="628"/>
      <c r="AO923" s="630"/>
      <c r="AP923" s="628"/>
      <c r="AQ923" s="628"/>
      <c r="AR923" s="427">
        <f>I923*2</f>
        <v>18928</v>
      </c>
      <c r="AS923" s="543"/>
      <c r="AT923" s="544"/>
      <c r="AU923" s="628"/>
      <c r="AV923" s="628"/>
      <c r="AW923" s="628"/>
      <c r="AX923" s="628"/>
      <c r="AY923" s="545"/>
      <c r="AZ923" s="546"/>
      <c r="BA923" s="628"/>
      <c r="BB923" s="628"/>
      <c r="BC923" s="628"/>
      <c r="BD923" s="628"/>
      <c r="BE923" s="628"/>
      <c r="BF923" s="628"/>
      <c r="BG923" s="628"/>
      <c r="BH923" s="628"/>
      <c r="BI923" s="628"/>
      <c r="BJ923" s="628"/>
      <c r="BK923" s="628"/>
      <c r="BL923" s="628"/>
      <c r="BM923" s="628"/>
      <c r="BN923" s="628"/>
      <c r="BO923" s="628"/>
      <c r="BP923" s="628"/>
      <c r="BQ923" s="628"/>
      <c r="BR923" s="628"/>
      <c r="BS923" s="628"/>
      <c r="BT923" s="544">
        <f>I923</f>
        <v>9464</v>
      </c>
      <c r="BU923" s="628"/>
      <c r="BV923" s="544"/>
      <c r="BW923" s="628"/>
      <c r="BX923" s="628"/>
      <c r="BY923" s="628"/>
      <c r="BZ923" s="628"/>
      <c r="CA923" s="628"/>
      <c r="CB923" s="628"/>
      <c r="CC923" s="628"/>
      <c r="CD923" s="628"/>
      <c r="CE923" s="628"/>
      <c r="CF923" s="628"/>
      <c r="CG923" s="628"/>
      <c r="CH923" s="628"/>
      <c r="CI923" s="628"/>
      <c r="CJ923" s="628"/>
      <c r="CK923" s="427">
        <f t="shared" si="352"/>
        <v>0</v>
      </c>
      <c r="CL923" s="427">
        <f t="shared" si="348"/>
        <v>0</v>
      </c>
      <c r="CM923" s="427">
        <f t="shared" si="349"/>
        <v>0</v>
      </c>
      <c r="CN923" s="544"/>
      <c r="CO923" s="544"/>
      <c r="CP923" s="544"/>
      <c r="CT923" s="544"/>
      <c r="CU923" s="544"/>
      <c r="CV923" s="544"/>
      <c r="CW923" s="544"/>
      <c r="CX923" s="544"/>
    </row>
    <row r="924" s="431" customFormat="1" ht="31" customHeight="1" spans="1:102">
      <c r="A924" s="518">
        <v>45978</v>
      </c>
      <c r="B924" s="519" t="s">
        <v>5489</v>
      </c>
      <c r="C924" s="520" t="s">
        <v>90</v>
      </c>
      <c r="D924" s="427" t="s">
        <v>5490</v>
      </c>
      <c r="E924" s="520"/>
      <c r="F924" s="628"/>
      <c r="G924" s="521" t="s">
        <v>5420</v>
      </c>
      <c r="H924" s="521" t="s">
        <v>5421</v>
      </c>
      <c r="I924" s="521">
        <v>300</v>
      </c>
      <c r="J924" s="521">
        <v>0</v>
      </c>
      <c r="K924" s="521">
        <v>24</v>
      </c>
      <c r="L924" s="524">
        <f t="shared" si="341"/>
        <v>12.5</v>
      </c>
      <c r="M924" s="525">
        <v>46017</v>
      </c>
      <c r="N924" s="525">
        <v>46013</v>
      </c>
      <c r="O924" s="526"/>
      <c r="P924" s="526" t="s">
        <v>103</v>
      </c>
      <c r="Q924" s="521"/>
      <c r="R924" s="530"/>
      <c r="S924" s="530"/>
      <c r="T924" s="530"/>
      <c r="U924" s="530" t="s">
        <v>5491</v>
      </c>
      <c r="V924" s="532" t="s">
        <v>5492</v>
      </c>
      <c r="W924" s="532" t="s">
        <v>5493</v>
      </c>
      <c r="X924" s="536">
        <v>0.8677</v>
      </c>
      <c r="Y924" s="540">
        <f t="shared" si="346"/>
        <v>260.31</v>
      </c>
      <c r="Z924" s="521"/>
      <c r="AA924" s="458" t="s">
        <v>3138</v>
      </c>
      <c r="AB924" s="549" t="s">
        <v>76</v>
      </c>
      <c r="AC924" s="521"/>
      <c r="AD924" s="519"/>
      <c r="AE924" s="519"/>
      <c r="AF924" s="521">
        <v>300</v>
      </c>
      <c r="AG924" s="521">
        <f t="shared" si="351"/>
        <v>0</v>
      </c>
      <c r="AH924" s="542"/>
      <c r="AI924" s="521"/>
      <c r="AJ924" s="521"/>
      <c r="AK924" s="521">
        <f>I924*2</f>
        <v>600</v>
      </c>
      <c r="AL924" s="543"/>
      <c r="AM924" s="427">
        <f>I924*2</f>
        <v>600</v>
      </c>
      <c r="AN924" s="628"/>
      <c r="AO924" s="630"/>
      <c r="AP924" s="628"/>
      <c r="AQ924" s="628"/>
      <c r="AR924" s="427">
        <f>I924*2</f>
        <v>600</v>
      </c>
      <c r="AS924" s="543"/>
      <c r="AT924" s="544"/>
      <c r="AU924" s="628"/>
      <c r="AV924" s="628"/>
      <c r="AW924" s="628"/>
      <c r="AX924" s="628"/>
      <c r="AY924" s="545">
        <f>I924/24*2</f>
        <v>25</v>
      </c>
      <c r="AZ924" s="546"/>
      <c r="BA924" s="628"/>
      <c r="BB924" s="628"/>
      <c r="BC924" s="628"/>
      <c r="BD924" s="628"/>
      <c r="BE924" s="628"/>
      <c r="BF924" s="628"/>
      <c r="BG924" s="628"/>
      <c r="BH924" s="628"/>
      <c r="BI924" s="628"/>
      <c r="BJ924" s="628"/>
      <c r="BK924" s="628"/>
      <c r="BL924" s="628"/>
      <c r="BM924" s="628"/>
      <c r="BN924" s="628"/>
      <c r="BO924" s="628"/>
      <c r="BP924" s="628"/>
      <c r="BQ924" s="628"/>
      <c r="BR924" s="628"/>
      <c r="BS924" s="628"/>
      <c r="BT924" s="544"/>
      <c r="BU924" s="628"/>
      <c r="BV924" s="544"/>
      <c r="BW924" s="628"/>
      <c r="BX924" s="628"/>
      <c r="BY924" s="628"/>
      <c r="BZ924" s="628"/>
      <c r="CA924" s="628"/>
      <c r="CB924" s="628"/>
      <c r="CC924" s="628"/>
      <c r="CD924" s="628"/>
      <c r="CE924" s="628"/>
      <c r="CF924" s="628"/>
      <c r="CG924" s="628"/>
      <c r="CH924" s="628"/>
      <c r="CI924" s="628"/>
      <c r="CJ924" s="628"/>
      <c r="CK924" s="428">
        <f t="shared" si="352"/>
        <v>0</v>
      </c>
      <c r="CL924" s="428">
        <f t="shared" si="348"/>
        <v>0</v>
      </c>
      <c r="CM924" s="428">
        <f t="shared" si="349"/>
        <v>0</v>
      </c>
      <c r="CN924" s="631"/>
      <c r="CO924" s="631"/>
      <c r="CP924" s="631"/>
      <c r="CT924" s="631"/>
      <c r="CU924" s="631"/>
      <c r="CV924" s="631"/>
      <c r="CW924" s="631"/>
      <c r="CX924" s="631"/>
    </row>
    <row r="925" s="431" customFormat="1" ht="31" customHeight="1" spans="1:102">
      <c r="A925" s="518">
        <v>46002</v>
      </c>
      <c r="B925" s="519"/>
      <c r="C925" s="520"/>
      <c r="D925" s="427" t="s">
        <v>2342</v>
      </c>
      <c r="E925" s="520"/>
      <c r="F925" s="427" t="s">
        <v>5494</v>
      </c>
      <c r="G925" s="521" t="s">
        <v>3378</v>
      </c>
      <c r="H925" s="521" t="s">
        <v>5495</v>
      </c>
      <c r="I925" s="521">
        <v>156</v>
      </c>
      <c r="J925" s="521">
        <v>0</v>
      </c>
      <c r="K925" s="521">
        <v>50</v>
      </c>
      <c r="L925" s="524">
        <f t="shared" si="341"/>
        <v>3.12</v>
      </c>
      <c r="M925" s="525">
        <v>46017</v>
      </c>
      <c r="N925" s="525">
        <v>46013</v>
      </c>
      <c r="O925" s="526"/>
      <c r="P925" s="526"/>
      <c r="Q925" s="521"/>
      <c r="R925" s="530"/>
      <c r="S925" s="530"/>
      <c r="T925" s="530"/>
      <c r="U925" s="530"/>
      <c r="V925" s="532" t="s">
        <v>5496</v>
      </c>
      <c r="W925" s="532"/>
      <c r="X925" s="536"/>
      <c r="Y925" s="540"/>
      <c r="Z925" s="521"/>
      <c r="AA925" s="521" t="s">
        <v>3378</v>
      </c>
      <c r="AB925" s="521" t="s">
        <v>76</v>
      </c>
      <c r="AC925" s="521"/>
      <c r="AD925" s="519"/>
      <c r="AE925" s="519"/>
      <c r="AF925" s="521">
        <v>156</v>
      </c>
      <c r="AG925" s="521">
        <f t="shared" si="351"/>
        <v>0</v>
      </c>
      <c r="AH925" s="542"/>
      <c r="AI925" s="521"/>
      <c r="AJ925" s="521"/>
      <c r="AK925" s="521"/>
      <c r="AL925" s="543">
        <f t="shared" ref="AL925:AL931" si="353">I925</f>
        <v>156</v>
      </c>
      <c r="AM925" s="628"/>
      <c r="AN925" s="628"/>
      <c r="AO925" s="630"/>
      <c r="AP925" s="628"/>
      <c r="AQ925" s="628"/>
      <c r="AR925" s="628"/>
      <c r="AS925" s="543"/>
      <c r="AT925" s="544"/>
      <c r="AU925" s="628"/>
      <c r="AV925" s="628"/>
      <c r="AW925" s="628"/>
      <c r="AX925" s="628"/>
      <c r="AY925" s="545">
        <f>I925/24*2</f>
        <v>13</v>
      </c>
      <c r="AZ925" s="546"/>
      <c r="BA925" s="628"/>
      <c r="BB925" s="628"/>
      <c r="BC925" s="628"/>
      <c r="BD925" s="628"/>
      <c r="BE925" s="628"/>
      <c r="BF925" s="628"/>
      <c r="BG925" s="628"/>
      <c r="BH925" s="628"/>
      <c r="BI925" s="628"/>
      <c r="BJ925" s="628"/>
      <c r="BK925" s="628"/>
      <c r="BL925" s="628"/>
      <c r="BM925" s="628"/>
      <c r="BN925" s="628"/>
      <c r="BO925" s="628"/>
      <c r="BP925" s="628"/>
      <c r="BQ925" s="427">
        <f>I925</f>
        <v>156</v>
      </c>
      <c r="BR925" s="427">
        <f>I925</f>
        <v>156</v>
      </c>
      <c r="BS925" s="427">
        <f>I925/25</f>
        <v>6.24</v>
      </c>
      <c r="BT925" s="544"/>
      <c r="BU925" s="628"/>
      <c r="BV925" s="544"/>
      <c r="BW925" s="628"/>
      <c r="BX925" s="628"/>
      <c r="BY925" s="628"/>
      <c r="BZ925" s="628"/>
      <c r="CA925" s="628"/>
      <c r="CB925" s="628"/>
      <c r="CC925" s="628"/>
      <c r="CD925" s="628"/>
      <c r="CE925" s="628"/>
      <c r="CF925" s="628"/>
      <c r="CG925" s="628"/>
      <c r="CH925" s="628"/>
      <c r="CI925" s="628"/>
      <c r="CJ925" s="628"/>
      <c r="CK925" s="428">
        <f t="shared" si="352"/>
        <v>6.24</v>
      </c>
      <c r="CL925" s="428">
        <f t="shared" si="348"/>
        <v>0</v>
      </c>
      <c r="CM925" s="428">
        <f t="shared" si="349"/>
        <v>0</v>
      </c>
      <c r="CN925" s="544"/>
      <c r="CO925" s="544"/>
      <c r="CP925" s="544"/>
      <c r="CQ925" s="628"/>
      <c r="CR925" s="628"/>
      <c r="CS925" s="628"/>
      <c r="CT925" s="544"/>
      <c r="CU925" s="544"/>
      <c r="CV925" s="544"/>
      <c r="CW925" s="544"/>
      <c r="CX925" s="544"/>
    </row>
    <row r="926" s="431" customFormat="1" ht="31" customHeight="1" spans="1:102">
      <c r="A926" s="518">
        <v>46002</v>
      </c>
      <c r="B926" s="519"/>
      <c r="C926" s="520"/>
      <c r="D926" s="427" t="s">
        <v>2342</v>
      </c>
      <c r="E926" s="520"/>
      <c r="F926" s="427" t="s">
        <v>5497</v>
      </c>
      <c r="G926" s="521" t="s">
        <v>3378</v>
      </c>
      <c r="H926" s="521" t="s">
        <v>3379</v>
      </c>
      <c r="I926" s="521" t="s">
        <v>5498</v>
      </c>
      <c r="J926" s="521">
        <v>0</v>
      </c>
      <c r="K926" s="521">
        <v>50</v>
      </c>
      <c r="L926" s="524">
        <v>2</v>
      </c>
      <c r="M926" s="525">
        <v>46017</v>
      </c>
      <c r="N926" s="525">
        <v>46013</v>
      </c>
      <c r="O926" s="526"/>
      <c r="P926" s="526"/>
      <c r="Q926" s="521"/>
      <c r="R926" s="530"/>
      <c r="S926" s="530"/>
      <c r="T926" s="530"/>
      <c r="U926" s="530"/>
      <c r="V926" s="532" t="s">
        <v>5499</v>
      </c>
      <c r="W926" s="532"/>
      <c r="X926" s="536"/>
      <c r="Y926" s="540"/>
      <c r="Z926" s="521"/>
      <c r="AA926" s="521" t="s">
        <v>3378</v>
      </c>
      <c r="AB926" s="521" t="s">
        <v>5500</v>
      </c>
      <c r="AC926" s="521"/>
      <c r="AD926" s="519"/>
      <c r="AE926" s="519"/>
      <c r="AF926" s="521">
        <v>78</v>
      </c>
      <c r="AG926" s="521"/>
      <c r="AH926" s="542"/>
      <c r="AI926" s="521"/>
      <c r="AJ926" s="521"/>
      <c r="AK926" s="521"/>
      <c r="AL926" s="543" t="str">
        <f t="shared" si="353"/>
        <v>78套散件</v>
      </c>
      <c r="AM926" s="628"/>
      <c r="AN926" s="628"/>
      <c r="AO926" s="630"/>
      <c r="AP926" s="628"/>
      <c r="AQ926" s="628"/>
      <c r="AR926" s="628"/>
      <c r="AS926" s="543"/>
      <c r="AT926" s="544"/>
      <c r="AU926" s="628"/>
      <c r="AV926" s="628"/>
      <c r="AW926" s="628"/>
      <c r="AX926" s="628"/>
      <c r="AY926" s="545"/>
      <c r="AZ926" s="546"/>
      <c r="BA926" s="628"/>
      <c r="BB926" s="628"/>
      <c r="BC926" s="628"/>
      <c r="BD926" s="628"/>
      <c r="BE926" s="628"/>
      <c r="BF926" s="628"/>
      <c r="BG926" s="628"/>
      <c r="BH926" s="628"/>
      <c r="BI926" s="628"/>
      <c r="BJ926" s="628"/>
      <c r="BK926" s="628"/>
      <c r="BL926" s="628"/>
      <c r="BM926" s="628"/>
      <c r="BN926" s="628"/>
      <c r="BO926" s="628"/>
      <c r="BP926" s="628"/>
      <c r="BQ926" s="628"/>
      <c r="BR926" s="628"/>
      <c r="BS926" s="628"/>
      <c r="BT926" s="544"/>
      <c r="BU926" s="628"/>
      <c r="BV926" s="544"/>
      <c r="BW926" s="628"/>
      <c r="BX926" s="628"/>
      <c r="BY926" s="628"/>
      <c r="BZ926" s="628"/>
      <c r="CA926" s="628"/>
      <c r="CB926" s="628"/>
      <c r="CC926" s="628"/>
      <c r="CD926" s="628"/>
      <c r="CE926" s="628"/>
      <c r="CF926" s="628"/>
      <c r="CG926" s="628"/>
      <c r="CH926" s="628"/>
      <c r="CI926" s="628"/>
      <c r="CJ926" s="628"/>
      <c r="CK926" s="427">
        <v>78</v>
      </c>
      <c r="CL926" s="427">
        <f t="shared" si="348"/>
        <v>0</v>
      </c>
      <c r="CM926" s="427">
        <f t="shared" si="349"/>
        <v>0</v>
      </c>
      <c r="CN926" s="544"/>
      <c r="CO926" s="544"/>
      <c r="CP926" s="544"/>
      <c r="CQ926" s="628"/>
      <c r="CR926" s="628"/>
      <c r="CS926" s="628"/>
      <c r="CT926" s="544"/>
      <c r="CU926" s="544"/>
      <c r="CV926" s="544"/>
      <c r="CW926" s="544"/>
      <c r="CX926" s="544"/>
    </row>
    <row r="927" s="431" customFormat="1" ht="31" customHeight="1" spans="1:102">
      <c r="A927" s="518">
        <v>45964</v>
      </c>
      <c r="B927" s="519" t="s">
        <v>398</v>
      </c>
      <c r="C927" s="520" t="s">
        <v>356</v>
      </c>
      <c r="D927" s="427">
        <v>4500184256</v>
      </c>
      <c r="E927" s="520"/>
      <c r="F927" s="427" t="s">
        <v>5501</v>
      </c>
      <c r="G927" s="521" t="s">
        <v>3165</v>
      </c>
      <c r="H927" s="521" t="s">
        <v>3303</v>
      </c>
      <c r="I927" s="521">
        <v>4000</v>
      </c>
      <c r="J927" s="521">
        <v>0</v>
      </c>
      <c r="K927" s="521">
        <v>25</v>
      </c>
      <c r="L927" s="524">
        <f t="shared" ref="L927:L932" si="354">I927/K927</f>
        <v>160</v>
      </c>
      <c r="M927" s="525">
        <v>46021</v>
      </c>
      <c r="N927" s="525">
        <v>46017</v>
      </c>
      <c r="O927" s="526"/>
      <c r="P927" s="526" t="s">
        <v>103</v>
      </c>
      <c r="Q927" s="521"/>
      <c r="R927" s="530">
        <v>45978</v>
      </c>
      <c r="S927" s="530" t="s">
        <v>66</v>
      </c>
      <c r="T927" s="530" t="s">
        <v>5502</v>
      </c>
      <c r="U927" s="530"/>
      <c r="V927" s="532" t="s">
        <v>5503</v>
      </c>
      <c r="W927" s="532" t="s">
        <v>395</v>
      </c>
      <c r="X927" s="536">
        <v>0.9417</v>
      </c>
      <c r="Y927" s="540">
        <f>X927*I927</f>
        <v>3766.8</v>
      </c>
      <c r="Z927" s="521"/>
      <c r="AA927" s="521" t="s">
        <v>3165</v>
      </c>
      <c r="AB927" s="521" t="s">
        <v>76</v>
      </c>
      <c r="AC927" s="521"/>
      <c r="AD927" s="519"/>
      <c r="AE927" s="519">
        <v>1</v>
      </c>
      <c r="AF927" s="521">
        <f>1200+2800</f>
        <v>4000</v>
      </c>
      <c r="AG927" s="521">
        <f t="shared" ref="AG926:AG938" si="355">AF927-I927</f>
        <v>0</v>
      </c>
      <c r="AH927" s="542"/>
      <c r="AI927" s="521" t="s">
        <v>2191</v>
      </c>
      <c r="AJ927" s="521"/>
      <c r="AK927" s="521"/>
      <c r="AL927" s="543">
        <f t="shared" si="353"/>
        <v>4000</v>
      </c>
      <c r="AM927" s="628"/>
      <c r="AN927" s="628"/>
      <c r="AO927" s="630"/>
      <c r="AP927" s="628"/>
      <c r="AQ927" s="427">
        <f>I927</f>
        <v>4000</v>
      </c>
      <c r="AR927" s="628"/>
      <c r="AS927" s="543">
        <f>I927</f>
        <v>4000</v>
      </c>
      <c r="AT927" s="544"/>
      <c r="AU927" s="628"/>
      <c r="AV927" s="628"/>
      <c r="AW927" s="628"/>
      <c r="AX927" s="628"/>
      <c r="AY927" s="545">
        <f>I927/24*2</f>
        <v>333.333333333333</v>
      </c>
      <c r="AZ927" s="546"/>
      <c r="BA927" s="628"/>
      <c r="BB927" s="628"/>
      <c r="BC927" s="628"/>
      <c r="BD927" s="628"/>
      <c r="BE927" s="628"/>
      <c r="BF927" s="628"/>
      <c r="BG927" s="628"/>
      <c r="BH927" s="628"/>
      <c r="BI927" s="628"/>
      <c r="BJ927" s="628"/>
      <c r="BK927" s="628"/>
      <c r="BL927" s="427">
        <f>I927/25</f>
        <v>160</v>
      </c>
      <c r="BM927" s="628"/>
      <c r="BN927" s="628"/>
      <c r="BO927" s="628"/>
      <c r="BP927" s="628"/>
      <c r="BQ927" s="628"/>
      <c r="BR927" s="628"/>
      <c r="BS927" s="628"/>
      <c r="BT927" s="544"/>
      <c r="BU927" s="628"/>
      <c r="BV927" s="544"/>
      <c r="BW927" s="628"/>
      <c r="BX927" s="628"/>
      <c r="BY927" s="628"/>
      <c r="BZ927" s="628"/>
      <c r="CA927" s="628"/>
      <c r="CB927" s="628"/>
      <c r="CC927" s="628"/>
      <c r="CD927" s="628"/>
      <c r="CE927" s="628"/>
      <c r="CF927" s="628"/>
      <c r="CG927" s="628"/>
      <c r="CH927" s="628"/>
      <c r="CI927" s="628"/>
      <c r="CJ927" s="628"/>
      <c r="CK927" s="427">
        <f t="shared" ref="CK927:CK935" si="356">BM927+BL927+BK927+BJ927+BS927</f>
        <v>160</v>
      </c>
      <c r="CL927" s="427">
        <f t="shared" ref="CL924:CL935" si="357">CA927+CB927+CC927+CD927+CE927+CG927+CF927</f>
        <v>0</v>
      </c>
      <c r="CM927" s="427">
        <f t="shared" ref="CM924:CM935" si="358">BY927+BZ927</f>
        <v>0</v>
      </c>
      <c r="CN927" s="632"/>
      <c r="CO927" s="632"/>
      <c r="CP927" s="632"/>
      <c r="CT927" s="632"/>
      <c r="CU927" s="632"/>
      <c r="CV927" s="632"/>
      <c r="CW927" s="632"/>
      <c r="CX927" s="632"/>
    </row>
    <row r="928" s="431" customFormat="1" ht="31" customHeight="1" spans="1:102">
      <c r="A928" s="518">
        <v>45964</v>
      </c>
      <c r="B928" s="519" t="s">
        <v>398</v>
      </c>
      <c r="C928" s="520" t="s">
        <v>356</v>
      </c>
      <c r="D928" s="427">
        <v>4500184256</v>
      </c>
      <c r="E928" s="520"/>
      <c r="F928" s="427" t="s">
        <v>5504</v>
      </c>
      <c r="G928" s="521" t="s">
        <v>3328</v>
      </c>
      <c r="H928" s="521" t="s">
        <v>3194</v>
      </c>
      <c r="I928" s="521">
        <v>900</v>
      </c>
      <c r="J928" s="521">
        <v>0</v>
      </c>
      <c r="K928" s="521">
        <v>30</v>
      </c>
      <c r="L928" s="524">
        <f t="shared" si="354"/>
        <v>30</v>
      </c>
      <c r="M928" s="525">
        <v>46021</v>
      </c>
      <c r="N928" s="525">
        <v>46017</v>
      </c>
      <c r="O928" s="526"/>
      <c r="P928" s="526" t="s">
        <v>103</v>
      </c>
      <c r="Q928" s="521"/>
      <c r="R928" s="530">
        <v>45978</v>
      </c>
      <c r="S928" s="530" t="s">
        <v>66</v>
      </c>
      <c r="T928" s="530" t="s">
        <v>5505</v>
      </c>
      <c r="U928" s="530"/>
      <c r="V928" s="532" t="s">
        <v>5506</v>
      </c>
      <c r="W928" s="532" t="s">
        <v>395</v>
      </c>
      <c r="X928" s="536">
        <v>41.6355</v>
      </c>
      <c r="Y928" s="540">
        <f>X928*L928</f>
        <v>1249.065</v>
      </c>
      <c r="Z928" s="521"/>
      <c r="AA928" s="521" t="s">
        <v>3328</v>
      </c>
      <c r="AB928" s="521" t="s">
        <v>76</v>
      </c>
      <c r="AC928" s="521"/>
      <c r="AD928" s="519"/>
      <c r="AE928" s="519">
        <v>1</v>
      </c>
      <c r="AF928" s="521">
        <v>900</v>
      </c>
      <c r="AG928" s="521">
        <f t="shared" si="355"/>
        <v>0</v>
      </c>
      <c r="AH928" s="542"/>
      <c r="AI928" s="521" t="s">
        <v>2191</v>
      </c>
      <c r="AJ928" s="521"/>
      <c r="AK928" s="521"/>
      <c r="AL928" s="427">
        <f t="shared" si="353"/>
        <v>900</v>
      </c>
      <c r="AM928" s="628"/>
      <c r="AN928" s="628"/>
      <c r="AO928" s="630"/>
      <c r="AP928" s="628"/>
      <c r="AQ928" s="427">
        <f>I928*2</f>
        <v>1800</v>
      </c>
      <c r="AR928" s="628"/>
      <c r="AS928" s="543">
        <f>I928*2</f>
        <v>1800</v>
      </c>
      <c r="AT928" s="544"/>
      <c r="AU928" s="628"/>
      <c r="AV928" s="628"/>
      <c r="AW928" s="628"/>
      <c r="AX928" s="628"/>
      <c r="AY928" s="603">
        <f t="shared" ref="AY928:AY932" si="359">I928/24</f>
        <v>37.5</v>
      </c>
      <c r="AZ928" s="546"/>
      <c r="BA928" s="628"/>
      <c r="BB928" s="628"/>
      <c r="BC928" s="628"/>
      <c r="BD928" s="628"/>
      <c r="BE928" s="628"/>
      <c r="BF928" s="628"/>
      <c r="BG928" s="628"/>
      <c r="BH928" s="628"/>
      <c r="BI928" s="628"/>
      <c r="BJ928" s="628"/>
      <c r="BK928" s="628"/>
      <c r="BL928" s="628"/>
      <c r="BM928" s="628"/>
      <c r="BN928" s="628"/>
      <c r="BO928" s="628"/>
      <c r="BP928" s="628"/>
      <c r="BQ928" s="628"/>
      <c r="BR928" s="628"/>
      <c r="BS928" s="628"/>
      <c r="BT928" s="544"/>
      <c r="BU928" s="628"/>
      <c r="BV928" s="544"/>
      <c r="BW928" s="628"/>
      <c r="BX928" s="628"/>
      <c r="BY928" s="628"/>
      <c r="BZ928" s="628"/>
      <c r="CA928" s="628"/>
      <c r="CB928" s="628"/>
      <c r="CC928" s="628"/>
      <c r="CD928" s="628"/>
      <c r="CE928" s="628"/>
      <c r="CF928" s="427">
        <f>I928/30</f>
        <v>30</v>
      </c>
      <c r="CG928" s="628"/>
      <c r="CH928" s="628"/>
      <c r="CI928" s="628"/>
      <c r="CJ928" s="628"/>
      <c r="CK928" s="427">
        <f t="shared" si="356"/>
        <v>0</v>
      </c>
      <c r="CL928" s="427">
        <f t="shared" si="357"/>
        <v>30</v>
      </c>
      <c r="CM928" s="427">
        <f t="shared" si="358"/>
        <v>0</v>
      </c>
      <c r="CN928" s="544"/>
      <c r="CO928" s="544"/>
      <c r="CP928" s="544"/>
      <c r="CT928" s="544"/>
      <c r="CU928" s="544"/>
      <c r="CV928" s="544"/>
      <c r="CW928" s="544"/>
      <c r="CX928" s="544"/>
    </row>
    <row r="929" s="431" customFormat="1" ht="31" customHeight="1" spans="1:102">
      <c r="A929" s="518">
        <v>45964</v>
      </c>
      <c r="B929" s="519" t="s">
        <v>398</v>
      </c>
      <c r="C929" s="520" t="s">
        <v>356</v>
      </c>
      <c r="D929" s="427">
        <v>4500184204</v>
      </c>
      <c r="E929" s="520"/>
      <c r="F929" s="427" t="s">
        <v>5507</v>
      </c>
      <c r="G929" s="521" t="s">
        <v>3206</v>
      </c>
      <c r="H929" s="521" t="s">
        <v>3207</v>
      </c>
      <c r="I929" s="521">
        <v>3601</v>
      </c>
      <c r="J929" s="521">
        <v>0</v>
      </c>
      <c r="K929" s="521">
        <v>13</v>
      </c>
      <c r="L929" s="524">
        <f t="shared" si="354"/>
        <v>277</v>
      </c>
      <c r="M929" s="525">
        <v>46021</v>
      </c>
      <c r="N929" s="525">
        <v>46017</v>
      </c>
      <c r="O929" s="526"/>
      <c r="P929" s="526" t="s">
        <v>103</v>
      </c>
      <c r="Q929" s="521"/>
      <c r="R929" s="530">
        <v>45978</v>
      </c>
      <c r="S929" s="530" t="s">
        <v>66</v>
      </c>
      <c r="T929" s="530" t="s">
        <v>5508</v>
      </c>
      <c r="U929" s="530"/>
      <c r="V929" s="531" t="s">
        <v>5509</v>
      </c>
      <c r="W929" s="532" t="s">
        <v>395</v>
      </c>
      <c r="X929" s="532">
        <v>0.9116</v>
      </c>
      <c r="Y929" s="540">
        <f>X929*I929</f>
        <v>3282.6716</v>
      </c>
      <c r="Z929" s="521"/>
      <c r="AA929" s="521" t="s">
        <v>3206</v>
      </c>
      <c r="AB929" s="521" t="s">
        <v>76</v>
      </c>
      <c r="AC929" s="521"/>
      <c r="AD929" s="519"/>
      <c r="AE929" s="519">
        <v>1</v>
      </c>
      <c r="AF929" s="521">
        <v>3601</v>
      </c>
      <c r="AG929" s="521">
        <f t="shared" si="355"/>
        <v>0</v>
      </c>
      <c r="AH929" s="542"/>
      <c r="AI929" s="521" t="s">
        <v>2191</v>
      </c>
      <c r="AJ929" s="521"/>
      <c r="AK929" s="521"/>
      <c r="AL929" s="543">
        <f t="shared" si="353"/>
        <v>3601</v>
      </c>
      <c r="AM929" s="628"/>
      <c r="AN929" s="628"/>
      <c r="AO929" s="630"/>
      <c r="AP929" s="628"/>
      <c r="AQ929" s="427">
        <f>I929*2</f>
        <v>7202</v>
      </c>
      <c r="AR929" s="628"/>
      <c r="AS929" s="427">
        <f>K929</f>
        <v>13</v>
      </c>
      <c r="AT929" s="544"/>
      <c r="AU929" s="628"/>
      <c r="AV929" s="628"/>
      <c r="AW929" s="628"/>
      <c r="AX929" s="628"/>
      <c r="AY929" s="545">
        <f t="shared" si="359"/>
        <v>150.041666666667</v>
      </c>
      <c r="AZ929" s="546"/>
      <c r="BA929" s="628"/>
      <c r="BB929" s="628"/>
      <c r="BC929" s="628"/>
      <c r="BD929" s="628"/>
      <c r="BE929" s="628"/>
      <c r="BF929" s="628"/>
      <c r="BG929" s="628"/>
      <c r="BH929" s="628"/>
      <c r="BI929" s="427">
        <f>I929/13</f>
        <v>277</v>
      </c>
      <c r="BJ929" s="628"/>
      <c r="BK929" s="628"/>
      <c r="BL929" s="628"/>
      <c r="BM929" s="628"/>
      <c r="BN929" s="628"/>
      <c r="BO929" s="628"/>
      <c r="BP929" s="628"/>
      <c r="BQ929" s="628"/>
      <c r="BR929" s="628"/>
      <c r="BS929" s="628"/>
      <c r="BT929" s="544"/>
      <c r="BU929" s="628"/>
      <c r="BV929" s="544"/>
      <c r="BW929" s="628"/>
      <c r="BX929" s="628"/>
      <c r="BY929" s="628"/>
      <c r="BZ929" s="628"/>
      <c r="CA929" s="628"/>
      <c r="CB929" s="628"/>
      <c r="CC929" s="628"/>
      <c r="CD929" s="628"/>
      <c r="CE929" s="628"/>
      <c r="CF929" s="628"/>
      <c r="CG929" s="628"/>
      <c r="CH929" s="628"/>
      <c r="CI929" s="628"/>
      <c r="CJ929" s="628"/>
      <c r="CK929" s="427">
        <f t="shared" si="356"/>
        <v>0</v>
      </c>
      <c r="CL929" s="427">
        <f t="shared" si="357"/>
        <v>0</v>
      </c>
      <c r="CM929" s="427">
        <f t="shared" si="358"/>
        <v>0</v>
      </c>
      <c r="CN929" s="544"/>
      <c r="CO929" s="544"/>
      <c r="CP929" s="544"/>
      <c r="CT929" s="544"/>
      <c r="CU929" s="544"/>
      <c r="CV929" s="544"/>
      <c r="CW929" s="544"/>
      <c r="CX929" s="544"/>
    </row>
    <row r="930" s="431" customFormat="1" ht="31" customHeight="1" spans="1:102">
      <c r="A930" s="518">
        <v>45964</v>
      </c>
      <c r="B930" s="519" t="s">
        <v>398</v>
      </c>
      <c r="C930" s="520" t="s">
        <v>356</v>
      </c>
      <c r="D930" s="427">
        <v>4500184204</v>
      </c>
      <c r="E930" s="520"/>
      <c r="F930" s="427" t="s">
        <v>5510</v>
      </c>
      <c r="G930" s="521" t="s">
        <v>3328</v>
      </c>
      <c r="H930" s="521" t="s">
        <v>3194</v>
      </c>
      <c r="I930" s="521">
        <v>3600</v>
      </c>
      <c r="J930" s="521">
        <v>0</v>
      </c>
      <c r="K930" s="521">
        <v>30</v>
      </c>
      <c r="L930" s="524">
        <f t="shared" si="354"/>
        <v>120</v>
      </c>
      <c r="M930" s="525">
        <v>46021</v>
      </c>
      <c r="N930" s="525">
        <v>46017</v>
      </c>
      <c r="O930" s="526"/>
      <c r="P930" s="526" t="s">
        <v>103</v>
      </c>
      <c r="Q930" s="521"/>
      <c r="R930" s="530">
        <v>45978</v>
      </c>
      <c r="S930" s="530" t="s">
        <v>66</v>
      </c>
      <c r="T930" s="530" t="s">
        <v>5508</v>
      </c>
      <c r="U930" s="530"/>
      <c r="V930" s="531" t="s">
        <v>5511</v>
      </c>
      <c r="W930" s="532" t="s">
        <v>395</v>
      </c>
      <c r="X930" s="536">
        <v>41.4795</v>
      </c>
      <c r="Y930" s="540">
        <f>X930*L930</f>
        <v>4977.54</v>
      </c>
      <c r="Z930" s="521"/>
      <c r="AA930" s="521" t="s">
        <v>3328</v>
      </c>
      <c r="AB930" s="521" t="s">
        <v>76</v>
      </c>
      <c r="AC930" s="521"/>
      <c r="AD930" s="519"/>
      <c r="AE930" s="519">
        <v>1</v>
      </c>
      <c r="AF930" s="521">
        <f>1200+2400</f>
        <v>3600</v>
      </c>
      <c r="AG930" s="521">
        <f t="shared" si="355"/>
        <v>0</v>
      </c>
      <c r="AH930" s="542"/>
      <c r="AI930" s="521" t="s">
        <v>2191</v>
      </c>
      <c r="AJ930" s="521"/>
      <c r="AK930" s="521"/>
      <c r="AL930" s="427">
        <f t="shared" si="353"/>
        <v>3600</v>
      </c>
      <c r="AM930" s="628"/>
      <c r="AN930" s="628"/>
      <c r="AO930" s="630"/>
      <c r="AP930" s="628"/>
      <c r="AQ930" s="427">
        <f>I930*2</f>
        <v>7200</v>
      </c>
      <c r="AR930" s="628"/>
      <c r="AS930" s="543">
        <f>I930*2</f>
        <v>7200</v>
      </c>
      <c r="AT930" s="544"/>
      <c r="AU930" s="628"/>
      <c r="AV930" s="628"/>
      <c r="AW930" s="628"/>
      <c r="AX930" s="628"/>
      <c r="AY930" s="603">
        <f t="shared" si="359"/>
        <v>150</v>
      </c>
      <c r="AZ930" s="546"/>
      <c r="BA930" s="628"/>
      <c r="BB930" s="628"/>
      <c r="BC930" s="628"/>
      <c r="BD930" s="628"/>
      <c r="BE930" s="628"/>
      <c r="BF930" s="628"/>
      <c r="BG930" s="628"/>
      <c r="BH930" s="628"/>
      <c r="BI930" s="628"/>
      <c r="BJ930" s="628"/>
      <c r="BK930" s="628"/>
      <c r="BL930" s="628"/>
      <c r="BM930" s="628"/>
      <c r="BN930" s="628"/>
      <c r="BO930" s="628"/>
      <c r="BP930" s="628"/>
      <c r="BQ930" s="628"/>
      <c r="BR930" s="628"/>
      <c r="BS930" s="628"/>
      <c r="BT930" s="544"/>
      <c r="BU930" s="628"/>
      <c r="BV930" s="544"/>
      <c r="BW930" s="628"/>
      <c r="BX930" s="628"/>
      <c r="BY930" s="628"/>
      <c r="BZ930" s="628"/>
      <c r="CA930" s="628"/>
      <c r="CB930" s="628"/>
      <c r="CC930" s="628"/>
      <c r="CD930" s="628"/>
      <c r="CE930" s="628"/>
      <c r="CF930" s="427">
        <f>I930/30</f>
        <v>120</v>
      </c>
      <c r="CG930" s="628"/>
      <c r="CH930" s="628"/>
      <c r="CI930" s="628"/>
      <c r="CJ930" s="628"/>
      <c r="CK930" s="427">
        <f t="shared" si="356"/>
        <v>0</v>
      </c>
      <c r="CL930" s="427">
        <f t="shared" si="357"/>
        <v>120</v>
      </c>
      <c r="CM930" s="427">
        <f t="shared" si="358"/>
        <v>0</v>
      </c>
      <c r="CN930" s="631"/>
      <c r="CO930" s="631"/>
      <c r="CP930" s="631"/>
      <c r="CT930" s="631"/>
      <c r="CU930" s="631"/>
      <c r="CV930" s="631"/>
      <c r="CW930" s="631"/>
      <c r="CX930" s="631"/>
    </row>
    <row r="931" s="431" customFormat="1" ht="31" customHeight="1" spans="1:102">
      <c r="A931" s="518">
        <v>45961</v>
      </c>
      <c r="B931" s="519" t="s">
        <v>2371</v>
      </c>
      <c r="C931" s="520" t="s">
        <v>2372</v>
      </c>
      <c r="D931" s="427">
        <v>4500183983</v>
      </c>
      <c r="E931" s="520"/>
      <c r="F931" s="427" t="s">
        <v>5512</v>
      </c>
      <c r="G931" s="521" t="s">
        <v>3378</v>
      </c>
      <c r="H931" s="521" t="s">
        <v>3379</v>
      </c>
      <c r="I931" s="521">
        <v>5000</v>
      </c>
      <c r="J931" s="521">
        <v>0</v>
      </c>
      <c r="K931" s="521">
        <v>50</v>
      </c>
      <c r="L931" s="524">
        <f t="shared" si="354"/>
        <v>100</v>
      </c>
      <c r="M931" s="525">
        <v>46021</v>
      </c>
      <c r="N931" s="525">
        <v>46017</v>
      </c>
      <c r="O931" s="526"/>
      <c r="P931" s="526" t="s">
        <v>103</v>
      </c>
      <c r="Q931" s="521"/>
      <c r="R931" s="530">
        <v>45978</v>
      </c>
      <c r="S931" s="530" t="s">
        <v>66</v>
      </c>
      <c r="T931" s="530" t="s">
        <v>3381</v>
      </c>
      <c r="U931" s="530"/>
      <c r="V931" s="532" t="s">
        <v>5513</v>
      </c>
      <c r="W931" s="532" t="s">
        <v>473</v>
      </c>
      <c r="X931" s="536">
        <v>0.9188</v>
      </c>
      <c r="Y931" s="540">
        <f>X931*I931</f>
        <v>4594</v>
      </c>
      <c r="Z931" s="521"/>
      <c r="AA931" s="521" t="s">
        <v>3378</v>
      </c>
      <c r="AB931" s="521" t="s">
        <v>76</v>
      </c>
      <c r="AC931" s="521"/>
      <c r="AD931" s="519"/>
      <c r="AE931" s="519">
        <v>1</v>
      </c>
      <c r="AF931" s="521">
        <f>4950+50</f>
        <v>5000</v>
      </c>
      <c r="AG931" s="521">
        <f t="shared" si="355"/>
        <v>0</v>
      </c>
      <c r="AH931" s="542"/>
      <c r="AI931" s="521" t="s">
        <v>2191</v>
      </c>
      <c r="AJ931" s="521"/>
      <c r="AK931" s="521"/>
      <c r="AL931" s="543">
        <f t="shared" si="353"/>
        <v>5000</v>
      </c>
      <c r="AM931" s="628"/>
      <c r="AN931" s="628"/>
      <c r="AO931" s="630"/>
      <c r="AP931" s="628"/>
      <c r="AQ931" s="628"/>
      <c r="AR931" s="628"/>
      <c r="AS931" s="543"/>
      <c r="AT931" s="544"/>
      <c r="AU931" s="628"/>
      <c r="AV931" s="628"/>
      <c r="AW931" s="628"/>
      <c r="AX931" s="628"/>
      <c r="AY931" s="581">
        <f t="shared" si="359"/>
        <v>208.333333333333</v>
      </c>
      <c r="AZ931" s="546"/>
      <c r="BA931" s="628"/>
      <c r="BB931" s="628"/>
      <c r="BC931" s="628"/>
      <c r="BD931" s="628"/>
      <c r="BE931" s="628"/>
      <c r="BF931" s="628"/>
      <c r="BG931" s="628"/>
      <c r="BH931" s="628"/>
      <c r="BI931" s="628"/>
      <c r="BJ931" s="628"/>
      <c r="BK931" s="628"/>
      <c r="BL931" s="628"/>
      <c r="BM931" s="628"/>
      <c r="BN931" s="628"/>
      <c r="BO931" s="628"/>
      <c r="BP931" s="628"/>
      <c r="BQ931" s="427">
        <f>I931</f>
        <v>5000</v>
      </c>
      <c r="BR931" s="427">
        <f>I931</f>
        <v>5000</v>
      </c>
      <c r="BS931" s="427">
        <f>I931/25</f>
        <v>200</v>
      </c>
      <c r="BT931" s="544"/>
      <c r="BU931" s="628"/>
      <c r="BV931" s="544"/>
      <c r="BW931" s="628"/>
      <c r="BX931" s="628"/>
      <c r="BY931" s="628"/>
      <c r="BZ931" s="628"/>
      <c r="CA931" s="628"/>
      <c r="CB931" s="628"/>
      <c r="CC931" s="628"/>
      <c r="CD931" s="628"/>
      <c r="CE931" s="628"/>
      <c r="CF931" s="628"/>
      <c r="CG931" s="628"/>
      <c r="CH931" s="628"/>
      <c r="CI931" s="628"/>
      <c r="CJ931" s="628"/>
      <c r="CK931" s="427">
        <f t="shared" si="356"/>
        <v>200</v>
      </c>
      <c r="CL931" s="427">
        <f t="shared" si="357"/>
        <v>0</v>
      </c>
      <c r="CM931" s="427">
        <f t="shared" si="358"/>
        <v>0</v>
      </c>
      <c r="CN931" s="544"/>
      <c r="CO931" s="544"/>
      <c r="CP931" s="544"/>
      <c r="CQ931" s="628"/>
      <c r="CR931" s="628"/>
      <c r="CS931" s="628"/>
      <c r="CT931" s="544"/>
      <c r="CU931" s="544"/>
      <c r="CV931" s="544"/>
      <c r="CW931" s="544"/>
      <c r="CX931" s="544"/>
    </row>
    <row r="932" s="431" customFormat="1" ht="31" customHeight="1" spans="1:102">
      <c r="A932" s="518">
        <v>45968</v>
      </c>
      <c r="B932" s="519" t="s">
        <v>3526</v>
      </c>
      <c r="C932" s="520" t="s">
        <v>90</v>
      </c>
      <c r="D932" s="427">
        <v>4500184930</v>
      </c>
      <c r="E932" s="520" t="s">
        <v>5514</v>
      </c>
      <c r="F932" s="427" t="s">
        <v>5515</v>
      </c>
      <c r="G932" s="521" t="s">
        <v>3518</v>
      </c>
      <c r="H932" s="521" t="s">
        <v>3519</v>
      </c>
      <c r="I932" s="521">
        <v>46080</v>
      </c>
      <c r="J932" s="521">
        <v>0</v>
      </c>
      <c r="K932" s="521">
        <v>48</v>
      </c>
      <c r="L932" s="524">
        <f t="shared" si="354"/>
        <v>960</v>
      </c>
      <c r="M932" s="525">
        <v>46021</v>
      </c>
      <c r="N932" s="525">
        <v>46017</v>
      </c>
      <c r="O932" s="526" t="s">
        <v>5516</v>
      </c>
      <c r="P932" s="526" t="s">
        <v>103</v>
      </c>
      <c r="Q932" s="521" t="s">
        <v>5517</v>
      </c>
      <c r="R932" s="530" t="s">
        <v>5518</v>
      </c>
      <c r="S932" s="530" t="s">
        <v>66</v>
      </c>
      <c r="T932" s="530" t="s">
        <v>66</v>
      </c>
      <c r="U932" s="530"/>
      <c r="V932" s="532" t="s">
        <v>5519</v>
      </c>
      <c r="W932" s="532" t="s">
        <v>1590</v>
      </c>
      <c r="X932" s="536">
        <v>0.5804</v>
      </c>
      <c r="Y932" s="540">
        <f>I932*X932</f>
        <v>26744.832</v>
      </c>
      <c r="Z932" s="521"/>
      <c r="AA932" s="521" t="s">
        <v>3518</v>
      </c>
      <c r="AB932" s="521" t="s">
        <v>76</v>
      </c>
      <c r="AC932" s="521"/>
      <c r="AD932" s="519"/>
      <c r="AE932" s="519">
        <v>1</v>
      </c>
      <c r="AF932" s="521">
        <v>46080</v>
      </c>
      <c r="AG932" s="521">
        <f t="shared" si="355"/>
        <v>0</v>
      </c>
      <c r="AH932" s="542"/>
      <c r="AI932" s="521"/>
      <c r="AJ932" s="521"/>
      <c r="AK932" s="521">
        <f>I932</f>
        <v>46080</v>
      </c>
      <c r="AL932" s="543"/>
      <c r="AM932" s="628"/>
      <c r="AN932" s="628"/>
      <c r="AO932" s="630"/>
      <c r="AP932" s="628"/>
      <c r="AQ932" s="628"/>
      <c r="AR932" s="543">
        <f>I932</f>
        <v>46080</v>
      </c>
      <c r="AS932" s="543"/>
      <c r="AT932" s="544"/>
      <c r="AU932" s="628"/>
      <c r="AV932" s="628"/>
      <c r="AW932" s="628"/>
      <c r="AX932" s="628"/>
      <c r="AY932" s="545">
        <f t="shared" si="359"/>
        <v>1920</v>
      </c>
      <c r="AZ932" s="546">
        <f>I932</f>
        <v>46080</v>
      </c>
      <c r="BA932" s="628"/>
      <c r="BB932" s="628"/>
      <c r="BC932" s="628"/>
      <c r="BD932" s="628"/>
      <c r="BE932" s="628"/>
      <c r="BF932" s="628"/>
      <c r="BG932" s="628"/>
      <c r="BH932" s="628"/>
      <c r="BI932" s="628"/>
      <c r="BJ932" s="628"/>
      <c r="BK932" s="628"/>
      <c r="BL932" s="628"/>
      <c r="BM932" s="628"/>
      <c r="BN932" s="628"/>
      <c r="BO932" s="427">
        <f>I932/8</f>
        <v>5760</v>
      </c>
      <c r="BP932" s="628"/>
      <c r="BQ932" s="628"/>
      <c r="BR932" s="628"/>
      <c r="BS932" s="628"/>
      <c r="BT932" s="544"/>
      <c r="BU932" s="628"/>
      <c r="BV932" s="544"/>
      <c r="BW932" s="628"/>
      <c r="BX932" s="628"/>
      <c r="BY932" s="628"/>
      <c r="BZ932" s="628"/>
      <c r="CA932" s="628"/>
      <c r="CB932" s="628"/>
      <c r="CC932" s="628"/>
      <c r="CD932" s="628"/>
      <c r="CE932" s="628"/>
      <c r="CF932" s="628"/>
      <c r="CG932" s="628"/>
      <c r="CH932" s="628"/>
      <c r="CI932" s="628"/>
      <c r="CJ932" s="628"/>
      <c r="CK932" s="427">
        <f t="shared" si="356"/>
        <v>0</v>
      </c>
      <c r="CL932" s="427">
        <f t="shared" si="357"/>
        <v>0</v>
      </c>
      <c r="CM932" s="427">
        <f t="shared" si="358"/>
        <v>0</v>
      </c>
      <c r="CN932" s="632"/>
      <c r="CO932" s="632"/>
      <c r="CP932" s="632"/>
      <c r="CT932" s="632"/>
      <c r="CU932" s="632"/>
      <c r="CV932" s="632"/>
      <c r="CW932" s="632"/>
      <c r="CX932" s="632"/>
    </row>
    <row r="933" s="431" customFormat="1" ht="31" customHeight="1" spans="1:102">
      <c r="A933" s="518">
        <v>46009</v>
      </c>
      <c r="B933" s="519"/>
      <c r="C933" s="520"/>
      <c r="D933" s="427" t="s">
        <v>5520</v>
      </c>
      <c r="E933" s="520"/>
      <c r="F933" s="427" t="s">
        <v>5521</v>
      </c>
      <c r="G933" s="521" t="s">
        <v>3138</v>
      </c>
      <c r="H933" s="521" t="s">
        <v>3139</v>
      </c>
      <c r="I933" s="521" t="s">
        <v>5522</v>
      </c>
      <c r="J933" s="521">
        <v>0</v>
      </c>
      <c r="K933" s="521">
        <v>24</v>
      </c>
      <c r="L933" s="524">
        <v>3</v>
      </c>
      <c r="M933" s="525">
        <v>46021</v>
      </c>
      <c r="N933" s="525">
        <v>46017</v>
      </c>
      <c r="O933" s="526"/>
      <c r="P933" s="526"/>
      <c r="Q933" s="521"/>
      <c r="R933" s="530">
        <v>46009</v>
      </c>
      <c r="S933" s="530" t="s">
        <v>66</v>
      </c>
      <c r="T933" s="530" t="s">
        <v>66</v>
      </c>
      <c r="U933" s="530"/>
      <c r="V933" s="532" t="s">
        <v>5523</v>
      </c>
      <c r="W933" s="532"/>
      <c r="X933" s="536"/>
      <c r="Y933" s="540"/>
      <c r="Z933" s="521"/>
      <c r="AA933" s="549" t="s">
        <v>68</v>
      </c>
      <c r="AB933" s="549" t="s">
        <v>68</v>
      </c>
      <c r="AC933" s="521"/>
      <c r="AD933" s="519"/>
      <c r="AE933" s="519"/>
      <c r="AF933" s="521" t="s">
        <v>5524</v>
      </c>
      <c r="AG933" s="521"/>
      <c r="AH933" s="542"/>
      <c r="AI933" s="521"/>
      <c r="AJ933" s="521"/>
      <c r="AK933" s="521"/>
      <c r="AL933" s="543"/>
      <c r="AM933" s="628"/>
      <c r="AN933" s="628"/>
      <c r="AO933" s="630"/>
      <c r="AP933" s="628"/>
      <c r="AQ933" s="628"/>
      <c r="AR933" s="543"/>
      <c r="AS933" s="543"/>
      <c r="AT933" s="544"/>
      <c r="AU933" s="628"/>
      <c r="AV933" s="628"/>
      <c r="AW933" s="628"/>
      <c r="AX933" s="628"/>
      <c r="AY933" s="545"/>
      <c r="AZ933" s="546"/>
      <c r="BA933" s="628"/>
      <c r="BB933" s="628"/>
      <c r="BC933" s="628"/>
      <c r="BD933" s="628"/>
      <c r="BE933" s="628"/>
      <c r="BF933" s="628"/>
      <c r="BG933" s="628"/>
      <c r="BH933" s="628"/>
      <c r="BI933" s="628"/>
      <c r="BJ933" s="628"/>
      <c r="BK933" s="628"/>
      <c r="BL933" s="628"/>
      <c r="BM933" s="628"/>
      <c r="BN933" s="628"/>
      <c r="BO933" s="628"/>
      <c r="BP933" s="628"/>
      <c r="BQ933" s="628"/>
      <c r="BR933" s="628"/>
      <c r="BS933" s="628"/>
      <c r="BT933" s="544"/>
      <c r="BU933" s="628"/>
      <c r="BV933" s="544"/>
      <c r="BW933" s="628"/>
      <c r="BX933" s="628"/>
      <c r="BY933" s="628"/>
      <c r="BZ933" s="628"/>
      <c r="CA933" s="628"/>
      <c r="CB933" s="628"/>
      <c r="CC933" s="628"/>
      <c r="CD933" s="628"/>
      <c r="CE933" s="628"/>
      <c r="CF933" s="628"/>
      <c r="CG933" s="628"/>
      <c r="CH933" s="628"/>
      <c r="CI933" s="628"/>
      <c r="CJ933" s="628"/>
      <c r="CK933" s="428">
        <f t="shared" si="356"/>
        <v>0</v>
      </c>
      <c r="CL933" s="428">
        <f t="shared" si="357"/>
        <v>0</v>
      </c>
      <c r="CM933" s="428">
        <f t="shared" si="358"/>
        <v>0</v>
      </c>
      <c r="CN933" s="544"/>
      <c r="CO933" s="544"/>
      <c r="CP933" s="544"/>
      <c r="CT933" s="544"/>
      <c r="CU933" s="544"/>
      <c r="CV933" s="544"/>
      <c r="CW933" s="544"/>
      <c r="CX933" s="544"/>
    </row>
    <row r="934" s="431" customFormat="1" ht="31" customHeight="1" spans="1:102">
      <c r="A934" s="518">
        <v>46010</v>
      </c>
      <c r="B934" s="519"/>
      <c r="C934" s="520"/>
      <c r="D934" s="427" t="s">
        <v>5525</v>
      </c>
      <c r="E934" s="520"/>
      <c r="F934" s="427" t="s">
        <v>5526</v>
      </c>
      <c r="G934" s="521" t="s">
        <v>3138</v>
      </c>
      <c r="H934" s="521" t="s">
        <v>3139</v>
      </c>
      <c r="I934" s="521" t="s">
        <v>5527</v>
      </c>
      <c r="J934" s="521">
        <v>0</v>
      </c>
      <c r="K934" s="521">
        <v>24</v>
      </c>
      <c r="L934" s="524">
        <v>3</v>
      </c>
      <c r="M934" s="525">
        <v>46021</v>
      </c>
      <c r="N934" s="525">
        <v>46017</v>
      </c>
      <c r="O934" s="526"/>
      <c r="P934" s="526"/>
      <c r="Q934" s="521"/>
      <c r="R934" s="530">
        <v>46010</v>
      </c>
      <c r="S934" s="530" t="s">
        <v>66</v>
      </c>
      <c r="T934" s="530" t="s">
        <v>66</v>
      </c>
      <c r="U934" s="530"/>
      <c r="V934" s="532" t="s">
        <v>5528</v>
      </c>
      <c r="W934" s="532"/>
      <c r="X934" s="536"/>
      <c r="Y934" s="540"/>
      <c r="Z934" s="521"/>
      <c r="AA934" s="549" t="s">
        <v>68</v>
      </c>
      <c r="AB934" s="549" t="s">
        <v>68</v>
      </c>
      <c r="AC934" s="521"/>
      <c r="AD934" s="519"/>
      <c r="AE934" s="519"/>
      <c r="AF934" s="521" t="s">
        <v>5529</v>
      </c>
      <c r="AG934" s="521"/>
      <c r="AH934" s="542"/>
      <c r="AI934" s="521"/>
      <c r="AJ934" s="521"/>
      <c r="AK934" s="521"/>
      <c r="AL934" s="543"/>
      <c r="AM934" s="628"/>
      <c r="AN934" s="628"/>
      <c r="AO934" s="630"/>
      <c r="AP934" s="628"/>
      <c r="AQ934" s="628"/>
      <c r="AR934" s="543"/>
      <c r="AS934" s="543"/>
      <c r="AT934" s="544"/>
      <c r="AU934" s="628"/>
      <c r="AV934" s="628"/>
      <c r="AW934" s="628"/>
      <c r="AX934" s="628"/>
      <c r="AY934" s="545"/>
      <c r="AZ934" s="546"/>
      <c r="BA934" s="628"/>
      <c r="BB934" s="628"/>
      <c r="BC934" s="628"/>
      <c r="BD934" s="628"/>
      <c r="BE934" s="628"/>
      <c r="BF934" s="628"/>
      <c r="BG934" s="628"/>
      <c r="BH934" s="628"/>
      <c r="BI934" s="628"/>
      <c r="BJ934" s="628"/>
      <c r="BK934" s="628"/>
      <c r="BL934" s="628"/>
      <c r="BM934" s="628"/>
      <c r="BN934" s="628"/>
      <c r="BO934" s="628"/>
      <c r="BP934" s="628"/>
      <c r="BQ934" s="628"/>
      <c r="BR934" s="628"/>
      <c r="BS934" s="628"/>
      <c r="BT934" s="544"/>
      <c r="BU934" s="628"/>
      <c r="BV934" s="544"/>
      <c r="BW934" s="628"/>
      <c r="BX934" s="628"/>
      <c r="BY934" s="628"/>
      <c r="BZ934" s="628"/>
      <c r="CA934" s="628"/>
      <c r="CB934" s="628"/>
      <c r="CC934" s="628"/>
      <c r="CD934" s="628"/>
      <c r="CE934" s="628"/>
      <c r="CF934" s="628"/>
      <c r="CG934" s="628"/>
      <c r="CH934" s="628"/>
      <c r="CI934" s="628"/>
      <c r="CJ934" s="628"/>
      <c r="CK934" s="428">
        <f t="shared" si="356"/>
        <v>0</v>
      </c>
      <c r="CL934" s="428">
        <f t="shared" si="357"/>
        <v>0</v>
      </c>
      <c r="CM934" s="428">
        <f t="shared" si="358"/>
        <v>0</v>
      </c>
      <c r="CN934" s="544"/>
      <c r="CO934" s="544"/>
      <c r="CP934" s="544"/>
      <c r="CT934" s="544"/>
      <c r="CU934" s="544"/>
      <c r="CV934" s="544"/>
      <c r="CW934" s="544"/>
      <c r="CX934" s="544"/>
    </row>
    <row r="935" s="431" customFormat="1" ht="31" customHeight="1" spans="1:102">
      <c r="A935" s="518">
        <v>45974</v>
      </c>
      <c r="B935" s="519" t="s">
        <v>220</v>
      </c>
      <c r="C935" s="520" t="s">
        <v>90</v>
      </c>
      <c r="D935" s="427">
        <v>4500185525</v>
      </c>
      <c r="E935" s="520" t="s">
        <v>5530</v>
      </c>
      <c r="F935" s="427" t="s">
        <v>5531</v>
      </c>
      <c r="G935" s="521" t="s">
        <v>3198</v>
      </c>
      <c r="H935" s="521" t="s">
        <v>3303</v>
      </c>
      <c r="I935" s="521">
        <v>150000</v>
      </c>
      <c r="J935" s="521">
        <v>0</v>
      </c>
      <c r="K935" s="521">
        <v>25</v>
      </c>
      <c r="L935" s="524">
        <f t="shared" ref="L935:L949" si="360">I935/K935</f>
        <v>6000</v>
      </c>
      <c r="M935" s="525">
        <v>46022</v>
      </c>
      <c r="N935" s="525">
        <v>46018</v>
      </c>
      <c r="O935" s="526"/>
      <c r="P935" s="526" t="s">
        <v>103</v>
      </c>
      <c r="Q935" s="521"/>
      <c r="R935" s="530">
        <v>45989</v>
      </c>
      <c r="S935" s="530" t="s">
        <v>96</v>
      </c>
      <c r="T935" s="530" t="s">
        <v>2106</v>
      </c>
      <c r="U935" s="530"/>
      <c r="V935" s="532" t="s">
        <v>5439</v>
      </c>
      <c r="W935" s="532" t="s">
        <v>226</v>
      </c>
      <c r="X935" s="536">
        <v>0.5455</v>
      </c>
      <c r="Y935" s="540">
        <f t="shared" ref="Y935:Y943" si="361">X935*I935</f>
        <v>81825</v>
      </c>
      <c r="Z935" s="521"/>
      <c r="AA935" s="521" t="s">
        <v>3198</v>
      </c>
      <c r="AB935" s="521" t="s">
        <v>76</v>
      </c>
      <c r="AC935" s="521"/>
      <c r="AD935" s="519"/>
      <c r="AE935" s="519">
        <v>1</v>
      </c>
      <c r="AF935" s="521">
        <f>74250+30250+23500+22000</f>
        <v>150000</v>
      </c>
      <c r="AG935" s="521">
        <f t="shared" ref="AG935:AG940" si="362">AF935-I935</f>
        <v>0</v>
      </c>
      <c r="AH935" s="542"/>
      <c r="AI935" s="521" t="s">
        <v>2191</v>
      </c>
      <c r="AJ935" s="521"/>
      <c r="AK935" s="521">
        <f>I935</f>
        <v>150000</v>
      </c>
      <c r="AL935" s="543"/>
      <c r="AM935" s="427">
        <f>I935</f>
        <v>150000</v>
      </c>
      <c r="AN935" s="628"/>
      <c r="AO935" s="630"/>
      <c r="AP935" s="628"/>
      <c r="AQ935" s="628"/>
      <c r="AR935" s="427">
        <f>I935</f>
        <v>150000</v>
      </c>
      <c r="AS935" s="543"/>
      <c r="AT935" s="544"/>
      <c r="AU935" s="628"/>
      <c r="AV935" s="628"/>
      <c r="AW935" s="628"/>
      <c r="AX935" s="628"/>
      <c r="AY935" s="545">
        <f>I935/24</f>
        <v>6250</v>
      </c>
      <c r="AZ935" s="546"/>
      <c r="BA935" s="628"/>
      <c r="BB935" s="628"/>
      <c r="BC935" s="628"/>
      <c r="BD935" s="628"/>
      <c r="BE935" s="628"/>
      <c r="BF935" s="628"/>
      <c r="BG935" s="628"/>
      <c r="BH935" s="628"/>
      <c r="BI935" s="628"/>
      <c r="BJ935" s="427">
        <f>I935/25</f>
        <v>6000</v>
      </c>
      <c r="BK935" s="543"/>
      <c r="BL935" s="628"/>
      <c r="BM935" s="628"/>
      <c r="BN935" s="628"/>
      <c r="BO935" s="628"/>
      <c r="BP935" s="628"/>
      <c r="BQ935" s="628"/>
      <c r="BR935" s="628"/>
      <c r="BS935" s="628"/>
      <c r="BT935" s="544"/>
      <c r="BU935" s="628"/>
      <c r="BV935" s="544"/>
      <c r="BW935" s="628"/>
      <c r="BX935" s="628"/>
      <c r="BY935" s="628"/>
      <c r="BZ935" s="628"/>
      <c r="CA935" s="628"/>
      <c r="CB935" s="628"/>
      <c r="CC935" s="628"/>
      <c r="CD935" s="628"/>
      <c r="CE935" s="628"/>
      <c r="CF935" s="628"/>
      <c r="CG935" s="628"/>
      <c r="CH935" s="628"/>
      <c r="CI935" s="628"/>
      <c r="CJ935" s="628"/>
      <c r="CK935" s="427">
        <f t="shared" si="356"/>
        <v>6000</v>
      </c>
      <c r="CL935" s="427">
        <f t="shared" si="357"/>
        <v>0</v>
      </c>
      <c r="CM935" s="427">
        <f t="shared" si="358"/>
        <v>0</v>
      </c>
      <c r="CN935" s="544"/>
      <c r="CO935" s="544"/>
      <c r="CP935" s="544"/>
      <c r="CT935" s="544"/>
      <c r="CU935" s="544"/>
      <c r="CV935" s="544"/>
      <c r="CW935" s="544"/>
      <c r="CX935" s="544"/>
    </row>
    <row r="936" s="431" customFormat="1" ht="31" customHeight="1" spans="1:102">
      <c r="A936" s="518">
        <v>45960</v>
      </c>
      <c r="B936" s="519" t="s">
        <v>5201</v>
      </c>
      <c r="C936" s="520" t="s">
        <v>90</v>
      </c>
      <c r="D936" s="427">
        <v>4500183807</v>
      </c>
      <c r="E936" s="520" t="s">
        <v>5532</v>
      </c>
      <c r="F936" s="427" t="s">
        <v>5533</v>
      </c>
      <c r="G936" s="521" t="s">
        <v>4564</v>
      </c>
      <c r="H936" s="521" t="s">
        <v>3237</v>
      </c>
      <c r="I936" s="521">
        <v>996</v>
      </c>
      <c r="J936" s="521">
        <v>0</v>
      </c>
      <c r="K936" s="521">
        <v>12</v>
      </c>
      <c r="L936" s="524">
        <f t="shared" si="360"/>
        <v>83</v>
      </c>
      <c r="M936" s="525">
        <v>46022</v>
      </c>
      <c r="N936" s="525">
        <v>46018</v>
      </c>
      <c r="O936" s="526"/>
      <c r="P936" s="526" t="s">
        <v>103</v>
      </c>
      <c r="Q936" s="521"/>
      <c r="R936" s="530">
        <v>45965</v>
      </c>
      <c r="S936" s="530" t="s">
        <v>66</v>
      </c>
      <c r="T936" s="530" t="s">
        <v>5204</v>
      </c>
      <c r="U936" s="530"/>
      <c r="V936" s="532" t="s">
        <v>5534</v>
      </c>
      <c r="W936" s="532" t="s">
        <v>2340</v>
      </c>
      <c r="X936" s="532">
        <v>1.3094</v>
      </c>
      <c r="Y936" s="540">
        <f t="shared" si="361"/>
        <v>1304.1624</v>
      </c>
      <c r="Z936" s="521"/>
      <c r="AA936" s="521" t="s">
        <v>3236</v>
      </c>
      <c r="AB936" s="521" t="s">
        <v>76</v>
      </c>
      <c r="AC936" s="521"/>
      <c r="AD936" s="519"/>
      <c r="AE936" s="519">
        <v>1</v>
      </c>
      <c r="AF936" s="521">
        <v>996</v>
      </c>
      <c r="AG936" s="521">
        <f t="shared" si="362"/>
        <v>0</v>
      </c>
      <c r="AH936" s="542"/>
      <c r="AI936" s="521" t="s">
        <v>2191</v>
      </c>
      <c r="AJ936" s="521"/>
      <c r="AK936" s="521">
        <f>I936*2</f>
        <v>1992</v>
      </c>
      <c r="AL936" s="543"/>
      <c r="AM936" s="628"/>
      <c r="AN936" s="427">
        <f>I936*2</f>
        <v>1992</v>
      </c>
      <c r="AO936" s="630"/>
      <c r="AP936" s="628"/>
      <c r="AQ936" s="628"/>
      <c r="AR936" s="543">
        <f>I936*2</f>
        <v>1992</v>
      </c>
      <c r="AS936" s="543"/>
      <c r="AT936" s="544"/>
      <c r="AU936" s="628"/>
      <c r="AV936" s="628"/>
      <c r="AW936" s="628"/>
      <c r="AX936" s="628"/>
      <c r="AY936" s="545">
        <f t="shared" ref="AY936:AY941" si="363">I936/24*2</f>
        <v>83</v>
      </c>
      <c r="AZ936" s="546"/>
      <c r="BA936" s="628"/>
      <c r="BB936" s="628"/>
      <c r="BC936" s="628"/>
      <c r="BD936" s="628"/>
      <c r="BE936" s="628"/>
      <c r="BF936" s="628"/>
      <c r="BG936" s="628"/>
      <c r="BH936" s="628"/>
      <c r="BI936" s="628"/>
      <c r="BJ936" s="628"/>
      <c r="BK936" s="628"/>
      <c r="BL936" s="628"/>
      <c r="BM936" s="628"/>
      <c r="BN936" s="628"/>
      <c r="BO936" s="628"/>
      <c r="BP936" s="628"/>
      <c r="BQ936" s="628"/>
      <c r="BR936" s="628"/>
      <c r="BS936" s="628"/>
      <c r="BT936" s="544"/>
      <c r="BU936" s="628"/>
      <c r="BV936" s="544"/>
      <c r="BW936" s="628"/>
      <c r="BX936" s="628"/>
      <c r="BY936" s="628"/>
      <c r="BZ936" s="628"/>
      <c r="CA936" s="628"/>
      <c r="CB936" s="628"/>
      <c r="CC936" s="628"/>
      <c r="CD936" s="628"/>
      <c r="CE936" s="628"/>
      <c r="CF936" s="628"/>
      <c r="CG936" s="628"/>
      <c r="CH936" s="427">
        <f>I936</f>
        <v>996</v>
      </c>
      <c r="CI936" s="427">
        <f>I936</f>
        <v>996</v>
      </c>
      <c r="CJ936" s="427">
        <f>I936</f>
        <v>996</v>
      </c>
      <c r="CK936" s="427">
        <v>0</v>
      </c>
      <c r="CL936" s="427">
        <v>0</v>
      </c>
      <c r="CM936" s="427">
        <v>0</v>
      </c>
      <c r="CN936" s="544"/>
      <c r="CO936" s="544"/>
      <c r="CP936" s="544"/>
      <c r="CT936" s="544"/>
      <c r="CU936" s="544"/>
      <c r="CV936" s="544"/>
      <c r="CW936" s="544"/>
      <c r="CX936" s="544"/>
    </row>
    <row r="937" s="431" customFormat="1" ht="31" customHeight="1" spans="1:102">
      <c r="A937" s="518">
        <v>45960</v>
      </c>
      <c r="B937" s="519" t="s">
        <v>5201</v>
      </c>
      <c r="C937" s="520" t="s">
        <v>90</v>
      </c>
      <c r="D937" s="427">
        <v>4500183805</v>
      </c>
      <c r="E937" s="520" t="s">
        <v>5535</v>
      </c>
      <c r="F937" s="427" t="s">
        <v>5536</v>
      </c>
      <c r="G937" s="521" t="s">
        <v>4564</v>
      </c>
      <c r="H937" s="521" t="s">
        <v>3237</v>
      </c>
      <c r="I937" s="521">
        <v>996</v>
      </c>
      <c r="J937" s="521">
        <v>0</v>
      </c>
      <c r="K937" s="521">
        <v>12</v>
      </c>
      <c r="L937" s="524">
        <f t="shared" si="360"/>
        <v>83</v>
      </c>
      <c r="M937" s="525">
        <v>46022</v>
      </c>
      <c r="N937" s="525">
        <v>46018</v>
      </c>
      <c r="O937" s="526"/>
      <c r="P937" s="526" t="s">
        <v>103</v>
      </c>
      <c r="Q937" s="521"/>
      <c r="R937" s="530">
        <v>45965</v>
      </c>
      <c r="S937" s="530" t="s">
        <v>66</v>
      </c>
      <c r="T937" s="530" t="s">
        <v>5204</v>
      </c>
      <c r="U937" s="530"/>
      <c r="V937" s="532" t="s">
        <v>5208</v>
      </c>
      <c r="W937" s="532" t="s">
        <v>2340</v>
      </c>
      <c r="X937" s="532">
        <v>1.3094</v>
      </c>
      <c r="Y937" s="540">
        <f t="shared" si="361"/>
        <v>1304.1624</v>
      </c>
      <c r="Z937" s="521"/>
      <c r="AA937" s="521" t="s">
        <v>3236</v>
      </c>
      <c r="AB937" s="521" t="s">
        <v>76</v>
      </c>
      <c r="AC937" s="521"/>
      <c r="AD937" s="519"/>
      <c r="AE937" s="519">
        <v>1</v>
      </c>
      <c r="AF937" s="521">
        <v>996</v>
      </c>
      <c r="AG937" s="521">
        <f t="shared" si="362"/>
        <v>0</v>
      </c>
      <c r="AH937" s="542"/>
      <c r="AI937" s="521" t="s">
        <v>2191</v>
      </c>
      <c r="AJ937" s="521"/>
      <c r="AK937" s="521">
        <f>I937*2</f>
        <v>1992</v>
      </c>
      <c r="AL937" s="543"/>
      <c r="AM937" s="628"/>
      <c r="AN937" s="427">
        <f>I937*2</f>
        <v>1992</v>
      </c>
      <c r="AO937" s="630"/>
      <c r="AP937" s="628"/>
      <c r="AQ937" s="628"/>
      <c r="AR937" s="543">
        <f>I937*2</f>
        <v>1992</v>
      </c>
      <c r="AS937" s="543"/>
      <c r="AT937" s="544"/>
      <c r="AU937" s="628"/>
      <c r="AV937" s="628"/>
      <c r="AW937" s="628"/>
      <c r="AX937" s="628"/>
      <c r="AY937" s="545">
        <f t="shared" si="363"/>
        <v>83</v>
      </c>
      <c r="AZ937" s="546"/>
      <c r="BA937" s="628"/>
      <c r="BB937" s="628"/>
      <c r="BC937" s="628"/>
      <c r="BD937" s="628"/>
      <c r="BE937" s="628"/>
      <c r="BF937" s="628"/>
      <c r="BG937" s="628"/>
      <c r="BH937" s="628"/>
      <c r="BI937" s="628"/>
      <c r="BJ937" s="628"/>
      <c r="BK937" s="628"/>
      <c r="BL937" s="628"/>
      <c r="BM937" s="628"/>
      <c r="BN937" s="628"/>
      <c r="BO937" s="628"/>
      <c r="BP937" s="628"/>
      <c r="BQ937" s="628"/>
      <c r="BR937" s="628"/>
      <c r="BS937" s="628"/>
      <c r="BT937" s="544"/>
      <c r="BU937" s="628"/>
      <c r="BV937" s="544"/>
      <c r="BW937" s="628"/>
      <c r="BX937" s="628"/>
      <c r="BY937" s="628"/>
      <c r="BZ937" s="628"/>
      <c r="CA937" s="628"/>
      <c r="CB937" s="628"/>
      <c r="CC937" s="628"/>
      <c r="CD937" s="628"/>
      <c r="CE937" s="628"/>
      <c r="CF937" s="628"/>
      <c r="CG937" s="628"/>
      <c r="CH937" s="427">
        <f>I937</f>
        <v>996</v>
      </c>
      <c r="CI937" s="427">
        <f>I937</f>
        <v>996</v>
      </c>
      <c r="CJ937" s="427">
        <f>I937</f>
        <v>996</v>
      </c>
      <c r="CK937" s="427">
        <v>0</v>
      </c>
      <c r="CL937" s="427">
        <v>0</v>
      </c>
      <c r="CM937" s="427">
        <v>0</v>
      </c>
      <c r="CN937" s="544"/>
      <c r="CO937" s="544"/>
      <c r="CP937" s="544"/>
      <c r="CT937" s="544"/>
      <c r="CU937" s="544"/>
      <c r="CV937" s="544"/>
      <c r="CW937" s="544"/>
      <c r="CX937" s="544"/>
    </row>
    <row r="938" s="431" customFormat="1" ht="31" customHeight="1" spans="1:102">
      <c r="A938" s="518">
        <v>45960</v>
      </c>
      <c r="B938" s="519" t="s">
        <v>5201</v>
      </c>
      <c r="C938" s="520" t="s">
        <v>90</v>
      </c>
      <c r="D938" s="427">
        <v>4500183811</v>
      </c>
      <c r="E938" s="520" t="s">
        <v>5537</v>
      </c>
      <c r="F938" s="427" t="s">
        <v>5538</v>
      </c>
      <c r="G938" s="521" t="s">
        <v>4564</v>
      </c>
      <c r="H938" s="521" t="s">
        <v>3237</v>
      </c>
      <c r="I938" s="521">
        <v>1200</v>
      </c>
      <c r="J938" s="521">
        <v>0</v>
      </c>
      <c r="K938" s="521">
        <v>12</v>
      </c>
      <c r="L938" s="524">
        <f t="shared" si="360"/>
        <v>100</v>
      </c>
      <c r="M938" s="525">
        <v>46022</v>
      </c>
      <c r="N938" s="525">
        <v>46018</v>
      </c>
      <c r="O938" s="526"/>
      <c r="P938" s="526" t="s">
        <v>103</v>
      </c>
      <c r="Q938" s="521"/>
      <c r="R938" s="530">
        <v>45965</v>
      </c>
      <c r="S938" s="530" t="s">
        <v>66</v>
      </c>
      <c r="T938" s="530" t="s">
        <v>5204</v>
      </c>
      <c r="U938" s="530"/>
      <c r="V938" s="532" t="s">
        <v>5539</v>
      </c>
      <c r="W938" s="532" t="s">
        <v>2340</v>
      </c>
      <c r="X938" s="532">
        <v>1.3094</v>
      </c>
      <c r="Y938" s="540">
        <f t="shared" si="361"/>
        <v>1571.28</v>
      </c>
      <c r="Z938" s="521"/>
      <c r="AA938" s="521" t="s">
        <v>3236</v>
      </c>
      <c r="AB938" s="521" t="s">
        <v>76</v>
      </c>
      <c r="AC938" s="521"/>
      <c r="AD938" s="519"/>
      <c r="AE938" s="519">
        <v>1</v>
      </c>
      <c r="AF938" s="521">
        <v>1200</v>
      </c>
      <c r="AG938" s="521">
        <f t="shared" si="362"/>
        <v>0</v>
      </c>
      <c r="AH938" s="542"/>
      <c r="AI938" s="521" t="s">
        <v>2191</v>
      </c>
      <c r="AJ938" s="521"/>
      <c r="AK938" s="521">
        <f>I938*2</f>
        <v>2400</v>
      </c>
      <c r="AL938" s="543"/>
      <c r="AM938" s="628"/>
      <c r="AN938" s="427">
        <f>I938*2</f>
        <v>2400</v>
      </c>
      <c r="AO938" s="630"/>
      <c r="AP938" s="628"/>
      <c r="AQ938" s="628"/>
      <c r="AR938" s="543">
        <f>I938*2</f>
        <v>2400</v>
      </c>
      <c r="AS938" s="543"/>
      <c r="AT938" s="544"/>
      <c r="AU938" s="628"/>
      <c r="AV938" s="628"/>
      <c r="AW938" s="628"/>
      <c r="AX938" s="628"/>
      <c r="AY938" s="545">
        <f t="shared" si="363"/>
        <v>100</v>
      </c>
      <c r="AZ938" s="546"/>
      <c r="BA938" s="628"/>
      <c r="BB938" s="628"/>
      <c r="BC938" s="628"/>
      <c r="BD938" s="628"/>
      <c r="BE938" s="628"/>
      <c r="BF938" s="628"/>
      <c r="BG938" s="628"/>
      <c r="BH938" s="628"/>
      <c r="BI938" s="628"/>
      <c r="BJ938" s="628"/>
      <c r="BK938" s="628"/>
      <c r="BL938" s="628"/>
      <c r="BM938" s="628"/>
      <c r="BN938" s="628"/>
      <c r="BO938" s="628"/>
      <c r="BP938" s="628"/>
      <c r="BQ938" s="628"/>
      <c r="BR938" s="628"/>
      <c r="BS938" s="628"/>
      <c r="BT938" s="544"/>
      <c r="BU938" s="628"/>
      <c r="BV938" s="544"/>
      <c r="BW938" s="628"/>
      <c r="BX938" s="628"/>
      <c r="BY938" s="628"/>
      <c r="BZ938" s="628"/>
      <c r="CA938" s="628"/>
      <c r="CB938" s="628"/>
      <c r="CC938" s="628"/>
      <c r="CD938" s="628"/>
      <c r="CE938" s="628"/>
      <c r="CF938" s="628"/>
      <c r="CG938" s="628"/>
      <c r="CH938" s="427">
        <f>I938</f>
        <v>1200</v>
      </c>
      <c r="CI938" s="427">
        <f>I938</f>
        <v>1200</v>
      </c>
      <c r="CJ938" s="427">
        <f>I938</f>
        <v>1200</v>
      </c>
      <c r="CK938" s="427">
        <v>0</v>
      </c>
      <c r="CL938" s="427">
        <v>0</v>
      </c>
      <c r="CM938" s="427">
        <v>0</v>
      </c>
      <c r="CN938" s="544"/>
      <c r="CO938" s="544"/>
      <c r="CP938" s="544"/>
      <c r="CT938" s="544"/>
      <c r="CU938" s="544"/>
      <c r="CV938" s="544"/>
      <c r="CW938" s="544"/>
      <c r="CX938" s="544"/>
    </row>
    <row r="939" s="431" customFormat="1" ht="31" customHeight="1" spans="1:102">
      <c r="A939" s="518">
        <v>45960</v>
      </c>
      <c r="B939" s="519" t="s">
        <v>5201</v>
      </c>
      <c r="C939" s="520" t="s">
        <v>90</v>
      </c>
      <c r="D939" s="427">
        <v>4500183809</v>
      </c>
      <c r="E939" s="520" t="s">
        <v>5540</v>
      </c>
      <c r="F939" s="427" t="s">
        <v>5541</v>
      </c>
      <c r="G939" s="521" t="s">
        <v>4564</v>
      </c>
      <c r="H939" s="521" t="s">
        <v>3237</v>
      </c>
      <c r="I939" s="521">
        <v>1200</v>
      </c>
      <c r="J939" s="521">
        <v>0</v>
      </c>
      <c r="K939" s="521">
        <v>12</v>
      </c>
      <c r="L939" s="524">
        <f t="shared" si="360"/>
        <v>100</v>
      </c>
      <c r="M939" s="525">
        <v>46022</v>
      </c>
      <c r="N939" s="525">
        <v>46018</v>
      </c>
      <c r="O939" s="526"/>
      <c r="P939" s="526" t="s">
        <v>103</v>
      </c>
      <c r="Q939" s="521"/>
      <c r="R939" s="530">
        <v>45965</v>
      </c>
      <c r="S939" s="530" t="s">
        <v>66</v>
      </c>
      <c r="T939" s="530" t="s">
        <v>5204</v>
      </c>
      <c r="U939" s="530"/>
      <c r="V939" s="532" t="s">
        <v>5208</v>
      </c>
      <c r="W939" s="532" t="s">
        <v>2340</v>
      </c>
      <c r="X939" s="532">
        <v>1.3094</v>
      </c>
      <c r="Y939" s="540">
        <f t="shared" si="361"/>
        <v>1571.28</v>
      </c>
      <c r="Z939" s="521"/>
      <c r="AA939" s="521" t="s">
        <v>3236</v>
      </c>
      <c r="AB939" s="521" t="s">
        <v>76</v>
      </c>
      <c r="AC939" s="521"/>
      <c r="AD939" s="519"/>
      <c r="AE939" s="519">
        <v>1</v>
      </c>
      <c r="AF939" s="521">
        <v>1200</v>
      </c>
      <c r="AG939" s="521">
        <f t="shared" si="362"/>
        <v>0</v>
      </c>
      <c r="AH939" s="542"/>
      <c r="AI939" s="521" t="s">
        <v>2191</v>
      </c>
      <c r="AJ939" s="521"/>
      <c r="AK939" s="521">
        <f>I939*2</f>
        <v>2400</v>
      </c>
      <c r="AL939" s="543"/>
      <c r="AM939" s="628"/>
      <c r="AN939" s="427">
        <f>I939*2</f>
        <v>2400</v>
      </c>
      <c r="AO939" s="630"/>
      <c r="AP939" s="628"/>
      <c r="AQ939" s="628"/>
      <c r="AR939" s="543">
        <f>I939*2</f>
        <v>2400</v>
      </c>
      <c r="AS939" s="543"/>
      <c r="AT939" s="544"/>
      <c r="AU939" s="628"/>
      <c r="AV939" s="628"/>
      <c r="AW939" s="628"/>
      <c r="AX939" s="628"/>
      <c r="AY939" s="545">
        <f t="shared" si="363"/>
        <v>100</v>
      </c>
      <c r="AZ939" s="546"/>
      <c r="BA939" s="628"/>
      <c r="BB939" s="628"/>
      <c r="BC939" s="628"/>
      <c r="BD939" s="628"/>
      <c r="BE939" s="628"/>
      <c r="BF939" s="628"/>
      <c r="BG939" s="628"/>
      <c r="BH939" s="628"/>
      <c r="BI939" s="628"/>
      <c r="BJ939" s="628"/>
      <c r="BK939" s="628"/>
      <c r="BL939" s="628"/>
      <c r="BM939" s="628"/>
      <c r="BN939" s="628"/>
      <c r="BO939" s="628"/>
      <c r="BP939" s="628"/>
      <c r="BQ939" s="628"/>
      <c r="BR939" s="628"/>
      <c r="BS939" s="628"/>
      <c r="BT939" s="544"/>
      <c r="BU939" s="628"/>
      <c r="BV939" s="544"/>
      <c r="BW939" s="628"/>
      <c r="BX939" s="628"/>
      <c r="BY939" s="628"/>
      <c r="BZ939" s="628"/>
      <c r="CA939" s="628"/>
      <c r="CB939" s="628"/>
      <c r="CC939" s="628"/>
      <c r="CD939" s="628"/>
      <c r="CE939" s="628"/>
      <c r="CF939" s="628"/>
      <c r="CG939" s="628"/>
      <c r="CH939" s="427">
        <f>I939</f>
        <v>1200</v>
      </c>
      <c r="CI939" s="427">
        <f>I939</f>
        <v>1200</v>
      </c>
      <c r="CJ939" s="427">
        <f>I939</f>
        <v>1200</v>
      </c>
      <c r="CK939" s="427">
        <v>0</v>
      </c>
      <c r="CL939" s="427">
        <v>0</v>
      </c>
      <c r="CM939" s="427">
        <v>0</v>
      </c>
      <c r="CN939" s="544"/>
      <c r="CO939" s="544"/>
      <c r="CP939" s="544"/>
      <c r="CT939" s="544"/>
      <c r="CU939" s="544"/>
      <c r="CV939" s="544"/>
      <c r="CW939" s="544"/>
      <c r="CX939" s="544"/>
    </row>
    <row r="940" s="431" customFormat="1" ht="31" customHeight="1" spans="1:102">
      <c r="A940" s="518">
        <v>45987</v>
      </c>
      <c r="B940" s="519" t="s">
        <v>5542</v>
      </c>
      <c r="C940" s="520" t="s">
        <v>749</v>
      </c>
      <c r="D940" s="427">
        <v>4500187019</v>
      </c>
      <c r="E940" s="520" t="s">
        <v>5543</v>
      </c>
      <c r="F940" s="427" t="s">
        <v>5544</v>
      </c>
      <c r="G940" s="521" t="s">
        <v>3206</v>
      </c>
      <c r="H940" s="521" t="s">
        <v>3207</v>
      </c>
      <c r="I940" s="521">
        <v>507</v>
      </c>
      <c r="J940" s="521">
        <v>0</v>
      </c>
      <c r="K940" s="521">
        <v>13</v>
      </c>
      <c r="L940" s="524">
        <f t="shared" si="360"/>
        <v>39</v>
      </c>
      <c r="M940" s="525">
        <v>46022</v>
      </c>
      <c r="N940" s="525">
        <v>46018</v>
      </c>
      <c r="O940" s="526"/>
      <c r="P940" s="526" t="s">
        <v>103</v>
      </c>
      <c r="Q940" s="521"/>
      <c r="R940" s="530">
        <v>45987</v>
      </c>
      <c r="S940" s="530" t="s">
        <v>66</v>
      </c>
      <c r="T940" s="530" t="s">
        <v>5545</v>
      </c>
      <c r="U940" s="530"/>
      <c r="V940" s="532" t="s">
        <v>5546</v>
      </c>
      <c r="W940" s="532" t="s">
        <v>420</v>
      </c>
      <c r="X940" s="532">
        <v>0.8999</v>
      </c>
      <c r="Y940" s="540">
        <f t="shared" si="361"/>
        <v>456.2493</v>
      </c>
      <c r="Z940" s="521"/>
      <c r="AA940" s="521" t="s">
        <v>3206</v>
      </c>
      <c r="AB940" s="521" t="s">
        <v>76</v>
      </c>
      <c r="AC940" s="521"/>
      <c r="AD940" s="519"/>
      <c r="AE940" s="519">
        <v>1</v>
      </c>
      <c r="AF940" s="521">
        <v>507</v>
      </c>
      <c r="AG940" s="521">
        <f t="shared" si="362"/>
        <v>0</v>
      </c>
      <c r="AH940" s="542"/>
      <c r="AI940" s="521" t="s">
        <v>2191</v>
      </c>
      <c r="AJ940" s="521"/>
      <c r="AK940" s="521"/>
      <c r="AL940" s="543">
        <f>I940</f>
        <v>507</v>
      </c>
      <c r="AM940" s="628"/>
      <c r="AN940" s="628"/>
      <c r="AO940" s="630"/>
      <c r="AP940" s="628"/>
      <c r="AQ940" s="427">
        <f>I940</f>
        <v>507</v>
      </c>
      <c r="AR940" s="543"/>
      <c r="AS940" s="543">
        <f>I940</f>
        <v>507</v>
      </c>
      <c r="AT940" s="544"/>
      <c r="AU940" s="628"/>
      <c r="AV940" s="628"/>
      <c r="AW940" s="628"/>
      <c r="AX940" s="628"/>
      <c r="AY940" s="545">
        <f t="shared" si="363"/>
        <v>42.25</v>
      </c>
      <c r="AZ940" s="546"/>
      <c r="BA940" s="628"/>
      <c r="BB940" s="628"/>
      <c r="BC940" s="628"/>
      <c r="BD940" s="628"/>
      <c r="BE940" s="628"/>
      <c r="BF940" s="628"/>
      <c r="BG940" s="628"/>
      <c r="BH940" s="628"/>
      <c r="BI940" s="427">
        <f>I940/13</f>
        <v>39</v>
      </c>
      <c r="BJ940" s="628"/>
      <c r="BK940" s="628"/>
      <c r="BL940" s="628"/>
      <c r="BM940" s="628"/>
      <c r="BN940" s="628"/>
      <c r="BO940" s="628"/>
      <c r="BP940" s="628"/>
      <c r="BQ940" s="628"/>
      <c r="BR940" s="628"/>
      <c r="BS940" s="628"/>
      <c r="BT940" s="544"/>
      <c r="BU940" s="628"/>
      <c r="BV940" s="544"/>
      <c r="BW940" s="628"/>
      <c r="BX940" s="628"/>
      <c r="BY940" s="628"/>
      <c r="BZ940" s="628"/>
      <c r="CA940" s="628"/>
      <c r="CB940" s="628"/>
      <c r="CC940" s="628"/>
      <c r="CD940" s="628"/>
      <c r="CE940" s="628"/>
      <c r="CF940" s="628"/>
      <c r="CG940" s="628"/>
      <c r="CH940" s="628"/>
      <c r="CI940" s="628"/>
      <c r="CJ940" s="628"/>
      <c r="CK940" s="427">
        <f>BM940+BL940+BK940+BJ940+BS940</f>
        <v>0</v>
      </c>
      <c r="CL940" s="427">
        <f>CA940+CB940+CC940+CD940+CE940+CG940+CF940</f>
        <v>0</v>
      </c>
      <c r="CM940" s="427">
        <f>BY940+BZ940</f>
        <v>0</v>
      </c>
      <c r="CN940" s="544"/>
      <c r="CO940" s="544"/>
      <c r="CP940" s="544"/>
      <c r="CT940" s="544"/>
      <c r="CU940" s="544"/>
      <c r="CV940" s="544"/>
      <c r="CW940" s="544"/>
      <c r="CX940" s="544"/>
    </row>
    <row r="941" s="431" customFormat="1" ht="31" customHeight="1" spans="1:102">
      <c r="A941" s="518">
        <v>45975</v>
      </c>
      <c r="B941" s="519" t="s">
        <v>2489</v>
      </c>
      <c r="C941" s="520" t="s">
        <v>90</v>
      </c>
      <c r="D941" s="427">
        <v>4500185285</v>
      </c>
      <c r="E941" s="520" t="s">
        <v>2362</v>
      </c>
      <c r="F941" s="427" t="s">
        <v>5547</v>
      </c>
      <c r="G941" s="521" t="s">
        <v>4564</v>
      </c>
      <c r="H941" s="521" t="s">
        <v>3237</v>
      </c>
      <c r="I941" s="521">
        <v>2004</v>
      </c>
      <c r="J941" s="521">
        <v>0</v>
      </c>
      <c r="K941" s="521">
        <v>12</v>
      </c>
      <c r="L941" s="524">
        <f t="shared" si="360"/>
        <v>167</v>
      </c>
      <c r="M941" s="525">
        <v>46024</v>
      </c>
      <c r="N941" s="525">
        <v>46020</v>
      </c>
      <c r="O941" s="526"/>
      <c r="P941" s="526" t="s">
        <v>103</v>
      </c>
      <c r="Q941" s="521"/>
      <c r="R941" s="530">
        <v>45975</v>
      </c>
      <c r="S941" s="530" t="s">
        <v>66</v>
      </c>
      <c r="T941" s="530" t="s">
        <v>2493</v>
      </c>
      <c r="U941" s="530"/>
      <c r="V941" s="532" t="s">
        <v>5548</v>
      </c>
      <c r="W941" s="532" t="s">
        <v>2441</v>
      </c>
      <c r="X941" s="532">
        <v>1.2871</v>
      </c>
      <c r="Y941" s="540">
        <f t="shared" si="361"/>
        <v>2579.3484</v>
      </c>
      <c r="Z941" s="521"/>
      <c r="AA941" s="521" t="s">
        <v>3236</v>
      </c>
      <c r="AB941" s="521" t="s">
        <v>76</v>
      </c>
      <c r="AC941" s="521"/>
      <c r="AD941" s="519"/>
      <c r="AE941" s="519">
        <v>1</v>
      </c>
      <c r="AF941" s="521">
        <v>2004</v>
      </c>
      <c r="AG941" s="521">
        <f t="shared" ref="AG941:AG954" si="364">AF941-I941</f>
        <v>0</v>
      </c>
      <c r="AH941" s="542"/>
      <c r="AI941" s="521" t="s">
        <v>2191</v>
      </c>
      <c r="AJ941" s="521"/>
      <c r="AK941" s="521">
        <f>I941*2</f>
        <v>4008</v>
      </c>
      <c r="AL941" s="543"/>
      <c r="AM941" s="628"/>
      <c r="AN941" s="427">
        <f>I941*2</f>
        <v>4008</v>
      </c>
      <c r="AO941" s="630"/>
      <c r="AP941" s="628"/>
      <c r="AQ941" s="628"/>
      <c r="AR941" s="543">
        <f>I941*2</f>
        <v>4008</v>
      </c>
      <c r="AS941" s="543"/>
      <c r="AT941" s="544"/>
      <c r="AU941" s="628"/>
      <c r="AV941" s="628"/>
      <c r="AW941" s="628"/>
      <c r="AX941" s="628"/>
      <c r="AY941" s="545">
        <f t="shared" si="363"/>
        <v>167</v>
      </c>
      <c r="AZ941" s="546"/>
      <c r="BA941" s="628"/>
      <c r="BB941" s="628"/>
      <c r="BC941" s="628"/>
      <c r="BD941" s="628"/>
      <c r="BE941" s="628"/>
      <c r="BF941" s="628"/>
      <c r="BG941" s="628"/>
      <c r="BH941" s="628"/>
      <c r="BI941" s="628"/>
      <c r="BJ941" s="628"/>
      <c r="BK941" s="628"/>
      <c r="BL941" s="628"/>
      <c r="BM941" s="628"/>
      <c r="BN941" s="628"/>
      <c r="BO941" s="628"/>
      <c r="BP941" s="628"/>
      <c r="BQ941" s="628"/>
      <c r="BR941" s="628"/>
      <c r="BS941" s="628"/>
      <c r="BT941" s="544"/>
      <c r="BU941" s="628"/>
      <c r="BV941" s="544"/>
      <c r="BW941" s="628"/>
      <c r="BX941" s="628"/>
      <c r="BY941" s="628"/>
      <c r="BZ941" s="628"/>
      <c r="CA941" s="628"/>
      <c r="CB941" s="628"/>
      <c r="CC941" s="628"/>
      <c r="CD941" s="628"/>
      <c r="CE941" s="628"/>
      <c r="CF941" s="628"/>
      <c r="CG941" s="628"/>
      <c r="CH941" s="427">
        <f>I941</f>
        <v>2004</v>
      </c>
      <c r="CI941" s="427">
        <f>I941</f>
        <v>2004</v>
      </c>
      <c r="CJ941" s="427">
        <f>I941</f>
        <v>2004</v>
      </c>
      <c r="CK941" s="427">
        <v>0</v>
      </c>
      <c r="CL941" s="427">
        <v>0</v>
      </c>
      <c r="CM941" s="427">
        <v>0</v>
      </c>
      <c r="CN941" s="544"/>
      <c r="CO941" s="544"/>
      <c r="CP941" s="544"/>
      <c r="CT941" s="544"/>
      <c r="CU941" s="544"/>
      <c r="CV941" s="544"/>
      <c r="CW941" s="544"/>
      <c r="CX941" s="544"/>
    </row>
    <row r="942" s="431" customFormat="1" ht="31" customHeight="1" spans="1:102">
      <c r="A942" s="518">
        <v>45980</v>
      </c>
      <c r="B942" s="519" t="s">
        <v>2393</v>
      </c>
      <c r="C942" s="520" t="s">
        <v>90</v>
      </c>
      <c r="D942" s="427">
        <v>4500186184</v>
      </c>
      <c r="E942" s="608">
        <v>40799199</v>
      </c>
      <c r="F942" s="427" t="s">
        <v>5549</v>
      </c>
      <c r="G942" s="521" t="s">
        <v>3198</v>
      </c>
      <c r="H942" s="521" t="s">
        <v>3303</v>
      </c>
      <c r="I942" s="607">
        <v>2775</v>
      </c>
      <c r="J942" s="521">
        <v>0</v>
      </c>
      <c r="K942" s="521">
        <v>25</v>
      </c>
      <c r="L942" s="524">
        <f t="shared" si="360"/>
        <v>111</v>
      </c>
      <c r="M942" s="525">
        <v>46027</v>
      </c>
      <c r="N942" s="525">
        <v>46023</v>
      </c>
      <c r="O942" s="526"/>
      <c r="P942" s="526" t="s">
        <v>103</v>
      </c>
      <c r="Q942" s="521"/>
      <c r="R942" s="530">
        <v>46001</v>
      </c>
      <c r="S942" s="530" t="s">
        <v>96</v>
      </c>
      <c r="T942" s="530" t="s">
        <v>5550</v>
      </c>
      <c r="U942" s="530"/>
      <c r="V942" s="532" t="s">
        <v>5551</v>
      </c>
      <c r="W942" s="532" t="s">
        <v>242</v>
      </c>
      <c r="X942" s="536">
        <v>0.5646</v>
      </c>
      <c r="Y942" s="540">
        <f t="shared" si="361"/>
        <v>1566.765</v>
      </c>
      <c r="Z942" s="521"/>
      <c r="AA942" s="521" t="s">
        <v>3202</v>
      </c>
      <c r="AB942" s="521" t="s">
        <v>76</v>
      </c>
      <c r="AC942" s="521"/>
      <c r="AD942" s="519"/>
      <c r="AE942" s="519">
        <v>1</v>
      </c>
      <c r="AF942" s="521">
        <v>2775</v>
      </c>
      <c r="AG942" s="521">
        <f t="shared" si="364"/>
        <v>0</v>
      </c>
      <c r="AH942" s="542"/>
      <c r="AI942" s="521" t="s">
        <v>2191</v>
      </c>
      <c r="AJ942" s="521"/>
      <c r="AK942" s="521">
        <f>I942</f>
        <v>2775</v>
      </c>
      <c r="AL942" s="543"/>
      <c r="AM942" s="628"/>
      <c r="AN942" s="628"/>
      <c r="AO942" s="630"/>
      <c r="AP942" s="427">
        <f>I942</f>
        <v>2775</v>
      </c>
      <c r="AQ942" s="628"/>
      <c r="AR942" s="427">
        <f>I942</f>
        <v>2775</v>
      </c>
      <c r="AS942" s="543"/>
      <c r="AT942" s="544"/>
      <c r="AU942" s="628"/>
      <c r="AV942" s="628"/>
      <c r="AW942" s="628"/>
      <c r="AX942" s="628"/>
      <c r="AY942" s="545">
        <f t="shared" ref="AY942:AY949" si="365">I942/24</f>
        <v>115.625</v>
      </c>
      <c r="AZ942" s="546"/>
      <c r="BA942" s="628"/>
      <c r="BB942" s="628"/>
      <c r="BC942" s="628"/>
      <c r="BD942" s="628"/>
      <c r="BE942" s="628"/>
      <c r="BF942" s="628"/>
      <c r="BG942" s="628"/>
      <c r="BH942" s="628"/>
      <c r="BI942" s="628"/>
      <c r="BJ942" s="628"/>
      <c r="BK942" s="427">
        <f>I942/25</f>
        <v>111</v>
      </c>
      <c r="BL942" s="628"/>
      <c r="BM942" s="628"/>
      <c r="BN942" s="628"/>
      <c r="BO942" s="628"/>
      <c r="BP942" s="628"/>
      <c r="BQ942" s="628"/>
      <c r="BR942" s="628"/>
      <c r="BS942" s="628"/>
      <c r="BT942" s="544"/>
      <c r="BU942" s="628"/>
      <c r="BV942" s="544"/>
      <c r="BW942" s="628"/>
      <c r="BX942" s="628"/>
      <c r="BY942" s="628"/>
      <c r="BZ942" s="628"/>
      <c r="CA942" s="628"/>
      <c r="CB942" s="628"/>
      <c r="CC942" s="628"/>
      <c r="CD942" s="628"/>
      <c r="CE942" s="628"/>
      <c r="CF942" s="628"/>
      <c r="CG942" s="628"/>
      <c r="CH942" s="628"/>
      <c r="CI942" s="628"/>
      <c r="CJ942" s="628"/>
      <c r="CK942" s="427">
        <f t="shared" ref="CK942:CK952" si="366">BM942+BL942+BK942+BJ942+BS942</f>
        <v>111</v>
      </c>
      <c r="CL942" s="427">
        <f t="shared" ref="CL942:CL952" si="367">CA942+CB942+CC942+CD942+CE942+CG942+CF942</f>
        <v>0</v>
      </c>
      <c r="CM942" s="427">
        <f t="shared" ref="CM942:CM952" si="368">BY942+BZ942</f>
        <v>0</v>
      </c>
      <c r="CN942" s="544"/>
      <c r="CO942" s="544"/>
      <c r="CP942" s="544"/>
      <c r="CT942" s="544"/>
      <c r="CU942" s="544"/>
      <c r="CV942" s="544"/>
      <c r="CW942" s="544"/>
      <c r="CX942" s="544"/>
    </row>
    <row r="943" s="431" customFormat="1" ht="31" customHeight="1" spans="1:102">
      <c r="A943" s="518">
        <v>45981</v>
      </c>
      <c r="B943" s="519" t="s">
        <v>3526</v>
      </c>
      <c r="C943" s="520" t="s">
        <v>90</v>
      </c>
      <c r="D943" s="427">
        <v>4500186337</v>
      </c>
      <c r="E943" s="520" t="s">
        <v>5552</v>
      </c>
      <c r="F943" s="427" t="s">
        <v>5553</v>
      </c>
      <c r="G943" s="521" t="s">
        <v>3518</v>
      </c>
      <c r="H943" s="521" t="s">
        <v>3519</v>
      </c>
      <c r="I943" s="607">
        <v>1200</v>
      </c>
      <c r="J943" s="521">
        <v>0</v>
      </c>
      <c r="K943" s="521">
        <v>48</v>
      </c>
      <c r="L943" s="524">
        <f t="shared" si="360"/>
        <v>25</v>
      </c>
      <c r="M943" s="525">
        <v>46027</v>
      </c>
      <c r="N943" s="525">
        <v>46023</v>
      </c>
      <c r="O943" s="521" t="s">
        <v>5554</v>
      </c>
      <c r="P943" s="526" t="s">
        <v>103</v>
      </c>
      <c r="Q943" s="521"/>
      <c r="R943" s="530" t="s">
        <v>5555</v>
      </c>
      <c r="S943" s="530" t="s">
        <v>66</v>
      </c>
      <c r="T943" s="530" t="s">
        <v>66</v>
      </c>
      <c r="U943" s="530"/>
      <c r="V943" s="531" t="s">
        <v>5556</v>
      </c>
      <c r="W943" s="532" t="s">
        <v>1590</v>
      </c>
      <c r="X943" s="536">
        <v>0.5769</v>
      </c>
      <c r="Y943" s="540">
        <f>I943*X943</f>
        <v>692.28</v>
      </c>
      <c r="Z943" s="521"/>
      <c r="AA943" s="521" t="s">
        <v>3518</v>
      </c>
      <c r="AB943" s="521" t="s">
        <v>76</v>
      </c>
      <c r="AC943" s="521"/>
      <c r="AD943" s="519"/>
      <c r="AE943" s="519">
        <v>1</v>
      </c>
      <c r="AF943" s="521">
        <v>1200</v>
      </c>
      <c r="AG943" s="521">
        <f t="shared" si="364"/>
        <v>0</v>
      </c>
      <c r="AH943" s="542"/>
      <c r="AI943" s="521"/>
      <c r="AJ943" s="521"/>
      <c r="AK943" s="521">
        <f>I943</f>
        <v>1200</v>
      </c>
      <c r="AL943" s="543"/>
      <c r="AM943" s="628"/>
      <c r="AN943" s="628"/>
      <c r="AO943" s="630"/>
      <c r="AP943" s="628"/>
      <c r="AQ943" s="628"/>
      <c r="AR943" s="543">
        <f>I943</f>
        <v>1200</v>
      </c>
      <c r="AS943" s="543"/>
      <c r="AT943" s="544"/>
      <c r="AU943" s="628"/>
      <c r="AV943" s="628"/>
      <c r="AW943" s="628"/>
      <c r="AX943" s="628"/>
      <c r="AY943" s="545">
        <f t="shared" si="365"/>
        <v>50</v>
      </c>
      <c r="AZ943" s="546">
        <f>I943</f>
        <v>1200</v>
      </c>
      <c r="BA943" s="628"/>
      <c r="BB943" s="628"/>
      <c r="BC943" s="628"/>
      <c r="BD943" s="628"/>
      <c r="BE943" s="628"/>
      <c r="BF943" s="628"/>
      <c r="BG943" s="628"/>
      <c r="BH943" s="628"/>
      <c r="BI943" s="628"/>
      <c r="BJ943" s="628"/>
      <c r="BK943" s="628"/>
      <c r="BL943" s="628"/>
      <c r="BM943" s="628"/>
      <c r="BN943" s="628"/>
      <c r="BO943" s="427">
        <f>I943/8</f>
        <v>150</v>
      </c>
      <c r="BP943" s="628"/>
      <c r="BQ943" s="628"/>
      <c r="BR943" s="628"/>
      <c r="BS943" s="628"/>
      <c r="BT943" s="544"/>
      <c r="BU943" s="628"/>
      <c r="BV943" s="544"/>
      <c r="BW943" s="628"/>
      <c r="BX943" s="628"/>
      <c r="BY943" s="628"/>
      <c r="BZ943" s="628"/>
      <c r="CA943" s="628"/>
      <c r="CB943" s="628"/>
      <c r="CC943" s="628"/>
      <c r="CD943" s="628"/>
      <c r="CE943" s="628"/>
      <c r="CF943" s="628"/>
      <c r="CG943" s="628"/>
      <c r="CH943" s="628"/>
      <c r="CI943" s="628"/>
      <c r="CJ943" s="628"/>
      <c r="CK943" s="427">
        <f t="shared" si="366"/>
        <v>0</v>
      </c>
      <c r="CL943" s="427">
        <f t="shared" si="367"/>
        <v>0</v>
      </c>
      <c r="CM943" s="427">
        <f t="shared" si="368"/>
        <v>0</v>
      </c>
      <c r="CN943" s="544"/>
      <c r="CO943" s="544"/>
      <c r="CP943" s="544"/>
      <c r="CT943" s="544"/>
      <c r="CU943" s="544"/>
      <c r="CV943" s="544"/>
      <c r="CW943" s="544"/>
      <c r="CX943" s="544"/>
    </row>
    <row r="944" s="431" customFormat="1" ht="31" customHeight="1" spans="1:102">
      <c r="A944" s="518">
        <v>45981</v>
      </c>
      <c r="B944" s="519" t="s">
        <v>3526</v>
      </c>
      <c r="C944" s="520" t="s">
        <v>90</v>
      </c>
      <c r="D944" s="427">
        <v>4500186337</v>
      </c>
      <c r="E944" s="520" t="s">
        <v>5557</v>
      </c>
      <c r="F944" s="427" t="s">
        <v>5558</v>
      </c>
      <c r="G944" s="521" t="s">
        <v>3518</v>
      </c>
      <c r="H944" s="521" t="s">
        <v>3519</v>
      </c>
      <c r="I944" s="607">
        <v>54192</v>
      </c>
      <c r="J944" s="521">
        <v>0</v>
      </c>
      <c r="K944" s="521">
        <v>48</v>
      </c>
      <c r="L944" s="524">
        <f t="shared" si="360"/>
        <v>1129</v>
      </c>
      <c r="M944" s="525">
        <v>46027</v>
      </c>
      <c r="N944" s="525">
        <v>46023</v>
      </c>
      <c r="O944" s="521" t="s">
        <v>5554</v>
      </c>
      <c r="P944" s="526" t="s">
        <v>103</v>
      </c>
      <c r="Q944" s="521"/>
      <c r="R944" s="530" t="s">
        <v>5555</v>
      </c>
      <c r="S944" s="530" t="s">
        <v>66</v>
      </c>
      <c r="T944" s="530" t="s">
        <v>66</v>
      </c>
      <c r="U944" s="530"/>
      <c r="V944" s="531" t="s">
        <v>5556</v>
      </c>
      <c r="W944" s="532" t="s">
        <v>1590</v>
      </c>
      <c r="X944" s="536">
        <v>0.5769</v>
      </c>
      <c r="Y944" s="540">
        <f>I944*X944</f>
        <v>31263.3648</v>
      </c>
      <c r="Z944" s="521"/>
      <c r="AA944" s="521" t="s">
        <v>3518</v>
      </c>
      <c r="AB944" s="521" t="s">
        <v>76</v>
      </c>
      <c r="AC944" s="521"/>
      <c r="AD944" s="519"/>
      <c r="AE944" s="519">
        <v>1</v>
      </c>
      <c r="AF944" s="521">
        <f>36720+10800+6672</f>
        <v>54192</v>
      </c>
      <c r="AG944" s="521">
        <f t="shared" si="364"/>
        <v>0</v>
      </c>
      <c r="AH944" s="542"/>
      <c r="AI944" s="521"/>
      <c r="AJ944" s="521"/>
      <c r="AK944" s="521">
        <f>I944</f>
        <v>54192</v>
      </c>
      <c r="AL944" s="543"/>
      <c r="AM944" s="628"/>
      <c r="AN944" s="628"/>
      <c r="AO944" s="630"/>
      <c r="AP944" s="628"/>
      <c r="AQ944" s="628"/>
      <c r="AR944" s="543">
        <f>I944</f>
        <v>54192</v>
      </c>
      <c r="AS944" s="543"/>
      <c r="AT944" s="544"/>
      <c r="AU944" s="628"/>
      <c r="AV944" s="628"/>
      <c r="AW944" s="628"/>
      <c r="AX944" s="628"/>
      <c r="AY944" s="545">
        <f t="shared" si="365"/>
        <v>2258</v>
      </c>
      <c r="AZ944" s="546">
        <f>I944</f>
        <v>54192</v>
      </c>
      <c r="BA944" s="628"/>
      <c r="BB944" s="628"/>
      <c r="BC944" s="628"/>
      <c r="BD944" s="628"/>
      <c r="BE944" s="628"/>
      <c r="BF944" s="628"/>
      <c r="BG944" s="628"/>
      <c r="BH944" s="628"/>
      <c r="BI944" s="628"/>
      <c r="BJ944" s="628"/>
      <c r="BK944" s="628"/>
      <c r="BL944" s="628"/>
      <c r="BM944" s="628"/>
      <c r="BN944" s="628"/>
      <c r="BO944" s="427">
        <f>I944/8</f>
        <v>6774</v>
      </c>
      <c r="BP944" s="628"/>
      <c r="BQ944" s="628"/>
      <c r="BR944" s="628"/>
      <c r="BS944" s="628"/>
      <c r="BT944" s="544"/>
      <c r="BU944" s="628"/>
      <c r="BV944" s="544"/>
      <c r="BW944" s="628"/>
      <c r="BX944" s="628"/>
      <c r="BY944" s="628"/>
      <c r="BZ944" s="628"/>
      <c r="CA944" s="628"/>
      <c r="CB944" s="628"/>
      <c r="CC944" s="628"/>
      <c r="CD944" s="628"/>
      <c r="CE944" s="628"/>
      <c r="CF944" s="628"/>
      <c r="CG944" s="628"/>
      <c r="CH944" s="628"/>
      <c r="CI944" s="628"/>
      <c r="CJ944" s="628"/>
      <c r="CK944" s="427">
        <f t="shared" si="366"/>
        <v>0</v>
      </c>
      <c r="CL944" s="427">
        <f t="shared" si="367"/>
        <v>0</v>
      </c>
      <c r="CM944" s="427">
        <f t="shared" si="368"/>
        <v>0</v>
      </c>
      <c r="CN944" s="544"/>
      <c r="CO944" s="544"/>
      <c r="CP944" s="544"/>
      <c r="CT944" s="544"/>
      <c r="CU944" s="544"/>
      <c r="CV944" s="544"/>
      <c r="CW944" s="544"/>
      <c r="CX944" s="544"/>
    </row>
    <row r="945" s="431" customFormat="1" ht="31" customHeight="1" spans="1:102">
      <c r="A945" s="518">
        <v>45985</v>
      </c>
      <c r="B945" s="519" t="s">
        <v>587</v>
      </c>
      <c r="C945" s="520" t="s">
        <v>5559</v>
      </c>
      <c r="D945" s="427">
        <v>4500186648</v>
      </c>
      <c r="E945" s="520"/>
      <c r="F945" s="427" t="s">
        <v>5560</v>
      </c>
      <c r="G945" s="521" t="s">
        <v>3161</v>
      </c>
      <c r="H945" s="521" t="s">
        <v>3221</v>
      </c>
      <c r="I945" s="607">
        <v>1500</v>
      </c>
      <c r="J945" s="521">
        <v>0</v>
      </c>
      <c r="K945" s="521">
        <v>50</v>
      </c>
      <c r="L945" s="524">
        <f t="shared" si="360"/>
        <v>30</v>
      </c>
      <c r="M945" s="525">
        <v>46027</v>
      </c>
      <c r="N945" s="525">
        <v>46023</v>
      </c>
      <c r="O945" s="521"/>
      <c r="P945" s="526" t="s">
        <v>103</v>
      </c>
      <c r="Q945" s="521"/>
      <c r="R945" s="530">
        <v>45985</v>
      </c>
      <c r="S945" s="530" t="s">
        <v>66</v>
      </c>
      <c r="T945" s="530" t="s">
        <v>5561</v>
      </c>
      <c r="U945" s="530"/>
      <c r="V945" s="532" t="s">
        <v>5562</v>
      </c>
      <c r="W945" s="532" t="s">
        <v>515</v>
      </c>
      <c r="X945" s="532">
        <v>0.941</v>
      </c>
      <c r="Y945" s="540">
        <f>X945*I945</f>
        <v>1411.5</v>
      </c>
      <c r="Z945" s="521"/>
      <c r="AA945" s="519" t="s">
        <v>3161</v>
      </c>
      <c r="AB945" s="521" t="s">
        <v>76</v>
      </c>
      <c r="AC945" s="521"/>
      <c r="AD945" s="519"/>
      <c r="AE945" s="519">
        <v>1</v>
      </c>
      <c r="AF945" s="521">
        <v>1500</v>
      </c>
      <c r="AG945" s="521">
        <f t="shared" si="364"/>
        <v>0</v>
      </c>
      <c r="AH945" s="542"/>
      <c r="AI945" s="521" t="s">
        <v>2191</v>
      </c>
      <c r="AJ945" s="521"/>
      <c r="AK945" s="521"/>
      <c r="AL945" s="543">
        <f>I945</f>
        <v>1500</v>
      </c>
      <c r="AM945" s="628"/>
      <c r="AN945" s="628"/>
      <c r="AO945" s="630"/>
      <c r="AP945" s="628"/>
      <c r="AQ945" s="427">
        <f>I945</f>
        <v>1500</v>
      </c>
      <c r="AR945" s="543"/>
      <c r="AS945" s="543">
        <f>I945</f>
        <v>1500</v>
      </c>
      <c r="AT945" s="544"/>
      <c r="AU945" s="628"/>
      <c r="AV945" s="628"/>
      <c r="AW945" s="628"/>
      <c r="AX945" s="628"/>
      <c r="AY945" s="545">
        <f t="shared" si="365"/>
        <v>62.5</v>
      </c>
      <c r="AZ945" s="546"/>
      <c r="BA945" s="628"/>
      <c r="BB945" s="628"/>
      <c r="BC945" s="628"/>
      <c r="BD945" s="628"/>
      <c r="BE945" s="628"/>
      <c r="BF945" s="628"/>
      <c r="BG945" s="628"/>
      <c r="BH945" s="628"/>
      <c r="BI945" s="628"/>
      <c r="BJ945" s="628"/>
      <c r="BK945" s="628"/>
      <c r="BL945" s="427">
        <f>I945/25</f>
        <v>60</v>
      </c>
      <c r="BM945" s="628"/>
      <c r="BN945" s="628"/>
      <c r="BO945" s="628"/>
      <c r="BP945" s="628"/>
      <c r="BQ945" s="628"/>
      <c r="BR945" s="628"/>
      <c r="BS945" s="628"/>
      <c r="BT945" s="544"/>
      <c r="BU945" s="628"/>
      <c r="BV945" s="544"/>
      <c r="BW945" s="628"/>
      <c r="BX945" s="628"/>
      <c r="BY945" s="628"/>
      <c r="BZ945" s="628"/>
      <c r="CA945" s="628"/>
      <c r="CB945" s="628"/>
      <c r="CC945" s="628"/>
      <c r="CD945" s="628"/>
      <c r="CE945" s="628"/>
      <c r="CF945" s="628"/>
      <c r="CG945" s="628"/>
      <c r="CH945" s="628"/>
      <c r="CI945" s="628"/>
      <c r="CJ945" s="628"/>
      <c r="CK945" s="427">
        <f t="shared" si="366"/>
        <v>60</v>
      </c>
      <c r="CL945" s="427">
        <f t="shared" si="367"/>
        <v>0</v>
      </c>
      <c r="CM945" s="427">
        <f t="shared" si="368"/>
        <v>0</v>
      </c>
      <c r="CN945" s="544"/>
      <c r="CO945" s="544"/>
      <c r="CP945" s="544"/>
      <c r="CT945" s="544"/>
      <c r="CU945" s="544"/>
      <c r="CV945" s="544"/>
      <c r="CW945" s="544"/>
      <c r="CX945" s="544"/>
    </row>
    <row r="946" s="431" customFormat="1" ht="31" customHeight="1" spans="1:102">
      <c r="A946" s="518">
        <v>46001</v>
      </c>
      <c r="B946" s="519" t="s">
        <v>2393</v>
      </c>
      <c r="C946" s="520" t="s">
        <v>90</v>
      </c>
      <c r="D946" s="427">
        <v>4500188579</v>
      </c>
      <c r="E946" s="520">
        <v>40799200</v>
      </c>
      <c r="F946" s="427" t="s">
        <v>5563</v>
      </c>
      <c r="G946" s="521" t="s">
        <v>3198</v>
      </c>
      <c r="H946" s="521" t="s">
        <v>3303</v>
      </c>
      <c r="I946" s="607">
        <v>1275</v>
      </c>
      <c r="J946" s="521">
        <v>0</v>
      </c>
      <c r="K946" s="521">
        <v>25</v>
      </c>
      <c r="L946" s="524">
        <f t="shared" si="360"/>
        <v>51</v>
      </c>
      <c r="M946" s="525">
        <v>46027</v>
      </c>
      <c r="N946" s="525">
        <v>46023</v>
      </c>
      <c r="O946" s="521" t="s">
        <v>5564</v>
      </c>
      <c r="P946" s="526" t="s">
        <v>103</v>
      </c>
      <c r="Q946" s="521"/>
      <c r="R946" s="530">
        <v>46001</v>
      </c>
      <c r="S946" s="530" t="s">
        <v>96</v>
      </c>
      <c r="T946" s="530" t="s">
        <v>5565</v>
      </c>
      <c r="U946" s="530"/>
      <c r="V946" s="532" t="s">
        <v>5551</v>
      </c>
      <c r="W946" s="532" t="s">
        <v>242</v>
      </c>
      <c r="X946" s="536">
        <v>0.5927</v>
      </c>
      <c r="Y946" s="540">
        <f>X946*I946</f>
        <v>755.6925</v>
      </c>
      <c r="Z946" s="521"/>
      <c r="AA946" s="521" t="s">
        <v>3202</v>
      </c>
      <c r="AB946" s="521" t="s">
        <v>76</v>
      </c>
      <c r="AC946" s="521"/>
      <c r="AD946" s="519"/>
      <c r="AE946" s="519">
        <v>1</v>
      </c>
      <c r="AF946" s="521">
        <f>1250+25</f>
        <v>1275</v>
      </c>
      <c r="AG946" s="521">
        <f t="shared" si="364"/>
        <v>0</v>
      </c>
      <c r="AH946" s="542"/>
      <c r="AI946" s="521" t="s">
        <v>2191</v>
      </c>
      <c r="AJ946" s="521"/>
      <c r="AK946" s="521">
        <f>I946</f>
        <v>1275</v>
      </c>
      <c r="AL946" s="543"/>
      <c r="AM946" s="628"/>
      <c r="AN946" s="628"/>
      <c r="AO946" s="630"/>
      <c r="AP946" s="427">
        <f>I946</f>
        <v>1275</v>
      </c>
      <c r="AQ946" s="628"/>
      <c r="AR946" s="427">
        <f>I946</f>
        <v>1275</v>
      </c>
      <c r="AS946" s="543"/>
      <c r="AT946" s="544"/>
      <c r="AU946" s="628"/>
      <c r="AV946" s="628"/>
      <c r="AW946" s="628"/>
      <c r="AX946" s="628"/>
      <c r="AY946" s="545">
        <f t="shared" si="365"/>
        <v>53.125</v>
      </c>
      <c r="AZ946" s="546"/>
      <c r="BA946" s="628"/>
      <c r="BB946" s="628"/>
      <c r="BC946" s="628"/>
      <c r="BD946" s="628"/>
      <c r="BE946" s="628"/>
      <c r="BF946" s="628"/>
      <c r="BG946" s="628"/>
      <c r="BH946" s="628"/>
      <c r="BI946" s="628"/>
      <c r="BJ946" s="628"/>
      <c r="BK946" s="427">
        <f>I946/25</f>
        <v>51</v>
      </c>
      <c r="BL946" s="628"/>
      <c r="BM946" s="628"/>
      <c r="BN946" s="628"/>
      <c r="BO946" s="628"/>
      <c r="BP946" s="628"/>
      <c r="BQ946" s="628"/>
      <c r="BR946" s="628"/>
      <c r="BS946" s="628"/>
      <c r="BT946" s="544"/>
      <c r="BU946" s="628"/>
      <c r="BV946" s="544"/>
      <c r="BW946" s="628"/>
      <c r="BX946" s="628"/>
      <c r="BY946" s="628"/>
      <c r="BZ946" s="628"/>
      <c r="CA946" s="628"/>
      <c r="CB946" s="628"/>
      <c r="CC946" s="628"/>
      <c r="CD946" s="628"/>
      <c r="CE946" s="628"/>
      <c r="CF946" s="628"/>
      <c r="CG946" s="628"/>
      <c r="CH946" s="628"/>
      <c r="CI946" s="628"/>
      <c r="CJ946" s="628"/>
      <c r="CK946" s="427">
        <f t="shared" si="366"/>
        <v>51</v>
      </c>
      <c r="CL946" s="427">
        <f t="shared" si="367"/>
        <v>0</v>
      </c>
      <c r="CM946" s="427">
        <f t="shared" si="368"/>
        <v>0</v>
      </c>
      <c r="CN946" s="544"/>
      <c r="CO946" s="544"/>
      <c r="CP946" s="544"/>
      <c r="CT946" s="544"/>
      <c r="CU946" s="544"/>
      <c r="CV946" s="544"/>
      <c r="CW946" s="544"/>
      <c r="CX946" s="544"/>
    </row>
    <row r="947" s="431" customFormat="1" ht="31" customHeight="1" spans="1:102">
      <c r="A947" s="518">
        <v>46001</v>
      </c>
      <c r="B947" s="519" t="s">
        <v>2393</v>
      </c>
      <c r="C947" s="520" t="s">
        <v>90</v>
      </c>
      <c r="D947" s="427">
        <v>4500188596</v>
      </c>
      <c r="E947" s="520">
        <v>40799203</v>
      </c>
      <c r="F947" s="427" t="s">
        <v>5566</v>
      </c>
      <c r="G947" s="521" t="s">
        <v>3198</v>
      </c>
      <c r="H947" s="521" t="s">
        <v>3303</v>
      </c>
      <c r="I947" s="607">
        <v>2350</v>
      </c>
      <c r="J947" s="521">
        <v>0</v>
      </c>
      <c r="K947" s="521">
        <v>25</v>
      </c>
      <c r="L947" s="524">
        <f t="shared" si="360"/>
        <v>94</v>
      </c>
      <c r="M947" s="525">
        <v>46027</v>
      </c>
      <c r="N947" s="525">
        <v>46023</v>
      </c>
      <c r="O947" s="521" t="s">
        <v>5564</v>
      </c>
      <c r="P947" s="526" t="s">
        <v>103</v>
      </c>
      <c r="Q947" s="521"/>
      <c r="R947" s="530">
        <v>46001</v>
      </c>
      <c r="S947" s="530" t="s">
        <v>96</v>
      </c>
      <c r="T947" s="530" t="s">
        <v>5565</v>
      </c>
      <c r="U947" s="530"/>
      <c r="V947" s="532" t="s">
        <v>5551</v>
      </c>
      <c r="W947" s="532" t="s">
        <v>242</v>
      </c>
      <c r="X947" s="536">
        <v>0.5927</v>
      </c>
      <c r="Y947" s="540">
        <f>X947*I947</f>
        <v>1392.845</v>
      </c>
      <c r="Z947" s="521"/>
      <c r="AA947" s="521" t="s">
        <v>3202</v>
      </c>
      <c r="AB947" s="521" t="s">
        <v>76</v>
      </c>
      <c r="AC947" s="521"/>
      <c r="AD947" s="519"/>
      <c r="AE947" s="519">
        <v>1</v>
      </c>
      <c r="AF947" s="521">
        <v>2350</v>
      </c>
      <c r="AG947" s="521">
        <f t="shared" si="364"/>
        <v>0</v>
      </c>
      <c r="AH947" s="542"/>
      <c r="AI947" s="521" t="s">
        <v>2191</v>
      </c>
      <c r="AJ947" s="521"/>
      <c r="AK947" s="521">
        <f>I947</f>
        <v>2350</v>
      </c>
      <c r="AL947" s="543"/>
      <c r="AM947" s="628"/>
      <c r="AN947" s="628"/>
      <c r="AO947" s="630"/>
      <c r="AP947" s="427">
        <f>I947</f>
        <v>2350</v>
      </c>
      <c r="AQ947" s="628"/>
      <c r="AR947" s="427">
        <f>I947</f>
        <v>2350</v>
      </c>
      <c r="AS947" s="543"/>
      <c r="AT947" s="544"/>
      <c r="AU947" s="628"/>
      <c r="AV947" s="628"/>
      <c r="AW947" s="628"/>
      <c r="AX947" s="628"/>
      <c r="AY947" s="545">
        <f t="shared" si="365"/>
        <v>97.9166666666667</v>
      </c>
      <c r="AZ947" s="546"/>
      <c r="BA947" s="628"/>
      <c r="BB947" s="628"/>
      <c r="BC947" s="628"/>
      <c r="BD947" s="628"/>
      <c r="BE947" s="628"/>
      <c r="BF947" s="628"/>
      <c r="BG947" s="628"/>
      <c r="BH947" s="628"/>
      <c r="BI947" s="628"/>
      <c r="BJ947" s="628"/>
      <c r="BK947" s="427">
        <f>I947/25</f>
        <v>94</v>
      </c>
      <c r="BL947" s="628"/>
      <c r="BM947" s="628"/>
      <c r="BN947" s="628"/>
      <c r="BO947" s="628"/>
      <c r="BP947" s="628"/>
      <c r="BQ947" s="628"/>
      <c r="BR947" s="628"/>
      <c r="BS947" s="628"/>
      <c r="BT947" s="544"/>
      <c r="BU947" s="628"/>
      <c r="BV947" s="544"/>
      <c r="BW947" s="628"/>
      <c r="BX947" s="628"/>
      <c r="BY947" s="628"/>
      <c r="BZ947" s="628"/>
      <c r="CA947" s="628"/>
      <c r="CB947" s="628"/>
      <c r="CC947" s="628"/>
      <c r="CD947" s="628"/>
      <c r="CE947" s="628"/>
      <c r="CF947" s="628"/>
      <c r="CG947" s="628"/>
      <c r="CH947" s="628"/>
      <c r="CI947" s="628"/>
      <c r="CJ947" s="628"/>
      <c r="CK947" s="427">
        <f t="shared" si="366"/>
        <v>94</v>
      </c>
      <c r="CL947" s="427">
        <f t="shared" si="367"/>
        <v>0</v>
      </c>
      <c r="CM947" s="427">
        <f t="shared" si="368"/>
        <v>0</v>
      </c>
      <c r="CN947" s="544"/>
      <c r="CO947" s="544"/>
      <c r="CP947" s="544"/>
      <c r="CT947" s="544"/>
      <c r="CU947" s="544"/>
      <c r="CV947" s="544"/>
      <c r="CW947" s="544"/>
      <c r="CX947" s="544"/>
    </row>
    <row r="948" s="431" customFormat="1" ht="31" customHeight="1" spans="1:102">
      <c r="A948" s="518">
        <v>46013</v>
      </c>
      <c r="B948" s="519" t="s">
        <v>2420</v>
      </c>
      <c r="C948" s="520" t="s">
        <v>2421</v>
      </c>
      <c r="D948" s="427">
        <v>4500189510</v>
      </c>
      <c r="E948" s="520"/>
      <c r="F948" s="427" t="s">
        <v>5567</v>
      </c>
      <c r="G948" s="521" t="s">
        <v>3541</v>
      </c>
      <c r="H948" s="521" t="s">
        <v>3542</v>
      </c>
      <c r="I948" s="607">
        <v>500</v>
      </c>
      <c r="J948" s="521">
        <v>0</v>
      </c>
      <c r="K948" s="521">
        <v>50</v>
      </c>
      <c r="L948" s="524">
        <f t="shared" si="360"/>
        <v>10</v>
      </c>
      <c r="M948" s="525">
        <v>46006</v>
      </c>
      <c r="N948" s="525">
        <v>46002</v>
      </c>
      <c r="O948" s="521" t="s">
        <v>5568</v>
      </c>
      <c r="P948" s="526" t="s">
        <v>103</v>
      </c>
      <c r="Q948" s="521"/>
      <c r="R948" s="530">
        <v>45941</v>
      </c>
      <c r="S948" s="530" t="s">
        <v>66</v>
      </c>
      <c r="T948" s="530" t="s">
        <v>5569</v>
      </c>
      <c r="U948" s="530"/>
      <c r="V948" s="532" t="s">
        <v>5570</v>
      </c>
      <c r="W948" s="532" t="s">
        <v>2216</v>
      </c>
      <c r="X948" s="536">
        <v>0.9595</v>
      </c>
      <c r="Y948" s="540">
        <f>X948*I948</f>
        <v>479.75</v>
      </c>
      <c r="Z948" s="521"/>
      <c r="AA948" s="521" t="s">
        <v>3541</v>
      </c>
      <c r="AB948" s="521" t="s">
        <v>76</v>
      </c>
      <c r="AC948" s="521"/>
      <c r="AD948" s="519"/>
      <c r="AE948" s="519" t="s">
        <v>2400</v>
      </c>
      <c r="AF948" s="521"/>
      <c r="AG948" s="521">
        <f t="shared" si="364"/>
        <v>-500</v>
      </c>
      <c r="AH948" s="542"/>
      <c r="AI948" s="521"/>
      <c r="AJ948" s="521"/>
      <c r="AK948" s="521"/>
      <c r="AL948" s="543">
        <f>I948</f>
        <v>500</v>
      </c>
      <c r="AM948" s="628"/>
      <c r="AN948" s="628"/>
      <c r="AO948" s="630"/>
      <c r="AP948" s="427"/>
      <c r="AQ948" s="628">
        <f>I948</f>
        <v>500</v>
      </c>
      <c r="AR948" s="427"/>
      <c r="AS948" s="543"/>
      <c r="AT948" s="544"/>
      <c r="AU948" s="628"/>
      <c r="AV948" s="628"/>
      <c r="AW948" s="628">
        <f>I948</f>
        <v>500</v>
      </c>
      <c r="AX948" s="628"/>
      <c r="AY948" s="545">
        <f t="shared" si="365"/>
        <v>20.8333333333333</v>
      </c>
      <c r="AZ948" s="546"/>
      <c r="BA948" s="628"/>
      <c r="BB948" s="628"/>
      <c r="BC948" s="628"/>
      <c r="BD948" s="628"/>
      <c r="BE948" s="628"/>
      <c r="BF948" s="628"/>
      <c r="BG948" s="628"/>
      <c r="BH948" s="628"/>
      <c r="BI948" s="628"/>
      <c r="BJ948" s="628"/>
      <c r="BK948" s="427"/>
      <c r="BL948" s="628"/>
      <c r="BM948" s="628"/>
      <c r="BN948" s="628"/>
      <c r="BO948" s="628"/>
      <c r="BP948" s="628"/>
      <c r="BQ948" s="628"/>
      <c r="BR948" s="628"/>
      <c r="BS948" s="628">
        <f>I948/25</f>
        <v>20</v>
      </c>
      <c r="BT948" s="544"/>
      <c r="BU948" s="628"/>
      <c r="BV948" s="544"/>
      <c r="BW948" s="628"/>
      <c r="BX948" s="628"/>
      <c r="BY948" s="628"/>
      <c r="BZ948" s="628"/>
      <c r="CA948" s="628"/>
      <c r="CB948" s="628"/>
      <c r="CC948" s="628"/>
      <c r="CD948" s="628"/>
      <c r="CE948" s="628"/>
      <c r="CF948" s="628"/>
      <c r="CG948" s="628"/>
      <c r="CH948" s="628"/>
      <c r="CI948" s="628"/>
      <c r="CJ948" s="628"/>
      <c r="CK948" s="427">
        <f t="shared" si="366"/>
        <v>20</v>
      </c>
      <c r="CL948" s="427">
        <f t="shared" si="367"/>
        <v>0</v>
      </c>
      <c r="CM948" s="427">
        <f t="shared" si="368"/>
        <v>0</v>
      </c>
      <c r="CN948" s="544"/>
      <c r="CO948" s="544"/>
      <c r="CP948" s="544"/>
      <c r="CT948" s="544"/>
      <c r="CU948" s="544"/>
      <c r="CV948" s="544"/>
      <c r="CW948" s="544"/>
      <c r="CX948" s="544"/>
    </row>
    <row r="949" s="427" customFormat="1" ht="31" customHeight="1" spans="1:102">
      <c r="A949" s="518">
        <v>45986</v>
      </c>
      <c r="B949" s="519" t="s">
        <v>1769</v>
      </c>
      <c r="C949" s="520" t="s">
        <v>139</v>
      </c>
      <c r="D949" s="427">
        <v>4500189939</v>
      </c>
      <c r="E949" s="520">
        <v>5200008525</v>
      </c>
      <c r="F949" s="427" t="s">
        <v>5571</v>
      </c>
      <c r="G949" s="521" t="s">
        <v>3231</v>
      </c>
      <c r="H949" s="521" t="s">
        <v>3207</v>
      </c>
      <c r="I949" s="521">
        <v>611</v>
      </c>
      <c r="J949" s="521">
        <v>0</v>
      </c>
      <c r="K949" s="521">
        <v>13</v>
      </c>
      <c r="L949" s="524">
        <f t="shared" si="360"/>
        <v>47</v>
      </c>
      <c r="M949" s="525">
        <v>46024</v>
      </c>
      <c r="N949" s="525">
        <v>46020</v>
      </c>
      <c r="O949" s="526" t="s">
        <v>5572</v>
      </c>
      <c r="P949" s="526" t="s">
        <v>103</v>
      </c>
      <c r="Q949" s="521"/>
      <c r="R949" s="530">
        <v>45996</v>
      </c>
      <c r="S949" s="530" t="s">
        <v>66</v>
      </c>
      <c r="T949" s="530" t="s">
        <v>5090</v>
      </c>
      <c r="U949" s="530"/>
      <c r="V949" s="532" t="s">
        <v>5573</v>
      </c>
      <c r="W949" s="532" t="s">
        <v>1140</v>
      </c>
      <c r="X949" s="536">
        <v>0.8999</v>
      </c>
      <c r="Y949" s="540">
        <f>X949*I949</f>
        <v>549.8389</v>
      </c>
      <c r="Z949" s="521"/>
      <c r="AA949" s="521" t="s">
        <v>3206</v>
      </c>
      <c r="AB949" s="521" t="s">
        <v>76</v>
      </c>
      <c r="AC949" s="521"/>
      <c r="AD949" s="521"/>
      <c r="AE949" s="521" t="s">
        <v>2400</v>
      </c>
      <c r="AF949" s="521">
        <v>611</v>
      </c>
      <c r="AG949" s="521">
        <f t="shared" si="364"/>
        <v>0</v>
      </c>
      <c r="AH949" s="542"/>
      <c r="AI949" s="521" t="s">
        <v>5574</v>
      </c>
      <c r="AJ949" s="521"/>
      <c r="AK949" s="521"/>
      <c r="AL949" s="543">
        <f>I949</f>
        <v>611</v>
      </c>
      <c r="AQ949" s="427">
        <f>I949*2</f>
        <v>1222</v>
      </c>
      <c r="AR949" s="543"/>
      <c r="AS949" s="543">
        <f>I949*2</f>
        <v>1222</v>
      </c>
      <c r="AT949" s="544"/>
      <c r="AU949" s="543"/>
      <c r="AY949" s="545">
        <f t="shared" si="365"/>
        <v>25.4583333333333</v>
      </c>
      <c r="AZ949" s="546"/>
      <c r="BI949" s="427">
        <f>I949/13</f>
        <v>47</v>
      </c>
      <c r="BT949" s="544"/>
      <c r="BV949" s="544"/>
      <c r="CK949" s="427">
        <f t="shared" si="366"/>
        <v>0</v>
      </c>
      <c r="CL949" s="427">
        <f t="shared" si="367"/>
        <v>0</v>
      </c>
      <c r="CM949" s="427">
        <f t="shared" si="368"/>
        <v>0</v>
      </c>
      <c r="CN949" s="544"/>
      <c r="CO949" s="544"/>
      <c r="CP949" s="544"/>
      <c r="CT949" s="544"/>
      <c r="CU949" s="544"/>
      <c r="CV949" s="544"/>
      <c r="CW949" s="544"/>
      <c r="CX949" s="544"/>
    </row>
    <row r="950" s="431" customFormat="1" ht="31" customHeight="1" spans="1:102">
      <c r="A950" s="518">
        <v>45978</v>
      </c>
      <c r="B950" s="519" t="s">
        <v>1372</v>
      </c>
      <c r="C950" s="520" t="s">
        <v>90</v>
      </c>
      <c r="D950" s="427">
        <v>4500185916</v>
      </c>
      <c r="E950" s="890" t="s">
        <v>2429</v>
      </c>
      <c r="F950" s="427" t="s">
        <v>2430</v>
      </c>
      <c r="G950" s="521" t="s">
        <v>5575</v>
      </c>
      <c r="H950" s="521" t="s">
        <v>744</v>
      </c>
      <c r="I950" s="607">
        <v>5400</v>
      </c>
      <c r="J950" s="521">
        <v>0</v>
      </c>
      <c r="K950" s="521">
        <v>75</v>
      </c>
      <c r="L950" s="524">
        <f t="shared" ref="L936:L984" si="369">I950/K950</f>
        <v>72</v>
      </c>
      <c r="M950" s="525">
        <v>46028</v>
      </c>
      <c r="N950" s="525">
        <v>46024</v>
      </c>
      <c r="O950" s="521"/>
      <c r="P950" s="526" t="s">
        <v>103</v>
      </c>
      <c r="Q950" s="521" t="s">
        <v>5576</v>
      </c>
      <c r="R950" s="530" t="s">
        <v>2432</v>
      </c>
      <c r="S950" s="530" t="s">
        <v>66</v>
      </c>
      <c r="T950" s="530" t="s">
        <v>66</v>
      </c>
      <c r="U950" s="530"/>
      <c r="V950" s="532" t="s">
        <v>2433</v>
      </c>
      <c r="W950" s="532" t="s">
        <v>821</v>
      </c>
      <c r="X950" s="536">
        <v>359.3436</v>
      </c>
      <c r="Y950" s="540">
        <f>X950*L950</f>
        <v>25872.7392</v>
      </c>
      <c r="Z950" s="521"/>
      <c r="AA950" s="521" t="s">
        <v>1378</v>
      </c>
      <c r="AB950" s="521" t="s">
        <v>76</v>
      </c>
      <c r="AC950" s="521"/>
      <c r="AD950" s="519"/>
      <c r="AE950" s="519">
        <v>1</v>
      </c>
      <c r="AF950" s="521">
        <v>5400</v>
      </c>
      <c r="AG950" s="521">
        <f t="shared" si="364"/>
        <v>0</v>
      </c>
      <c r="AH950" s="542"/>
      <c r="AI950" s="521"/>
      <c r="AJ950" s="521"/>
      <c r="AK950" s="521">
        <f>I950*3</f>
        <v>16200</v>
      </c>
      <c r="AL950" s="543"/>
      <c r="AM950" s="628"/>
      <c r="AN950" s="628"/>
      <c r="AO950" s="630"/>
      <c r="AP950" s="427"/>
      <c r="AQ950" s="628"/>
      <c r="AR950" s="427"/>
      <c r="AS950" s="543"/>
      <c r="AT950" s="544"/>
      <c r="AU950" s="628"/>
      <c r="AV950" s="628"/>
      <c r="AW950" s="628"/>
      <c r="AX950" s="628"/>
      <c r="AY950" s="545">
        <f>I950/24*3</f>
        <v>675</v>
      </c>
      <c r="AZ950" s="546"/>
      <c r="BA950" s="628"/>
      <c r="BB950" s="628"/>
      <c r="BC950" s="628">
        <f>AK950</f>
        <v>16200</v>
      </c>
      <c r="BD950" s="628">
        <f>AK950</f>
        <v>16200</v>
      </c>
      <c r="BE950" s="628">
        <f>I950</f>
        <v>5400</v>
      </c>
      <c r="BF950" s="628">
        <f>I950/5</f>
        <v>1080</v>
      </c>
      <c r="BG950" s="628"/>
      <c r="BH950" s="628"/>
      <c r="BI950" s="628"/>
      <c r="BJ950" s="628"/>
      <c r="BK950" s="427"/>
      <c r="BL950" s="628"/>
      <c r="BM950" s="628"/>
      <c r="BN950" s="628"/>
      <c r="BO950" s="628"/>
      <c r="BP950" s="628"/>
      <c r="BQ950" s="628"/>
      <c r="BR950" s="628"/>
      <c r="BS950" s="628"/>
      <c r="BT950" s="544"/>
      <c r="BU950" s="628"/>
      <c r="BV950" s="544"/>
      <c r="BW950" s="628"/>
      <c r="BX950" s="628"/>
      <c r="BY950" s="628"/>
      <c r="BZ950" s="628"/>
      <c r="CA950" s="628"/>
      <c r="CB950" s="628"/>
      <c r="CC950" s="628"/>
      <c r="CD950" s="628"/>
      <c r="CE950" s="628"/>
      <c r="CF950" s="628"/>
      <c r="CG950" s="628"/>
      <c r="CH950" s="628"/>
      <c r="CI950" s="628"/>
      <c r="CJ950" s="628"/>
      <c r="CK950" s="427">
        <f t="shared" si="366"/>
        <v>0</v>
      </c>
      <c r="CL950" s="427">
        <f t="shared" si="367"/>
        <v>0</v>
      </c>
      <c r="CM950" s="427">
        <f t="shared" si="368"/>
        <v>0</v>
      </c>
      <c r="CN950" s="544"/>
      <c r="CO950" s="544"/>
      <c r="CP950" s="544"/>
      <c r="CT950" s="544"/>
      <c r="CU950" s="544"/>
      <c r="CV950" s="544"/>
      <c r="CW950" s="544"/>
      <c r="CX950" s="544"/>
    </row>
    <row r="951" s="431" customFormat="1" ht="31" customHeight="1" spans="1:102">
      <c r="A951" s="518">
        <v>45986</v>
      </c>
      <c r="B951" s="519" t="s">
        <v>543</v>
      </c>
      <c r="C951" s="520" t="s">
        <v>544</v>
      </c>
      <c r="D951" s="427">
        <v>4500186877</v>
      </c>
      <c r="E951" s="520"/>
      <c r="F951" s="427" t="s">
        <v>5577</v>
      </c>
      <c r="G951" s="521" t="s">
        <v>3158</v>
      </c>
      <c r="H951" s="521" t="s">
        <v>3159</v>
      </c>
      <c r="I951" s="607">
        <v>1872</v>
      </c>
      <c r="J951" s="521">
        <v>0</v>
      </c>
      <c r="K951" s="521">
        <v>52</v>
      </c>
      <c r="L951" s="524">
        <f t="shared" si="369"/>
        <v>36</v>
      </c>
      <c r="M951" s="525">
        <v>46028</v>
      </c>
      <c r="N951" s="525">
        <v>46024</v>
      </c>
      <c r="O951" s="521"/>
      <c r="P951" s="526" t="s">
        <v>103</v>
      </c>
      <c r="Q951" s="521"/>
      <c r="R951" s="530">
        <v>45989</v>
      </c>
      <c r="S951" s="530" t="s">
        <v>66</v>
      </c>
      <c r="T951" s="530" t="s">
        <v>5578</v>
      </c>
      <c r="U951" s="530"/>
      <c r="V951" s="532" t="s">
        <v>5579</v>
      </c>
      <c r="W951" s="532" t="s">
        <v>547</v>
      </c>
      <c r="X951" s="536">
        <v>0.9129</v>
      </c>
      <c r="Y951" s="540">
        <f t="shared" ref="Y951:Y956" si="370">X951*I951</f>
        <v>1708.9488</v>
      </c>
      <c r="Z951" s="521"/>
      <c r="AA951" s="521" t="s">
        <v>3158</v>
      </c>
      <c r="AB951" s="521" t="s">
        <v>76</v>
      </c>
      <c r="AC951" s="521"/>
      <c r="AD951" s="519"/>
      <c r="AE951" s="519">
        <v>1</v>
      </c>
      <c r="AF951" s="521">
        <v>1872</v>
      </c>
      <c r="AG951" s="521">
        <f t="shared" si="364"/>
        <v>0</v>
      </c>
      <c r="AH951" s="542"/>
      <c r="AI951" s="521" t="s">
        <v>2191</v>
      </c>
      <c r="AJ951" s="521"/>
      <c r="AK951" s="521"/>
      <c r="AL951" s="543">
        <f>I951</f>
        <v>1872</v>
      </c>
      <c r="AM951" s="628"/>
      <c r="AN951" s="628"/>
      <c r="AO951" s="630"/>
      <c r="AP951" s="427"/>
      <c r="AQ951" s="628">
        <f>I951</f>
        <v>1872</v>
      </c>
      <c r="AR951" s="427"/>
      <c r="AS951" s="543">
        <f>I951</f>
        <v>1872</v>
      </c>
      <c r="AT951" s="544"/>
      <c r="AU951" s="628"/>
      <c r="AV951" s="628"/>
      <c r="AW951" s="628"/>
      <c r="AX951" s="628"/>
      <c r="AY951" s="545">
        <f>I951/24</f>
        <v>78</v>
      </c>
      <c r="AZ951" s="546"/>
      <c r="BA951" s="628"/>
      <c r="BB951" s="628"/>
      <c r="BC951" s="628"/>
      <c r="BD951" s="628"/>
      <c r="BE951" s="628"/>
      <c r="BF951" s="628"/>
      <c r="BG951" s="628"/>
      <c r="BH951" s="628"/>
      <c r="BI951" s="628">
        <f>I951/13</f>
        <v>144</v>
      </c>
      <c r="BJ951" s="628"/>
      <c r="BK951" s="427"/>
      <c r="BL951" s="628"/>
      <c r="BM951" s="628"/>
      <c r="BN951" s="628"/>
      <c r="BO951" s="628"/>
      <c r="BP951" s="628"/>
      <c r="BQ951" s="628"/>
      <c r="BR951" s="628"/>
      <c r="BS951" s="628"/>
      <c r="BT951" s="544"/>
      <c r="BU951" s="628"/>
      <c r="BV951" s="544"/>
      <c r="BW951" s="628"/>
      <c r="BX951" s="628"/>
      <c r="BY951" s="628"/>
      <c r="BZ951" s="628"/>
      <c r="CA951" s="628"/>
      <c r="CB951" s="628"/>
      <c r="CC951" s="628"/>
      <c r="CD951" s="628"/>
      <c r="CE951" s="628"/>
      <c r="CF951" s="628"/>
      <c r="CG951" s="628"/>
      <c r="CH951" s="628"/>
      <c r="CI951" s="628"/>
      <c r="CJ951" s="628"/>
      <c r="CK951" s="427">
        <f t="shared" si="366"/>
        <v>0</v>
      </c>
      <c r="CL951" s="427">
        <f t="shared" si="367"/>
        <v>0</v>
      </c>
      <c r="CM951" s="427">
        <f t="shared" si="368"/>
        <v>0</v>
      </c>
      <c r="CN951" s="544"/>
      <c r="CO951" s="544"/>
      <c r="CP951" s="544"/>
      <c r="CT951" s="544"/>
      <c r="CU951" s="544"/>
      <c r="CV951" s="544"/>
      <c r="CW951" s="544"/>
      <c r="CX951" s="544"/>
    </row>
    <row r="952" s="431" customFormat="1" ht="31" customHeight="1" spans="1:102">
      <c r="A952" s="518">
        <v>45986</v>
      </c>
      <c r="B952" s="519" t="s">
        <v>280</v>
      </c>
      <c r="C952" s="520" t="s">
        <v>249</v>
      </c>
      <c r="D952" s="427">
        <v>4500186899</v>
      </c>
      <c r="E952" s="520" t="s">
        <v>2413</v>
      </c>
      <c r="F952" s="427" t="s">
        <v>5580</v>
      </c>
      <c r="G952" s="521" t="s">
        <v>3158</v>
      </c>
      <c r="H952" s="521" t="s">
        <v>3159</v>
      </c>
      <c r="I952" s="607">
        <v>10400</v>
      </c>
      <c r="J952" s="521">
        <v>0</v>
      </c>
      <c r="K952" s="521">
        <v>52</v>
      </c>
      <c r="L952" s="524">
        <f t="shared" si="369"/>
        <v>200</v>
      </c>
      <c r="M952" s="525">
        <v>46028</v>
      </c>
      <c r="N952" s="525">
        <v>46024</v>
      </c>
      <c r="O952" s="521"/>
      <c r="P952" s="526" t="s">
        <v>103</v>
      </c>
      <c r="Q952" s="521"/>
      <c r="R952" s="530">
        <v>45981</v>
      </c>
      <c r="S952" s="530" t="s">
        <v>66</v>
      </c>
      <c r="T952" s="530" t="s">
        <v>5581</v>
      </c>
      <c r="U952" s="530"/>
      <c r="V952" s="532" t="s">
        <v>5582</v>
      </c>
      <c r="W952" s="532" t="s">
        <v>2036</v>
      </c>
      <c r="X952" s="536">
        <v>0.9002</v>
      </c>
      <c r="Y952" s="540">
        <f t="shared" si="370"/>
        <v>9362.08</v>
      </c>
      <c r="Z952" s="521"/>
      <c r="AA952" s="521" t="s">
        <v>3158</v>
      </c>
      <c r="AB952" s="521" t="s">
        <v>76</v>
      </c>
      <c r="AC952" s="521"/>
      <c r="AD952" s="519"/>
      <c r="AE952" s="519">
        <v>1</v>
      </c>
      <c r="AF952" s="521">
        <v>10400</v>
      </c>
      <c r="AG952" s="521">
        <f t="shared" si="364"/>
        <v>0</v>
      </c>
      <c r="AH952" s="542"/>
      <c r="AI952" s="521" t="s">
        <v>2191</v>
      </c>
      <c r="AJ952" s="521"/>
      <c r="AK952" s="521"/>
      <c r="AL952" s="543">
        <f>I952</f>
        <v>10400</v>
      </c>
      <c r="AM952" s="628"/>
      <c r="AN952" s="628"/>
      <c r="AO952" s="630"/>
      <c r="AP952" s="427"/>
      <c r="AQ952" s="628">
        <f>I952</f>
        <v>10400</v>
      </c>
      <c r="AR952" s="427"/>
      <c r="AS952" s="543">
        <f>I952</f>
        <v>10400</v>
      </c>
      <c r="AT952" s="544"/>
      <c r="AU952" s="628"/>
      <c r="AV952" s="628"/>
      <c r="AW952" s="628"/>
      <c r="AX952" s="628"/>
      <c r="AY952" s="545">
        <f>I952/24</f>
        <v>433.333333333333</v>
      </c>
      <c r="AZ952" s="546"/>
      <c r="BA952" s="628"/>
      <c r="BB952" s="628"/>
      <c r="BC952" s="628"/>
      <c r="BD952" s="628"/>
      <c r="BE952" s="628"/>
      <c r="BF952" s="628"/>
      <c r="BG952" s="628"/>
      <c r="BH952" s="628"/>
      <c r="BI952" s="628">
        <f>I952/13</f>
        <v>800</v>
      </c>
      <c r="BJ952" s="628"/>
      <c r="BK952" s="427"/>
      <c r="BL952" s="628"/>
      <c r="BM952" s="628"/>
      <c r="BN952" s="628"/>
      <c r="BO952" s="628"/>
      <c r="BP952" s="628"/>
      <c r="BQ952" s="628"/>
      <c r="BR952" s="628"/>
      <c r="BS952" s="628"/>
      <c r="BT952" s="544"/>
      <c r="BU952" s="628"/>
      <c r="BV952" s="544"/>
      <c r="BW952" s="628"/>
      <c r="BX952" s="628"/>
      <c r="BY952" s="628"/>
      <c r="BZ952" s="628"/>
      <c r="CA952" s="628"/>
      <c r="CB952" s="628"/>
      <c r="CC952" s="628"/>
      <c r="CD952" s="628"/>
      <c r="CE952" s="628"/>
      <c r="CF952" s="628"/>
      <c r="CG952" s="628"/>
      <c r="CH952" s="628"/>
      <c r="CI952" s="628"/>
      <c r="CJ952" s="628"/>
      <c r="CK952" s="427">
        <f t="shared" si="366"/>
        <v>0</v>
      </c>
      <c r="CL952" s="427">
        <f t="shared" si="367"/>
        <v>0</v>
      </c>
      <c r="CM952" s="427">
        <f t="shared" si="368"/>
        <v>0</v>
      </c>
      <c r="CN952" s="544"/>
      <c r="CO952" s="544"/>
      <c r="CP952" s="544"/>
      <c r="CT952" s="544"/>
      <c r="CU952" s="544"/>
      <c r="CV952" s="544"/>
      <c r="CW952" s="544"/>
      <c r="CX952" s="544"/>
    </row>
    <row r="953" s="431" customFormat="1" ht="31" customHeight="1" spans="1:102">
      <c r="A953" s="518">
        <v>45982</v>
      </c>
      <c r="B953" s="519" t="s">
        <v>5201</v>
      </c>
      <c r="C953" s="520" t="s">
        <v>90</v>
      </c>
      <c r="D953" s="427">
        <v>4500186435</v>
      </c>
      <c r="E953" s="520" t="s">
        <v>5583</v>
      </c>
      <c r="F953" s="427" t="s">
        <v>5584</v>
      </c>
      <c r="G953" s="521" t="s">
        <v>4564</v>
      </c>
      <c r="H953" s="521" t="s">
        <v>3237</v>
      </c>
      <c r="I953" s="607">
        <v>1200</v>
      </c>
      <c r="J953" s="521">
        <v>0</v>
      </c>
      <c r="K953" s="521">
        <v>12</v>
      </c>
      <c r="L953" s="524">
        <f t="shared" si="369"/>
        <v>100</v>
      </c>
      <c r="M953" s="525">
        <v>46029</v>
      </c>
      <c r="N953" s="525">
        <v>46025</v>
      </c>
      <c r="O953" s="521"/>
      <c r="P953" s="526" t="s">
        <v>103</v>
      </c>
      <c r="Q953" s="521"/>
      <c r="R953" s="530">
        <v>45982</v>
      </c>
      <c r="S953" s="530" t="s">
        <v>66</v>
      </c>
      <c r="T953" s="530" t="s">
        <v>2493</v>
      </c>
      <c r="U953" s="530"/>
      <c r="V953" s="532" t="s">
        <v>5585</v>
      </c>
      <c r="W953" s="532" t="s">
        <v>2340</v>
      </c>
      <c r="X953" s="536">
        <v>1.3094</v>
      </c>
      <c r="Y953" s="540">
        <f t="shared" si="370"/>
        <v>1571.28</v>
      </c>
      <c r="Z953" s="521"/>
      <c r="AA953" s="521" t="s">
        <v>3236</v>
      </c>
      <c r="AB953" s="521" t="s">
        <v>76</v>
      </c>
      <c r="AC953" s="521"/>
      <c r="AD953" s="519"/>
      <c r="AE953" s="519">
        <v>1</v>
      </c>
      <c r="AF953" s="521">
        <f>1188+12</f>
        <v>1200</v>
      </c>
      <c r="AG953" s="521">
        <f t="shared" si="364"/>
        <v>0</v>
      </c>
      <c r="AH953" s="542"/>
      <c r="AI953" s="521" t="s">
        <v>2191</v>
      </c>
      <c r="AJ953" s="521"/>
      <c r="AK953" s="521">
        <f>I953*2</f>
        <v>2400</v>
      </c>
      <c r="AL953" s="543"/>
      <c r="AM953" s="628"/>
      <c r="AN953" s="628">
        <f>I953*2</f>
        <v>2400</v>
      </c>
      <c r="AO953" s="630"/>
      <c r="AP953" s="427"/>
      <c r="AQ953" s="628"/>
      <c r="AR953" s="427">
        <f>I953*2</f>
        <v>2400</v>
      </c>
      <c r="AS953" s="543"/>
      <c r="AT953" s="544"/>
      <c r="AU953" s="628"/>
      <c r="AV953" s="628"/>
      <c r="AW953" s="628"/>
      <c r="AX953" s="628"/>
      <c r="AY953" s="545">
        <f>I953/24*2</f>
        <v>100</v>
      </c>
      <c r="AZ953" s="546"/>
      <c r="BA953" s="628"/>
      <c r="BB953" s="628"/>
      <c r="BC953" s="628"/>
      <c r="BD953" s="628"/>
      <c r="BE953" s="628"/>
      <c r="BF953" s="628"/>
      <c r="BG953" s="628"/>
      <c r="BH953" s="628"/>
      <c r="BI953" s="628"/>
      <c r="BJ953" s="628"/>
      <c r="BK953" s="427"/>
      <c r="BL953" s="628"/>
      <c r="BM953" s="628"/>
      <c r="BN953" s="628"/>
      <c r="BO953" s="628"/>
      <c r="BP953" s="628"/>
      <c r="BQ953" s="628"/>
      <c r="BR953" s="628"/>
      <c r="BS953" s="628"/>
      <c r="BT953" s="544"/>
      <c r="BU953" s="628"/>
      <c r="BV953" s="544"/>
      <c r="BW953" s="628"/>
      <c r="BX953" s="628"/>
      <c r="BY953" s="628"/>
      <c r="BZ953" s="628"/>
      <c r="CA953" s="628"/>
      <c r="CB953" s="628"/>
      <c r="CC953" s="628"/>
      <c r="CD953" s="628"/>
      <c r="CE953" s="628"/>
      <c r="CF953" s="628"/>
      <c r="CG953" s="628"/>
      <c r="CH953" s="628">
        <f>I953</f>
        <v>1200</v>
      </c>
      <c r="CI953" s="628">
        <f>I953</f>
        <v>1200</v>
      </c>
      <c r="CJ953" s="628">
        <f>I953</f>
        <v>1200</v>
      </c>
      <c r="CK953" s="427">
        <v>0</v>
      </c>
      <c r="CL953" s="427">
        <v>0</v>
      </c>
      <c r="CM953" s="427">
        <v>0</v>
      </c>
      <c r="CN953" s="544"/>
      <c r="CO953" s="544"/>
      <c r="CP953" s="544"/>
      <c r="CT953" s="544"/>
      <c r="CU953" s="544"/>
      <c r="CV953" s="544"/>
      <c r="CW953" s="544"/>
      <c r="CX953" s="544"/>
    </row>
    <row r="954" s="431" customFormat="1" ht="31" customHeight="1" spans="1:102">
      <c r="A954" s="518">
        <v>45982</v>
      </c>
      <c r="B954" s="519" t="s">
        <v>5201</v>
      </c>
      <c r="C954" s="520" t="s">
        <v>90</v>
      </c>
      <c r="D954" s="427">
        <v>4500186433</v>
      </c>
      <c r="E954" s="520" t="s">
        <v>5586</v>
      </c>
      <c r="F954" s="427" t="s">
        <v>5587</v>
      </c>
      <c r="G954" s="521" t="s">
        <v>4564</v>
      </c>
      <c r="H954" s="521" t="s">
        <v>3237</v>
      </c>
      <c r="I954" s="607">
        <v>996</v>
      </c>
      <c r="J954" s="521">
        <v>0</v>
      </c>
      <c r="K954" s="521">
        <v>12</v>
      </c>
      <c r="L954" s="524">
        <f t="shared" si="369"/>
        <v>83</v>
      </c>
      <c r="M954" s="525">
        <v>46029</v>
      </c>
      <c r="N954" s="525">
        <v>46025</v>
      </c>
      <c r="O954" s="521"/>
      <c r="P954" s="526" t="s">
        <v>103</v>
      </c>
      <c r="Q954" s="521"/>
      <c r="R954" s="530">
        <v>45982</v>
      </c>
      <c r="S954" s="530" t="s">
        <v>66</v>
      </c>
      <c r="T954" s="530" t="s">
        <v>2493</v>
      </c>
      <c r="U954" s="530"/>
      <c r="V954" s="532" t="s">
        <v>5588</v>
      </c>
      <c r="W954" s="532" t="s">
        <v>2340</v>
      </c>
      <c r="X954" s="536">
        <v>1.3094</v>
      </c>
      <c r="Y954" s="540">
        <f t="shared" si="370"/>
        <v>1304.1624</v>
      </c>
      <c r="Z954" s="521"/>
      <c r="AA954" s="521" t="s">
        <v>3236</v>
      </c>
      <c r="AB954" s="521" t="s">
        <v>76</v>
      </c>
      <c r="AC954" s="521"/>
      <c r="AD954" s="519"/>
      <c r="AE954" s="519">
        <v>1</v>
      </c>
      <c r="AF954" s="521">
        <v>996</v>
      </c>
      <c r="AG954" s="521">
        <f t="shared" si="364"/>
        <v>0</v>
      </c>
      <c r="AH954" s="542"/>
      <c r="AI954" s="521" t="s">
        <v>2191</v>
      </c>
      <c r="AJ954" s="521"/>
      <c r="AK954" s="521">
        <f>I954*2</f>
        <v>1992</v>
      </c>
      <c r="AL954" s="543"/>
      <c r="AM954" s="628"/>
      <c r="AN954" s="628">
        <f>I954*2</f>
        <v>1992</v>
      </c>
      <c r="AO954" s="630"/>
      <c r="AP954" s="427"/>
      <c r="AQ954" s="628"/>
      <c r="AR954" s="427">
        <f>I954*2</f>
        <v>1992</v>
      </c>
      <c r="AS954" s="543"/>
      <c r="AT954" s="544"/>
      <c r="AU954" s="628"/>
      <c r="AV954" s="628"/>
      <c r="AW954" s="628"/>
      <c r="AX954" s="628"/>
      <c r="AY954" s="545">
        <f>I954/24*2</f>
        <v>83</v>
      </c>
      <c r="AZ954" s="546"/>
      <c r="BA954" s="628"/>
      <c r="BB954" s="628"/>
      <c r="BC954" s="628"/>
      <c r="BD954" s="628"/>
      <c r="BE954" s="628"/>
      <c r="BF954" s="628"/>
      <c r="BG954" s="628"/>
      <c r="BH954" s="628"/>
      <c r="BI954" s="628"/>
      <c r="BJ954" s="628"/>
      <c r="BK954" s="427"/>
      <c r="BL954" s="628"/>
      <c r="BM954" s="628"/>
      <c r="BN954" s="628"/>
      <c r="BO954" s="628"/>
      <c r="BP954" s="628"/>
      <c r="BQ954" s="628"/>
      <c r="BR954" s="628"/>
      <c r="BS954" s="628"/>
      <c r="BT954" s="544"/>
      <c r="BU954" s="628"/>
      <c r="BV954" s="544"/>
      <c r="BW954" s="628"/>
      <c r="BX954" s="628"/>
      <c r="BY954" s="628"/>
      <c r="BZ954" s="628"/>
      <c r="CA954" s="628"/>
      <c r="CB954" s="628"/>
      <c r="CC954" s="628"/>
      <c r="CD954" s="628"/>
      <c r="CE954" s="628"/>
      <c r="CF954" s="628"/>
      <c r="CG954" s="628"/>
      <c r="CH954" s="628">
        <f>I954</f>
        <v>996</v>
      </c>
      <c r="CI954" s="628">
        <f>I954</f>
        <v>996</v>
      </c>
      <c r="CJ954" s="628">
        <f>I954</f>
        <v>996</v>
      </c>
      <c r="CK954" s="427">
        <v>0</v>
      </c>
      <c r="CL954" s="427">
        <v>0</v>
      </c>
      <c r="CM954" s="427">
        <v>0</v>
      </c>
      <c r="CN954" s="544"/>
      <c r="CO954" s="544"/>
      <c r="CP954" s="544"/>
      <c r="CT954" s="544"/>
      <c r="CU954" s="544"/>
      <c r="CV954" s="544"/>
      <c r="CW954" s="544"/>
      <c r="CX954" s="544"/>
    </row>
    <row r="955" s="431" customFormat="1" ht="31" customHeight="1" spans="1:102">
      <c r="A955" s="518">
        <v>45988</v>
      </c>
      <c r="B955" s="519" t="s">
        <v>5201</v>
      </c>
      <c r="C955" s="520" t="s">
        <v>90</v>
      </c>
      <c r="D955" s="427">
        <v>4500187236</v>
      </c>
      <c r="E955" s="520">
        <v>770793</v>
      </c>
      <c r="F955" s="427" t="s">
        <v>5589</v>
      </c>
      <c r="G955" s="521" t="s">
        <v>4564</v>
      </c>
      <c r="H955" s="521" t="s">
        <v>3237</v>
      </c>
      <c r="I955" s="607">
        <v>1200</v>
      </c>
      <c r="J955" s="521">
        <v>0</v>
      </c>
      <c r="K955" s="521">
        <v>12</v>
      </c>
      <c r="L955" s="524">
        <f t="shared" si="369"/>
        <v>100</v>
      </c>
      <c r="M955" s="525">
        <v>46029</v>
      </c>
      <c r="N955" s="525">
        <v>46025</v>
      </c>
      <c r="O955" s="521"/>
      <c r="P955" s="526" t="s">
        <v>103</v>
      </c>
      <c r="Q955" s="521"/>
      <c r="R955" s="530">
        <v>45988</v>
      </c>
      <c r="S955" s="530" t="s">
        <v>66</v>
      </c>
      <c r="T955" s="530" t="s">
        <v>2493</v>
      </c>
      <c r="U955" s="530"/>
      <c r="V955" s="532" t="s">
        <v>5590</v>
      </c>
      <c r="W955" s="532" t="s">
        <v>2340</v>
      </c>
      <c r="X955" s="536">
        <v>1.2871</v>
      </c>
      <c r="Y955" s="540">
        <f t="shared" si="370"/>
        <v>1544.52</v>
      </c>
      <c r="Z955" s="521"/>
      <c r="AA955" s="521" t="s">
        <v>3236</v>
      </c>
      <c r="AB955" s="521" t="s">
        <v>76</v>
      </c>
      <c r="AC955" s="521"/>
      <c r="AD955" s="519"/>
      <c r="AE955" s="519">
        <v>1</v>
      </c>
      <c r="AF955" s="521">
        <v>1200</v>
      </c>
      <c r="AG955" s="521"/>
      <c r="AH955" s="542"/>
      <c r="AI955" s="521" t="s">
        <v>2191</v>
      </c>
      <c r="AJ955" s="521"/>
      <c r="AK955" s="521">
        <f>I955*2</f>
        <v>2400</v>
      </c>
      <c r="AL955" s="543"/>
      <c r="AM955" s="628"/>
      <c r="AN955" s="628">
        <f>I955*2</f>
        <v>2400</v>
      </c>
      <c r="AO955" s="630"/>
      <c r="AP955" s="427"/>
      <c r="AQ955" s="628"/>
      <c r="AR955" s="427">
        <f>I955*2</f>
        <v>2400</v>
      </c>
      <c r="AS955" s="543"/>
      <c r="AT955" s="544"/>
      <c r="AU955" s="628"/>
      <c r="AV955" s="628"/>
      <c r="AW955" s="628"/>
      <c r="AX955" s="628"/>
      <c r="AY955" s="545">
        <f>I955/24*2</f>
        <v>100</v>
      </c>
      <c r="AZ955" s="546"/>
      <c r="BA955" s="628"/>
      <c r="BB955" s="628"/>
      <c r="BC955" s="628"/>
      <c r="BD955" s="628"/>
      <c r="BE955" s="628"/>
      <c r="BF955" s="628"/>
      <c r="BG955" s="628"/>
      <c r="BH955" s="628"/>
      <c r="BI955" s="628"/>
      <c r="BJ955" s="628"/>
      <c r="BK955" s="427"/>
      <c r="BL955" s="628"/>
      <c r="BM955" s="628"/>
      <c r="BN955" s="628"/>
      <c r="BO955" s="628"/>
      <c r="BP955" s="628"/>
      <c r="BQ955" s="628"/>
      <c r="BR955" s="628"/>
      <c r="BS955" s="628"/>
      <c r="BT955" s="544"/>
      <c r="BU955" s="628"/>
      <c r="BV955" s="544"/>
      <c r="BW955" s="628"/>
      <c r="BX955" s="628"/>
      <c r="BY955" s="628"/>
      <c r="BZ955" s="628"/>
      <c r="CA955" s="628"/>
      <c r="CB955" s="628"/>
      <c r="CC955" s="628"/>
      <c r="CD955" s="628"/>
      <c r="CE955" s="628"/>
      <c r="CF955" s="628"/>
      <c r="CG955" s="628"/>
      <c r="CH955" s="628">
        <f>I955</f>
        <v>1200</v>
      </c>
      <c r="CI955" s="628">
        <f>I955</f>
        <v>1200</v>
      </c>
      <c r="CJ955" s="628">
        <f>I955</f>
        <v>1200</v>
      </c>
      <c r="CK955" s="427">
        <v>0</v>
      </c>
      <c r="CL955" s="427">
        <v>0</v>
      </c>
      <c r="CM955" s="427">
        <v>0</v>
      </c>
      <c r="CN955" s="544"/>
      <c r="CO955" s="544"/>
      <c r="CP955" s="544"/>
      <c r="CT955" s="544"/>
      <c r="CU955" s="544"/>
      <c r="CV955" s="544"/>
      <c r="CW955" s="544"/>
      <c r="CX955" s="544"/>
    </row>
    <row r="956" s="431" customFormat="1" ht="31" customHeight="1" spans="1:102">
      <c r="A956" s="518">
        <v>45988</v>
      </c>
      <c r="B956" s="519" t="s">
        <v>5201</v>
      </c>
      <c r="C956" s="520" t="s">
        <v>90</v>
      </c>
      <c r="D956" s="427">
        <v>4500187231</v>
      </c>
      <c r="E956" s="520">
        <v>770791</v>
      </c>
      <c r="F956" s="427" t="s">
        <v>5591</v>
      </c>
      <c r="G956" s="521" t="s">
        <v>4564</v>
      </c>
      <c r="H956" s="521" t="s">
        <v>3237</v>
      </c>
      <c r="I956" s="607">
        <v>996</v>
      </c>
      <c r="J956" s="521">
        <v>0</v>
      </c>
      <c r="K956" s="521">
        <v>12</v>
      </c>
      <c r="L956" s="524">
        <f t="shared" si="369"/>
        <v>83</v>
      </c>
      <c r="M956" s="525">
        <v>46029</v>
      </c>
      <c r="N956" s="525">
        <v>46025</v>
      </c>
      <c r="O956" s="521"/>
      <c r="P956" s="526" t="s">
        <v>103</v>
      </c>
      <c r="Q956" s="521"/>
      <c r="R956" s="530">
        <v>45988</v>
      </c>
      <c r="S956" s="530" t="s">
        <v>66</v>
      </c>
      <c r="T956" s="530" t="s">
        <v>2493</v>
      </c>
      <c r="U956" s="530"/>
      <c r="V956" s="532" t="s">
        <v>5592</v>
      </c>
      <c r="W956" s="532" t="s">
        <v>2340</v>
      </c>
      <c r="X956" s="536">
        <v>1.3094</v>
      </c>
      <c r="Y956" s="540">
        <f t="shared" si="370"/>
        <v>1304.1624</v>
      </c>
      <c r="Z956" s="521"/>
      <c r="AA956" s="521" t="s">
        <v>3236</v>
      </c>
      <c r="AB956" s="521" t="s">
        <v>76</v>
      </c>
      <c r="AC956" s="521"/>
      <c r="AD956" s="519"/>
      <c r="AE956" s="519">
        <v>1</v>
      </c>
      <c r="AF956" s="521">
        <v>996</v>
      </c>
      <c r="AG956" s="521"/>
      <c r="AH956" s="542"/>
      <c r="AI956" s="521" t="s">
        <v>2191</v>
      </c>
      <c r="AJ956" s="521"/>
      <c r="AK956" s="521">
        <f>I956*2</f>
        <v>1992</v>
      </c>
      <c r="AL956" s="543"/>
      <c r="AM956" s="628"/>
      <c r="AN956" s="628">
        <f>I956*2</f>
        <v>1992</v>
      </c>
      <c r="AO956" s="630"/>
      <c r="AP956" s="427"/>
      <c r="AQ956" s="628"/>
      <c r="AR956" s="427">
        <f>I956*2</f>
        <v>1992</v>
      </c>
      <c r="AS956" s="543"/>
      <c r="AT956" s="544"/>
      <c r="AU956" s="628"/>
      <c r="AV956" s="628"/>
      <c r="AW956" s="628"/>
      <c r="AX956" s="628"/>
      <c r="AY956" s="545">
        <f>I956/24*2</f>
        <v>83</v>
      </c>
      <c r="AZ956" s="546"/>
      <c r="BA956" s="628"/>
      <c r="BB956" s="628"/>
      <c r="BC956" s="628"/>
      <c r="BD956" s="628"/>
      <c r="BE956" s="628"/>
      <c r="BF956" s="628"/>
      <c r="BG956" s="628"/>
      <c r="BH956" s="628"/>
      <c r="BI956" s="628"/>
      <c r="BJ956" s="628"/>
      <c r="BK956" s="427"/>
      <c r="BL956" s="628"/>
      <c r="BM956" s="628"/>
      <c r="BN956" s="628"/>
      <c r="BO956" s="628"/>
      <c r="BP956" s="628"/>
      <c r="BQ956" s="628"/>
      <c r="BR956" s="628"/>
      <c r="BS956" s="628"/>
      <c r="BT956" s="544"/>
      <c r="BU956" s="628"/>
      <c r="BV956" s="544"/>
      <c r="BW956" s="628"/>
      <c r="BX956" s="628"/>
      <c r="BY956" s="628"/>
      <c r="BZ956" s="628"/>
      <c r="CA956" s="628"/>
      <c r="CB956" s="628"/>
      <c r="CC956" s="628"/>
      <c r="CD956" s="628"/>
      <c r="CE956" s="628"/>
      <c r="CF956" s="628"/>
      <c r="CG956" s="628"/>
      <c r="CH956" s="628">
        <f>I956</f>
        <v>996</v>
      </c>
      <c r="CI956" s="628">
        <f>I956</f>
        <v>996</v>
      </c>
      <c r="CJ956" s="628">
        <f>I956</f>
        <v>996</v>
      </c>
      <c r="CK956" s="427">
        <v>0</v>
      </c>
      <c r="CL956" s="427">
        <v>0</v>
      </c>
      <c r="CM956" s="427">
        <v>0</v>
      </c>
      <c r="CN956" s="544"/>
      <c r="CO956" s="544"/>
      <c r="CP956" s="544"/>
      <c r="CT956" s="544"/>
      <c r="CU956" s="544"/>
      <c r="CV956" s="544"/>
      <c r="CW956" s="544"/>
      <c r="CX956" s="544"/>
    </row>
    <row r="957" s="431" customFormat="1" ht="31" customHeight="1" spans="1:102">
      <c r="A957" s="518">
        <v>45980</v>
      </c>
      <c r="B957" s="519" t="s">
        <v>1147</v>
      </c>
      <c r="C957" s="520" t="s">
        <v>468</v>
      </c>
      <c r="D957" s="427">
        <v>4500186234</v>
      </c>
      <c r="E957" s="520">
        <v>17242705</v>
      </c>
      <c r="F957" s="427" t="s">
        <v>5593</v>
      </c>
      <c r="G957" s="521" t="s">
        <v>3328</v>
      </c>
      <c r="H957" s="521" t="s">
        <v>3194</v>
      </c>
      <c r="I957" s="607">
        <v>2220</v>
      </c>
      <c r="J957" s="521">
        <v>0</v>
      </c>
      <c r="K957" s="521">
        <v>30</v>
      </c>
      <c r="L957" s="524">
        <f t="shared" si="369"/>
        <v>74</v>
      </c>
      <c r="M957" s="525">
        <v>46030</v>
      </c>
      <c r="N957" s="525">
        <v>46027</v>
      </c>
      <c r="O957" s="521"/>
      <c r="P957" s="526" t="s">
        <v>103</v>
      </c>
      <c r="Q957" s="521"/>
      <c r="R957" s="530">
        <v>46001</v>
      </c>
      <c r="S957" s="530" t="s">
        <v>66</v>
      </c>
      <c r="T957" s="530" t="s">
        <v>5412</v>
      </c>
      <c r="U957" s="530"/>
      <c r="V957" s="532" t="s">
        <v>5594</v>
      </c>
      <c r="W957" s="532" t="s">
        <v>304</v>
      </c>
      <c r="X957" s="536">
        <v>41.4795</v>
      </c>
      <c r="Y957" s="540">
        <f>X957*L957</f>
        <v>3069.483</v>
      </c>
      <c r="Z957" s="521"/>
      <c r="AA957" s="521" t="s">
        <v>3328</v>
      </c>
      <c r="AB957" s="521" t="s">
        <v>76</v>
      </c>
      <c r="AC957" s="521"/>
      <c r="AD957" s="519"/>
      <c r="AE957" s="519">
        <v>1</v>
      </c>
      <c r="AF957" s="521">
        <v>2220</v>
      </c>
      <c r="AG957" s="521">
        <f>AF957-I957</f>
        <v>0</v>
      </c>
      <c r="AH957" s="542"/>
      <c r="AI957" s="521" t="s">
        <v>2191</v>
      </c>
      <c r="AJ957" s="521"/>
      <c r="AK957" s="521"/>
      <c r="AL957" s="543">
        <f>I957</f>
        <v>2220</v>
      </c>
      <c r="AM957" s="628"/>
      <c r="AN957" s="628"/>
      <c r="AO957" s="630"/>
      <c r="AP957" s="427"/>
      <c r="AQ957" s="427">
        <f>I957*2</f>
        <v>4440</v>
      </c>
      <c r="AR957" s="427"/>
      <c r="AS957" s="543">
        <f>I957*2</f>
        <v>4440</v>
      </c>
      <c r="AT957" s="544"/>
      <c r="AU957" s="628"/>
      <c r="AV957" s="628"/>
      <c r="AW957" s="628"/>
      <c r="AX957" s="628"/>
      <c r="AY957" s="545">
        <f>I957/24</f>
        <v>92.5</v>
      </c>
      <c r="AZ957" s="546"/>
      <c r="BA957" s="628"/>
      <c r="BB957" s="628"/>
      <c r="BC957" s="628"/>
      <c r="BD957" s="628"/>
      <c r="BE957" s="628"/>
      <c r="BF957" s="628"/>
      <c r="BG957" s="628"/>
      <c r="BH957" s="628"/>
      <c r="BI957" s="628"/>
      <c r="BJ957" s="628"/>
      <c r="BK957" s="427"/>
      <c r="BL957" s="628"/>
      <c r="BM957" s="628"/>
      <c r="BN957" s="628"/>
      <c r="BO957" s="628"/>
      <c r="BP957" s="628"/>
      <c r="BQ957" s="628"/>
      <c r="BR957" s="628"/>
      <c r="BS957" s="628"/>
      <c r="BT957" s="544"/>
      <c r="BU957" s="628"/>
      <c r="BV957" s="544"/>
      <c r="BW957" s="628"/>
      <c r="BX957" s="628"/>
      <c r="BY957" s="628"/>
      <c r="BZ957" s="628"/>
      <c r="CA957" s="628"/>
      <c r="CB957" s="628"/>
      <c r="CC957" s="628"/>
      <c r="CD957" s="628"/>
      <c r="CE957" s="628"/>
      <c r="CF957" s="427">
        <f>I957/30</f>
        <v>74</v>
      </c>
      <c r="CG957" s="628"/>
      <c r="CH957" s="628"/>
      <c r="CI957" s="628"/>
      <c r="CJ957" s="628"/>
      <c r="CK957" s="427">
        <f>BM957+BL957+BK957+BJ957+BS957</f>
        <v>0</v>
      </c>
      <c r="CL957" s="427">
        <f>CA957+CB957+CC957+CD957+CE957+CG957+CF957</f>
        <v>74</v>
      </c>
      <c r="CM957" s="427">
        <f>BY957+BZ957</f>
        <v>0</v>
      </c>
      <c r="CN957" s="544"/>
      <c r="CO957" s="544"/>
      <c r="CP957" s="544"/>
      <c r="CT957" s="544"/>
      <c r="CU957" s="544"/>
      <c r="CV957" s="544"/>
      <c r="CW957" s="544"/>
      <c r="CX957" s="544"/>
    </row>
    <row r="958" s="431" customFormat="1" ht="31" customHeight="1" spans="1:102">
      <c r="A958" s="518">
        <v>45980</v>
      </c>
      <c r="B958" s="519" t="s">
        <v>2436</v>
      </c>
      <c r="C958" s="520" t="s">
        <v>90</v>
      </c>
      <c r="D958" s="427">
        <v>4500186208</v>
      </c>
      <c r="E958" s="520">
        <v>269326</v>
      </c>
      <c r="F958" s="427" t="s">
        <v>5595</v>
      </c>
      <c r="G958" s="521" t="s">
        <v>5596</v>
      </c>
      <c r="H958" s="521" t="s">
        <v>5597</v>
      </c>
      <c r="I958" s="607">
        <v>4992</v>
      </c>
      <c r="J958" s="521">
        <v>0</v>
      </c>
      <c r="K958" s="521">
        <v>24</v>
      </c>
      <c r="L958" s="524">
        <f t="shared" si="369"/>
        <v>208</v>
      </c>
      <c r="M958" s="525">
        <v>46030</v>
      </c>
      <c r="N958" s="525">
        <v>46027</v>
      </c>
      <c r="O958" s="521" t="s">
        <v>5598</v>
      </c>
      <c r="P958" s="526" t="s">
        <v>103</v>
      </c>
      <c r="Q958" s="521"/>
      <c r="R958" s="530">
        <v>45982</v>
      </c>
      <c r="S958" s="530" t="s">
        <v>96</v>
      </c>
      <c r="T958" s="530" t="s">
        <v>5599</v>
      </c>
      <c r="U958" s="530"/>
      <c r="V958" s="532" t="s">
        <v>5600</v>
      </c>
      <c r="W958" s="532" t="s">
        <v>2441</v>
      </c>
      <c r="X958" s="536">
        <v>0.552</v>
      </c>
      <c r="Y958" s="540">
        <f>X958*I958</f>
        <v>2755.584</v>
      </c>
      <c r="Z958" s="521"/>
      <c r="AA958" s="521" t="s">
        <v>5596</v>
      </c>
      <c r="AB958" s="521" t="s">
        <v>76</v>
      </c>
      <c r="AC958" s="521"/>
      <c r="AD958" s="519"/>
      <c r="AE958" s="519">
        <v>1</v>
      </c>
      <c r="AF958" s="521">
        <f>1320+3672</f>
        <v>4992</v>
      </c>
      <c r="AG958" s="521"/>
      <c r="AH958" s="542"/>
      <c r="AI958" s="521" t="s">
        <v>403</v>
      </c>
      <c r="AJ958" s="521"/>
      <c r="AK958" s="521">
        <f>I958</f>
        <v>4992</v>
      </c>
      <c r="AL958" s="543"/>
      <c r="AM958" s="628">
        <f>I958</f>
        <v>4992</v>
      </c>
      <c r="AN958" s="628"/>
      <c r="AO958" s="630"/>
      <c r="AP958" s="427"/>
      <c r="AQ958" s="628"/>
      <c r="AR958" s="427">
        <f>I958</f>
        <v>4992</v>
      </c>
      <c r="AS958" s="543"/>
      <c r="AT958" s="544"/>
      <c r="AU958" s="628"/>
      <c r="AV958" s="628"/>
      <c r="AW958" s="628"/>
      <c r="AX958" s="628"/>
      <c r="AY958" s="545">
        <f>I958</f>
        <v>4992</v>
      </c>
      <c r="AZ958" s="546"/>
      <c r="BA958" s="628"/>
      <c r="BB958" s="628"/>
      <c r="BC958" s="628"/>
      <c r="BD958" s="628"/>
      <c r="BE958" s="628"/>
      <c r="BF958" s="628"/>
      <c r="BG958" s="628"/>
      <c r="BH958" s="628"/>
      <c r="BI958" s="628"/>
      <c r="BJ958" s="628"/>
      <c r="BK958" s="427"/>
      <c r="BL958" s="628"/>
      <c r="BM958" s="628"/>
      <c r="BN958" s="628"/>
      <c r="BO958" s="628"/>
      <c r="BP958" s="628"/>
      <c r="BQ958" s="628"/>
      <c r="BR958" s="628"/>
      <c r="BS958" s="628"/>
      <c r="BT958" s="544"/>
      <c r="BU958" s="628"/>
      <c r="BV958" s="544"/>
      <c r="BW958" s="628"/>
      <c r="BX958" s="628"/>
      <c r="BY958" s="628"/>
      <c r="BZ958" s="628"/>
      <c r="CA958" s="628"/>
      <c r="CB958" s="628"/>
      <c r="CC958" s="628"/>
      <c r="CD958" s="628"/>
      <c r="CE958" s="628"/>
      <c r="CF958" s="628"/>
      <c r="CG958" s="628"/>
      <c r="CH958" s="628"/>
      <c r="CI958" s="628"/>
      <c r="CJ958" s="628"/>
      <c r="CK958" s="428">
        <f>BM958+BL958+BK958+BJ958+BS958</f>
        <v>0</v>
      </c>
      <c r="CL958" s="428">
        <f>CA958+CB958+CC958+CD958+CE958+CG958+CF958</f>
        <v>0</v>
      </c>
      <c r="CM958" s="428">
        <f>BY958+BZ958</f>
        <v>0</v>
      </c>
      <c r="CN958" s="544"/>
      <c r="CO958" s="544"/>
      <c r="CP958" s="544"/>
      <c r="CT958" s="544"/>
      <c r="CU958" s="544"/>
      <c r="CV958" s="544"/>
      <c r="CW958" s="544"/>
      <c r="CX958" s="544"/>
    </row>
    <row r="959" s="431" customFormat="1" ht="31" customHeight="1" spans="1:102">
      <c r="A959" s="518">
        <v>45987</v>
      </c>
      <c r="B959" s="519" t="s">
        <v>190</v>
      </c>
      <c r="C959" s="520" t="s">
        <v>191</v>
      </c>
      <c r="D959" s="427">
        <v>4500187090</v>
      </c>
      <c r="E959" s="520" t="s">
        <v>2442</v>
      </c>
      <c r="F959" s="427" t="s">
        <v>5601</v>
      </c>
      <c r="G959" s="521" t="s">
        <v>3158</v>
      </c>
      <c r="H959" s="521" t="s">
        <v>3159</v>
      </c>
      <c r="I959" s="607">
        <v>1248</v>
      </c>
      <c r="J959" s="521">
        <v>0</v>
      </c>
      <c r="K959" s="521">
        <v>52</v>
      </c>
      <c r="L959" s="524">
        <f t="shared" si="369"/>
        <v>24</v>
      </c>
      <c r="M959" s="525">
        <v>46030</v>
      </c>
      <c r="N959" s="525">
        <v>46027</v>
      </c>
      <c r="O959" s="521"/>
      <c r="P959" s="526" t="s">
        <v>103</v>
      </c>
      <c r="Q959" s="521"/>
      <c r="R959" s="530">
        <v>45987</v>
      </c>
      <c r="S959" s="530" t="s">
        <v>66</v>
      </c>
      <c r="T959" s="530" t="s">
        <v>5602</v>
      </c>
      <c r="U959" s="530"/>
      <c r="V959" s="532" t="s">
        <v>5603</v>
      </c>
      <c r="W959" s="532" t="s">
        <v>1663</v>
      </c>
      <c r="X959" s="536">
        <v>0.8951</v>
      </c>
      <c r="Y959" s="540">
        <f>X959*I959</f>
        <v>1117.0848</v>
      </c>
      <c r="Z959" s="521"/>
      <c r="AA959" s="521" t="s">
        <v>3158</v>
      </c>
      <c r="AB959" s="521" t="s">
        <v>76</v>
      </c>
      <c r="AC959" s="521"/>
      <c r="AD959" s="519"/>
      <c r="AE959" s="519">
        <v>1</v>
      </c>
      <c r="AF959" s="521">
        <v>1248</v>
      </c>
      <c r="AG959" s="521">
        <f>AF959-I959</f>
        <v>0</v>
      </c>
      <c r="AH959" s="542"/>
      <c r="AI959" s="521" t="s">
        <v>2191</v>
      </c>
      <c r="AJ959" s="521"/>
      <c r="AK959" s="521"/>
      <c r="AL959" s="543">
        <f>I959</f>
        <v>1248</v>
      </c>
      <c r="AM959" s="628"/>
      <c r="AN959" s="628"/>
      <c r="AO959" s="630"/>
      <c r="AP959" s="427"/>
      <c r="AQ959" s="628">
        <f>I959</f>
        <v>1248</v>
      </c>
      <c r="AR959" s="427"/>
      <c r="AS959" s="543">
        <f>I959</f>
        <v>1248</v>
      </c>
      <c r="AT959" s="544"/>
      <c r="AU959" s="628"/>
      <c r="AV959" s="628"/>
      <c r="AW959" s="628"/>
      <c r="AX959" s="628"/>
      <c r="AY959" s="545">
        <f>I959/24</f>
        <v>52</v>
      </c>
      <c r="AZ959" s="546"/>
      <c r="BA959" s="628"/>
      <c r="BB959" s="628"/>
      <c r="BC959" s="628"/>
      <c r="BD959" s="628"/>
      <c r="BE959" s="628"/>
      <c r="BF959" s="628"/>
      <c r="BG959" s="628"/>
      <c r="BH959" s="628"/>
      <c r="BI959" s="628">
        <f>I959/13</f>
        <v>96</v>
      </c>
      <c r="BJ959" s="628"/>
      <c r="BK959" s="427"/>
      <c r="BL959" s="628"/>
      <c r="BM959" s="628"/>
      <c r="BN959" s="628"/>
      <c r="BO959" s="628"/>
      <c r="BP959" s="628"/>
      <c r="BQ959" s="628"/>
      <c r="BR959" s="628"/>
      <c r="BS959" s="628"/>
      <c r="BT959" s="544"/>
      <c r="BU959" s="628"/>
      <c r="BV959" s="544"/>
      <c r="BW959" s="628"/>
      <c r="BX959" s="628"/>
      <c r="BY959" s="628"/>
      <c r="BZ959" s="628"/>
      <c r="CA959" s="628"/>
      <c r="CB959" s="628"/>
      <c r="CC959" s="628"/>
      <c r="CD959" s="628"/>
      <c r="CE959" s="628"/>
      <c r="CF959" s="628"/>
      <c r="CG959" s="628"/>
      <c r="CH959" s="628"/>
      <c r="CI959" s="628"/>
      <c r="CJ959" s="628"/>
      <c r="CK959" s="427">
        <f t="shared" ref="CK959:CK964" si="371">BM959+BL959+BK959+BJ959+BS959</f>
        <v>0</v>
      </c>
      <c r="CL959" s="427">
        <f t="shared" ref="CL959:CL964" si="372">CA959+CB959+CC959+CD959+CE959+CG959+CF959</f>
        <v>0</v>
      </c>
      <c r="CM959" s="427">
        <f t="shared" ref="CM959:CM964" si="373">BY959+BZ959</f>
        <v>0</v>
      </c>
      <c r="CN959" s="544"/>
      <c r="CO959" s="544"/>
      <c r="CP959" s="544"/>
      <c r="CT959" s="544"/>
      <c r="CU959" s="544"/>
      <c r="CV959" s="544"/>
      <c r="CW959" s="544"/>
      <c r="CX959" s="544"/>
    </row>
    <row r="960" s="431" customFormat="1" ht="31" customHeight="1" spans="1:102">
      <c r="A960" s="518">
        <v>45987</v>
      </c>
      <c r="B960" s="519" t="s">
        <v>190</v>
      </c>
      <c r="C960" s="520" t="s">
        <v>191</v>
      </c>
      <c r="D960" s="427">
        <v>4500187090</v>
      </c>
      <c r="E960" s="520" t="s">
        <v>2442</v>
      </c>
      <c r="F960" s="427" t="s">
        <v>2445</v>
      </c>
      <c r="G960" s="521" t="s">
        <v>3436</v>
      </c>
      <c r="H960" s="521" t="s">
        <v>424</v>
      </c>
      <c r="I960" s="607">
        <v>720</v>
      </c>
      <c r="J960" s="521">
        <v>0</v>
      </c>
      <c r="K960" s="521">
        <v>6</v>
      </c>
      <c r="L960" s="524">
        <f t="shared" si="369"/>
        <v>120</v>
      </c>
      <c r="M960" s="525">
        <v>46030</v>
      </c>
      <c r="N960" s="525">
        <v>46027</v>
      </c>
      <c r="O960" s="521"/>
      <c r="P960" s="526" t="s">
        <v>103</v>
      </c>
      <c r="Q960" s="521"/>
      <c r="R960" s="530">
        <v>45987</v>
      </c>
      <c r="S960" s="530" t="s">
        <v>66</v>
      </c>
      <c r="T960" s="530" t="s">
        <v>5604</v>
      </c>
      <c r="U960" s="530"/>
      <c r="V960" s="532" t="s">
        <v>2447</v>
      </c>
      <c r="W960" s="532" t="s">
        <v>1663</v>
      </c>
      <c r="X960" s="536">
        <v>7.0456</v>
      </c>
      <c r="Y960" s="540">
        <f>X960*I960</f>
        <v>5072.832</v>
      </c>
      <c r="Z960" s="521"/>
      <c r="AA960" s="521" t="s">
        <v>427</v>
      </c>
      <c r="AB960" s="521" t="s">
        <v>76</v>
      </c>
      <c r="AC960" s="521"/>
      <c r="AD960" s="519"/>
      <c r="AE960" s="519">
        <v>1</v>
      </c>
      <c r="AF960" s="521">
        <v>720</v>
      </c>
      <c r="AG960" s="521">
        <f>AF960-I960</f>
        <v>0</v>
      </c>
      <c r="AH960" s="542"/>
      <c r="AI960" s="521" t="s">
        <v>2191</v>
      </c>
      <c r="AJ960" s="521"/>
      <c r="AK960" s="521"/>
      <c r="AL960" s="543">
        <f>I960*2</f>
        <v>1440</v>
      </c>
      <c r="AM960" s="628"/>
      <c r="AN960" s="628"/>
      <c r="AO960" s="630"/>
      <c r="AP960" s="427"/>
      <c r="AQ960" s="628">
        <f>I960*2</f>
        <v>1440</v>
      </c>
      <c r="AR960" s="427"/>
      <c r="AS960" s="543">
        <f>I960*2</f>
        <v>1440</v>
      </c>
      <c r="AT960" s="544"/>
      <c r="AU960" s="628"/>
      <c r="AV960" s="628"/>
      <c r="AW960" s="628"/>
      <c r="AX960" s="628"/>
      <c r="AY960" s="545">
        <f>I960/24</f>
        <v>30</v>
      </c>
      <c r="AZ960" s="546"/>
      <c r="BA960" s="628"/>
      <c r="BB960" s="628"/>
      <c r="BC960" s="628"/>
      <c r="BD960" s="628"/>
      <c r="BE960" s="628"/>
      <c r="BF960" s="628"/>
      <c r="BG960" s="628"/>
      <c r="BH960" s="628"/>
      <c r="BI960" s="628"/>
      <c r="BJ960" s="628"/>
      <c r="BK960" s="427"/>
      <c r="BL960" s="628"/>
      <c r="BM960" s="628"/>
      <c r="BN960" s="628"/>
      <c r="BO960" s="628"/>
      <c r="BP960" s="628"/>
      <c r="BQ960" s="628"/>
      <c r="BR960" s="628"/>
      <c r="BS960" s="628"/>
      <c r="BT960" s="544"/>
      <c r="BU960" s="628">
        <f>I960</f>
        <v>720</v>
      </c>
      <c r="BV960" s="544"/>
      <c r="BW960" s="628"/>
      <c r="BX960" s="628"/>
      <c r="BY960" s="628"/>
      <c r="BZ960" s="628"/>
      <c r="CA960" s="628"/>
      <c r="CB960" s="628"/>
      <c r="CC960" s="628"/>
      <c r="CD960" s="628"/>
      <c r="CE960" s="628"/>
      <c r="CF960" s="628"/>
      <c r="CG960" s="628"/>
      <c r="CH960" s="628"/>
      <c r="CI960" s="628"/>
      <c r="CJ960" s="628"/>
      <c r="CK960" s="427">
        <f t="shared" si="371"/>
        <v>0</v>
      </c>
      <c r="CL960" s="427">
        <f t="shared" si="372"/>
        <v>0</v>
      </c>
      <c r="CM960" s="427">
        <f t="shared" si="373"/>
        <v>0</v>
      </c>
      <c r="CN960" s="544"/>
      <c r="CO960" s="544"/>
      <c r="CP960" s="544"/>
      <c r="CQ960" s="427"/>
      <c r="CR960" s="427"/>
      <c r="CS960" s="427"/>
      <c r="CT960" s="544"/>
      <c r="CU960" s="544"/>
      <c r="CV960" s="544"/>
      <c r="CW960" s="544"/>
      <c r="CX960" s="544"/>
    </row>
    <row r="961" s="431" customFormat="1" ht="31" customHeight="1" spans="1:102">
      <c r="A961" s="518">
        <v>45990</v>
      </c>
      <c r="B961" s="519" t="s">
        <v>1419</v>
      </c>
      <c r="C961" s="520" t="s">
        <v>231</v>
      </c>
      <c r="D961" s="427">
        <v>4500187444</v>
      </c>
      <c r="E961" s="520">
        <v>4400528008</v>
      </c>
      <c r="F961" s="427" t="s">
        <v>5605</v>
      </c>
      <c r="G961" s="521" t="s">
        <v>3165</v>
      </c>
      <c r="H961" s="521" t="s">
        <v>3303</v>
      </c>
      <c r="I961" s="607">
        <v>2500</v>
      </c>
      <c r="J961" s="521">
        <v>0</v>
      </c>
      <c r="K961" s="521">
        <v>25</v>
      </c>
      <c r="L961" s="524">
        <f t="shared" si="369"/>
        <v>100</v>
      </c>
      <c r="M961" s="525">
        <v>46030</v>
      </c>
      <c r="N961" s="525">
        <v>46027</v>
      </c>
      <c r="O961" s="521"/>
      <c r="P961" s="526" t="s">
        <v>103</v>
      </c>
      <c r="Q961" s="521"/>
      <c r="R961" s="530">
        <v>45990</v>
      </c>
      <c r="S961" s="530" t="s">
        <v>66</v>
      </c>
      <c r="T961" s="530" t="s">
        <v>5427</v>
      </c>
      <c r="U961" s="530"/>
      <c r="V961" s="532" t="s">
        <v>5606</v>
      </c>
      <c r="W961" s="532" t="s">
        <v>1424</v>
      </c>
      <c r="X961" s="536">
        <v>0.9417</v>
      </c>
      <c r="Y961" s="540">
        <f>X961*I961</f>
        <v>2354.25</v>
      </c>
      <c r="Z961" s="521"/>
      <c r="AA961" s="521" t="s">
        <v>3165</v>
      </c>
      <c r="AB961" s="521" t="s">
        <v>76</v>
      </c>
      <c r="AC961" s="521"/>
      <c r="AD961" s="519"/>
      <c r="AE961" s="519">
        <v>1</v>
      </c>
      <c r="AF961" s="521">
        <f>2475+25</f>
        <v>2500</v>
      </c>
      <c r="AG961" s="521">
        <f>AF961-I961</f>
        <v>0</v>
      </c>
      <c r="AH961" s="542"/>
      <c r="AI961" s="521" t="s">
        <v>2191</v>
      </c>
      <c r="AJ961" s="521"/>
      <c r="AK961" s="521"/>
      <c r="AL961" s="543">
        <f>I961</f>
        <v>2500</v>
      </c>
      <c r="AM961" s="628"/>
      <c r="AN961" s="628"/>
      <c r="AO961" s="630"/>
      <c r="AP961" s="427"/>
      <c r="AQ961" s="628">
        <f>I961</f>
        <v>2500</v>
      </c>
      <c r="AR961" s="427"/>
      <c r="AS961" s="543">
        <f>I961</f>
        <v>2500</v>
      </c>
      <c r="AT961" s="544"/>
      <c r="AU961" s="628"/>
      <c r="AV961" s="628"/>
      <c r="AW961" s="628"/>
      <c r="AX961" s="628"/>
      <c r="AY961" s="545">
        <f>I961/24*2</f>
        <v>208.333333333333</v>
      </c>
      <c r="AZ961" s="546"/>
      <c r="BA961" s="628"/>
      <c r="BB961" s="628"/>
      <c r="BC961" s="628"/>
      <c r="BD961" s="628"/>
      <c r="BE961" s="628"/>
      <c r="BF961" s="628"/>
      <c r="BG961" s="628"/>
      <c r="BH961" s="628"/>
      <c r="BI961" s="628"/>
      <c r="BJ961" s="628"/>
      <c r="BK961" s="427"/>
      <c r="BL961" s="427">
        <f>I961/25</f>
        <v>100</v>
      </c>
      <c r="BM961" s="628"/>
      <c r="BN961" s="628"/>
      <c r="BO961" s="628"/>
      <c r="BP961" s="628"/>
      <c r="BQ961" s="628"/>
      <c r="BR961" s="628"/>
      <c r="BS961" s="628"/>
      <c r="BT961" s="544"/>
      <c r="BU961" s="628"/>
      <c r="BV961" s="544"/>
      <c r="BW961" s="628"/>
      <c r="BX961" s="628"/>
      <c r="BY961" s="628"/>
      <c r="BZ961" s="628"/>
      <c r="CA961" s="628"/>
      <c r="CB961" s="628"/>
      <c r="CC961" s="628"/>
      <c r="CD961" s="628"/>
      <c r="CE961" s="628"/>
      <c r="CF961" s="628"/>
      <c r="CG961" s="628"/>
      <c r="CH961" s="628"/>
      <c r="CI961" s="628"/>
      <c r="CJ961" s="628"/>
      <c r="CK961" s="427">
        <f t="shared" si="371"/>
        <v>100</v>
      </c>
      <c r="CL961" s="427">
        <f t="shared" si="372"/>
        <v>0</v>
      </c>
      <c r="CM961" s="427">
        <f t="shared" si="373"/>
        <v>0</v>
      </c>
      <c r="CN961" s="544"/>
      <c r="CO961" s="544"/>
      <c r="CP961" s="544"/>
      <c r="CT961" s="544"/>
      <c r="CU961" s="544"/>
      <c r="CV961" s="544"/>
      <c r="CW961" s="544"/>
      <c r="CX961" s="544"/>
    </row>
    <row r="962" s="431" customFormat="1" ht="31" customHeight="1" spans="1:102">
      <c r="A962" s="518">
        <v>45982</v>
      </c>
      <c r="B962" s="519" t="s">
        <v>220</v>
      </c>
      <c r="C962" s="520" t="s">
        <v>90</v>
      </c>
      <c r="D962" s="427">
        <v>4500186417</v>
      </c>
      <c r="E962" s="520" t="s">
        <v>5607</v>
      </c>
      <c r="F962" s="427" t="s">
        <v>5608</v>
      </c>
      <c r="G962" s="521" t="s">
        <v>3198</v>
      </c>
      <c r="H962" s="521" t="s">
        <v>3303</v>
      </c>
      <c r="I962" s="607">
        <v>46000</v>
      </c>
      <c r="J962" s="521">
        <v>0</v>
      </c>
      <c r="K962" s="521">
        <v>25</v>
      </c>
      <c r="L962" s="524">
        <f t="shared" si="369"/>
        <v>1840</v>
      </c>
      <c r="M962" s="525">
        <v>46031</v>
      </c>
      <c r="N962" s="525">
        <v>46027</v>
      </c>
      <c r="O962" s="521"/>
      <c r="P962" s="526" t="s">
        <v>103</v>
      </c>
      <c r="Q962" s="521"/>
      <c r="R962" s="530">
        <v>45999</v>
      </c>
      <c r="S962" s="530" t="s">
        <v>96</v>
      </c>
      <c r="T962" s="530" t="s">
        <v>2106</v>
      </c>
      <c r="U962" s="530"/>
      <c r="V962" s="532" t="s">
        <v>5439</v>
      </c>
      <c r="W962" s="532" t="s">
        <v>226</v>
      </c>
      <c r="X962" s="536">
        <v>0.5488</v>
      </c>
      <c r="Y962" s="540">
        <f t="shared" ref="Y962:Y981" si="374">X962*I962</f>
        <v>25244.8</v>
      </c>
      <c r="Z962" s="521"/>
      <c r="AA962" s="521" t="s">
        <v>3198</v>
      </c>
      <c r="AB962" s="521" t="s">
        <v>76</v>
      </c>
      <c r="AC962" s="521"/>
      <c r="AD962" s="519"/>
      <c r="AE962" s="519">
        <v>1</v>
      </c>
      <c r="AF962" s="521">
        <v>46000</v>
      </c>
      <c r="AG962" s="521">
        <f t="shared" ref="AG962:AG981" si="375">AF962-I962</f>
        <v>0</v>
      </c>
      <c r="AH962" s="542"/>
      <c r="AI962" s="521"/>
      <c r="AJ962" s="521"/>
      <c r="AK962" s="521">
        <f t="shared" ref="AK962:AK967" si="376">I962</f>
        <v>46000</v>
      </c>
      <c r="AL962" s="543"/>
      <c r="AM962" s="628">
        <f>I962</f>
        <v>46000</v>
      </c>
      <c r="AN962" s="628"/>
      <c r="AO962" s="630"/>
      <c r="AP962" s="427"/>
      <c r="AQ962" s="628"/>
      <c r="AR962" s="427">
        <f>I962</f>
        <v>46000</v>
      </c>
      <c r="AS962" s="543"/>
      <c r="AT962" s="544"/>
      <c r="AU962" s="628"/>
      <c r="AV962" s="628"/>
      <c r="AW962" s="628"/>
      <c r="AX962" s="628"/>
      <c r="AY962" s="545">
        <f>I962/24</f>
        <v>1916.66666666667</v>
      </c>
      <c r="AZ962" s="546"/>
      <c r="BA962" s="628"/>
      <c r="BB962" s="628"/>
      <c r="BC962" s="628"/>
      <c r="BD962" s="628"/>
      <c r="BE962" s="628"/>
      <c r="BF962" s="628"/>
      <c r="BG962" s="628"/>
      <c r="BH962" s="628"/>
      <c r="BI962" s="628"/>
      <c r="BJ962" s="628">
        <f>I962/25</f>
        <v>1840</v>
      </c>
      <c r="BK962" s="427"/>
      <c r="BL962" s="628"/>
      <c r="BM962" s="628"/>
      <c r="BN962" s="628"/>
      <c r="BO962" s="628"/>
      <c r="BP962" s="628"/>
      <c r="BQ962" s="628"/>
      <c r="BR962" s="628"/>
      <c r="BS962" s="628"/>
      <c r="BT962" s="544"/>
      <c r="BU962" s="628"/>
      <c r="BV962" s="544"/>
      <c r="BW962" s="628"/>
      <c r="BX962" s="628"/>
      <c r="BY962" s="628"/>
      <c r="BZ962" s="628"/>
      <c r="CA962" s="628"/>
      <c r="CB962" s="628"/>
      <c r="CC962" s="628"/>
      <c r="CD962" s="628"/>
      <c r="CE962" s="628"/>
      <c r="CF962" s="628"/>
      <c r="CG962" s="628"/>
      <c r="CH962" s="628"/>
      <c r="CI962" s="628"/>
      <c r="CJ962" s="628"/>
      <c r="CK962" s="427">
        <f t="shared" si="371"/>
        <v>1840</v>
      </c>
      <c r="CL962" s="427">
        <f t="shared" si="372"/>
        <v>0</v>
      </c>
      <c r="CM962" s="427">
        <f t="shared" si="373"/>
        <v>0</v>
      </c>
      <c r="CN962" s="544"/>
      <c r="CO962" s="544"/>
      <c r="CP962" s="544"/>
      <c r="CT962" s="544"/>
      <c r="CU962" s="544"/>
      <c r="CV962" s="544"/>
      <c r="CW962" s="544"/>
      <c r="CX962" s="544"/>
    </row>
    <row r="963" s="431" customFormat="1" ht="31" customHeight="1" spans="1:102">
      <c r="A963" s="518">
        <v>45947</v>
      </c>
      <c r="B963" s="519" t="s">
        <v>1837</v>
      </c>
      <c r="C963" s="520" t="s">
        <v>271</v>
      </c>
      <c r="D963" s="427">
        <v>4500182290</v>
      </c>
      <c r="E963" s="520" t="s">
        <v>2450</v>
      </c>
      <c r="F963" s="427" t="s">
        <v>2451</v>
      </c>
      <c r="G963" s="521" t="s">
        <v>3436</v>
      </c>
      <c r="H963" s="521" t="s">
        <v>424</v>
      </c>
      <c r="I963" s="607">
        <v>504</v>
      </c>
      <c r="J963" s="521">
        <v>0</v>
      </c>
      <c r="K963" s="521">
        <v>6</v>
      </c>
      <c r="L963" s="524">
        <f t="shared" si="369"/>
        <v>84</v>
      </c>
      <c r="M963" s="525">
        <v>46031</v>
      </c>
      <c r="N963" s="525">
        <v>46027</v>
      </c>
      <c r="O963" s="521"/>
      <c r="P963" s="526" t="s">
        <v>103</v>
      </c>
      <c r="Q963" s="521"/>
      <c r="R963" s="530" t="s">
        <v>411</v>
      </c>
      <c r="S963" s="530" t="s">
        <v>96</v>
      </c>
      <c r="T963" s="530" t="s">
        <v>1841</v>
      </c>
      <c r="U963" s="530"/>
      <c r="V963" s="532" t="s">
        <v>2453</v>
      </c>
      <c r="W963" s="532" t="s">
        <v>414</v>
      </c>
      <c r="X963" s="536">
        <v>7.1628</v>
      </c>
      <c r="Y963" s="540">
        <f t="shared" si="374"/>
        <v>3610.0512</v>
      </c>
      <c r="Z963" s="521"/>
      <c r="AA963" s="521" t="s">
        <v>427</v>
      </c>
      <c r="AB963" s="521" t="s">
        <v>76</v>
      </c>
      <c r="AC963" s="521"/>
      <c r="AD963" s="519"/>
      <c r="AE963" s="519">
        <v>1</v>
      </c>
      <c r="AF963" s="521"/>
      <c r="AG963" s="521">
        <f t="shared" si="375"/>
        <v>-504</v>
      </c>
      <c r="AH963" s="542"/>
      <c r="AI963" s="521"/>
      <c r="AJ963" s="521"/>
      <c r="AK963" s="521"/>
      <c r="AL963" s="543">
        <f>I963*2</f>
        <v>1008</v>
      </c>
      <c r="AM963" s="628"/>
      <c r="AN963" s="628"/>
      <c r="AO963" s="630"/>
      <c r="AP963" s="427"/>
      <c r="AQ963" s="628">
        <f>I963*2</f>
        <v>1008</v>
      </c>
      <c r="AR963" s="427"/>
      <c r="AS963" s="543">
        <f>I963*2</f>
        <v>1008</v>
      </c>
      <c r="AT963" s="544"/>
      <c r="AU963" s="628"/>
      <c r="AV963" s="628"/>
      <c r="AW963" s="628"/>
      <c r="AX963" s="628"/>
      <c r="AY963" s="545">
        <f>I963/24*2</f>
        <v>42</v>
      </c>
      <c r="AZ963" s="546"/>
      <c r="BA963" s="628"/>
      <c r="BB963" s="628"/>
      <c r="BC963" s="628"/>
      <c r="BD963" s="628"/>
      <c r="BE963" s="628"/>
      <c r="BF963" s="628"/>
      <c r="BG963" s="628"/>
      <c r="BH963" s="628"/>
      <c r="BI963" s="628"/>
      <c r="BJ963" s="628"/>
      <c r="BK963" s="427"/>
      <c r="BL963" s="628"/>
      <c r="BM963" s="628"/>
      <c r="BN963" s="628"/>
      <c r="BO963" s="628"/>
      <c r="BP963" s="628"/>
      <c r="BQ963" s="628"/>
      <c r="BR963" s="628"/>
      <c r="BS963" s="628"/>
      <c r="BT963" s="544"/>
      <c r="BU963" s="628">
        <f>I963</f>
        <v>504</v>
      </c>
      <c r="BV963" s="544"/>
      <c r="BW963" s="628"/>
      <c r="BX963" s="628"/>
      <c r="BY963" s="628"/>
      <c r="BZ963" s="628"/>
      <c r="CA963" s="628"/>
      <c r="CB963" s="628"/>
      <c r="CC963" s="628"/>
      <c r="CD963" s="628"/>
      <c r="CE963" s="628"/>
      <c r="CF963" s="628"/>
      <c r="CG963" s="628"/>
      <c r="CH963" s="628"/>
      <c r="CI963" s="628"/>
      <c r="CJ963" s="628"/>
      <c r="CK963" s="427">
        <f t="shared" si="371"/>
        <v>0</v>
      </c>
      <c r="CL963" s="427">
        <f t="shared" si="372"/>
        <v>0</v>
      </c>
      <c r="CM963" s="427">
        <f t="shared" si="373"/>
        <v>0</v>
      </c>
      <c r="CN963" s="544"/>
      <c r="CO963" s="544"/>
      <c r="CP963" s="544"/>
      <c r="CQ963" s="427"/>
      <c r="CR963" s="427"/>
      <c r="CS963" s="427"/>
      <c r="CT963" s="544"/>
      <c r="CU963" s="544"/>
      <c r="CV963" s="544"/>
      <c r="CW963" s="544"/>
      <c r="CX963" s="544"/>
    </row>
    <row r="964" s="431" customFormat="1" ht="31" customHeight="1" spans="1:102">
      <c r="A964" s="518">
        <v>45957</v>
      </c>
      <c r="B964" s="519" t="s">
        <v>2458</v>
      </c>
      <c r="C964" s="520" t="s">
        <v>153</v>
      </c>
      <c r="D964" s="427">
        <v>4500183001</v>
      </c>
      <c r="E964" s="520" t="s">
        <v>2459</v>
      </c>
      <c r="F964" s="427" t="s">
        <v>2460</v>
      </c>
      <c r="G964" s="521" t="s">
        <v>5609</v>
      </c>
      <c r="H964" s="521" t="s">
        <v>2462</v>
      </c>
      <c r="I964" s="607">
        <v>132</v>
      </c>
      <c r="J964" s="521">
        <v>0</v>
      </c>
      <c r="K964" s="521">
        <v>6</v>
      </c>
      <c r="L964" s="524">
        <f t="shared" si="369"/>
        <v>22</v>
      </c>
      <c r="M964" s="525">
        <v>46031</v>
      </c>
      <c r="N964" s="525">
        <v>46027</v>
      </c>
      <c r="O964" s="521"/>
      <c r="P964" s="526" t="s">
        <v>103</v>
      </c>
      <c r="Q964" s="521"/>
      <c r="R964" s="530">
        <v>45995</v>
      </c>
      <c r="S964" s="530" t="s">
        <v>66</v>
      </c>
      <c r="T964" s="530" t="s">
        <v>66</v>
      </c>
      <c r="U964" s="530"/>
      <c r="V964" s="532" t="s">
        <v>2463</v>
      </c>
      <c r="W964" s="532" t="s">
        <v>164</v>
      </c>
      <c r="X964" s="536">
        <v>7.1628</v>
      </c>
      <c r="Y964" s="540">
        <f t="shared" si="374"/>
        <v>945.4896</v>
      </c>
      <c r="Z964" s="521"/>
      <c r="AA964" s="521" t="s">
        <v>2464</v>
      </c>
      <c r="AB964" s="521" t="s">
        <v>76</v>
      </c>
      <c r="AC964" s="521"/>
      <c r="AD964" s="519"/>
      <c r="AE964" s="519">
        <v>1</v>
      </c>
      <c r="AF964" s="521"/>
      <c r="AG964" s="521">
        <f t="shared" si="375"/>
        <v>-132</v>
      </c>
      <c r="AH964" s="542"/>
      <c r="AI964" s="521"/>
      <c r="AJ964" s="521"/>
      <c r="AK964" s="521">
        <f>I964*2</f>
        <v>264</v>
      </c>
      <c r="AL964" s="543"/>
      <c r="AM964" s="628"/>
      <c r="AN964" s="628"/>
      <c r="AO964" s="630"/>
      <c r="AP964" s="427">
        <f>I964</f>
        <v>132</v>
      </c>
      <c r="AQ964" s="628"/>
      <c r="AR964" s="427">
        <f>I964</f>
        <v>132</v>
      </c>
      <c r="AS964" s="543"/>
      <c r="AT964" s="544"/>
      <c r="AU964" s="628"/>
      <c r="AV964" s="628"/>
      <c r="AW964" s="628"/>
      <c r="AX964" s="628"/>
      <c r="AY964" s="545">
        <f>I964/24*2</f>
        <v>11</v>
      </c>
      <c r="AZ964" s="546"/>
      <c r="BA964" s="628"/>
      <c r="BB964" s="628"/>
      <c r="BC964" s="628"/>
      <c r="BD964" s="628"/>
      <c r="BE964" s="628"/>
      <c r="BF964" s="628"/>
      <c r="BG964" s="628"/>
      <c r="BH964" s="628"/>
      <c r="BI964" s="628"/>
      <c r="BJ964" s="628"/>
      <c r="BK964" s="427"/>
      <c r="BL964" s="628"/>
      <c r="BM964" s="628"/>
      <c r="BN964" s="628"/>
      <c r="BO964" s="628"/>
      <c r="BP964" s="628"/>
      <c r="BQ964" s="628"/>
      <c r="BR964" s="628"/>
      <c r="BS964" s="628"/>
      <c r="BT964" s="544"/>
      <c r="BU964" s="628"/>
      <c r="BV964" s="544">
        <f>I964</f>
        <v>132</v>
      </c>
      <c r="BW964" s="628"/>
      <c r="BX964" s="628"/>
      <c r="BY964" s="628"/>
      <c r="BZ964" s="628"/>
      <c r="CA964" s="628"/>
      <c r="CB964" s="628"/>
      <c r="CC964" s="628"/>
      <c r="CD964" s="628"/>
      <c r="CE964" s="628"/>
      <c r="CF964" s="628"/>
      <c r="CG964" s="628"/>
      <c r="CH964" s="628"/>
      <c r="CI964" s="628"/>
      <c r="CJ964" s="628"/>
      <c r="CK964" s="427">
        <f t="shared" si="371"/>
        <v>0</v>
      </c>
      <c r="CL964" s="427">
        <f t="shared" si="372"/>
        <v>0</v>
      </c>
      <c r="CM964" s="427">
        <f t="shared" si="373"/>
        <v>0</v>
      </c>
      <c r="CN964" s="544"/>
      <c r="CO964" s="544"/>
      <c r="CP964" s="544"/>
      <c r="CT964" s="544"/>
      <c r="CU964" s="544"/>
      <c r="CV964" s="544"/>
      <c r="CW964" s="544"/>
      <c r="CX964" s="544"/>
    </row>
    <row r="965" s="431" customFormat="1" ht="31" customHeight="1" spans="1:102">
      <c r="A965" s="518">
        <v>45957</v>
      </c>
      <c r="B965" s="519" t="s">
        <v>2458</v>
      </c>
      <c r="C965" s="520" t="s">
        <v>153</v>
      </c>
      <c r="D965" s="427">
        <v>4500183001</v>
      </c>
      <c r="E965" s="520" t="s">
        <v>2459</v>
      </c>
      <c r="F965" s="427" t="s">
        <v>5610</v>
      </c>
      <c r="G965" s="521" t="s">
        <v>4564</v>
      </c>
      <c r="H965" s="521" t="s">
        <v>3237</v>
      </c>
      <c r="I965" s="607">
        <v>132</v>
      </c>
      <c r="J965" s="521">
        <v>0</v>
      </c>
      <c r="K965" s="521">
        <v>12</v>
      </c>
      <c r="L965" s="524">
        <f t="shared" si="369"/>
        <v>11</v>
      </c>
      <c r="M965" s="525">
        <v>46031</v>
      </c>
      <c r="N965" s="525">
        <v>46027</v>
      </c>
      <c r="O965" s="521"/>
      <c r="P965" s="526" t="s">
        <v>103</v>
      </c>
      <c r="Q965" s="521"/>
      <c r="R965" s="530">
        <v>45995</v>
      </c>
      <c r="S965" s="530" t="s">
        <v>66</v>
      </c>
      <c r="T965" s="530" t="s">
        <v>66</v>
      </c>
      <c r="U965" s="530"/>
      <c r="V965" s="532" t="s">
        <v>5217</v>
      </c>
      <c r="W965" s="532" t="s">
        <v>164</v>
      </c>
      <c r="X965" s="536">
        <v>2.1823</v>
      </c>
      <c r="Y965" s="540">
        <f t="shared" si="374"/>
        <v>288.0636</v>
      </c>
      <c r="Z965" s="521"/>
      <c r="AA965" s="521" t="s">
        <v>5219</v>
      </c>
      <c r="AB965" s="521" t="s">
        <v>76</v>
      </c>
      <c r="AC965" s="521"/>
      <c r="AD965" s="519"/>
      <c r="AE965" s="519">
        <v>1</v>
      </c>
      <c r="AF965" s="521">
        <v>132</v>
      </c>
      <c r="AG965" s="521">
        <f t="shared" si="375"/>
        <v>0</v>
      </c>
      <c r="AH965" s="542"/>
      <c r="AI965" s="521" t="s">
        <v>2191</v>
      </c>
      <c r="AJ965" s="521"/>
      <c r="AK965" s="521">
        <f>I965*2</f>
        <v>264</v>
      </c>
      <c r="AL965" s="543"/>
      <c r="AM965" s="628"/>
      <c r="AN965" s="628"/>
      <c r="AO965" s="630"/>
      <c r="AP965" s="427">
        <f>AK965</f>
        <v>264</v>
      </c>
      <c r="AQ965" s="628"/>
      <c r="AR965" s="427">
        <f>I965*2</f>
        <v>264</v>
      </c>
      <c r="AS965" s="543"/>
      <c r="AT965" s="544"/>
      <c r="AU965" s="628"/>
      <c r="AV965" s="628"/>
      <c r="AW965" s="628"/>
      <c r="AX965" s="628"/>
      <c r="AY965" s="545">
        <f>I965/24*2</f>
        <v>11</v>
      </c>
      <c r="AZ965" s="546"/>
      <c r="BA965" s="628"/>
      <c r="BB965" s="628"/>
      <c r="BC965" s="628"/>
      <c r="BD965" s="628"/>
      <c r="BE965" s="628"/>
      <c r="BF965" s="628"/>
      <c r="BG965" s="628"/>
      <c r="BH965" s="628"/>
      <c r="BI965" s="628"/>
      <c r="BJ965" s="628"/>
      <c r="BK965" s="427"/>
      <c r="BL965" s="628"/>
      <c r="BM965" s="628"/>
      <c r="BN965" s="628"/>
      <c r="BO965" s="628"/>
      <c r="BP965" s="628"/>
      <c r="BQ965" s="628"/>
      <c r="BR965" s="628"/>
      <c r="BS965" s="628"/>
      <c r="BT965" s="544"/>
      <c r="BU965" s="628"/>
      <c r="BV965" s="544"/>
      <c r="BW965" s="628"/>
      <c r="BX965" s="628"/>
      <c r="BY965" s="628"/>
      <c r="BZ965" s="628"/>
      <c r="CA965" s="628"/>
      <c r="CB965" s="628"/>
      <c r="CC965" s="628"/>
      <c r="CD965" s="628"/>
      <c r="CE965" s="628"/>
      <c r="CF965" s="628"/>
      <c r="CG965" s="628"/>
      <c r="CH965" s="628">
        <f>I965</f>
        <v>132</v>
      </c>
      <c r="CI965" s="628">
        <f>I965</f>
        <v>132</v>
      </c>
      <c r="CJ965" s="628">
        <f>I965</f>
        <v>132</v>
      </c>
      <c r="CK965" s="427">
        <v>0</v>
      </c>
      <c r="CL965" s="427">
        <v>0</v>
      </c>
      <c r="CM965" s="427">
        <v>0</v>
      </c>
      <c r="CN965" s="544"/>
      <c r="CO965" s="544"/>
      <c r="CP965" s="544"/>
      <c r="CT965" s="544"/>
      <c r="CU965" s="544"/>
      <c r="CV965" s="544"/>
      <c r="CW965" s="544"/>
      <c r="CX965" s="544"/>
    </row>
    <row r="966" s="431" customFormat="1" ht="31" customHeight="1" spans="1:102">
      <c r="A966" s="518">
        <v>45957</v>
      </c>
      <c r="B966" s="519" t="s">
        <v>2458</v>
      </c>
      <c r="C966" s="520" t="s">
        <v>153</v>
      </c>
      <c r="D966" s="427">
        <v>4500183001</v>
      </c>
      <c r="E966" s="520" t="s">
        <v>2459</v>
      </c>
      <c r="F966" s="427" t="s">
        <v>2465</v>
      </c>
      <c r="G966" s="521" t="s">
        <v>5609</v>
      </c>
      <c r="H966" s="521" t="s">
        <v>2462</v>
      </c>
      <c r="I966" s="607">
        <v>132</v>
      </c>
      <c r="J966" s="521">
        <v>0</v>
      </c>
      <c r="K966" s="521">
        <v>6</v>
      </c>
      <c r="L966" s="524">
        <f t="shared" si="369"/>
        <v>22</v>
      </c>
      <c r="M966" s="525">
        <v>46031</v>
      </c>
      <c r="N966" s="525">
        <v>46027</v>
      </c>
      <c r="O966" s="521"/>
      <c r="P966" s="526" t="s">
        <v>103</v>
      </c>
      <c r="Q966" s="521"/>
      <c r="R966" s="530">
        <v>45995</v>
      </c>
      <c r="S966" s="530" t="s">
        <v>66</v>
      </c>
      <c r="T966" s="530" t="s">
        <v>66</v>
      </c>
      <c r="U966" s="530"/>
      <c r="V966" s="532" t="s">
        <v>2463</v>
      </c>
      <c r="W966" s="532" t="s">
        <v>164</v>
      </c>
      <c r="X966" s="536">
        <v>7.1628</v>
      </c>
      <c r="Y966" s="540">
        <f t="shared" si="374"/>
        <v>945.4896</v>
      </c>
      <c r="Z966" s="521"/>
      <c r="AA966" s="521" t="s">
        <v>2464</v>
      </c>
      <c r="AB966" s="521" t="s">
        <v>76</v>
      </c>
      <c r="AC966" s="521"/>
      <c r="AD966" s="519"/>
      <c r="AE966" s="519">
        <v>1</v>
      </c>
      <c r="AF966" s="521"/>
      <c r="AG966" s="521">
        <f t="shared" si="375"/>
        <v>-132</v>
      </c>
      <c r="AH966" s="542"/>
      <c r="AI966" s="521"/>
      <c r="AJ966" s="521"/>
      <c r="AK966" s="521">
        <f t="shared" si="376"/>
        <v>132</v>
      </c>
      <c r="AL966" s="543"/>
      <c r="AM966" s="628"/>
      <c r="AN966" s="628"/>
      <c r="AO966" s="630"/>
      <c r="AP966" s="427">
        <f>I966</f>
        <v>132</v>
      </c>
      <c r="AQ966" s="628"/>
      <c r="AR966" s="427">
        <f>I966</f>
        <v>132</v>
      </c>
      <c r="AS966" s="543"/>
      <c r="AT966" s="544"/>
      <c r="AU966" s="628"/>
      <c r="AV966" s="628"/>
      <c r="AW966" s="628"/>
      <c r="AX966" s="628"/>
      <c r="AY966" s="545">
        <f t="shared" ref="AY966:AY975" si="377">I966/24*2</f>
        <v>11</v>
      </c>
      <c r="AZ966" s="546"/>
      <c r="BA966" s="628"/>
      <c r="BB966" s="628"/>
      <c r="BC966" s="628"/>
      <c r="BD966" s="628"/>
      <c r="BE966" s="628"/>
      <c r="BF966" s="628"/>
      <c r="BG966" s="628"/>
      <c r="BH966" s="628"/>
      <c r="BI966" s="628"/>
      <c r="BJ966" s="628"/>
      <c r="BK966" s="427"/>
      <c r="BL966" s="628"/>
      <c r="BM966" s="628"/>
      <c r="BN966" s="628"/>
      <c r="BO966" s="628"/>
      <c r="BP966" s="628"/>
      <c r="BQ966" s="628"/>
      <c r="BR966" s="628"/>
      <c r="BS966" s="628"/>
      <c r="BT966" s="544"/>
      <c r="BU966" s="628"/>
      <c r="BV966" s="544">
        <f>I966</f>
        <v>132</v>
      </c>
      <c r="BW966" s="628"/>
      <c r="BX966" s="628"/>
      <c r="BY966" s="628"/>
      <c r="BZ966" s="628"/>
      <c r="CA966" s="628"/>
      <c r="CB966" s="628"/>
      <c r="CC966" s="628"/>
      <c r="CD966" s="628"/>
      <c r="CE966" s="628"/>
      <c r="CF966" s="628"/>
      <c r="CG966" s="628"/>
      <c r="CH966" s="628"/>
      <c r="CI966" s="628"/>
      <c r="CJ966" s="628"/>
      <c r="CK966" s="427">
        <f>BM966+BL966+BK966+BJ966+BS966</f>
        <v>0</v>
      </c>
      <c r="CL966" s="427">
        <f>CA966+CB966+CC966+CD966+CE966+CG966+CF966</f>
        <v>0</v>
      </c>
      <c r="CM966" s="427">
        <f>BY966+BZ966</f>
        <v>0</v>
      </c>
      <c r="CN966" s="544"/>
      <c r="CO966" s="544"/>
      <c r="CP966" s="544"/>
      <c r="CT966" s="544"/>
      <c r="CU966" s="544"/>
      <c r="CV966" s="544"/>
      <c r="CW966" s="544"/>
      <c r="CX966" s="544"/>
    </row>
    <row r="967" s="431" customFormat="1" ht="31" customHeight="1" spans="1:102">
      <c r="A967" s="518">
        <v>45957</v>
      </c>
      <c r="B967" s="519" t="s">
        <v>2466</v>
      </c>
      <c r="C967" s="520" t="s">
        <v>153</v>
      </c>
      <c r="D967" s="427">
        <v>4500183043</v>
      </c>
      <c r="E967" s="520" t="s">
        <v>2467</v>
      </c>
      <c r="F967" s="427" t="s">
        <v>2468</v>
      </c>
      <c r="G967" s="521" t="s">
        <v>5609</v>
      </c>
      <c r="H967" s="521" t="s">
        <v>2462</v>
      </c>
      <c r="I967" s="607">
        <v>720</v>
      </c>
      <c r="J967" s="521">
        <v>0</v>
      </c>
      <c r="K967" s="521">
        <v>6</v>
      </c>
      <c r="L967" s="524">
        <f t="shared" si="369"/>
        <v>120</v>
      </c>
      <c r="M967" s="525">
        <v>46031</v>
      </c>
      <c r="N967" s="525">
        <v>46027</v>
      </c>
      <c r="O967" s="521"/>
      <c r="P967" s="526" t="s">
        <v>103</v>
      </c>
      <c r="Q967" s="521"/>
      <c r="R967" s="530">
        <v>45995</v>
      </c>
      <c r="S967" s="530" t="s">
        <v>66</v>
      </c>
      <c r="T967" s="530" t="s">
        <v>66</v>
      </c>
      <c r="U967" s="530"/>
      <c r="V967" s="532" t="s">
        <v>2469</v>
      </c>
      <c r="W967" s="532" t="s">
        <v>164</v>
      </c>
      <c r="X967" s="536">
        <v>7.1628</v>
      </c>
      <c r="Y967" s="540">
        <f t="shared" si="374"/>
        <v>5157.216</v>
      </c>
      <c r="Z967" s="521"/>
      <c r="AA967" s="521" t="s">
        <v>2464</v>
      </c>
      <c r="AB967" s="521" t="s">
        <v>76</v>
      </c>
      <c r="AC967" s="521"/>
      <c r="AD967" s="519"/>
      <c r="AE967" s="519">
        <v>1</v>
      </c>
      <c r="AF967" s="521"/>
      <c r="AG967" s="521">
        <f t="shared" si="375"/>
        <v>-720</v>
      </c>
      <c r="AH967" s="542"/>
      <c r="AI967" s="521" t="s">
        <v>2191</v>
      </c>
      <c r="AJ967" s="521"/>
      <c r="AK967" s="521">
        <f t="shared" si="376"/>
        <v>720</v>
      </c>
      <c r="AL967" s="543"/>
      <c r="AM967" s="628"/>
      <c r="AN967" s="628"/>
      <c r="AO967" s="630"/>
      <c r="AP967" s="427">
        <f>I967</f>
        <v>720</v>
      </c>
      <c r="AQ967" s="628"/>
      <c r="AR967" s="427">
        <f>I967</f>
        <v>720</v>
      </c>
      <c r="AS967" s="543"/>
      <c r="AT967" s="544"/>
      <c r="AU967" s="628"/>
      <c r="AV967" s="628"/>
      <c r="AW967" s="628"/>
      <c r="AX967" s="628"/>
      <c r="AY967" s="545">
        <f t="shared" si="377"/>
        <v>60</v>
      </c>
      <c r="AZ967" s="546"/>
      <c r="BA967" s="628"/>
      <c r="BB967" s="628"/>
      <c r="BC967" s="628"/>
      <c r="BD967" s="628"/>
      <c r="BE967" s="628"/>
      <c r="BF967" s="628"/>
      <c r="BG967" s="628"/>
      <c r="BH967" s="628"/>
      <c r="BI967" s="628"/>
      <c r="BJ967" s="628"/>
      <c r="BK967" s="427"/>
      <c r="BL967" s="628"/>
      <c r="BM967" s="628"/>
      <c r="BN967" s="628"/>
      <c r="BO967" s="628"/>
      <c r="BP967" s="628"/>
      <c r="BQ967" s="628"/>
      <c r="BR967" s="628"/>
      <c r="BS967" s="628"/>
      <c r="BT967" s="544"/>
      <c r="BU967" s="628"/>
      <c r="BV967" s="544">
        <f>I967</f>
        <v>720</v>
      </c>
      <c r="BW967" s="628"/>
      <c r="BX967" s="628"/>
      <c r="BY967" s="628"/>
      <c r="BZ967" s="628"/>
      <c r="CA967" s="628"/>
      <c r="CB967" s="628"/>
      <c r="CC967" s="628"/>
      <c r="CD967" s="628"/>
      <c r="CE967" s="628"/>
      <c r="CF967" s="628"/>
      <c r="CG967" s="628"/>
      <c r="CH967" s="628"/>
      <c r="CI967" s="628"/>
      <c r="CJ967" s="628"/>
      <c r="CK967" s="427">
        <f>BM967+BL967+BK967+BJ967+BS967</f>
        <v>0</v>
      </c>
      <c r="CL967" s="427">
        <f>CA967+CB967+CC967+CD967+CE967+CG967+CF967</f>
        <v>0</v>
      </c>
      <c r="CM967" s="427">
        <f>BY967+BZ967</f>
        <v>0</v>
      </c>
      <c r="CN967" s="544"/>
      <c r="CO967" s="544"/>
      <c r="CP967" s="544"/>
      <c r="CT967" s="544"/>
      <c r="CU967" s="544"/>
      <c r="CV967" s="544"/>
      <c r="CW967" s="544"/>
      <c r="CX967" s="544"/>
    </row>
    <row r="968" s="431" customFormat="1" ht="31" customHeight="1" spans="1:102">
      <c r="A968" s="518">
        <v>45957</v>
      </c>
      <c r="B968" s="519" t="s">
        <v>2458</v>
      </c>
      <c r="C968" s="520" t="s">
        <v>153</v>
      </c>
      <c r="D968" s="427">
        <v>4500183051</v>
      </c>
      <c r="E968" s="520" t="s">
        <v>2470</v>
      </c>
      <c r="F968" s="427" t="s">
        <v>5611</v>
      </c>
      <c r="G968" s="521" t="s">
        <v>4564</v>
      </c>
      <c r="H968" s="521" t="s">
        <v>3237</v>
      </c>
      <c r="I968" s="607">
        <v>720</v>
      </c>
      <c r="J968" s="521">
        <v>0</v>
      </c>
      <c r="K968" s="521">
        <v>12</v>
      </c>
      <c r="L968" s="524">
        <f t="shared" si="369"/>
        <v>60</v>
      </c>
      <c r="M968" s="525">
        <v>46031</v>
      </c>
      <c r="N968" s="525">
        <v>46027</v>
      </c>
      <c r="O968" s="521"/>
      <c r="P968" s="526" t="s">
        <v>103</v>
      </c>
      <c r="Q968" s="521"/>
      <c r="R968" s="530">
        <v>45995</v>
      </c>
      <c r="S968" s="530" t="s">
        <v>66</v>
      </c>
      <c r="T968" s="530" t="s">
        <v>66</v>
      </c>
      <c r="U968" s="530"/>
      <c r="V968" s="532" t="s">
        <v>5221</v>
      </c>
      <c r="W968" s="532" t="s">
        <v>164</v>
      </c>
      <c r="X968" s="536">
        <v>2.1823</v>
      </c>
      <c r="Y968" s="540">
        <f t="shared" si="374"/>
        <v>1571.256</v>
      </c>
      <c r="Z968" s="521"/>
      <c r="AA968" s="521" t="s">
        <v>5219</v>
      </c>
      <c r="AB968" s="521" t="s">
        <v>76</v>
      </c>
      <c r="AC968" s="521"/>
      <c r="AD968" s="519"/>
      <c r="AE968" s="519">
        <v>1</v>
      </c>
      <c r="AF968" s="521">
        <v>720</v>
      </c>
      <c r="AG968" s="521">
        <f t="shared" si="375"/>
        <v>0</v>
      </c>
      <c r="AH968" s="542"/>
      <c r="AI968" s="521" t="s">
        <v>2191</v>
      </c>
      <c r="AJ968" s="521"/>
      <c r="AK968" s="521">
        <f>I968*2</f>
        <v>1440</v>
      </c>
      <c r="AL968" s="543"/>
      <c r="AM968" s="628"/>
      <c r="AN968" s="628"/>
      <c r="AO968" s="630"/>
      <c r="AP968" s="427">
        <f>AK968</f>
        <v>1440</v>
      </c>
      <c r="AQ968" s="628"/>
      <c r="AR968" s="427">
        <f>I968*2</f>
        <v>1440</v>
      </c>
      <c r="AS968" s="543"/>
      <c r="AT968" s="544"/>
      <c r="AU968" s="628"/>
      <c r="AV968" s="628"/>
      <c r="AW968" s="628"/>
      <c r="AX968" s="628"/>
      <c r="AY968" s="545">
        <f t="shared" si="377"/>
        <v>60</v>
      </c>
      <c r="AZ968" s="546"/>
      <c r="BA968" s="628"/>
      <c r="BB968" s="628"/>
      <c r="BC968" s="628"/>
      <c r="BD968" s="628"/>
      <c r="BE968" s="628"/>
      <c r="BF968" s="628"/>
      <c r="BG968" s="628"/>
      <c r="BH968" s="628"/>
      <c r="BI968" s="628"/>
      <c r="BJ968" s="628"/>
      <c r="BK968" s="427"/>
      <c r="BL968" s="628"/>
      <c r="BM968" s="628"/>
      <c r="BN968" s="628"/>
      <c r="BO968" s="628"/>
      <c r="BP968" s="628"/>
      <c r="BQ968" s="628"/>
      <c r="BR968" s="628"/>
      <c r="BS968" s="628"/>
      <c r="BT968" s="544"/>
      <c r="BU968" s="628"/>
      <c r="BV968" s="544"/>
      <c r="BW968" s="628"/>
      <c r="BX968" s="628"/>
      <c r="BY968" s="628"/>
      <c r="BZ968" s="628"/>
      <c r="CA968" s="628"/>
      <c r="CB968" s="628"/>
      <c r="CC968" s="628"/>
      <c r="CD968" s="628"/>
      <c r="CE968" s="628"/>
      <c r="CF968" s="628"/>
      <c r="CG968" s="628"/>
      <c r="CH968" s="628">
        <f>I968</f>
        <v>720</v>
      </c>
      <c r="CI968" s="628">
        <f>I968</f>
        <v>720</v>
      </c>
      <c r="CJ968" s="628">
        <f>I968</f>
        <v>720</v>
      </c>
      <c r="CK968" s="427">
        <v>0</v>
      </c>
      <c r="CL968" s="427">
        <v>0</v>
      </c>
      <c r="CM968" s="427">
        <v>0</v>
      </c>
      <c r="CN968" s="544"/>
      <c r="CO968" s="544"/>
      <c r="CP968" s="544"/>
      <c r="CT968" s="544"/>
      <c r="CU968" s="544"/>
      <c r="CV968" s="544"/>
      <c r="CW968" s="544"/>
      <c r="CX968" s="544"/>
    </row>
    <row r="969" s="431" customFormat="1" ht="31" customHeight="1" spans="1:102">
      <c r="A969" s="518">
        <v>45957</v>
      </c>
      <c r="B969" s="519" t="s">
        <v>2458</v>
      </c>
      <c r="C969" s="520" t="s">
        <v>153</v>
      </c>
      <c r="D969" s="427">
        <v>4500183051</v>
      </c>
      <c r="E969" s="520" t="s">
        <v>2470</v>
      </c>
      <c r="F969" s="427" t="s">
        <v>2471</v>
      </c>
      <c r="G969" s="521" t="s">
        <v>5609</v>
      </c>
      <c r="H969" s="521" t="s">
        <v>2462</v>
      </c>
      <c r="I969" s="607">
        <v>180</v>
      </c>
      <c r="J969" s="521">
        <v>0</v>
      </c>
      <c r="K969" s="521">
        <v>6</v>
      </c>
      <c r="L969" s="524">
        <f t="shared" si="369"/>
        <v>30</v>
      </c>
      <c r="M969" s="525">
        <v>46031</v>
      </c>
      <c r="N969" s="525">
        <v>46027</v>
      </c>
      <c r="O969" s="521"/>
      <c r="P969" s="526" t="s">
        <v>103</v>
      </c>
      <c r="Q969" s="521"/>
      <c r="R969" s="530">
        <v>45995</v>
      </c>
      <c r="S969" s="530" t="s">
        <v>66</v>
      </c>
      <c r="T969" s="530" t="s">
        <v>66</v>
      </c>
      <c r="U969" s="530"/>
      <c r="V969" s="532" t="s">
        <v>2469</v>
      </c>
      <c r="W969" s="532" t="s">
        <v>164</v>
      </c>
      <c r="X969" s="536">
        <v>6.8326</v>
      </c>
      <c r="Y969" s="540">
        <f t="shared" si="374"/>
        <v>1229.868</v>
      </c>
      <c r="Z969" s="521"/>
      <c r="AA969" s="521" t="s">
        <v>2464</v>
      </c>
      <c r="AB969" s="521" t="s">
        <v>76</v>
      </c>
      <c r="AC969" s="521"/>
      <c r="AD969" s="519"/>
      <c r="AE969" s="519">
        <v>1</v>
      </c>
      <c r="AF969" s="521"/>
      <c r="AG969" s="521">
        <f t="shared" si="375"/>
        <v>-180</v>
      </c>
      <c r="AH969" s="542"/>
      <c r="AI969" s="521" t="s">
        <v>2191</v>
      </c>
      <c r="AJ969" s="521"/>
      <c r="AK969" s="521">
        <f>I969*2</f>
        <v>360</v>
      </c>
      <c r="AL969" s="543"/>
      <c r="AM969" s="628"/>
      <c r="AN969" s="628"/>
      <c r="AO969" s="630"/>
      <c r="AP969" s="427">
        <f>I969</f>
        <v>180</v>
      </c>
      <c r="AQ969" s="628"/>
      <c r="AR969" s="427">
        <f>I969</f>
        <v>180</v>
      </c>
      <c r="AS969" s="543"/>
      <c r="AT969" s="544"/>
      <c r="AU969" s="628"/>
      <c r="AV969" s="628"/>
      <c r="AW969" s="628"/>
      <c r="AX969" s="628"/>
      <c r="AY969" s="545">
        <f t="shared" si="377"/>
        <v>15</v>
      </c>
      <c r="AZ969" s="546"/>
      <c r="BA969" s="628"/>
      <c r="BB969" s="628"/>
      <c r="BC969" s="628"/>
      <c r="BD969" s="628"/>
      <c r="BE969" s="628"/>
      <c r="BF969" s="628"/>
      <c r="BG969" s="628"/>
      <c r="BH969" s="628"/>
      <c r="BI969" s="628"/>
      <c r="BJ969" s="628"/>
      <c r="BK969" s="427"/>
      <c r="BL969" s="628"/>
      <c r="BM969" s="628"/>
      <c r="BN969" s="628"/>
      <c r="BO969" s="628"/>
      <c r="BP969" s="628"/>
      <c r="BQ969" s="628"/>
      <c r="BR969" s="628"/>
      <c r="BS969" s="628"/>
      <c r="BT969" s="544"/>
      <c r="BU969" s="628"/>
      <c r="BV969" s="544">
        <f>I969</f>
        <v>180</v>
      </c>
      <c r="BW969" s="628"/>
      <c r="BX969" s="628"/>
      <c r="BY969" s="628"/>
      <c r="BZ969" s="628"/>
      <c r="CA969" s="628"/>
      <c r="CB969" s="628"/>
      <c r="CC969" s="628"/>
      <c r="CD969" s="628"/>
      <c r="CE969" s="628"/>
      <c r="CF969" s="628"/>
      <c r="CG969" s="628"/>
      <c r="CH969" s="628"/>
      <c r="CI969" s="628"/>
      <c r="CJ969" s="628"/>
      <c r="CK969" s="427">
        <f>BM969+BL969+BK969+BJ969+BS969</f>
        <v>0</v>
      </c>
      <c r="CL969" s="427">
        <f>CA969+CB969+CC969+CD969+CE969+CG969+CF969</f>
        <v>0</v>
      </c>
      <c r="CM969" s="427">
        <f>BY969+BZ969</f>
        <v>0</v>
      </c>
      <c r="CN969" s="544"/>
      <c r="CO969" s="544"/>
      <c r="CP969" s="544"/>
      <c r="CT969" s="544"/>
      <c r="CU969" s="544"/>
      <c r="CV969" s="544"/>
      <c r="CW969" s="544"/>
      <c r="CX969" s="544"/>
    </row>
    <row r="970" s="431" customFormat="1" ht="31" customHeight="1" spans="1:102">
      <c r="A970" s="518">
        <v>45957</v>
      </c>
      <c r="B970" s="519" t="s">
        <v>2458</v>
      </c>
      <c r="C970" s="520" t="s">
        <v>153</v>
      </c>
      <c r="D970" s="427">
        <v>4500183051</v>
      </c>
      <c r="E970" s="520" t="s">
        <v>2470</v>
      </c>
      <c r="F970" s="427" t="s">
        <v>5612</v>
      </c>
      <c r="G970" s="521" t="s">
        <v>4564</v>
      </c>
      <c r="H970" s="521" t="s">
        <v>3237</v>
      </c>
      <c r="I970" s="607">
        <v>180</v>
      </c>
      <c r="J970" s="521">
        <v>0</v>
      </c>
      <c r="K970" s="521">
        <v>12</v>
      </c>
      <c r="L970" s="524">
        <f t="shared" si="369"/>
        <v>15</v>
      </c>
      <c r="M970" s="525">
        <v>46031</v>
      </c>
      <c r="N970" s="525">
        <v>46027</v>
      </c>
      <c r="O970" s="521"/>
      <c r="P970" s="526" t="s">
        <v>103</v>
      </c>
      <c r="Q970" s="521"/>
      <c r="R970" s="530">
        <v>45995</v>
      </c>
      <c r="S970" s="530" t="s">
        <v>66</v>
      </c>
      <c r="T970" s="530" t="s">
        <v>66</v>
      </c>
      <c r="U970" s="530"/>
      <c r="V970" s="532" t="s">
        <v>5221</v>
      </c>
      <c r="W970" s="532" t="s">
        <v>164</v>
      </c>
      <c r="X970" s="536">
        <v>2.1823</v>
      </c>
      <c r="Y970" s="540">
        <f t="shared" si="374"/>
        <v>392.814</v>
      </c>
      <c r="Z970" s="521"/>
      <c r="AA970" s="521" t="s">
        <v>5219</v>
      </c>
      <c r="AB970" s="521" t="s">
        <v>76</v>
      </c>
      <c r="AC970" s="521"/>
      <c r="AD970" s="519"/>
      <c r="AE970" s="519">
        <v>1</v>
      </c>
      <c r="AF970" s="521">
        <v>180</v>
      </c>
      <c r="AG970" s="521">
        <f t="shared" si="375"/>
        <v>0</v>
      </c>
      <c r="AH970" s="542"/>
      <c r="AI970" s="521" t="s">
        <v>2191</v>
      </c>
      <c r="AJ970" s="521"/>
      <c r="AK970" s="521">
        <f>I970*2</f>
        <v>360</v>
      </c>
      <c r="AL970" s="543"/>
      <c r="AM970" s="628"/>
      <c r="AN970" s="628"/>
      <c r="AO970" s="630"/>
      <c r="AP970" s="427">
        <f>AK970</f>
        <v>360</v>
      </c>
      <c r="AQ970" s="628"/>
      <c r="AR970" s="427">
        <f>I970*2</f>
        <v>360</v>
      </c>
      <c r="AS970" s="543"/>
      <c r="AT970" s="544"/>
      <c r="AU970" s="628"/>
      <c r="AV970" s="628"/>
      <c r="AW970" s="628"/>
      <c r="AX970" s="628"/>
      <c r="AY970" s="545">
        <f t="shared" si="377"/>
        <v>15</v>
      </c>
      <c r="AZ970" s="546"/>
      <c r="BA970" s="628"/>
      <c r="BB970" s="628"/>
      <c r="BC970" s="628"/>
      <c r="BD970" s="628"/>
      <c r="BE970" s="628"/>
      <c r="BF970" s="628"/>
      <c r="BG970" s="628"/>
      <c r="BH970" s="628"/>
      <c r="BI970" s="628"/>
      <c r="BJ970" s="628"/>
      <c r="BK970" s="427"/>
      <c r="BL970" s="628"/>
      <c r="BM970" s="628"/>
      <c r="BN970" s="628"/>
      <c r="BO970" s="628"/>
      <c r="BP970" s="628"/>
      <c r="BQ970" s="628"/>
      <c r="BR970" s="628"/>
      <c r="BS970" s="628"/>
      <c r="BT970" s="544"/>
      <c r="BU970" s="628"/>
      <c r="BV970" s="544"/>
      <c r="BW970" s="628"/>
      <c r="BX970" s="628"/>
      <c r="BY970" s="628"/>
      <c r="BZ970" s="628"/>
      <c r="CA970" s="628"/>
      <c r="CB970" s="628"/>
      <c r="CC970" s="628"/>
      <c r="CD970" s="628"/>
      <c r="CE970" s="628"/>
      <c r="CF970" s="628"/>
      <c r="CG970" s="628"/>
      <c r="CH970" s="628">
        <f>I970</f>
        <v>180</v>
      </c>
      <c r="CI970" s="628">
        <f>I970</f>
        <v>180</v>
      </c>
      <c r="CJ970" s="628">
        <f>I970</f>
        <v>180</v>
      </c>
      <c r="CK970" s="427">
        <v>0</v>
      </c>
      <c r="CL970" s="427">
        <v>0</v>
      </c>
      <c r="CM970" s="427">
        <v>0</v>
      </c>
      <c r="CN970" s="544"/>
      <c r="CO970" s="544"/>
      <c r="CP970" s="544"/>
      <c r="CT970" s="544"/>
      <c r="CU970" s="544"/>
      <c r="CV970" s="544"/>
      <c r="CW970" s="544"/>
      <c r="CX970" s="544"/>
    </row>
    <row r="971" s="431" customFormat="1" ht="31" customHeight="1" spans="1:102">
      <c r="A971" s="518">
        <v>45957</v>
      </c>
      <c r="B971" s="519" t="s">
        <v>2458</v>
      </c>
      <c r="C971" s="520" t="s">
        <v>153</v>
      </c>
      <c r="D971" s="427">
        <v>4500183051</v>
      </c>
      <c r="E971" s="520" t="s">
        <v>2470</v>
      </c>
      <c r="F971" s="427" t="s">
        <v>2472</v>
      </c>
      <c r="G971" s="521" t="s">
        <v>5609</v>
      </c>
      <c r="H971" s="521" t="s">
        <v>2462</v>
      </c>
      <c r="I971" s="607">
        <v>720</v>
      </c>
      <c r="J971" s="521">
        <v>0</v>
      </c>
      <c r="K971" s="521">
        <v>6</v>
      </c>
      <c r="L971" s="524">
        <f t="shared" si="369"/>
        <v>120</v>
      </c>
      <c r="M971" s="525">
        <v>46031</v>
      </c>
      <c r="N971" s="525">
        <v>46027</v>
      </c>
      <c r="O971" s="521"/>
      <c r="P971" s="526" t="s">
        <v>103</v>
      </c>
      <c r="Q971" s="521"/>
      <c r="R971" s="530">
        <v>45995</v>
      </c>
      <c r="S971" s="530" t="s">
        <v>66</v>
      </c>
      <c r="T971" s="530" t="s">
        <v>66</v>
      </c>
      <c r="U971" s="530"/>
      <c r="V971" s="532" t="s">
        <v>2469</v>
      </c>
      <c r="W971" s="532" t="s">
        <v>164</v>
      </c>
      <c r="X971" s="536">
        <v>6.8326</v>
      </c>
      <c r="Y971" s="540">
        <f t="shared" si="374"/>
        <v>4919.472</v>
      </c>
      <c r="Z971" s="521"/>
      <c r="AA971" s="521" t="s">
        <v>2464</v>
      </c>
      <c r="AB971" s="521" t="s">
        <v>76</v>
      </c>
      <c r="AC971" s="521"/>
      <c r="AD971" s="519"/>
      <c r="AE971" s="519">
        <v>1</v>
      </c>
      <c r="AF971" s="521"/>
      <c r="AG971" s="521">
        <f t="shared" si="375"/>
        <v>-720</v>
      </c>
      <c r="AH971" s="542"/>
      <c r="AI971" s="521" t="s">
        <v>2191</v>
      </c>
      <c r="AJ971" s="521"/>
      <c r="AK971" s="521">
        <f>I971*2</f>
        <v>1440</v>
      </c>
      <c r="AL971" s="543"/>
      <c r="AM971" s="628"/>
      <c r="AN971" s="628"/>
      <c r="AO971" s="630"/>
      <c r="AP971" s="427">
        <f>I971</f>
        <v>720</v>
      </c>
      <c r="AQ971" s="628"/>
      <c r="AR971" s="427">
        <f>I971</f>
        <v>720</v>
      </c>
      <c r="AS971" s="543"/>
      <c r="AT971" s="544"/>
      <c r="AU971" s="628"/>
      <c r="AV971" s="628"/>
      <c r="AW971" s="628"/>
      <c r="AX971" s="628"/>
      <c r="AY971" s="545">
        <f t="shared" si="377"/>
        <v>60</v>
      </c>
      <c r="AZ971" s="546"/>
      <c r="BA971" s="628"/>
      <c r="BB971" s="628"/>
      <c r="BC971" s="628"/>
      <c r="BD971" s="628"/>
      <c r="BE971" s="628"/>
      <c r="BF971" s="628"/>
      <c r="BG971" s="628"/>
      <c r="BH971" s="628"/>
      <c r="BI971" s="628"/>
      <c r="BJ971" s="628"/>
      <c r="BK971" s="427"/>
      <c r="BL971" s="628"/>
      <c r="BM971" s="628"/>
      <c r="BN971" s="628"/>
      <c r="BO971" s="628"/>
      <c r="BP971" s="628"/>
      <c r="BQ971" s="628"/>
      <c r="BR971" s="628"/>
      <c r="BS971" s="628"/>
      <c r="BT971" s="544"/>
      <c r="BU971" s="628"/>
      <c r="BV971" s="544">
        <f>I971</f>
        <v>720</v>
      </c>
      <c r="BW971" s="628"/>
      <c r="BX971" s="628"/>
      <c r="BY971" s="628"/>
      <c r="BZ971" s="628"/>
      <c r="CA971" s="628"/>
      <c r="CB971" s="628"/>
      <c r="CC971" s="628"/>
      <c r="CD971" s="628"/>
      <c r="CE971" s="628"/>
      <c r="CF971" s="628"/>
      <c r="CG971" s="628"/>
      <c r="CH971" s="628"/>
      <c r="CI971" s="628"/>
      <c r="CJ971" s="628"/>
      <c r="CK971" s="427">
        <f t="shared" ref="CK971:CK976" si="378">BM971+BL971+BK971+BJ971+BS971</f>
        <v>0</v>
      </c>
      <c r="CL971" s="427">
        <f t="shared" ref="CL971:CL976" si="379">CA971+CB971+CC971+CD971+CE971+CG971+CF971</f>
        <v>0</v>
      </c>
      <c r="CM971" s="427">
        <f t="shared" ref="CM971:CM976" si="380">BY971+BZ971</f>
        <v>0</v>
      </c>
      <c r="CN971" s="544"/>
      <c r="CO971" s="544"/>
      <c r="CP971" s="544"/>
      <c r="CT971" s="544"/>
      <c r="CU971" s="544"/>
      <c r="CV971" s="544"/>
      <c r="CW971" s="544"/>
      <c r="CX971" s="544"/>
    </row>
    <row r="972" s="431" customFormat="1" ht="31" customHeight="1" spans="1:102">
      <c r="A972" s="518">
        <v>45957</v>
      </c>
      <c r="B972" s="519" t="s">
        <v>2458</v>
      </c>
      <c r="C972" s="520" t="s">
        <v>153</v>
      </c>
      <c r="D972" s="427">
        <v>4500183051</v>
      </c>
      <c r="E972" s="520" t="s">
        <v>2470</v>
      </c>
      <c r="F972" s="427" t="s">
        <v>2473</v>
      </c>
      <c r="G972" s="521" t="s">
        <v>5609</v>
      </c>
      <c r="H972" s="521" t="s">
        <v>2462</v>
      </c>
      <c r="I972" s="607">
        <v>180</v>
      </c>
      <c r="J972" s="521">
        <v>0</v>
      </c>
      <c r="K972" s="521">
        <v>6</v>
      </c>
      <c r="L972" s="524">
        <f t="shared" si="369"/>
        <v>30</v>
      </c>
      <c r="M972" s="525">
        <v>46031</v>
      </c>
      <c r="N972" s="525">
        <v>46027</v>
      </c>
      <c r="O972" s="521"/>
      <c r="P972" s="526" t="s">
        <v>103</v>
      </c>
      <c r="Q972" s="521"/>
      <c r="R972" s="530">
        <v>45995</v>
      </c>
      <c r="S972" s="530" t="s">
        <v>66</v>
      </c>
      <c r="T972" s="530" t="s">
        <v>66</v>
      </c>
      <c r="U972" s="530"/>
      <c r="V972" s="532" t="s">
        <v>2469</v>
      </c>
      <c r="W972" s="532" t="s">
        <v>164</v>
      </c>
      <c r="X972" s="536">
        <v>6.8326</v>
      </c>
      <c r="Y972" s="540">
        <f t="shared" si="374"/>
        <v>1229.868</v>
      </c>
      <c r="Z972" s="521"/>
      <c r="AA972" s="521" t="s">
        <v>2464</v>
      </c>
      <c r="AB972" s="521" t="s">
        <v>76</v>
      </c>
      <c r="AC972" s="521"/>
      <c r="AD972" s="519"/>
      <c r="AE972" s="519">
        <v>1</v>
      </c>
      <c r="AF972" s="521"/>
      <c r="AG972" s="521">
        <f t="shared" si="375"/>
        <v>-180</v>
      </c>
      <c r="AH972" s="542"/>
      <c r="AI972" s="521" t="s">
        <v>2191</v>
      </c>
      <c r="AJ972" s="521"/>
      <c r="AK972" s="521">
        <f>I972*2</f>
        <v>360</v>
      </c>
      <c r="AL972" s="543"/>
      <c r="AM972" s="628"/>
      <c r="AN972" s="628"/>
      <c r="AO972" s="630"/>
      <c r="AP972" s="427">
        <f>I972</f>
        <v>180</v>
      </c>
      <c r="AQ972" s="628"/>
      <c r="AR972" s="427">
        <f>I972</f>
        <v>180</v>
      </c>
      <c r="AS972" s="543"/>
      <c r="AT972" s="544"/>
      <c r="AU972" s="628"/>
      <c r="AV972" s="628"/>
      <c r="AW972" s="628"/>
      <c r="AX972" s="628"/>
      <c r="AY972" s="545">
        <f t="shared" si="377"/>
        <v>15</v>
      </c>
      <c r="AZ972" s="546"/>
      <c r="BA972" s="628"/>
      <c r="BB972" s="628"/>
      <c r="BC972" s="628"/>
      <c r="BD972" s="628"/>
      <c r="BE972" s="628"/>
      <c r="BF972" s="628"/>
      <c r="BG972" s="628"/>
      <c r="BH972" s="628"/>
      <c r="BI972" s="628"/>
      <c r="BJ972" s="628"/>
      <c r="BK972" s="427"/>
      <c r="BL972" s="628"/>
      <c r="BM972" s="628"/>
      <c r="BN972" s="628"/>
      <c r="BO972" s="628"/>
      <c r="BP972" s="628"/>
      <c r="BQ972" s="628"/>
      <c r="BR972" s="628"/>
      <c r="BS972" s="628"/>
      <c r="BT972" s="544"/>
      <c r="BU972" s="628"/>
      <c r="BV972" s="544">
        <f>I972</f>
        <v>180</v>
      </c>
      <c r="BW972" s="628"/>
      <c r="BX972" s="628"/>
      <c r="BY972" s="628"/>
      <c r="BZ972" s="628"/>
      <c r="CA972" s="628"/>
      <c r="CB972" s="628"/>
      <c r="CC972" s="628"/>
      <c r="CD972" s="628"/>
      <c r="CE972" s="628"/>
      <c r="CF972" s="628"/>
      <c r="CG972" s="628"/>
      <c r="CH972" s="628"/>
      <c r="CI972" s="628"/>
      <c r="CJ972" s="628"/>
      <c r="CK972" s="427">
        <f t="shared" si="378"/>
        <v>0</v>
      </c>
      <c r="CL972" s="427">
        <f t="shared" si="379"/>
        <v>0</v>
      </c>
      <c r="CM972" s="427">
        <f t="shared" si="380"/>
        <v>0</v>
      </c>
      <c r="CN972" s="544"/>
      <c r="CO972" s="544"/>
      <c r="CP972" s="544"/>
      <c r="CT972" s="544"/>
      <c r="CU972" s="544"/>
      <c r="CV972" s="544"/>
      <c r="CW972" s="544"/>
      <c r="CX972" s="544"/>
    </row>
    <row r="973" s="431" customFormat="1" ht="31" customHeight="1" spans="1:102">
      <c r="A973" s="518">
        <v>45968</v>
      </c>
      <c r="B973" s="519" t="s">
        <v>658</v>
      </c>
      <c r="C973" s="520" t="s">
        <v>310</v>
      </c>
      <c r="D973" s="427">
        <v>4500183616</v>
      </c>
      <c r="E973" s="520" t="s">
        <v>2474</v>
      </c>
      <c r="F973" s="427" t="s">
        <v>5613</v>
      </c>
      <c r="G973" s="521" t="s">
        <v>3378</v>
      </c>
      <c r="H973" s="521" t="s">
        <v>3379</v>
      </c>
      <c r="I973" s="607">
        <v>3600</v>
      </c>
      <c r="J973" s="521">
        <v>0</v>
      </c>
      <c r="K973" s="521">
        <v>50</v>
      </c>
      <c r="L973" s="524">
        <f t="shared" si="369"/>
        <v>72</v>
      </c>
      <c r="M973" s="525">
        <v>46031</v>
      </c>
      <c r="N973" s="525">
        <v>46027</v>
      </c>
      <c r="O973" s="521"/>
      <c r="P973" s="526" t="s">
        <v>103</v>
      </c>
      <c r="Q973" s="521"/>
      <c r="R973" s="530">
        <v>45995</v>
      </c>
      <c r="S973" s="530" t="s">
        <v>5614</v>
      </c>
      <c r="T973" s="530" t="s">
        <v>2476</v>
      </c>
      <c r="U973" s="530"/>
      <c r="V973" s="532" t="s">
        <v>5615</v>
      </c>
      <c r="W973" s="532" t="s">
        <v>473</v>
      </c>
      <c r="X973" s="536">
        <v>0.924</v>
      </c>
      <c r="Y973" s="540">
        <f t="shared" si="374"/>
        <v>3326.4</v>
      </c>
      <c r="Z973" s="521"/>
      <c r="AA973" s="521" t="s">
        <v>3378</v>
      </c>
      <c r="AB973" s="521" t="s">
        <v>76</v>
      </c>
      <c r="AC973" s="521"/>
      <c r="AD973" s="519"/>
      <c r="AE973" s="519">
        <v>1</v>
      </c>
      <c r="AF973" s="521">
        <f>100+3500</f>
        <v>3600</v>
      </c>
      <c r="AG973" s="521">
        <f t="shared" si="375"/>
        <v>0</v>
      </c>
      <c r="AH973" s="542"/>
      <c r="AI973" s="521" t="s">
        <v>403</v>
      </c>
      <c r="AJ973" s="521"/>
      <c r="AK973" s="521"/>
      <c r="AL973" s="543">
        <f>I973</f>
        <v>3600</v>
      </c>
      <c r="AM973" s="628"/>
      <c r="AN973" s="628"/>
      <c r="AO973" s="630"/>
      <c r="AP973" s="427"/>
      <c r="AQ973" s="628"/>
      <c r="AR973" s="427"/>
      <c r="AS973" s="543"/>
      <c r="AT973" s="544"/>
      <c r="AU973" s="628"/>
      <c r="AV973" s="628"/>
      <c r="AW973" s="628"/>
      <c r="AX973" s="628"/>
      <c r="AY973" s="545">
        <f>I973/24</f>
        <v>150</v>
      </c>
      <c r="AZ973" s="546"/>
      <c r="BA973" s="628"/>
      <c r="BB973" s="628"/>
      <c r="BC973" s="628"/>
      <c r="BD973" s="628"/>
      <c r="BE973" s="628"/>
      <c r="BF973" s="628"/>
      <c r="BG973" s="628"/>
      <c r="BH973" s="628"/>
      <c r="BI973" s="628"/>
      <c r="BJ973" s="628"/>
      <c r="BK973" s="427"/>
      <c r="BL973" s="628"/>
      <c r="BM973" s="628"/>
      <c r="BN973" s="628"/>
      <c r="BO973" s="628"/>
      <c r="BP973" s="628"/>
      <c r="BQ973" s="628">
        <f>I973</f>
        <v>3600</v>
      </c>
      <c r="BR973" s="628">
        <f>I973</f>
        <v>3600</v>
      </c>
      <c r="BS973" s="628">
        <f>I973/25</f>
        <v>144</v>
      </c>
      <c r="BT973" s="544"/>
      <c r="BU973" s="628"/>
      <c r="BV973" s="544"/>
      <c r="BW973" s="628"/>
      <c r="BX973" s="628"/>
      <c r="BY973" s="628"/>
      <c r="BZ973" s="628"/>
      <c r="CA973" s="628"/>
      <c r="CB973" s="628"/>
      <c r="CC973" s="628"/>
      <c r="CD973" s="628"/>
      <c r="CE973" s="628"/>
      <c r="CF973" s="628"/>
      <c r="CG973" s="628"/>
      <c r="CH973" s="628"/>
      <c r="CI973" s="628"/>
      <c r="CJ973" s="628"/>
      <c r="CK973" s="427">
        <f t="shared" si="378"/>
        <v>144</v>
      </c>
      <c r="CL973" s="427">
        <f t="shared" si="379"/>
        <v>0</v>
      </c>
      <c r="CM973" s="427">
        <f t="shared" si="380"/>
        <v>0</v>
      </c>
      <c r="CN973" s="544"/>
      <c r="CO973" s="544"/>
      <c r="CP973" s="544"/>
      <c r="CT973" s="544"/>
      <c r="CU973" s="544"/>
      <c r="CV973" s="544"/>
      <c r="CW973" s="544"/>
      <c r="CX973" s="544"/>
    </row>
    <row r="974" s="431" customFormat="1" ht="31" customHeight="1" spans="1:102">
      <c r="A974" s="518">
        <v>45988</v>
      </c>
      <c r="B974" s="519" t="s">
        <v>489</v>
      </c>
      <c r="C974" s="520" t="s">
        <v>249</v>
      </c>
      <c r="D974" s="427">
        <v>4500187194</v>
      </c>
      <c r="E974" s="520" t="s">
        <v>5616</v>
      </c>
      <c r="F974" s="427" t="s">
        <v>5617</v>
      </c>
      <c r="G974" s="521" t="s">
        <v>4962</v>
      </c>
      <c r="H974" s="521" t="s">
        <v>3237</v>
      </c>
      <c r="I974" s="607">
        <v>912</v>
      </c>
      <c r="J974" s="521">
        <v>0</v>
      </c>
      <c r="K974" s="521">
        <v>12</v>
      </c>
      <c r="L974" s="524">
        <f t="shared" si="369"/>
        <v>76</v>
      </c>
      <c r="M974" s="525">
        <v>46031</v>
      </c>
      <c r="N974" s="525">
        <v>46027</v>
      </c>
      <c r="O974" s="521"/>
      <c r="P974" s="526" t="s">
        <v>103</v>
      </c>
      <c r="Q974" s="521"/>
      <c r="R974" s="530" t="s">
        <v>411</v>
      </c>
      <c r="S974" s="530" t="s">
        <v>96</v>
      </c>
      <c r="T974" s="530">
        <v>45996</v>
      </c>
      <c r="U974" s="530"/>
      <c r="V974" s="532" t="s">
        <v>5618</v>
      </c>
      <c r="W974" s="532" t="s">
        <v>414</v>
      </c>
      <c r="X974" s="536">
        <v>2.1422</v>
      </c>
      <c r="Y974" s="540">
        <f t="shared" si="374"/>
        <v>1953.6864</v>
      </c>
      <c r="Z974" s="521"/>
      <c r="AA974" s="521" t="s">
        <v>3464</v>
      </c>
      <c r="AB974" s="521" t="s">
        <v>76</v>
      </c>
      <c r="AC974" s="521"/>
      <c r="AD974" s="519"/>
      <c r="AE974" s="519">
        <v>1</v>
      </c>
      <c r="AF974" s="521">
        <v>912</v>
      </c>
      <c r="AG974" s="521">
        <f t="shared" si="375"/>
        <v>0</v>
      </c>
      <c r="AH974" s="542"/>
      <c r="AI974" s="521" t="s">
        <v>403</v>
      </c>
      <c r="AJ974" s="521"/>
      <c r="AK974" s="521"/>
      <c r="AL974" s="543">
        <f>I974*2</f>
        <v>1824</v>
      </c>
      <c r="AM974" s="628"/>
      <c r="AN974" s="628"/>
      <c r="AO974" s="630"/>
      <c r="AP974" s="427"/>
      <c r="AQ974" s="628">
        <f>I974*2</f>
        <v>1824</v>
      </c>
      <c r="AR974" s="427"/>
      <c r="AS974" s="543">
        <f>I974*2</f>
        <v>1824</v>
      </c>
      <c r="AT974" s="544"/>
      <c r="AU974" s="628"/>
      <c r="AV974" s="628"/>
      <c r="AW974" s="628"/>
      <c r="AX974" s="628"/>
      <c r="AY974" s="545">
        <f t="shared" si="377"/>
        <v>76</v>
      </c>
      <c r="AZ974" s="546"/>
      <c r="BA974" s="628"/>
      <c r="BB974" s="628"/>
      <c r="BC974" s="628"/>
      <c r="BD974" s="628"/>
      <c r="BE974" s="628"/>
      <c r="BF974" s="628"/>
      <c r="BG974" s="628"/>
      <c r="BH974" s="628"/>
      <c r="BI974" s="628"/>
      <c r="BJ974" s="628"/>
      <c r="BK974" s="427"/>
      <c r="BL974" s="628"/>
      <c r="BM974" s="628"/>
      <c r="BN974" s="628"/>
      <c r="BO974" s="628"/>
      <c r="BP974" s="628"/>
      <c r="BQ974" s="628"/>
      <c r="BR974" s="628"/>
      <c r="BS974" s="628"/>
      <c r="BT974" s="544"/>
      <c r="BU974" s="628"/>
      <c r="BV974" s="544"/>
      <c r="BW974" s="628"/>
      <c r="BX974" s="628"/>
      <c r="BY974" s="628"/>
      <c r="BZ974" s="628"/>
      <c r="CA974" s="628"/>
      <c r="CB974" s="628"/>
      <c r="CC974" s="628"/>
      <c r="CD974" s="628"/>
      <c r="CE974" s="628"/>
      <c r="CF974" s="628"/>
      <c r="CG974" s="628"/>
      <c r="CH974" s="628">
        <f>I974</f>
        <v>912</v>
      </c>
      <c r="CI974" s="628">
        <f>I974</f>
        <v>912</v>
      </c>
      <c r="CJ974" s="628">
        <f>I974</f>
        <v>912</v>
      </c>
      <c r="CK974" s="427">
        <f t="shared" si="378"/>
        <v>0</v>
      </c>
      <c r="CL974" s="427">
        <f t="shared" si="379"/>
        <v>0</v>
      </c>
      <c r="CM974" s="427">
        <f t="shared" si="380"/>
        <v>0</v>
      </c>
      <c r="CN974" s="544"/>
      <c r="CO974" s="544"/>
      <c r="CP974" s="544"/>
      <c r="CT974" s="544"/>
      <c r="CU974" s="544"/>
      <c r="CV974" s="544"/>
      <c r="CW974" s="544"/>
      <c r="CX974" s="544"/>
    </row>
    <row r="975" s="431" customFormat="1" ht="31" customHeight="1" spans="1:102">
      <c r="A975" s="518">
        <v>45988</v>
      </c>
      <c r="B975" s="519" t="s">
        <v>489</v>
      </c>
      <c r="C975" s="520" t="s">
        <v>249</v>
      </c>
      <c r="D975" s="427">
        <v>4500187194</v>
      </c>
      <c r="E975" s="520" t="s">
        <v>5619</v>
      </c>
      <c r="F975" s="427" t="s">
        <v>5620</v>
      </c>
      <c r="G975" s="521" t="s">
        <v>4962</v>
      </c>
      <c r="H975" s="521" t="s">
        <v>3237</v>
      </c>
      <c r="I975" s="607">
        <v>6300</v>
      </c>
      <c r="J975" s="521">
        <v>0</v>
      </c>
      <c r="K975" s="521">
        <v>12</v>
      </c>
      <c r="L975" s="524">
        <f t="shared" si="369"/>
        <v>525</v>
      </c>
      <c r="M975" s="525">
        <v>46031</v>
      </c>
      <c r="N975" s="525">
        <v>46027</v>
      </c>
      <c r="O975" s="521"/>
      <c r="P975" s="526" t="s">
        <v>103</v>
      </c>
      <c r="Q975" s="521"/>
      <c r="R975" s="530" t="s">
        <v>411</v>
      </c>
      <c r="S975" s="530" t="s">
        <v>96</v>
      </c>
      <c r="T975" s="530">
        <v>45996</v>
      </c>
      <c r="U975" s="530"/>
      <c r="V975" s="532" t="s">
        <v>5618</v>
      </c>
      <c r="W975" s="532" t="s">
        <v>414</v>
      </c>
      <c r="X975" s="536">
        <v>2.1422</v>
      </c>
      <c r="Y975" s="540">
        <f t="shared" si="374"/>
        <v>13495.86</v>
      </c>
      <c r="Z975" s="521"/>
      <c r="AA975" s="521" t="s">
        <v>3464</v>
      </c>
      <c r="AB975" s="521" t="s">
        <v>76</v>
      </c>
      <c r="AC975" s="521"/>
      <c r="AD975" s="519"/>
      <c r="AE975" s="519">
        <v>1</v>
      </c>
      <c r="AF975" s="521">
        <f>1080+5220</f>
        <v>6300</v>
      </c>
      <c r="AG975" s="521">
        <f t="shared" si="375"/>
        <v>0</v>
      </c>
      <c r="AH975" s="542"/>
      <c r="AI975" s="521" t="s">
        <v>403</v>
      </c>
      <c r="AJ975" s="521"/>
      <c r="AK975" s="521"/>
      <c r="AL975" s="543">
        <f>I975*2</f>
        <v>12600</v>
      </c>
      <c r="AM975" s="628"/>
      <c r="AN975" s="628"/>
      <c r="AO975" s="630"/>
      <c r="AP975" s="427"/>
      <c r="AQ975" s="628">
        <f>I975*2</f>
        <v>12600</v>
      </c>
      <c r="AR975" s="427"/>
      <c r="AS975" s="543">
        <f>I975*2</f>
        <v>12600</v>
      </c>
      <c r="AT975" s="544"/>
      <c r="AU975" s="628"/>
      <c r="AV975" s="628"/>
      <c r="AW975" s="628"/>
      <c r="AX975" s="628"/>
      <c r="AY975" s="545">
        <f t="shared" si="377"/>
        <v>525</v>
      </c>
      <c r="AZ975" s="546"/>
      <c r="BA975" s="628"/>
      <c r="BB975" s="628"/>
      <c r="BC975" s="628"/>
      <c r="BD975" s="628"/>
      <c r="BE975" s="628"/>
      <c r="BF975" s="628"/>
      <c r="BG975" s="628"/>
      <c r="BH975" s="628"/>
      <c r="BI975" s="628"/>
      <c r="BJ975" s="628"/>
      <c r="BK975" s="427"/>
      <c r="BL975" s="628"/>
      <c r="BM975" s="628"/>
      <c r="BN975" s="628"/>
      <c r="BO975" s="628"/>
      <c r="BP975" s="628"/>
      <c r="BQ975" s="628"/>
      <c r="BR975" s="628"/>
      <c r="BS975" s="628"/>
      <c r="BT975" s="544"/>
      <c r="BU975" s="628"/>
      <c r="BV975" s="544"/>
      <c r="BW975" s="628"/>
      <c r="BX975" s="628"/>
      <c r="BY975" s="628"/>
      <c r="BZ975" s="628"/>
      <c r="CA975" s="628"/>
      <c r="CB975" s="628"/>
      <c r="CC975" s="628"/>
      <c r="CD975" s="628"/>
      <c r="CE975" s="628"/>
      <c r="CF975" s="628"/>
      <c r="CG975" s="628"/>
      <c r="CH975" s="628">
        <f>I975</f>
        <v>6300</v>
      </c>
      <c r="CI975" s="628">
        <f>I975</f>
        <v>6300</v>
      </c>
      <c r="CJ975" s="628">
        <f>I975</f>
        <v>6300</v>
      </c>
      <c r="CK975" s="427">
        <f t="shared" si="378"/>
        <v>0</v>
      </c>
      <c r="CL975" s="427">
        <f t="shared" si="379"/>
        <v>0</v>
      </c>
      <c r="CM975" s="427">
        <f t="shared" si="380"/>
        <v>0</v>
      </c>
      <c r="CN975" s="544"/>
      <c r="CO975" s="544"/>
      <c r="CP975" s="544"/>
      <c r="CT975" s="544"/>
      <c r="CU975" s="544"/>
      <c r="CV975" s="544"/>
      <c r="CW975" s="544"/>
      <c r="CX975" s="544"/>
    </row>
    <row r="976" s="431" customFormat="1" ht="31" customHeight="1" spans="1:102">
      <c r="A976" s="518">
        <v>45993</v>
      </c>
      <c r="B976" s="519" t="s">
        <v>1669</v>
      </c>
      <c r="C976" s="520" t="s">
        <v>663</v>
      </c>
      <c r="D976" s="427">
        <v>4500185221</v>
      </c>
      <c r="E976" s="520">
        <v>5000002057</v>
      </c>
      <c r="F976" s="427" t="s">
        <v>5621</v>
      </c>
      <c r="G976" s="521" t="s">
        <v>3206</v>
      </c>
      <c r="H976" s="521" t="s">
        <v>4939</v>
      </c>
      <c r="I976" s="607">
        <v>2600</v>
      </c>
      <c r="J976" s="521">
        <v>0</v>
      </c>
      <c r="K976" s="521">
        <v>13</v>
      </c>
      <c r="L976" s="524">
        <f t="shared" si="369"/>
        <v>200</v>
      </c>
      <c r="M976" s="525">
        <v>46031</v>
      </c>
      <c r="N976" s="525">
        <v>46027</v>
      </c>
      <c r="O976" s="521"/>
      <c r="P976" s="526" t="s">
        <v>103</v>
      </c>
      <c r="Q976" s="521"/>
      <c r="R976" s="530" t="s">
        <v>4940</v>
      </c>
      <c r="S976" s="530" t="s">
        <v>96</v>
      </c>
      <c r="T976" s="530" t="s">
        <v>5153</v>
      </c>
      <c r="U976" s="530" t="s">
        <v>5622</v>
      </c>
      <c r="V976" s="532" t="s">
        <v>5623</v>
      </c>
      <c r="W976" s="532" t="s">
        <v>1674</v>
      </c>
      <c r="X976" s="536">
        <v>0.882</v>
      </c>
      <c r="Y976" s="540">
        <f t="shared" si="374"/>
        <v>2293.2</v>
      </c>
      <c r="Z976" s="521"/>
      <c r="AA976" s="521" t="s">
        <v>5467</v>
      </c>
      <c r="AB976" s="521" t="s">
        <v>76</v>
      </c>
      <c r="AC976" s="521"/>
      <c r="AD976" s="519"/>
      <c r="AE976" s="519">
        <v>1</v>
      </c>
      <c r="AF976" s="521">
        <v>2600</v>
      </c>
      <c r="AG976" s="521">
        <f t="shared" si="375"/>
        <v>0</v>
      </c>
      <c r="AH976" s="542"/>
      <c r="AI976" s="521" t="s">
        <v>2191</v>
      </c>
      <c r="AJ976" s="521"/>
      <c r="AK976" s="521"/>
      <c r="AL976" s="543">
        <f>I976</f>
        <v>2600</v>
      </c>
      <c r="AM976" s="628"/>
      <c r="AN976" s="628"/>
      <c r="AO976" s="630"/>
      <c r="AP976" s="427"/>
      <c r="AQ976" s="628">
        <f>I976</f>
        <v>2600</v>
      </c>
      <c r="AR976" s="427"/>
      <c r="AS976" s="543"/>
      <c r="AT976" s="544"/>
      <c r="AU976" s="628">
        <f>I976</f>
        <v>2600</v>
      </c>
      <c r="AV976" s="628"/>
      <c r="AW976" s="628"/>
      <c r="AX976" s="628">
        <f>I976/13</f>
        <v>200</v>
      </c>
      <c r="AY976" s="545"/>
      <c r="AZ976" s="546"/>
      <c r="BA976" s="628"/>
      <c r="BB976" s="628"/>
      <c r="BC976" s="628"/>
      <c r="BD976" s="628"/>
      <c r="BE976" s="628"/>
      <c r="BF976" s="628"/>
      <c r="BG976" s="628"/>
      <c r="BH976" s="628"/>
      <c r="BI976" s="628">
        <f>I976/13</f>
        <v>200</v>
      </c>
      <c r="BJ976" s="628"/>
      <c r="BK976" s="427"/>
      <c r="BL976" s="628"/>
      <c r="BM976" s="628"/>
      <c r="BN976" s="628"/>
      <c r="BO976" s="628"/>
      <c r="BP976" s="628"/>
      <c r="BQ976" s="628"/>
      <c r="BR976" s="628"/>
      <c r="BS976" s="628"/>
      <c r="BT976" s="544"/>
      <c r="BU976" s="628"/>
      <c r="BV976" s="544"/>
      <c r="BW976" s="628"/>
      <c r="BX976" s="628"/>
      <c r="BY976" s="628"/>
      <c r="BZ976" s="628"/>
      <c r="CA976" s="628"/>
      <c r="CB976" s="628"/>
      <c r="CC976" s="628"/>
      <c r="CD976" s="628"/>
      <c r="CE976" s="628"/>
      <c r="CF976" s="628"/>
      <c r="CG976" s="628"/>
      <c r="CH976" s="628"/>
      <c r="CI976" s="628"/>
      <c r="CJ976" s="628"/>
      <c r="CK976" s="427">
        <f t="shared" si="378"/>
        <v>0</v>
      </c>
      <c r="CL976" s="427">
        <f t="shared" si="379"/>
        <v>0</v>
      </c>
      <c r="CM976" s="427">
        <f t="shared" si="380"/>
        <v>0</v>
      </c>
      <c r="CN976" s="544"/>
      <c r="CO976" s="544"/>
      <c r="CP976" s="544"/>
      <c r="CT976" s="544"/>
      <c r="CU976" s="544"/>
      <c r="CV976" s="544"/>
      <c r="CW976" s="544"/>
      <c r="CX976" s="544"/>
    </row>
    <row r="977" s="431" customFormat="1" ht="31" customHeight="1" spans="1:102">
      <c r="A977" s="518">
        <v>45973</v>
      </c>
      <c r="B977" s="519" t="s">
        <v>783</v>
      </c>
      <c r="C977" s="520" t="s">
        <v>90</v>
      </c>
      <c r="D977" s="427">
        <v>4500185399</v>
      </c>
      <c r="E977" s="890" t="s">
        <v>5624</v>
      </c>
      <c r="F977" s="427" t="s">
        <v>5625</v>
      </c>
      <c r="G977" s="521" t="s">
        <v>3198</v>
      </c>
      <c r="H977" s="521" t="s">
        <v>3303</v>
      </c>
      <c r="I977" s="607">
        <v>8000</v>
      </c>
      <c r="J977" s="521">
        <v>0</v>
      </c>
      <c r="K977" s="521">
        <v>25</v>
      </c>
      <c r="L977" s="524">
        <f t="shared" si="369"/>
        <v>320</v>
      </c>
      <c r="M977" s="525">
        <v>46034</v>
      </c>
      <c r="N977" s="525">
        <v>46030</v>
      </c>
      <c r="O977" s="521"/>
      <c r="P977" s="526" t="s">
        <v>103</v>
      </c>
      <c r="Q977" s="521"/>
      <c r="R977" s="530">
        <v>45973</v>
      </c>
      <c r="S977" s="530" t="s">
        <v>66</v>
      </c>
      <c r="T977" s="530" t="s">
        <v>66</v>
      </c>
      <c r="U977" s="530"/>
      <c r="V977" s="532" t="s">
        <v>5626</v>
      </c>
      <c r="W977" s="532" t="s">
        <v>316</v>
      </c>
      <c r="X977" s="536">
        <v>0.5677</v>
      </c>
      <c r="Y977" s="540">
        <f t="shared" si="374"/>
        <v>4541.6</v>
      </c>
      <c r="Z977" s="521"/>
      <c r="AA977" s="521" t="s">
        <v>3198</v>
      </c>
      <c r="AB977" s="521" t="s">
        <v>76</v>
      </c>
      <c r="AC977" s="521"/>
      <c r="AD977" s="519"/>
      <c r="AE977" s="519">
        <v>1</v>
      </c>
      <c r="AF977" s="521">
        <v>8000</v>
      </c>
      <c r="AG977" s="521">
        <f t="shared" si="375"/>
        <v>0</v>
      </c>
      <c r="AH977" s="542"/>
      <c r="AI977" s="521"/>
      <c r="AJ977" s="521"/>
      <c r="AK977" s="521">
        <f>I977</f>
        <v>8000</v>
      </c>
      <c r="AL977" s="543"/>
      <c r="AM977" s="628">
        <f>I977</f>
        <v>8000</v>
      </c>
      <c r="AN977" s="628"/>
      <c r="AO977" s="630"/>
      <c r="AP977" s="427"/>
      <c r="AQ977" s="628"/>
      <c r="AR977" s="427">
        <f>I977</f>
        <v>8000</v>
      </c>
      <c r="AS977" s="543"/>
      <c r="AT977" s="544"/>
      <c r="AU977" s="628"/>
      <c r="AV977" s="628"/>
      <c r="AW977" s="628"/>
      <c r="AX977" s="628"/>
      <c r="AY977" s="545">
        <f>I977/24</f>
        <v>333.333333333333</v>
      </c>
      <c r="AZ977" s="546"/>
      <c r="BA977" s="628"/>
      <c r="BB977" s="628"/>
      <c r="BC977" s="628"/>
      <c r="BD977" s="628"/>
      <c r="BE977" s="628"/>
      <c r="BF977" s="628"/>
      <c r="BG977" s="628"/>
      <c r="BH977" s="628"/>
      <c r="BI977" s="628"/>
      <c r="BJ977" s="628">
        <f>I977/25</f>
        <v>320</v>
      </c>
      <c r="BK977" s="427"/>
      <c r="BL977" s="628"/>
      <c r="BM977" s="628"/>
      <c r="BN977" s="628"/>
      <c r="BO977" s="628"/>
      <c r="BP977" s="628"/>
      <c r="BQ977" s="628"/>
      <c r="BR977" s="628"/>
      <c r="BS977" s="628"/>
      <c r="BT977" s="544"/>
      <c r="BU977" s="628"/>
      <c r="BV977" s="544"/>
      <c r="BW977" s="628"/>
      <c r="BX977" s="628"/>
      <c r="BY977" s="628"/>
      <c r="BZ977" s="628"/>
      <c r="CA977" s="628"/>
      <c r="CB977" s="628"/>
      <c r="CC977" s="628"/>
      <c r="CD977" s="628"/>
      <c r="CE977" s="628"/>
      <c r="CF977" s="628"/>
      <c r="CG977" s="628"/>
      <c r="CH977" s="628"/>
      <c r="CI977" s="628"/>
      <c r="CJ977" s="628"/>
      <c r="CK977" s="427">
        <f t="shared" ref="CK977:CK988" si="381">BM977+BL977+BK977+BJ977+BS977</f>
        <v>320</v>
      </c>
      <c r="CL977" s="427">
        <f t="shared" ref="CL977:CL988" si="382">CA977+CB977+CC977+CD977+CE977+CG977+CF977</f>
        <v>0</v>
      </c>
      <c r="CM977" s="427">
        <f t="shared" ref="CM977:CM988" si="383">BY977+BZ977</f>
        <v>0</v>
      </c>
      <c r="CN977" s="544"/>
      <c r="CO977" s="544"/>
      <c r="CP977" s="544"/>
      <c r="CT977" s="544"/>
      <c r="CU977" s="544"/>
      <c r="CV977" s="544"/>
      <c r="CW977" s="544"/>
      <c r="CX977" s="544"/>
    </row>
    <row r="978" s="431" customFormat="1" ht="31" customHeight="1" spans="1:102">
      <c r="A978" s="518">
        <v>45985</v>
      </c>
      <c r="B978" s="519" t="s">
        <v>2489</v>
      </c>
      <c r="C978" s="520" t="s">
        <v>90</v>
      </c>
      <c r="D978" s="427">
        <v>4500186676</v>
      </c>
      <c r="E978" s="520">
        <v>60265478</v>
      </c>
      <c r="F978" s="427" t="s">
        <v>2490</v>
      </c>
      <c r="G978" s="521" t="s">
        <v>5627</v>
      </c>
      <c r="H978" s="521" t="s">
        <v>5628</v>
      </c>
      <c r="I978" s="607">
        <v>3000</v>
      </c>
      <c r="J978" s="521">
        <v>0</v>
      </c>
      <c r="K978" s="521">
        <v>8</v>
      </c>
      <c r="L978" s="524">
        <f t="shared" si="369"/>
        <v>375</v>
      </c>
      <c r="M978" s="525">
        <v>46034</v>
      </c>
      <c r="N978" s="525">
        <v>46030</v>
      </c>
      <c r="O978" s="521"/>
      <c r="P978" s="526" t="s">
        <v>103</v>
      </c>
      <c r="Q978" s="521"/>
      <c r="R978" s="530">
        <v>45985</v>
      </c>
      <c r="S978" s="530" t="s">
        <v>66</v>
      </c>
      <c r="T978" s="530" t="s">
        <v>5629</v>
      </c>
      <c r="U978" s="530"/>
      <c r="V978" s="532" t="s">
        <v>2494</v>
      </c>
      <c r="W978" s="532" t="s">
        <v>2441</v>
      </c>
      <c r="X978" s="536">
        <v>3.9826</v>
      </c>
      <c r="Y978" s="540">
        <f t="shared" si="374"/>
        <v>11947.8</v>
      </c>
      <c r="Z978" s="521"/>
      <c r="AA978" s="521" t="s">
        <v>2495</v>
      </c>
      <c r="AB978" s="521" t="s">
        <v>76</v>
      </c>
      <c r="AC978" s="521"/>
      <c r="AD978" s="519"/>
      <c r="AE978" s="519">
        <v>1</v>
      </c>
      <c r="AF978" s="521"/>
      <c r="AG978" s="521">
        <f t="shared" si="375"/>
        <v>-3000</v>
      </c>
      <c r="AH978" s="542"/>
      <c r="AI978" s="521"/>
      <c r="AJ978" s="521"/>
      <c r="AK978" s="521">
        <f>I978</f>
        <v>3000</v>
      </c>
      <c r="AL978" s="543"/>
      <c r="AM978" s="628">
        <f>I978*2</f>
        <v>6000</v>
      </c>
      <c r="AN978" s="628"/>
      <c r="AO978" s="630"/>
      <c r="AP978" s="427"/>
      <c r="AQ978" s="628"/>
      <c r="AR978" s="427">
        <f>I978</f>
        <v>3000</v>
      </c>
      <c r="AS978" s="543"/>
      <c r="AT978" s="544"/>
      <c r="AU978" s="628"/>
      <c r="AV978" s="628"/>
      <c r="AW978" s="628"/>
      <c r="AX978" s="628"/>
      <c r="AY978" s="545">
        <f>I978/24*2</f>
        <v>250</v>
      </c>
      <c r="AZ978" s="546"/>
      <c r="BA978" s="628"/>
      <c r="BB978" s="628"/>
      <c r="BC978" s="628"/>
      <c r="BD978" s="628"/>
      <c r="BE978" s="628"/>
      <c r="BF978" s="628"/>
      <c r="BG978" s="628"/>
      <c r="BH978" s="628"/>
      <c r="BI978" s="628"/>
      <c r="BJ978" s="628"/>
      <c r="BK978" s="427"/>
      <c r="BL978" s="628"/>
      <c r="BM978" s="628"/>
      <c r="BN978" s="628"/>
      <c r="BO978" s="628"/>
      <c r="BP978" s="628"/>
      <c r="BQ978" s="628"/>
      <c r="BR978" s="628"/>
      <c r="BS978" s="628"/>
      <c r="BT978" s="544"/>
      <c r="BU978" s="628"/>
      <c r="BV978" s="544">
        <f>I978</f>
        <v>3000</v>
      </c>
      <c r="BW978" s="628"/>
      <c r="BX978" s="628"/>
      <c r="BY978" s="628"/>
      <c r="BZ978" s="628"/>
      <c r="CA978" s="628"/>
      <c r="CB978" s="628"/>
      <c r="CC978" s="628"/>
      <c r="CD978" s="628"/>
      <c r="CE978" s="628"/>
      <c r="CF978" s="628"/>
      <c r="CG978" s="628"/>
      <c r="CH978" s="628"/>
      <c r="CI978" s="628"/>
      <c r="CJ978" s="628"/>
      <c r="CK978" s="427">
        <f t="shared" si="381"/>
        <v>0</v>
      </c>
      <c r="CL978" s="427">
        <f t="shared" si="382"/>
        <v>0</v>
      </c>
      <c r="CM978" s="427">
        <f t="shared" si="383"/>
        <v>0</v>
      </c>
      <c r="CN978" s="544"/>
      <c r="CO978" s="544"/>
      <c r="CP978" s="544"/>
      <c r="CT978" s="544"/>
      <c r="CU978" s="544"/>
      <c r="CV978" s="544"/>
      <c r="CW978" s="544"/>
      <c r="CX978" s="544"/>
    </row>
    <row r="979" s="431" customFormat="1" ht="31" customHeight="1" spans="1:102">
      <c r="A979" s="518">
        <v>45985</v>
      </c>
      <c r="B979" s="519" t="s">
        <v>2489</v>
      </c>
      <c r="C979" s="520" t="s">
        <v>90</v>
      </c>
      <c r="D979" s="427">
        <v>4500186676</v>
      </c>
      <c r="E979" s="520">
        <v>60265481</v>
      </c>
      <c r="F979" s="427" t="s">
        <v>2496</v>
      </c>
      <c r="G979" s="521" t="s">
        <v>5627</v>
      </c>
      <c r="H979" s="521" t="s">
        <v>5628</v>
      </c>
      <c r="I979" s="607">
        <v>1600</v>
      </c>
      <c r="J979" s="521">
        <v>0</v>
      </c>
      <c r="K979" s="521">
        <v>8</v>
      </c>
      <c r="L979" s="524">
        <f t="shared" si="369"/>
        <v>200</v>
      </c>
      <c r="M979" s="525">
        <v>46034</v>
      </c>
      <c r="N979" s="525">
        <v>46030</v>
      </c>
      <c r="O979" s="521"/>
      <c r="P979" s="526" t="s">
        <v>103</v>
      </c>
      <c r="Q979" s="521"/>
      <c r="R979" s="530">
        <v>45985</v>
      </c>
      <c r="S979" s="530" t="s">
        <v>66</v>
      </c>
      <c r="T979" s="530" t="s">
        <v>5629</v>
      </c>
      <c r="U979" s="530"/>
      <c r="V979" s="532" t="s">
        <v>2494</v>
      </c>
      <c r="W979" s="532" t="s">
        <v>2441</v>
      </c>
      <c r="X979" s="536">
        <v>4.0996</v>
      </c>
      <c r="Y979" s="540">
        <f t="shared" si="374"/>
        <v>6559.36</v>
      </c>
      <c r="Z979" s="521"/>
      <c r="AA979" s="521" t="s">
        <v>2495</v>
      </c>
      <c r="AB979" s="521" t="s">
        <v>76</v>
      </c>
      <c r="AC979" s="521"/>
      <c r="AD979" s="519"/>
      <c r="AE979" s="519">
        <v>1</v>
      </c>
      <c r="AF979" s="521"/>
      <c r="AG979" s="521">
        <f t="shared" si="375"/>
        <v>-1600</v>
      </c>
      <c r="AH979" s="542"/>
      <c r="AI979" s="521"/>
      <c r="AJ979" s="521"/>
      <c r="AK979" s="521">
        <f>I979</f>
        <v>1600</v>
      </c>
      <c r="AL979" s="543"/>
      <c r="AM979" s="628">
        <f>I979*2</f>
        <v>3200</v>
      </c>
      <c r="AN979" s="628"/>
      <c r="AO979" s="630"/>
      <c r="AP979" s="427"/>
      <c r="AQ979" s="628"/>
      <c r="AR979" s="427">
        <f>I979</f>
        <v>1600</v>
      </c>
      <c r="AS979" s="543"/>
      <c r="AT979" s="544"/>
      <c r="AU979" s="628"/>
      <c r="AV979" s="628"/>
      <c r="AW979" s="628"/>
      <c r="AX979" s="628"/>
      <c r="AY979" s="545">
        <f>I979/24*2</f>
        <v>133.333333333333</v>
      </c>
      <c r="AZ979" s="546"/>
      <c r="BA979" s="628"/>
      <c r="BB979" s="628"/>
      <c r="BC979" s="628"/>
      <c r="BD979" s="628"/>
      <c r="BE979" s="628"/>
      <c r="BF979" s="628"/>
      <c r="BG979" s="628"/>
      <c r="BH979" s="628"/>
      <c r="BI979" s="628"/>
      <c r="BJ979" s="628"/>
      <c r="BK979" s="427"/>
      <c r="BL979" s="628"/>
      <c r="BM979" s="628"/>
      <c r="BN979" s="628"/>
      <c r="BO979" s="628"/>
      <c r="BP979" s="628"/>
      <c r="BQ979" s="628"/>
      <c r="BR979" s="628"/>
      <c r="BS979" s="628"/>
      <c r="BT979" s="544"/>
      <c r="BU979" s="628"/>
      <c r="BV979" s="544">
        <f>I979</f>
        <v>1600</v>
      </c>
      <c r="BW979" s="628"/>
      <c r="BX979" s="628"/>
      <c r="BY979" s="628"/>
      <c r="BZ979" s="628"/>
      <c r="CA979" s="628"/>
      <c r="CB979" s="628"/>
      <c r="CC979" s="628"/>
      <c r="CD979" s="628"/>
      <c r="CE979" s="628"/>
      <c r="CF979" s="628"/>
      <c r="CG979" s="628"/>
      <c r="CH979" s="628"/>
      <c r="CI979" s="628"/>
      <c r="CJ979" s="628"/>
      <c r="CK979" s="427">
        <f t="shared" si="381"/>
        <v>0</v>
      </c>
      <c r="CL979" s="427">
        <f t="shared" si="382"/>
        <v>0</v>
      </c>
      <c r="CM979" s="427">
        <f t="shared" si="383"/>
        <v>0</v>
      </c>
      <c r="CN979" s="544"/>
      <c r="CO979" s="544"/>
      <c r="CP979" s="544"/>
      <c r="CT979" s="544"/>
      <c r="CU979" s="544"/>
      <c r="CV979" s="544"/>
      <c r="CW979" s="544"/>
      <c r="CX979" s="544"/>
    </row>
    <row r="980" s="431" customFormat="1" ht="31" customHeight="1" spans="1:102">
      <c r="A980" s="518">
        <v>45989</v>
      </c>
      <c r="B980" s="519" t="s">
        <v>220</v>
      </c>
      <c r="C980" s="520" t="s">
        <v>90</v>
      </c>
      <c r="D980" s="427">
        <v>4500187344</v>
      </c>
      <c r="E980" s="520" t="s">
        <v>5630</v>
      </c>
      <c r="F980" s="427" t="s">
        <v>5631</v>
      </c>
      <c r="G980" s="521" t="s">
        <v>3198</v>
      </c>
      <c r="H980" s="521" t="s">
        <v>3303</v>
      </c>
      <c r="I980" s="607">
        <v>50000</v>
      </c>
      <c r="J980" s="521">
        <v>0</v>
      </c>
      <c r="K980" s="521">
        <v>25</v>
      </c>
      <c r="L980" s="524">
        <f t="shared" si="369"/>
        <v>2000</v>
      </c>
      <c r="M980" s="525">
        <v>46034</v>
      </c>
      <c r="N980" s="525">
        <v>46030</v>
      </c>
      <c r="O980" s="521"/>
      <c r="P980" s="526" t="s">
        <v>103</v>
      </c>
      <c r="Q980" s="521"/>
      <c r="R980" s="530">
        <v>46006</v>
      </c>
      <c r="S980" s="530" t="s">
        <v>96</v>
      </c>
      <c r="T980" s="530" t="s">
        <v>403</v>
      </c>
      <c r="U980" s="530"/>
      <c r="V980" s="532" t="s">
        <v>5439</v>
      </c>
      <c r="W980" s="532" t="s">
        <v>226</v>
      </c>
      <c r="X980" s="536">
        <v>0.5455</v>
      </c>
      <c r="Y980" s="540">
        <f t="shared" si="374"/>
        <v>27275</v>
      </c>
      <c r="Z980" s="521"/>
      <c r="AA980" s="521" t="s">
        <v>3198</v>
      </c>
      <c r="AB980" s="521" t="s">
        <v>76</v>
      </c>
      <c r="AC980" s="521"/>
      <c r="AD980" s="519"/>
      <c r="AE980" s="519">
        <v>1</v>
      </c>
      <c r="AF980" s="521">
        <v>50000</v>
      </c>
      <c r="AG980" s="521">
        <f t="shared" si="375"/>
        <v>0</v>
      </c>
      <c r="AH980" s="542"/>
      <c r="AI980" s="521"/>
      <c r="AJ980" s="521"/>
      <c r="AK980" s="521">
        <f>I980</f>
        <v>50000</v>
      </c>
      <c r="AL980" s="543"/>
      <c r="AM980" s="628">
        <f>I980</f>
        <v>50000</v>
      </c>
      <c r="AN980" s="628"/>
      <c r="AO980" s="630"/>
      <c r="AP980" s="427"/>
      <c r="AQ980" s="628"/>
      <c r="AR980" s="427">
        <f>I980</f>
        <v>50000</v>
      </c>
      <c r="AS980" s="543"/>
      <c r="AT980" s="544"/>
      <c r="AU980" s="628"/>
      <c r="AV980" s="628"/>
      <c r="AW980" s="628"/>
      <c r="AX980" s="628"/>
      <c r="AY980" s="545">
        <f>I980/24</f>
        <v>2083.33333333333</v>
      </c>
      <c r="AZ980" s="546"/>
      <c r="BA980" s="628"/>
      <c r="BB980" s="628"/>
      <c r="BC980" s="628"/>
      <c r="BD980" s="628"/>
      <c r="BE980" s="628"/>
      <c r="BF980" s="628"/>
      <c r="BG980" s="628"/>
      <c r="BH980" s="628"/>
      <c r="BI980" s="628"/>
      <c r="BJ980" s="628">
        <f>I980/25</f>
        <v>2000</v>
      </c>
      <c r="BK980" s="427"/>
      <c r="BL980" s="628"/>
      <c r="BM980" s="628"/>
      <c r="BN980" s="628"/>
      <c r="BO980" s="628"/>
      <c r="BP980" s="628"/>
      <c r="BQ980" s="628"/>
      <c r="BR980" s="628"/>
      <c r="BS980" s="628"/>
      <c r="BT980" s="544"/>
      <c r="BU980" s="628"/>
      <c r="BV980" s="544"/>
      <c r="BW980" s="628"/>
      <c r="BX980" s="628"/>
      <c r="BY980" s="628"/>
      <c r="BZ980" s="628"/>
      <c r="CA980" s="628"/>
      <c r="CB980" s="628"/>
      <c r="CC980" s="628"/>
      <c r="CD980" s="628"/>
      <c r="CE980" s="628"/>
      <c r="CF980" s="628"/>
      <c r="CG980" s="628"/>
      <c r="CH980" s="628"/>
      <c r="CI980" s="628"/>
      <c r="CJ980" s="628"/>
      <c r="CK980" s="427">
        <f t="shared" si="381"/>
        <v>2000</v>
      </c>
      <c r="CL980" s="427">
        <f t="shared" si="382"/>
        <v>0</v>
      </c>
      <c r="CM980" s="427">
        <f t="shared" si="383"/>
        <v>0</v>
      </c>
      <c r="CN980" s="544"/>
      <c r="CO980" s="544"/>
      <c r="CP980" s="544"/>
      <c r="CT980" s="544"/>
      <c r="CU980" s="544"/>
      <c r="CV980" s="544"/>
      <c r="CW980" s="544"/>
      <c r="CX980" s="544"/>
    </row>
    <row r="981" s="431" customFormat="1" ht="31" customHeight="1" spans="1:102">
      <c r="A981" s="518">
        <v>45990</v>
      </c>
      <c r="B981" s="519" t="s">
        <v>1492</v>
      </c>
      <c r="C981" s="520" t="s">
        <v>249</v>
      </c>
      <c r="D981" s="427">
        <v>4500187431</v>
      </c>
      <c r="E981" s="520">
        <v>4400524894</v>
      </c>
      <c r="F981" s="427" t="s">
        <v>5632</v>
      </c>
      <c r="G981" s="521" t="s">
        <v>3165</v>
      </c>
      <c r="H981" s="521" t="s">
        <v>3303</v>
      </c>
      <c r="I981" s="607">
        <v>12000</v>
      </c>
      <c r="J981" s="521">
        <v>0</v>
      </c>
      <c r="K981" s="521">
        <v>25</v>
      </c>
      <c r="L981" s="524">
        <f t="shared" si="369"/>
        <v>480</v>
      </c>
      <c r="M981" s="525">
        <v>46034</v>
      </c>
      <c r="N981" s="525">
        <v>46030</v>
      </c>
      <c r="O981" s="521"/>
      <c r="P981" s="526" t="s">
        <v>103</v>
      </c>
      <c r="Q981" s="521"/>
      <c r="R981" s="530">
        <v>45990</v>
      </c>
      <c r="S981" s="530" t="s">
        <v>66</v>
      </c>
      <c r="T981" s="530" t="s">
        <v>5427</v>
      </c>
      <c r="U981" s="530"/>
      <c r="V981" s="532" t="s">
        <v>5606</v>
      </c>
      <c r="W981" s="532" t="s">
        <v>1424</v>
      </c>
      <c r="X981" s="536">
        <v>0.9313</v>
      </c>
      <c r="Y981" s="540">
        <f t="shared" si="374"/>
        <v>11175.6</v>
      </c>
      <c r="Z981" s="521"/>
      <c r="AA981" s="521" t="s">
        <v>3165</v>
      </c>
      <c r="AB981" s="521" t="s">
        <v>76</v>
      </c>
      <c r="AC981" s="521"/>
      <c r="AD981" s="519"/>
      <c r="AE981" s="519">
        <v>1</v>
      </c>
      <c r="AF981" s="521">
        <v>12000</v>
      </c>
      <c r="AG981" s="521">
        <f t="shared" si="375"/>
        <v>0</v>
      </c>
      <c r="AH981" s="542"/>
      <c r="AI981" s="521" t="s">
        <v>2191</v>
      </c>
      <c r="AJ981" s="521"/>
      <c r="AK981" s="521"/>
      <c r="AL981" s="543">
        <f>I981</f>
        <v>12000</v>
      </c>
      <c r="AM981" s="628"/>
      <c r="AN981" s="628"/>
      <c r="AO981" s="630"/>
      <c r="AP981" s="427"/>
      <c r="AQ981" s="628">
        <f>I981</f>
        <v>12000</v>
      </c>
      <c r="AR981" s="427"/>
      <c r="AS981" s="543">
        <f>I981</f>
        <v>12000</v>
      </c>
      <c r="AT981" s="544"/>
      <c r="AU981" s="628"/>
      <c r="AV981" s="628"/>
      <c r="AW981" s="628"/>
      <c r="AX981" s="628"/>
      <c r="AY981" s="545">
        <f>I981/24*2</f>
        <v>1000</v>
      </c>
      <c r="AZ981" s="546"/>
      <c r="BA981" s="628"/>
      <c r="BB981" s="628"/>
      <c r="BC981" s="628"/>
      <c r="BD981" s="628"/>
      <c r="BE981" s="628"/>
      <c r="BF981" s="628"/>
      <c r="BG981" s="628"/>
      <c r="BH981" s="628"/>
      <c r="BI981" s="628"/>
      <c r="BJ981" s="628"/>
      <c r="BK981" s="427"/>
      <c r="BL981" s="427">
        <f>I981/25</f>
        <v>480</v>
      </c>
      <c r="BM981" s="628"/>
      <c r="BN981" s="628"/>
      <c r="BO981" s="628"/>
      <c r="BP981" s="628"/>
      <c r="BQ981" s="628"/>
      <c r="BR981" s="628"/>
      <c r="BS981" s="628"/>
      <c r="BT981" s="544"/>
      <c r="BU981" s="628"/>
      <c r="BV981" s="544"/>
      <c r="BW981" s="628"/>
      <c r="BX981" s="628"/>
      <c r="BY981" s="628"/>
      <c r="BZ981" s="628"/>
      <c r="CA981" s="628"/>
      <c r="CB981" s="628"/>
      <c r="CC981" s="628"/>
      <c r="CD981" s="628"/>
      <c r="CE981" s="628"/>
      <c r="CF981" s="628"/>
      <c r="CG981" s="628"/>
      <c r="CH981" s="628"/>
      <c r="CI981" s="628"/>
      <c r="CJ981" s="628"/>
      <c r="CK981" s="427">
        <f t="shared" si="381"/>
        <v>480</v>
      </c>
      <c r="CL981" s="427">
        <f t="shared" si="382"/>
        <v>0</v>
      </c>
      <c r="CM981" s="427">
        <f t="shared" si="383"/>
        <v>0</v>
      </c>
      <c r="CN981" s="544"/>
      <c r="CO981" s="544"/>
      <c r="CP981" s="544"/>
      <c r="CT981" s="544"/>
      <c r="CU981" s="544"/>
      <c r="CV981" s="544"/>
      <c r="CW981" s="544"/>
      <c r="CX981" s="544"/>
    </row>
    <row r="982" s="431" customFormat="1" ht="31" customHeight="1" spans="1:102">
      <c r="A982" s="518">
        <v>45992</v>
      </c>
      <c r="B982" s="519" t="s">
        <v>4175</v>
      </c>
      <c r="C982" s="520" t="s">
        <v>249</v>
      </c>
      <c r="D982" s="427">
        <v>4500187528</v>
      </c>
      <c r="E982" s="520">
        <v>2950867449</v>
      </c>
      <c r="F982" s="427" t="s">
        <v>5633</v>
      </c>
      <c r="G982" s="521" t="s">
        <v>4177</v>
      </c>
      <c r="H982" s="521" t="s">
        <v>4178</v>
      </c>
      <c r="I982" s="607">
        <v>2925</v>
      </c>
      <c r="J982" s="521">
        <v>0</v>
      </c>
      <c r="K982" s="521">
        <v>975</v>
      </c>
      <c r="L982" s="524">
        <f t="shared" si="369"/>
        <v>3</v>
      </c>
      <c r="M982" s="525">
        <v>46034</v>
      </c>
      <c r="N982" s="525">
        <v>46030</v>
      </c>
      <c r="O982" s="521"/>
      <c r="P982" s="526" t="s">
        <v>103</v>
      </c>
      <c r="Q982" s="521"/>
      <c r="R982" s="530">
        <v>45992</v>
      </c>
      <c r="S982" s="530" t="s">
        <v>96</v>
      </c>
      <c r="T982" s="530" t="s">
        <v>5214</v>
      </c>
      <c r="U982" s="530"/>
      <c r="V982" s="532" t="s">
        <v>5634</v>
      </c>
      <c r="W982" s="532" t="s">
        <v>2036</v>
      </c>
      <c r="X982" s="536">
        <v>892.1058</v>
      </c>
      <c r="Y982" s="540">
        <f>X982*L982</f>
        <v>2676.3174</v>
      </c>
      <c r="Z982" s="521"/>
      <c r="AA982" s="521" t="s">
        <v>4177</v>
      </c>
      <c r="AB982" s="521" t="s">
        <v>76</v>
      </c>
      <c r="AC982" s="521"/>
      <c r="AD982" s="519"/>
      <c r="AE982" s="519">
        <v>1</v>
      </c>
      <c r="AF982" s="521">
        <v>2925</v>
      </c>
      <c r="AG982" s="521"/>
      <c r="AH982" s="542"/>
      <c r="AI982" s="521"/>
      <c r="AJ982" s="521"/>
      <c r="AK982" s="521"/>
      <c r="AL982" s="543">
        <f>I982</f>
        <v>2925</v>
      </c>
      <c r="AM982" s="628">
        <f>I982</f>
        <v>2925</v>
      </c>
      <c r="AN982" s="628"/>
      <c r="AO982" s="630"/>
      <c r="AP982" s="427"/>
      <c r="AQ982" s="628"/>
      <c r="AR982" s="427"/>
      <c r="AS982" s="543">
        <f>I982</f>
        <v>2925</v>
      </c>
      <c r="AT982" s="544"/>
      <c r="AU982" s="628"/>
      <c r="AV982" s="628"/>
      <c r="AW982" s="628"/>
      <c r="AX982" s="628"/>
      <c r="AY982" s="545">
        <f>I982/24*2</f>
        <v>243.75</v>
      </c>
      <c r="AZ982" s="546"/>
      <c r="BA982" s="628"/>
      <c r="BB982" s="628"/>
      <c r="BC982" s="628"/>
      <c r="BD982" s="628"/>
      <c r="BE982" s="628"/>
      <c r="BF982" s="628"/>
      <c r="BG982" s="628"/>
      <c r="BH982" s="628"/>
      <c r="BI982" s="628">
        <f>I982/13</f>
        <v>225</v>
      </c>
      <c r="BJ982" s="628"/>
      <c r="BK982" s="427"/>
      <c r="BL982" s="628"/>
      <c r="BM982" s="628"/>
      <c r="BN982" s="628"/>
      <c r="BO982" s="628"/>
      <c r="BP982" s="628"/>
      <c r="BQ982" s="628"/>
      <c r="BR982" s="628"/>
      <c r="BS982" s="628"/>
      <c r="BT982" s="544"/>
      <c r="BU982" s="628"/>
      <c r="BV982" s="544"/>
      <c r="BW982" s="628"/>
      <c r="BX982" s="628"/>
      <c r="BY982" s="628"/>
      <c r="BZ982" s="628"/>
      <c r="CA982" s="628"/>
      <c r="CB982" s="628"/>
      <c r="CC982" s="628"/>
      <c r="CD982" s="628"/>
      <c r="CE982" s="628"/>
      <c r="CF982" s="628"/>
      <c r="CG982" s="628"/>
      <c r="CH982" s="628"/>
      <c r="CI982" s="628"/>
      <c r="CJ982" s="628"/>
      <c r="CK982" s="427">
        <f t="shared" si="381"/>
        <v>0</v>
      </c>
      <c r="CL982" s="427">
        <f t="shared" si="382"/>
        <v>0</v>
      </c>
      <c r="CM982" s="427">
        <f t="shared" si="383"/>
        <v>0</v>
      </c>
      <c r="CN982" s="544"/>
      <c r="CO982" s="544"/>
      <c r="CP982" s="544"/>
      <c r="CT982" s="544"/>
      <c r="CU982" s="544"/>
      <c r="CV982" s="544"/>
      <c r="CW982" s="544"/>
      <c r="CX982" s="544"/>
    </row>
    <row r="983" s="431" customFormat="1" ht="31" customHeight="1" spans="1:102">
      <c r="A983" s="518">
        <v>45951</v>
      </c>
      <c r="B983" s="519" t="s">
        <v>2513</v>
      </c>
      <c r="C983" s="520" t="s">
        <v>153</v>
      </c>
      <c r="D983" s="427">
        <v>4500182548</v>
      </c>
      <c r="E983" s="520">
        <v>942104</v>
      </c>
      <c r="F983" s="427" t="s">
        <v>5635</v>
      </c>
      <c r="G983" s="521" t="s">
        <v>3272</v>
      </c>
      <c r="H983" s="521" t="s">
        <v>3207</v>
      </c>
      <c r="I983" s="607">
        <v>520</v>
      </c>
      <c r="J983" s="521">
        <v>0</v>
      </c>
      <c r="K983" s="521">
        <v>13</v>
      </c>
      <c r="L983" s="524">
        <f t="shared" si="369"/>
        <v>40</v>
      </c>
      <c r="M983" s="525">
        <v>46034</v>
      </c>
      <c r="N983" s="525">
        <v>46030</v>
      </c>
      <c r="O983" s="521"/>
      <c r="P983" s="526" t="s">
        <v>103</v>
      </c>
      <c r="Q983" s="521"/>
      <c r="R983" s="530" t="s">
        <v>5636</v>
      </c>
      <c r="S983" s="530" t="s">
        <v>66</v>
      </c>
      <c r="T983" s="530" t="s">
        <v>66</v>
      </c>
      <c r="U983" s="530"/>
      <c r="V983" s="532" t="s">
        <v>5637</v>
      </c>
      <c r="W983" s="532" t="s">
        <v>1213</v>
      </c>
      <c r="X983" s="536">
        <v>0.9265</v>
      </c>
      <c r="Y983" s="540">
        <f>X983*I983</f>
        <v>481.78</v>
      </c>
      <c r="Z983" s="521"/>
      <c r="AA983" s="521" t="s">
        <v>3272</v>
      </c>
      <c r="AB983" s="521" t="s">
        <v>76</v>
      </c>
      <c r="AC983" s="521"/>
      <c r="AD983" s="519"/>
      <c r="AE983" s="519">
        <v>1</v>
      </c>
      <c r="AF983" s="521">
        <v>520</v>
      </c>
      <c r="AG983" s="521">
        <f>AF983-I983</f>
        <v>0</v>
      </c>
      <c r="AH983" s="542"/>
      <c r="AI983" s="521"/>
      <c r="AJ983" s="521"/>
      <c r="AK983" s="521">
        <f>I983</f>
        <v>520</v>
      </c>
      <c r="AL983" s="543"/>
      <c r="AM983" s="628"/>
      <c r="AN983" s="628"/>
      <c r="AO983" s="630"/>
      <c r="AP983" s="427">
        <f>I983</f>
        <v>520</v>
      </c>
      <c r="AQ983" s="628"/>
      <c r="AR983" s="427">
        <f>I983</f>
        <v>520</v>
      </c>
      <c r="AS983" s="543"/>
      <c r="AT983" s="544"/>
      <c r="AU983" s="628"/>
      <c r="AV983" s="628"/>
      <c r="AW983" s="628"/>
      <c r="AX983" s="628"/>
      <c r="AY983" s="545">
        <f>I983/24</f>
        <v>21.6666666666667</v>
      </c>
      <c r="AZ983" s="546"/>
      <c r="BA983" s="628"/>
      <c r="BB983" s="628"/>
      <c r="BC983" s="628"/>
      <c r="BD983" s="628"/>
      <c r="BE983" s="628"/>
      <c r="BF983" s="628"/>
      <c r="BG983" s="628"/>
      <c r="BH983" s="628">
        <f>I983/13</f>
        <v>40</v>
      </c>
      <c r="BI983" s="628"/>
      <c r="BJ983" s="628"/>
      <c r="BK983" s="427"/>
      <c r="BL983" s="628"/>
      <c r="BM983" s="628"/>
      <c r="BN983" s="628"/>
      <c r="BO983" s="628"/>
      <c r="BP983" s="628"/>
      <c r="BQ983" s="628"/>
      <c r="BR983" s="628"/>
      <c r="BS983" s="628"/>
      <c r="BT983" s="544"/>
      <c r="BU983" s="628"/>
      <c r="BV983" s="544"/>
      <c r="BW983" s="628"/>
      <c r="BX983" s="628"/>
      <c r="BY983" s="628"/>
      <c r="BZ983" s="628"/>
      <c r="CA983" s="628"/>
      <c r="CB983" s="628"/>
      <c r="CC983" s="628"/>
      <c r="CD983" s="628"/>
      <c r="CE983" s="628"/>
      <c r="CF983" s="628"/>
      <c r="CG983" s="628"/>
      <c r="CH983" s="628"/>
      <c r="CI983" s="628"/>
      <c r="CJ983" s="628"/>
      <c r="CK983" s="427">
        <f t="shared" si="381"/>
        <v>0</v>
      </c>
      <c r="CL983" s="427">
        <f t="shared" si="382"/>
        <v>0</v>
      </c>
      <c r="CM983" s="427">
        <f t="shared" si="383"/>
        <v>0</v>
      </c>
      <c r="CN983" s="544"/>
      <c r="CO983" s="544"/>
      <c r="CP983" s="544"/>
      <c r="CT983" s="544"/>
      <c r="CU983" s="544"/>
      <c r="CV983" s="544"/>
      <c r="CW983" s="544"/>
      <c r="CX983" s="544"/>
    </row>
    <row r="984" s="431" customFormat="1" ht="31" customHeight="1" spans="1:102">
      <c r="A984" s="518">
        <v>46015</v>
      </c>
      <c r="B984" s="519"/>
      <c r="C984" s="520"/>
      <c r="D984" s="427" t="s">
        <v>5638</v>
      </c>
      <c r="E984" s="520"/>
      <c r="F984" s="427"/>
      <c r="G984" s="521" t="s">
        <v>3378</v>
      </c>
      <c r="H984" s="521" t="s">
        <v>3379</v>
      </c>
      <c r="I984" s="607" t="s">
        <v>5639</v>
      </c>
      <c r="J984" s="521">
        <v>0</v>
      </c>
      <c r="K984" s="521">
        <v>50</v>
      </c>
      <c r="L984" s="524" t="e">
        <f t="shared" si="369"/>
        <v>#VALUE!</v>
      </c>
      <c r="M984" s="525">
        <v>46034</v>
      </c>
      <c r="N984" s="525">
        <v>46030</v>
      </c>
      <c r="O984" s="521"/>
      <c r="P984" s="526"/>
      <c r="Q984" s="521"/>
      <c r="R984" s="530">
        <v>46015</v>
      </c>
      <c r="S984" s="530" t="s">
        <v>66</v>
      </c>
      <c r="T984" s="530" t="s">
        <v>66</v>
      </c>
      <c r="U984" s="530"/>
      <c r="V984" s="532" t="s">
        <v>5640</v>
      </c>
      <c r="W984" s="532"/>
      <c r="X984" s="536"/>
      <c r="Y984" s="540"/>
      <c r="Z984" s="521"/>
      <c r="AA984" s="521" t="s">
        <v>3378</v>
      </c>
      <c r="AB984" s="521" t="s">
        <v>5500</v>
      </c>
      <c r="AC984" s="521"/>
      <c r="AD984" s="519"/>
      <c r="AE984" s="519"/>
      <c r="AF984" s="521"/>
      <c r="AG984" s="521" t="str">
        <f>I984</f>
        <v>30个满PDQ</v>
      </c>
      <c r="AH984" s="542"/>
      <c r="AI984" s="521"/>
      <c r="AJ984" s="521"/>
      <c r="AK984" s="521"/>
      <c r="AL984" s="543">
        <f>30*25</f>
        <v>750</v>
      </c>
      <c r="AM984" s="628"/>
      <c r="AN984" s="628"/>
      <c r="AO984" s="630"/>
      <c r="AP984" s="427"/>
      <c r="AQ984" s="628"/>
      <c r="AR984" s="427"/>
      <c r="AS984" s="543"/>
      <c r="AT984" s="544"/>
      <c r="AU984" s="628"/>
      <c r="AV984" s="628"/>
      <c r="AW984" s="628"/>
      <c r="AX984" s="628"/>
      <c r="AY984" s="545">
        <f>AL984/24</f>
        <v>31.25</v>
      </c>
      <c r="AZ984" s="546"/>
      <c r="BA984" s="628"/>
      <c r="BB984" s="628"/>
      <c r="BC984" s="628"/>
      <c r="BD984" s="628"/>
      <c r="BE984" s="628"/>
      <c r="BF984" s="628"/>
      <c r="BG984" s="628"/>
      <c r="BH984" s="628"/>
      <c r="BI984" s="628"/>
      <c r="BJ984" s="628"/>
      <c r="BK984" s="427"/>
      <c r="BL984" s="628"/>
      <c r="BM984" s="628"/>
      <c r="BN984" s="628"/>
      <c r="BO984" s="628"/>
      <c r="BP984" s="628"/>
      <c r="BQ984" s="628"/>
      <c r="BR984" s="628">
        <v>750</v>
      </c>
      <c r="BS984" s="628">
        <v>30</v>
      </c>
      <c r="BT984" s="544"/>
      <c r="BU984" s="628"/>
      <c r="BV984" s="544"/>
      <c r="BW984" s="628"/>
      <c r="BX984" s="628"/>
      <c r="BY984" s="628"/>
      <c r="BZ984" s="628"/>
      <c r="CA984" s="628"/>
      <c r="CB984" s="628"/>
      <c r="CC984" s="628"/>
      <c r="CD984" s="628"/>
      <c r="CE984" s="628"/>
      <c r="CF984" s="628"/>
      <c r="CG984" s="628"/>
      <c r="CH984" s="628"/>
      <c r="CI984" s="628"/>
      <c r="CJ984" s="628"/>
      <c r="CK984" s="428">
        <f t="shared" si="381"/>
        <v>30</v>
      </c>
      <c r="CL984" s="428">
        <f t="shared" si="382"/>
        <v>0</v>
      </c>
      <c r="CM984" s="428">
        <f t="shared" si="383"/>
        <v>0</v>
      </c>
      <c r="CN984" s="544"/>
      <c r="CO984" s="544"/>
      <c r="CP984" s="544"/>
      <c r="CT984" s="544"/>
      <c r="CU984" s="544"/>
      <c r="CV984" s="544"/>
      <c r="CW984" s="544"/>
      <c r="CX984" s="544"/>
    </row>
    <row r="985" s="431" customFormat="1" ht="31" customHeight="1" spans="1:102">
      <c r="A985" s="518">
        <v>45968</v>
      </c>
      <c r="B985" s="519" t="s">
        <v>788</v>
      </c>
      <c r="C985" s="520" t="s">
        <v>90</v>
      </c>
      <c r="D985" s="427">
        <v>4500184978</v>
      </c>
      <c r="E985" s="520" t="s">
        <v>5641</v>
      </c>
      <c r="F985" s="427" t="s">
        <v>5642</v>
      </c>
      <c r="G985" s="521" t="s">
        <v>3272</v>
      </c>
      <c r="H985" s="521" t="s">
        <v>3207</v>
      </c>
      <c r="I985" s="607">
        <v>9893</v>
      </c>
      <c r="J985" s="521">
        <v>0</v>
      </c>
      <c r="K985" s="521">
        <v>13</v>
      </c>
      <c r="L985" s="524">
        <f t="shared" ref="L985:L1048" si="384">I985/K985</f>
        <v>761</v>
      </c>
      <c r="M985" s="525">
        <v>46036</v>
      </c>
      <c r="N985" s="525">
        <v>46032</v>
      </c>
      <c r="O985" s="521" t="s">
        <v>5643</v>
      </c>
      <c r="P985" s="526" t="s">
        <v>103</v>
      </c>
      <c r="Q985" s="521"/>
      <c r="R985" s="530">
        <v>45985</v>
      </c>
      <c r="S985" s="530" t="s">
        <v>66</v>
      </c>
      <c r="T985" s="530" t="s">
        <v>66</v>
      </c>
      <c r="U985" s="530"/>
      <c r="V985" s="532" t="s">
        <v>5644</v>
      </c>
      <c r="W985" s="532" t="s">
        <v>794</v>
      </c>
      <c r="X985" s="536">
        <v>0.5497</v>
      </c>
      <c r="Y985" s="540">
        <f t="shared" ref="Y985:Y1022" si="385">X985*I985</f>
        <v>5438.1821</v>
      </c>
      <c r="Z985" s="521"/>
      <c r="AA985" s="521" t="s">
        <v>3359</v>
      </c>
      <c r="AB985" s="521" t="s">
        <v>76</v>
      </c>
      <c r="AC985" s="521"/>
      <c r="AD985" s="519"/>
      <c r="AE985" s="519">
        <v>1</v>
      </c>
      <c r="AF985" s="521">
        <v>9893</v>
      </c>
      <c r="AG985" s="521">
        <f t="shared" ref="AG985:AG1001" si="386">AF985-I985</f>
        <v>0</v>
      </c>
      <c r="AH985" s="542"/>
      <c r="AI985" s="521"/>
      <c r="AJ985" s="521"/>
      <c r="AK985" s="521">
        <f>I985</f>
        <v>9893</v>
      </c>
      <c r="AL985" s="543"/>
      <c r="AM985" s="628">
        <f>I985</f>
        <v>9893</v>
      </c>
      <c r="AN985" s="628"/>
      <c r="AO985" s="630"/>
      <c r="AP985" s="427"/>
      <c r="AQ985" s="628"/>
      <c r="AR985" s="427">
        <f>I985</f>
        <v>9893</v>
      </c>
      <c r="AS985" s="543"/>
      <c r="AT985" s="544"/>
      <c r="AU985" s="628"/>
      <c r="AV985" s="628"/>
      <c r="AW985" s="628"/>
      <c r="AX985" s="628"/>
      <c r="AY985" s="545">
        <f>I985/24</f>
        <v>412.208333333333</v>
      </c>
      <c r="AZ985" s="546"/>
      <c r="BA985" s="628"/>
      <c r="BB985" s="628"/>
      <c r="BC985" s="628"/>
      <c r="BD985" s="628"/>
      <c r="BE985" s="628"/>
      <c r="BF985" s="628"/>
      <c r="BG985" s="628">
        <f>I985/13</f>
        <v>761</v>
      </c>
      <c r="BH985" s="628"/>
      <c r="BI985" s="628"/>
      <c r="BJ985" s="628"/>
      <c r="BK985" s="427"/>
      <c r="BL985" s="628"/>
      <c r="BM985" s="628"/>
      <c r="BN985" s="628"/>
      <c r="BO985" s="628"/>
      <c r="BP985" s="628"/>
      <c r="BQ985" s="628"/>
      <c r="BR985" s="628"/>
      <c r="BS985" s="628"/>
      <c r="BT985" s="544"/>
      <c r="BU985" s="628"/>
      <c r="BV985" s="544"/>
      <c r="BW985" s="628"/>
      <c r="BX985" s="628"/>
      <c r="BY985" s="628"/>
      <c r="BZ985" s="628"/>
      <c r="CA985" s="628"/>
      <c r="CB985" s="628"/>
      <c r="CC985" s="628"/>
      <c r="CD985" s="628"/>
      <c r="CE985" s="628"/>
      <c r="CF985" s="628"/>
      <c r="CG985" s="628"/>
      <c r="CH985" s="628"/>
      <c r="CI985" s="628"/>
      <c r="CJ985" s="628"/>
      <c r="CK985" s="427">
        <f t="shared" si="381"/>
        <v>0</v>
      </c>
      <c r="CL985" s="427">
        <f t="shared" si="382"/>
        <v>0</v>
      </c>
      <c r="CM985" s="427">
        <f t="shared" si="383"/>
        <v>0</v>
      </c>
      <c r="CN985" s="544"/>
      <c r="CO985" s="544"/>
      <c r="CP985" s="544"/>
      <c r="CT985" s="544"/>
      <c r="CU985" s="544"/>
      <c r="CV985" s="544"/>
      <c r="CW985" s="544"/>
      <c r="CX985" s="544"/>
    </row>
    <row r="986" s="431" customFormat="1" ht="31" customHeight="1" spans="1:102">
      <c r="A986" s="518">
        <v>45952</v>
      </c>
      <c r="B986" s="519" t="s">
        <v>1669</v>
      </c>
      <c r="C986" s="520" t="s">
        <v>663</v>
      </c>
      <c r="D986" s="427">
        <v>4500178919</v>
      </c>
      <c r="E986" s="520">
        <v>5000001988</v>
      </c>
      <c r="F986" s="427" t="s">
        <v>2525</v>
      </c>
      <c r="G986" s="521" t="s">
        <v>3436</v>
      </c>
      <c r="H986" s="521" t="s">
        <v>424</v>
      </c>
      <c r="I986" s="607">
        <v>660</v>
      </c>
      <c r="J986" s="521">
        <v>0</v>
      </c>
      <c r="K986" s="521">
        <v>6</v>
      </c>
      <c r="L986" s="524">
        <f t="shared" si="384"/>
        <v>110</v>
      </c>
      <c r="M986" s="525">
        <v>46037</v>
      </c>
      <c r="N986" s="525">
        <v>46034</v>
      </c>
      <c r="O986" s="521"/>
      <c r="P986" s="526" t="s">
        <v>103</v>
      </c>
      <c r="Q986" s="521"/>
      <c r="R986" s="530">
        <v>45960</v>
      </c>
      <c r="S986" s="530" t="s">
        <v>96</v>
      </c>
      <c r="T986" s="530" t="s">
        <v>5063</v>
      </c>
      <c r="U986" s="530"/>
      <c r="V986" s="532" t="s">
        <v>2538</v>
      </c>
      <c r="W986" s="532" t="s">
        <v>1674</v>
      </c>
      <c r="X986" s="536">
        <v>6.3409</v>
      </c>
      <c r="Y986" s="540">
        <f t="shared" si="385"/>
        <v>4184.994</v>
      </c>
      <c r="Z986" s="521"/>
      <c r="AA986" s="521" t="s">
        <v>2069</v>
      </c>
      <c r="AB986" s="521" t="s">
        <v>76</v>
      </c>
      <c r="AC986" s="521"/>
      <c r="AD986" s="519"/>
      <c r="AE986" s="519" t="s">
        <v>5645</v>
      </c>
      <c r="AF986" s="521"/>
      <c r="AG986" s="521">
        <f t="shared" si="386"/>
        <v>-660</v>
      </c>
      <c r="AH986" s="542"/>
      <c r="AI986" s="521" t="s">
        <v>403</v>
      </c>
      <c r="AJ986" s="521"/>
      <c r="AK986" s="521"/>
      <c r="AL986" s="543">
        <f>I986*2</f>
        <v>1320</v>
      </c>
      <c r="AM986" s="628"/>
      <c r="AN986" s="628"/>
      <c r="AO986" s="630"/>
      <c r="AP986" s="427"/>
      <c r="AQ986" s="628">
        <f>I986</f>
        <v>660</v>
      </c>
      <c r="AR986" s="427"/>
      <c r="AS986" s="543"/>
      <c r="AT986" s="544"/>
      <c r="AU986" s="628">
        <f>I986*2</f>
        <v>1320</v>
      </c>
      <c r="AV986" s="628"/>
      <c r="AW986" s="628"/>
      <c r="AX986" s="628">
        <f>I986/24*2</f>
        <v>55</v>
      </c>
      <c r="AY986" s="545"/>
      <c r="AZ986" s="546"/>
      <c r="BA986" s="628"/>
      <c r="BB986" s="628"/>
      <c r="BC986" s="628"/>
      <c r="BD986" s="628"/>
      <c r="BE986" s="628"/>
      <c r="BF986" s="628"/>
      <c r="BG986" s="628"/>
      <c r="BH986" s="628"/>
      <c r="BI986" s="628"/>
      <c r="BJ986" s="628"/>
      <c r="BK986" s="427"/>
      <c r="BL986" s="628"/>
      <c r="BM986" s="628"/>
      <c r="BN986" s="628"/>
      <c r="BO986" s="628"/>
      <c r="BP986" s="628"/>
      <c r="BQ986" s="628"/>
      <c r="BR986" s="628"/>
      <c r="BS986" s="628"/>
      <c r="BT986" s="544"/>
      <c r="BU986" s="628">
        <f>I986</f>
        <v>660</v>
      </c>
      <c r="BV986" s="544"/>
      <c r="BW986" s="628"/>
      <c r="BX986" s="628"/>
      <c r="BY986" s="628"/>
      <c r="BZ986" s="628"/>
      <c r="CA986" s="628"/>
      <c r="CB986" s="628"/>
      <c r="CC986" s="628"/>
      <c r="CD986" s="628"/>
      <c r="CE986" s="628"/>
      <c r="CF986" s="628"/>
      <c r="CG986" s="628"/>
      <c r="CH986" s="628"/>
      <c r="CI986" s="628"/>
      <c r="CJ986" s="628"/>
      <c r="CK986" s="427">
        <f t="shared" si="381"/>
        <v>0</v>
      </c>
      <c r="CL986" s="427">
        <f t="shared" si="382"/>
        <v>0</v>
      </c>
      <c r="CM986" s="427">
        <f t="shared" si="383"/>
        <v>0</v>
      </c>
      <c r="CN986" s="544"/>
      <c r="CO986" s="544"/>
      <c r="CP986" s="544"/>
      <c r="CQ986" s="427"/>
      <c r="CR986" s="427"/>
      <c r="CS986" s="427"/>
      <c r="CT986" s="544"/>
      <c r="CU986" s="544"/>
      <c r="CV986" s="544"/>
      <c r="CW986" s="544"/>
      <c r="CX986" s="544"/>
    </row>
    <row r="987" s="431" customFormat="1" ht="31" customHeight="1" spans="1:102">
      <c r="A987" s="518">
        <v>45961</v>
      </c>
      <c r="B987" s="519" t="s">
        <v>1669</v>
      </c>
      <c r="C987" s="520" t="s">
        <v>663</v>
      </c>
      <c r="D987" s="427">
        <v>4500178919</v>
      </c>
      <c r="E987" s="520">
        <v>5000001988</v>
      </c>
      <c r="F987" s="427" t="s">
        <v>2534</v>
      </c>
      <c r="G987" s="521" t="s">
        <v>3436</v>
      </c>
      <c r="H987" s="521" t="s">
        <v>424</v>
      </c>
      <c r="I987" s="607">
        <v>1800</v>
      </c>
      <c r="J987" s="521">
        <v>0</v>
      </c>
      <c r="K987" s="521">
        <v>6</v>
      </c>
      <c r="L987" s="524">
        <f t="shared" si="384"/>
        <v>300</v>
      </c>
      <c r="M987" s="525">
        <v>46037</v>
      </c>
      <c r="N987" s="525">
        <v>46034</v>
      </c>
      <c r="O987" s="521"/>
      <c r="P987" s="526" t="s">
        <v>103</v>
      </c>
      <c r="Q987" s="521"/>
      <c r="R987" s="530">
        <v>45960</v>
      </c>
      <c r="S987" s="530" t="s">
        <v>96</v>
      </c>
      <c r="T987" s="530" t="s">
        <v>5063</v>
      </c>
      <c r="U987" s="530"/>
      <c r="V987" s="532" t="s">
        <v>2538</v>
      </c>
      <c r="W987" s="532" t="s">
        <v>1674</v>
      </c>
      <c r="X987" s="536">
        <v>6.3409</v>
      </c>
      <c r="Y987" s="540">
        <f t="shared" si="385"/>
        <v>11413.62</v>
      </c>
      <c r="Z987" s="521"/>
      <c r="AA987" s="521" t="s">
        <v>2069</v>
      </c>
      <c r="AB987" s="521" t="s">
        <v>76</v>
      </c>
      <c r="AC987" s="521"/>
      <c r="AD987" s="519"/>
      <c r="AE987" s="519" t="s">
        <v>5645</v>
      </c>
      <c r="AF987" s="521"/>
      <c r="AG987" s="521">
        <f t="shared" si="386"/>
        <v>-1800</v>
      </c>
      <c r="AH987" s="542"/>
      <c r="AI987" s="521" t="s">
        <v>403</v>
      </c>
      <c r="AJ987" s="521"/>
      <c r="AK987" s="521"/>
      <c r="AL987" s="543">
        <f>I987*2</f>
        <v>3600</v>
      </c>
      <c r="AM987" s="628"/>
      <c r="AN987" s="628"/>
      <c r="AO987" s="630"/>
      <c r="AP987" s="427"/>
      <c r="AQ987" s="628">
        <f>I987</f>
        <v>1800</v>
      </c>
      <c r="AR987" s="427"/>
      <c r="AS987" s="543"/>
      <c r="AT987" s="544"/>
      <c r="AU987" s="628">
        <f>I987*2</f>
        <v>3600</v>
      </c>
      <c r="AV987" s="628"/>
      <c r="AW987" s="628"/>
      <c r="AX987" s="628">
        <f>I987/24*2</f>
        <v>150</v>
      </c>
      <c r="AY987" s="545"/>
      <c r="AZ987" s="546"/>
      <c r="BA987" s="628"/>
      <c r="BB987" s="628"/>
      <c r="BC987" s="628"/>
      <c r="BD987" s="628"/>
      <c r="BE987" s="628"/>
      <c r="BF987" s="628"/>
      <c r="BG987" s="628"/>
      <c r="BH987" s="628"/>
      <c r="BI987" s="628"/>
      <c r="BJ987" s="628"/>
      <c r="BK987" s="427"/>
      <c r="BL987" s="628"/>
      <c r="BM987" s="628"/>
      <c r="BN987" s="628"/>
      <c r="BO987" s="628"/>
      <c r="BP987" s="628"/>
      <c r="BQ987" s="628"/>
      <c r="BR987" s="628"/>
      <c r="BS987" s="628"/>
      <c r="BT987" s="544"/>
      <c r="BU987" s="628">
        <f>I987</f>
        <v>1800</v>
      </c>
      <c r="BV987" s="544"/>
      <c r="BW987" s="628"/>
      <c r="BX987" s="628"/>
      <c r="BY987" s="628"/>
      <c r="BZ987" s="628"/>
      <c r="CA987" s="628"/>
      <c r="CB987" s="628"/>
      <c r="CC987" s="628"/>
      <c r="CD987" s="628"/>
      <c r="CE987" s="628"/>
      <c r="CF987" s="628"/>
      <c r="CG987" s="628"/>
      <c r="CH987" s="628"/>
      <c r="CI987" s="628"/>
      <c r="CJ987" s="628"/>
      <c r="CK987" s="427">
        <f t="shared" si="381"/>
        <v>0</v>
      </c>
      <c r="CL987" s="427">
        <f t="shared" si="382"/>
        <v>0</v>
      </c>
      <c r="CM987" s="427">
        <f t="shared" si="383"/>
        <v>0</v>
      </c>
      <c r="CN987" s="544"/>
      <c r="CO987" s="544"/>
      <c r="CP987" s="544"/>
      <c r="CQ987" s="427"/>
      <c r="CR987" s="427"/>
      <c r="CS987" s="427"/>
      <c r="CT987" s="544"/>
      <c r="CU987" s="544"/>
      <c r="CV987" s="544"/>
      <c r="CW987" s="544"/>
      <c r="CX987" s="544"/>
    </row>
    <row r="988" s="431" customFormat="1" ht="31" customHeight="1" spans="1:102">
      <c r="A988" s="518">
        <v>45974</v>
      </c>
      <c r="B988" s="519" t="s">
        <v>1669</v>
      </c>
      <c r="C988" s="520" t="s">
        <v>663</v>
      </c>
      <c r="D988" s="427">
        <v>4500178919</v>
      </c>
      <c r="E988" s="520">
        <v>5000001988</v>
      </c>
      <c r="F988" s="427" t="s">
        <v>2537</v>
      </c>
      <c r="G988" s="521" t="s">
        <v>3436</v>
      </c>
      <c r="H988" s="521" t="s">
        <v>424</v>
      </c>
      <c r="I988" s="607">
        <v>1200</v>
      </c>
      <c r="J988" s="521">
        <v>0</v>
      </c>
      <c r="K988" s="521">
        <v>6</v>
      </c>
      <c r="L988" s="524">
        <f t="shared" si="384"/>
        <v>200</v>
      </c>
      <c r="M988" s="525">
        <v>46037</v>
      </c>
      <c r="N988" s="525">
        <v>46034</v>
      </c>
      <c r="O988" s="521"/>
      <c r="P988" s="526" t="s">
        <v>103</v>
      </c>
      <c r="Q988" s="521"/>
      <c r="R988" s="530">
        <v>45960</v>
      </c>
      <c r="S988" s="530" t="s">
        <v>96</v>
      </c>
      <c r="T988" s="530" t="s">
        <v>5646</v>
      </c>
      <c r="U988" s="530"/>
      <c r="V988" s="532" t="s">
        <v>2538</v>
      </c>
      <c r="W988" s="532" t="s">
        <v>1674</v>
      </c>
      <c r="X988" s="536">
        <v>6.3409</v>
      </c>
      <c r="Y988" s="540">
        <f t="shared" si="385"/>
        <v>7609.08</v>
      </c>
      <c r="Z988" s="521"/>
      <c r="AA988" s="521" t="s">
        <v>2069</v>
      </c>
      <c r="AB988" s="521" t="s">
        <v>76</v>
      </c>
      <c r="AC988" s="521"/>
      <c r="AD988" s="519"/>
      <c r="AE988" s="519" t="s">
        <v>5645</v>
      </c>
      <c r="AF988" s="521"/>
      <c r="AG988" s="521">
        <f t="shared" si="386"/>
        <v>-1200</v>
      </c>
      <c r="AH988" s="542"/>
      <c r="AI988" s="521" t="s">
        <v>403</v>
      </c>
      <c r="AJ988" s="521"/>
      <c r="AK988" s="521"/>
      <c r="AL988" s="543">
        <f>I988*2</f>
        <v>2400</v>
      </c>
      <c r="AM988" s="628"/>
      <c r="AN988" s="628"/>
      <c r="AO988" s="630"/>
      <c r="AP988" s="427"/>
      <c r="AQ988" s="628">
        <f>I988</f>
        <v>1200</v>
      </c>
      <c r="AR988" s="427"/>
      <c r="AS988" s="543"/>
      <c r="AT988" s="544"/>
      <c r="AU988" s="628">
        <f>I988*2</f>
        <v>2400</v>
      </c>
      <c r="AV988" s="628"/>
      <c r="AW988" s="628"/>
      <c r="AX988" s="628">
        <f>I988/24*2</f>
        <v>100</v>
      </c>
      <c r="AY988" s="545"/>
      <c r="AZ988" s="546"/>
      <c r="BA988" s="628"/>
      <c r="BB988" s="628"/>
      <c r="BC988" s="628"/>
      <c r="BD988" s="628"/>
      <c r="BE988" s="628"/>
      <c r="BF988" s="628"/>
      <c r="BG988" s="628"/>
      <c r="BH988" s="628"/>
      <c r="BI988" s="628"/>
      <c r="BJ988" s="628"/>
      <c r="BK988" s="427"/>
      <c r="BL988" s="628"/>
      <c r="BM988" s="628"/>
      <c r="BN988" s="628"/>
      <c r="BO988" s="628"/>
      <c r="BP988" s="628"/>
      <c r="BQ988" s="628"/>
      <c r="BR988" s="628"/>
      <c r="BS988" s="628"/>
      <c r="BT988" s="544"/>
      <c r="BU988" s="628">
        <f>I988</f>
        <v>1200</v>
      </c>
      <c r="BV988" s="544"/>
      <c r="BW988" s="628"/>
      <c r="BX988" s="628"/>
      <c r="BY988" s="628"/>
      <c r="BZ988" s="628"/>
      <c r="CA988" s="628"/>
      <c r="CB988" s="628"/>
      <c r="CC988" s="628"/>
      <c r="CD988" s="628"/>
      <c r="CE988" s="628"/>
      <c r="CF988" s="628"/>
      <c r="CG988" s="628"/>
      <c r="CH988" s="628"/>
      <c r="CI988" s="628"/>
      <c r="CJ988" s="628"/>
      <c r="CK988" s="427">
        <f t="shared" si="381"/>
        <v>0</v>
      </c>
      <c r="CL988" s="427">
        <f t="shared" si="382"/>
        <v>0</v>
      </c>
      <c r="CM988" s="427">
        <f t="shared" si="383"/>
        <v>0</v>
      </c>
      <c r="CN988" s="544"/>
      <c r="CO988" s="544"/>
      <c r="CP988" s="544"/>
      <c r="CQ988" s="427"/>
      <c r="CR988" s="427"/>
      <c r="CS988" s="427"/>
      <c r="CT988" s="544"/>
      <c r="CU988" s="544"/>
      <c r="CV988" s="544"/>
      <c r="CW988" s="544"/>
      <c r="CX988" s="544"/>
    </row>
    <row r="989" s="431" customFormat="1" ht="31" customHeight="1" spans="1:102">
      <c r="A989" s="518">
        <v>45982</v>
      </c>
      <c r="B989" s="519" t="s">
        <v>1383</v>
      </c>
      <c r="C989" s="520" t="s">
        <v>90</v>
      </c>
      <c r="D989" s="427">
        <v>4500186570</v>
      </c>
      <c r="E989" s="520" t="s">
        <v>5647</v>
      </c>
      <c r="F989" s="427" t="s">
        <v>5648</v>
      </c>
      <c r="G989" s="521" t="s">
        <v>4564</v>
      </c>
      <c r="H989" s="521" t="s">
        <v>3237</v>
      </c>
      <c r="I989" s="607">
        <v>624</v>
      </c>
      <c r="J989" s="521">
        <v>0</v>
      </c>
      <c r="K989" s="521">
        <v>12</v>
      </c>
      <c r="L989" s="524">
        <f t="shared" si="384"/>
        <v>52</v>
      </c>
      <c r="M989" s="525">
        <v>46037</v>
      </c>
      <c r="N989" s="525">
        <v>46034</v>
      </c>
      <c r="O989" s="521"/>
      <c r="P989" s="526" t="s">
        <v>103</v>
      </c>
      <c r="Q989" s="521"/>
      <c r="R989" s="530">
        <v>45982</v>
      </c>
      <c r="S989" s="530" t="s">
        <v>96</v>
      </c>
      <c r="T989" s="530" t="s">
        <v>5649</v>
      </c>
      <c r="U989" s="530"/>
      <c r="V989" s="532" t="s">
        <v>5322</v>
      </c>
      <c r="W989" s="532" t="s">
        <v>113</v>
      </c>
      <c r="X989" s="536">
        <v>1.3094</v>
      </c>
      <c r="Y989" s="540">
        <f t="shared" si="385"/>
        <v>817.0656</v>
      </c>
      <c r="Z989" s="521"/>
      <c r="AA989" s="521" t="s">
        <v>5650</v>
      </c>
      <c r="AB989" s="521" t="s">
        <v>76</v>
      </c>
      <c r="AC989" s="521"/>
      <c r="AD989" s="519"/>
      <c r="AE989" s="519">
        <v>1</v>
      </c>
      <c r="AF989" s="521">
        <v>624</v>
      </c>
      <c r="AG989" s="521">
        <f t="shared" si="386"/>
        <v>0</v>
      </c>
      <c r="AH989" s="542"/>
      <c r="AI989" s="521" t="s">
        <v>2191</v>
      </c>
      <c r="AJ989" s="521"/>
      <c r="AK989" s="521">
        <f t="shared" ref="AK989:AK996" si="387">I989*2</f>
        <v>1248</v>
      </c>
      <c r="AL989" s="543"/>
      <c r="AM989" s="628">
        <f t="shared" ref="AM989:AM994" si="388">I989*2</f>
        <v>1248</v>
      </c>
      <c r="AN989" s="628"/>
      <c r="AO989" s="630"/>
      <c r="AP989" s="427"/>
      <c r="AQ989" s="628"/>
      <c r="AR989" s="427">
        <f t="shared" ref="AR989:AR994" si="389">I989*2</f>
        <v>1248</v>
      </c>
      <c r="AS989" s="543"/>
      <c r="AT989" s="544"/>
      <c r="AU989" s="628"/>
      <c r="AV989" s="628"/>
      <c r="AW989" s="628"/>
      <c r="AX989" s="628"/>
      <c r="AY989" s="545">
        <f t="shared" ref="AY989:AY996" si="390">I989/24*2</f>
        <v>52</v>
      </c>
      <c r="AZ989" s="546"/>
      <c r="BA989" s="628"/>
      <c r="BB989" s="628"/>
      <c r="BC989" s="628"/>
      <c r="BD989" s="628"/>
      <c r="BE989" s="628"/>
      <c r="BF989" s="628"/>
      <c r="BG989" s="628"/>
      <c r="BH989" s="628"/>
      <c r="BI989" s="628"/>
      <c r="BJ989" s="628"/>
      <c r="BK989" s="427"/>
      <c r="BL989" s="628"/>
      <c r="BM989" s="628"/>
      <c r="BN989" s="628"/>
      <c r="BO989" s="628"/>
      <c r="BP989" s="628"/>
      <c r="BQ989" s="628"/>
      <c r="BR989" s="628"/>
      <c r="BS989" s="628"/>
      <c r="BT989" s="544"/>
      <c r="BU989" s="628"/>
      <c r="BV989" s="544"/>
      <c r="BW989" s="628"/>
      <c r="BX989" s="628"/>
      <c r="BY989" s="628"/>
      <c r="BZ989" s="628"/>
      <c r="CA989" s="628"/>
      <c r="CB989" s="628"/>
      <c r="CC989" s="628"/>
      <c r="CD989" s="628"/>
      <c r="CE989" s="628"/>
      <c r="CF989" s="628"/>
      <c r="CG989" s="628"/>
      <c r="CH989" s="628">
        <f t="shared" ref="CH989:CH996" si="391">I989</f>
        <v>624</v>
      </c>
      <c r="CI989" s="628">
        <f t="shared" ref="CI989:CI996" si="392">I989</f>
        <v>624</v>
      </c>
      <c r="CJ989" s="628">
        <f t="shared" ref="CJ989:CJ996" si="393">I989</f>
        <v>624</v>
      </c>
      <c r="CK989" s="427">
        <v>0</v>
      </c>
      <c r="CL989" s="427">
        <v>0</v>
      </c>
      <c r="CM989" s="427">
        <v>0</v>
      </c>
      <c r="CN989" s="544"/>
      <c r="CO989" s="544"/>
      <c r="CP989" s="544"/>
      <c r="CT989" s="544"/>
      <c r="CU989" s="544"/>
      <c r="CV989" s="544"/>
      <c r="CW989" s="544"/>
      <c r="CX989" s="544"/>
    </row>
    <row r="990" s="431" customFormat="1" ht="31" customHeight="1" spans="1:102">
      <c r="A990" s="518">
        <v>45982</v>
      </c>
      <c r="B990" s="519" t="s">
        <v>1383</v>
      </c>
      <c r="C990" s="520" t="s">
        <v>90</v>
      </c>
      <c r="D990" s="427">
        <v>4500186572</v>
      </c>
      <c r="E990" s="520" t="s">
        <v>5651</v>
      </c>
      <c r="F990" s="427" t="s">
        <v>5652</v>
      </c>
      <c r="G990" s="521" t="s">
        <v>4564</v>
      </c>
      <c r="H990" s="521" t="s">
        <v>3237</v>
      </c>
      <c r="I990" s="607">
        <v>4572</v>
      </c>
      <c r="J990" s="521">
        <v>0</v>
      </c>
      <c r="K990" s="521">
        <v>12</v>
      </c>
      <c r="L990" s="524">
        <f t="shared" si="384"/>
        <v>381</v>
      </c>
      <c r="M990" s="525">
        <v>46037</v>
      </c>
      <c r="N990" s="525">
        <v>46034</v>
      </c>
      <c r="O990" s="521"/>
      <c r="P990" s="526" t="s">
        <v>103</v>
      </c>
      <c r="Q990" s="521"/>
      <c r="R990" s="530">
        <v>45982</v>
      </c>
      <c r="S990" s="530" t="s">
        <v>96</v>
      </c>
      <c r="T990" s="530" t="s">
        <v>5649</v>
      </c>
      <c r="U990" s="530"/>
      <c r="V990" s="532" t="s">
        <v>5653</v>
      </c>
      <c r="W990" s="532" t="s">
        <v>113</v>
      </c>
      <c r="X990" s="536">
        <v>1.3031</v>
      </c>
      <c r="Y990" s="540">
        <f t="shared" si="385"/>
        <v>5957.7732</v>
      </c>
      <c r="Z990" s="521"/>
      <c r="AA990" s="521" t="s">
        <v>5650</v>
      </c>
      <c r="AB990" s="521" t="s">
        <v>76</v>
      </c>
      <c r="AC990" s="521"/>
      <c r="AD990" s="519"/>
      <c r="AE990" s="519" t="s">
        <v>114</v>
      </c>
      <c r="AF990" s="521">
        <v>4572</v>
      </c>
      <c r="AG990" s="521">
        <f t="shared" si="386"/>
        <v>0</v>
      </c>
      <c r="AH990" s="542"/>
      <c r="AI990" s="521" t="s">
        <v>2191</v>
      </c>
      <c r="AJ990" s="521"/>
      <c r="AK990" s="521">
        <f t="shared" si="387"/>
        <v>9144</v>
      </c>
      <c r="AL990" s="543"/>
      <c r="AM990" s="628">
        <f t="shared" si="388"/>
        <v>9144</v>
      </c>
      <c r="AN990" s="628"/>
      <c r="AO990" s="630"/>
      <c r="AP990" s="427"/>
      <c r="AQ990" s="628"/>
      <c r="AR990" s="427">
        <f t="shared" si="389"/>
        <v>9144</v>
      </c>
      <c r="AS990" s="543"/>
      <c r="AT990" s="544"/>
      <c r="AU990" s="628"/>
      <c r="AV990" s="628"/>
      <c r="AW990" s="628"/>
      <c r="AX990" s="628"/>
      <c r="AY990" s="545">
        <f t="shared" si="390"/>
        <v>381</v>
      </c>
      <c r="AZ990" s="546"/>
      <c r="BA990" s="628"/>
      <c r="BB990" s="628"/>
      <c r="BC990" s="628"/>
      <c r="BD990" s="628"/>
      <c r="BE990" s="628"/>
      <c r="BF990" s="628"/>
      <c r="BG990" s="628"/>
      <c r="BH990" s="628"/>
      <c r="BI990" s="628"/>
      <c r="BJ990" s="628"/>
      <c r="BK990" s="427"/>
      <c r="BL990" s="628"/>
      <c r="BM990" s="628"/>
      <c r="BN990" s="628"/>
      <c r="BO990" s="628"/>
      <c r="BP990" s="628"/>
      <c r="BQ990" s="628"/>
      <c r="BR990" s="628"/>
      <c r="BS990" s="628"/>
      <c r="BT990" s="544"/>
      <c r="BU990" s="628"/>
      <c r="BV990" s="544"/>
      <c r="BW990" s="628"/>
      <c r="BX990" s="628"/>
      <c r="BY990" s="628"/>
      <c r="BZ990" s="628"/>
      <c r="CA990" s="628"/>
      <c r="CB990" s="628"/>
      <c r="CC990" s="628"/>
      <c r="CD990" s="628"/>
      <c r="CE990" s="628"/>
      <c r="CF990" s="628"/>
      <c r="CG990" s="628"/>
      <c r="CH990" s="628">
        <f t="shared" si="391"/>
        <v>4572</v>
      </c>
      <c r="CI990" s="628">
        <f t="shared" si="392"/>
        <v>4572</v>
      </c>
      <c r="CJ990" s="628">
        <f t="shared" si="393"/>
        <v>4572</v>
      </c>
      <c r="CK990" s="427">
        <v>0</v>
      </c>
      <c r="CL990" s="427">
        <v>0</v>
      </c>
      <c r="CM990" s="427">
        <v>0</v>
      </c>
      <c r="CN990" s="544"/>
      <c r="CO990" s="544"/>
      <c r="CP990" s="544"/>
      <c r="CT990" s="544"/>
      <c r="CU990" s="544"/>
      <c r="CV990" s="544"/>
      <c r="CW990" s="544"/>
      <c r="CX990" s="544"/>
    </row>
    <row r="991" s="431" customFormat="1" ht="31" customHeight="1" spans="1:102">
      <c r="A991" s="518">
        <v>45982</v>
      </c>
      <c r="B991" s="519" t="s">
        <v>1383</v>
      </c>
      <c r="C991" s="520" t="s">
        <v>90</v>
      </c>
      <c r="D991" s="427">
        <v>4500186574</v>
      </c>
      <c r="E991" s="520" t="s">
        <v>5654</v>
      </c>
      <c r="F991" s="427" t="s">
        <v>5655</v>
      </c>
      <c r="G991" s="521" t="s">
        <v>4564</v>
      </c>
      <c r="H991" s="521" t="s">
        <v>3237</v>
      </c>
      <c r="I991" s="607">
        <v>408</v>
      </c>
      <c r="J991" s="521">
        <v>0</v>
      </c>
      <c r="K991" s="521">
        <v>12</v>
      </c>
      <c r="L991" s="524">
        <f t="shared" si="384"/>
        <v>34</v>
      </c>
      <c r="M991" s="525">
        <v>46037</v>
      </c>
      <c r="N991" s="525">
        <v>46034</v>
      </c>
      <c r="O991" s="521"/>
      <c r="P991" s="526" t="s">
        <v>103</v>
      </c>
      <c r="Q991" s="521"/>
      <c r="R991" s="530">
        <v>45982</v>
      </c>
      <c r="S991" s="530" t="s">
        <v>96</v>
      </c>
      <c r="T991" s="530" t="s">
        <v>5649</v>
      </c>
      <c r="U991" s="530"/>
      <c r="V991" s="532" t="s">
        <v>5653</v>
      </c>
      <c r="W991" s="532" t="s">
        <v>113</v>
      </c>
      <c r="X991" s="536">
        <v>1.2591</v>
      </c>
      <c r="Y991" s="540">
        <f t="shared" si="385"/>
        <v>513.7128</v>
      </c>
      <c r="Z991" s="521"/>
      <c r="AA991" s="521" t="s">
        <v>5650</v>
      </c>
      <c r="AB991" s="521" t="s">
        <v>76</v>
      </c>
      <c r="AC991" s="521"/>
      <c r="AD991" s="519"/>
      <c r="AE991" s="519">
        <v>1</v>
      </c>
      <c r="AF991" s="521">
        <v>408</v>
      </c>
      <c r="AG991" s="521">
        <f t="shared" si="386"/>
        <v>0</v>
      </c>
      <c r="AH991" s="542"/>
      <c r="AI991" s="521" t="s">
        <v>2191</v>
      </c>
      <c r="AJ991" s="521"/>
      <c r="AK991" s="521">
        <f t="shared" si="387"/>
        <v>816</v>
      </c>
      <c r="AL991" s="543"/>
      <c r="AM991" s="628">
        <f t="shared" si="388"/>
        <v>816</v>
      </c>
      <c r="AN991" s="628"/>
      <c r="AO991" s="630"/>
      <c r="AP991" s="427"/>
      <c r="AQ991" s="628"/>
      <c r="AR991" s="427">
        <f t="shared" si="389"/>
        <v>816</v>
      </c>
      <c r="AS991" s="543"/>
      <c r="AT991" s="544"/>
      <c r="AU991" s="628"/>
      <c r="AV991" s="628"/>
      <c r="AW991" s="628"/>
      <c r="AX991" s="628"/>
      <c r="AY991" s="545">
        <f t="shared" si="390"/>
        <v>34</v>
      </c>
      <c r="AZ991" s="546"/>
      <c r="BA991" s="628"/>
      <c r="BB991" s="628"/>
      <c r="BC991" s="628"/>
      <c r="BD991" s="628"/>
      <c r="BE991" s="628"/>
      <c r="BF991" s="628"/>
      <c r="BG991" s="628"/>
      <c r="BH991" s="628"/>
      <c r="BI991" s="628"/>
      <c r="BJ991" s="628"/>
      <c r="BK991" s="427"/>
      <c r="BL991" s="628"/>
      <c r="BM991" s="628"/>
      <c r="BN991" s="628"/>
      <c r="BO991" s="628"/>
      <c r="BP991" s="628"/>
      <c r="BQ991" s="628"/>
      <c r="BR991" s="628"/>
      <c r="BS991" s="628"/>
      <c r="BT991" s="544"/>
      <c r="BU991" s="628"/>
      <c r="BV991" s="544"/>
      <c r="BW991" s="628"/>
      <c r="BX991" s="628"/>
      <c r="BY991" s="628"/>
      <c r="BZ991" s="628"/>
      <c r="CA991" s="628"/>
      <c r="CB991" s="628"/>
      <c r="CC991" s="628"/>
      <c r="CD991" s="628"/>
      <c r="CE991" s="628"/>
      <c r="CF991" s="628"/>
      <c r="CG991" s="628"/>
      <c r="CH991" s="628">
        <f t="shared" si="391"/>
        <v>408</v>
      </c>
      <c r="CI991" s="628">
        <f t="shared" si="392"/>
        <v>408</v>
      </c>
      <c r="CJ991" s="628">
        <f t="shared" si="393"/>
        <v>408</v>
      </c>
      <c r="CK991" s="427">
        <v>0</v>
      </c>
      <c r="CL991" s="427">
        <v>0</v>
      </c>
      <c r="CM991" s="427">
        <v>0</v>
      </c>
      <c r="CN991" s="544"/>
      <c r="CO991" s="544"/>
      <c r="CP991" s="544"/>
      <c r="CT991" s="544"/>
      <c r="CU991" s="544"/>
      <c r="CV991" s="544"/>
      <c r="CW991" s="544"/>
      <c r="CX991" s="544"/>
    </row>
    <row r="992" s="431" customFormat="1" ht="31" customHeight="1" spans="1:102">
      <c r="A992" s="518">
        <v>45982</v>
      </c>
      <c r="B992" s="519" t="s">
        <v>1383</v>
      </c>
      <c r="C992" s="520" t="s">
        <v>90</v>
      </c>
      <c r="D992" s="427">
        <v>4500186574</v>
      </c>
      <c r="E992" s="520" t="s">
        <v>5656</v>
      </c>
      <c r="F992" s="427" t="s">
        <v>5657</v>
      </c>
      <c r="G992" s="521" t="s">
        <v>4564</v>
      </c>
      <c r="H992" s="521" t="s">
        <v>3237</v>
      </c>
      <c r="I992" s="607">
        <v>10464</v>
      </c>
      <c r="J992" s="521">
        <v>0</v>
      </c>
      <c r="K992" s="521">
        <v>12</v>
      </c>
      <c r="L992" s="524">
        <f t="shared" si="384"/>
        <v>872</v>
      </c>
      <c r="M992" s="525">
        <v>46037</v>
      </c>
      <c r="N992" s="525">
        <v>46034</v>
      </c>
      <c r="O992" s="521"/>
      <c r="P992" s="526" t="s">
        <v>103</v>
      </c>
      <c r="Q992" s="521"/>
      <c r="R992" s="530">
        <v>45982</v>
      </c>
      <c r="S992" s="530" t="s">
        <v>96</v>
      </c>
      <c r="T992" s="530" t="s">
        <v>5649</v>
      </c>
      <c r="U992" s="530"/>
      <c r="V992" s="532" t="s">
        <v>5653</v>
      </c>
      <c r="W992" s="532" t="s">
        <v>113</v>
      </c>
      <c r="X992" s="536">
        <v>1.2814</v>
      </c>
      <c r="Y992" s="540">
        <f t="shared" si="385"/>
        <v>13408.5696</v>
      </c>
      <c r="Z992" s="521"/>
      <c r="AA992" s="521" t="s">
        <v>5650</v>
      </c>
      <c r="AB992" s="521" t="s">
        <v>76</v>
      </c>
      <c r="AC992" s="521"/>
      <c r="AD992" s="519"/>
      <c r="AE992" s="519">
        <v>1</v>
      </c>
      <c r="AF992" s="521">
        <v>10464</v>
      </c>
      <c r="AG992" s="521">
        <f t="shared" si="386"/>
        <v>0</v>
      </c>
      <c r="AH992" s="542"/>
      <c r="AI992" s="521" t="s">
        <v>2191</v>
      </c>
      <c r="AJ992" s="521"/>
      <c r="AK992" s="521">
        <f t="shared" si="387"/>
        <v>20928</v>
      </c>
      <c r="AL992" s="543"/>
      <c r="AM992" s="628">
        <f t="shared" si="388"/>
        <v>20928</v>
      </c>
      <c r="AN992" s="628"/>
      <c r="AO992" s="630"/>
      <c r="AP992" s="427"/>
      <c r="AQ992" s="628"/>
      <c r="AR992" s="427">
        <f t="shared" si="389"/>
        <v>20928</v>
      </c>
      <c r="AS992" s="543"/>
      <c r="AT992" s="544"/>
      <c r="AU992" s="628"/>
      <c r="AV992" s="628"/>
      <c r="AW992" s="628"/>
      <c r="AX992" s="628"/>
      <c r="AY992" s="545">
        <f t="shared" si="390"/>
        <v>872</v>
      </c>
      <c r="AZ992" s="546"/>
      <c r="BA992" s="628"/>
      <c r="BB992" s="628"/>
      <c r="BC992" s="628"/>
      <c r="BD992" s="628"/>
      <c r="BE992" s="628"/>
      <c r="BF992" s="628"/>
      <c r="BG992" s="628"/>
      <c r="BH992" s="628"/>
      <c r="BI992" s="628"/>
      <c r="BJ992" s="628"/>
      <c r="BK992" s="427"/>
      <c r="BL992" s="628"/>
      <c r="BM992" s="628"/>
      <c r="BN992" s="628"/>
      <c r="BO992" s="628"/>
      <c r="BP992" s="628"/>
      <c r="BQ992" s="628"/>
      <c r="BR992" s="628"/>
      <c r="BS992" s="628"/>
      <c r="BT992" s="544"/>
      <c r="BU992" s="628"/>
      <c r="BV992" s="544"/>
      <c r="BW992" s="628"/>
      <c r="BX992" s="628"/>
      <c r="BY992" s="628"/>
      <c r="BZ992" s="628"/>
      <c r="CA992" s="628"/>
      <c r="CB992" s="628"/>
      <c r="CC992" s="628"/>
      <c r="CD992" s="628"/>
      <c r="CE992" s="628"/>
      <c r="CF992" s="628"/>
      <c r="CG992" s="628"/>
      <c r="CH992" s="628">
        <f t="shared" si="391"/>
        <v>10464</v>
      </c>
      <c r="CI992" s="628">
        <f t="shared" si="392"/>
        <v>10464</v>
      </c>
      <c r="CJ992" s="628">
        <f t="shared" si="393"/>
        <v>10464</v>
      </c>
      <c r="CK992" s="427">
        <v>0</v>
      </c>
      <c r="CL992" s="427">
        <v>0</v>
      </c>
      <c r="CM992" s="427">
        <v>0</v>
      </c>
      <c r="CN992" s="544"/>
      <c r="CO992" s="544"/>
      <c r="CP992" s="544"/>
      <c r="CT992" s="544"/>
      <c r="CU992" s="544"/>
      <c r="CV992" s="544"/>
      <c r="CW992" s="544"/>
      <c r="CX992" s="544"/>
    </row>
    <row r="993" s="431" customFormat="1" ht="31" customHeight="1" spans="1:102">
      <c r="A993" s="518">
        <v>45982</v>
      </c>
      <c r="B993" s="519" t="s">
        <v>1383</v>
      </c>
      <c r="C993" s="520" t="s">
        <v>90</v>
      </c>
      <c r="D993" s="427">
        <v>4500186575</v>
      </c>
      <c r="E993" s="520" t="s">
        <v>5658</v>
      </c>
      <c r="F993" s="427" t="s">
        <v>5659</v>
      </c>
      <c r="G993" s="521" t="s">
        <v>4564</v>
      </c>
      <c r="H993" s="521" t="s">
        <v>3237</v>
      </c>
      <c r="I993" s="607">
        <v>2664</v>
      </c>
      <c r="J993" s="521">
        <v>0</v>
      </c>
      <c r="K993" s="521">
        <v>12</v>
      </c>
      <c r="L993" s="524">
        <f t="shared" si="384"/>
        <v>222</v>
      </c>
      <c r="M993" s="525">
        <v>46037</v>
      </c>
      <c r="N993" s="525">
        <v>46034</v>
      </c>
      <c r="O993" s="521"/>
      <c r="P993" s="526" t="s">
        <v>103</v>
      </c>
      <c r="Q993" s="521"/>
      <c r="R993" s="530">
        <v>45982</v>
      </c>
      <c r="S993" s="530" t="s">
        <v>96</v>
      </c>
      <c r="T993" s="530" t="s">
        <v>5649</v>
      </c>
      <c r="U993" s="530"/>
      <c r="V993" s="532" t="s">
        <v>5660</v>
      </c>
      <c r="W993" s="532" t="s">
        <v>113</v>
      </c>
      <c r="X993" s="536">
        <v>1.2871</v>
      </c>
      <c r="Y993" s="540">
        <f t="shared" si="385"/>
        <v>3428.8344</v>
      </c>
      <c r="Z993" s="521"/>
      <c r="AA993" s="521" t="s">
        <v>5650</v>
      </c>
      <c r="AB993" s="521" t="s">
        <v>76</v>
      </c>
      <c r="AC993" s="521"/>
      <c r="AD993" s="519"/>
      <c r="AE993" s="519">
        <v>1</v>
      </c>
      <c r="AF993" s="521">
        <v>2664</v>
      </c>
      <c r="AG993" s="521">
        <f t="shared" si="386"/>
        <v>0</v>
      </c>
      <c r="AH993" s="542"/>
      <c r="AI993" s="521" t="s">
        <v>2191</v>
      </c>
      <c r="AJ993" s="521"/>
      <c r="AK993" s="521">
        <f t="shared" si="387"/>
        <v>5328</v>
      </c>
      <c r="AL993" s="543"/>
      <c r="AM993" s="628">
        <f t="shared" si="388"/>
        <v>5328</v>
      </c>
      <c r="AN993" s="628"/>
      <c r="AO993" s="630"/>
      <c r="AP993" s="427"/>
      <c r="AQ993" s="628"/>
      <c r="AR993" s="427">
        <f t="shared" si="389"/>
        <v>5328</v>
      </c>
      <c r="AS993" s="543"/>
      <c r="AT993" s="544"/>
      <c r="AU993" s="628"/>
      <c r="AV993" s="628"/>
      <c r="AW993" s="628"/>
      <c r="AX993" s="628"/>
      <c r="AY993" s="545">
        <f t="shared" si="390"/>
        <v>222</v>
      </c>
      <c r="AZ993" s="546"/>
      <c r="BA993" s="628"/>
      <c r="BB993" s="628"/>
      <c r="BC993" s="628"/>
      <c r="BD993" s="628"/>
      <c r="BE993" s="628"/>
      <c r="BF993" s="628"/>
      <c r="BG993" s="628"/>
      <c r="BH993" s="628"/>
      <c r="BI993" s="628"/>
      <c r="BJ993" s="628"/>
      <c r="BK993" s="427"/>
      <c r="BL993" s="628"/>
      <c r="BM993" s="628"/>
      <c r="BN993" s="628"/>
      <c r="BO993" s="628"/>
      <c r="BP993" s="628"/>
      <c r="BQ993" s="628"/>
      <c r="BR993" s="628"/>
      <c r="BS993" s="628"/>
      <c r="BT993" s="544"/>
      <c r="BU993" s="628"/>
      <c r="BV993" s="544"/>
      <c r="BW993" s="628"/>
      <c r="BX993" s="628"/>
      <c r="BY993" s="628"/>
      <c r="BZ993" s="628"/>
      <c r="CA993" s="628"/>
      <c r="CB993" s="628"/>
      <c r="CC993" s="628"/>
      <c r="CD993" s="628"/>
      <c r="CE993" s="628"/>
      <c r="CF993" s="628"/>
      <c r="CG993" s="628"/>
      <c r="CH993" s="628">
        <f t="shared" si="391"/>
        <v>2664</v>
      </c>
      <c r="CI993" s="628">
        <f t="shared" si="392"/>
        <v>2664</v>
      </c>
      <c r="CJ993" s="628">
        <f t="shared" si="393"/>
        <v>2664</v>
      </c>
      <c r="CK993" s="427">
        <v>0</v>
      </c>
      <c r="CL993" s="427">
        <v>0</v>
      </c>
      <c r="CM993" s="427">
        <v>0</v>
      </c>
      <c r="CN993" s="544"/>
      <c r="CO993" s="544"/>
      <c r="CP993" s="544"/>
      <c r="CT993" s="544"/>
      <c r="CU993" s="544"/>
      <c r="CV993" s="544"/>
      <c r="CW993" s="544"/>
      <c r="CX993" s="544"/>
    </row>
    <row r="994" s="431" customFormat="1" ht="31" customHeight="1" spans="1:102">
      <c r="A994" s="518">
        <v>45982</v>
      </c>
      <c r="B994" s="519" t="s">
        <v>1383</v>
      </c>
      <c r="C994" s="520" t="s">
        <v>90</v>
      </c>
      <c r="D994" s="427">
        <v>4500186575</v>
      </c>
      <c r="E994" s="520" t="s">
        <v>5661</v>
      </c>
      <c r="F994" s="427" t="s">
        <v>5662</v>
      </c>
      <c r="G994" s="521" t="s">
        <v>4564</v>
      </c>
      <c r="H994" s="521" t="s">
        <v>3237</v>
      </c>
      <c r="I994" s="607">
        <v>96</v>
      </c>
      <c r="J994" s="521">
        <v>0</v>
      </c>
      <c r="K994" s="521">
        <v>12</v>
      </c>
      <c r="L994" s="524">
        <f t="shared" si="384"/>
        <v>8</v>
      </c>
      <c r="M994" s="525">
        <v>46037</v>
      </c>
      <c r="N994" s="525">
        <v>46034</v>
      </c>
      <c r="O994" s="521"/>
      <c r="P994" s="526" t="s">
        <v>103</v>
      </c>
      <c r="Q994" s="521"/>
      <c r="R994" s="530">
        <v>45982</v>
      </c>
      <c r="S994" s="530" t="s">
        <v>96</v>
      </c>
      <c r="T994" s="530" t="s">
        <v>5649</v>
      </c>
      <c r="U994" s="530"/>
      <c r="V994" s="532" t="s">
        <v>5660</v>
      </c>
      <c r="W994" s="532" t="s">
        <v>113</v>
      </c>
      <c r="X994" s="536">
        <v>1.3094</v>
      </c>
      <c r="Y994" s="540">
        <f t="shared" si="385"/>
        <v>125.7024</v>
      </c>
      <c r="Z994" s="521"/>
      <c r="AA994" s="521" t="s">
        <v>5650</v>
      </c>
      <c r="AB994" s="521" t="s">
        <v>76</v>
      </c>
      <c r="AC994" s="521"/>
      <c r="AD994" s="519"/>
      <c r="AE994" s="519">
        <v>1</v>
      </c>
      <c r="AF994" s="521">
        <v>96</v>
      </c>
      <c r="AG994" s="521">
        <f t="shared" si="386"/>
        <v>0</v>
      </c>
      <c r="AH994" s="542"/>
      <c r="AI994" s="521" t="s">
        <v>2191</v>
      </c>
      <c r="AJ994" s="521"/>
      <c r="AK994" s="521">
        <f t="shared" si="387"/>
        <v>192</v>
      </c>
      <c r="AL994" s="543"/>
      <c r="AM994" s="628">
        <f t="shared" si="388"/>
        <v>192</v>
      </c>
      <c r="AN994" s="628"/>
      <c r="AO994" s="630"/>
      <c r="AP994" s="427"/>
      <c r="AQ994" s="628"/>
      <c r="AR994" s="427">
        <f t="shared" si="389"/>
        <v>192</v>
      </c>
      <c r="AS994" s="543"/>
      <c r="AT994" s="544"/>
      <c r="AU994" s="628"/>
      <c r="AV994" s="628"/>
      <c r="AW994" s="628"/>
      <c r="AX994" s="628"/>
      <c r="AY994" s="545">
        <f t="shared" si="390"/>
        <v>8</v>
      </c>
      <c r="AZ994" s="546"/>
      <c r="BA994" s="628"/>
      <c r="BB994" s="628"/>
      <c r="BC994" s="628"/>
      <c r="BD994" s="628"/>
      <c r="BE994" s="628"/>
      <c r="BF994" s="628"/>
      <c r="BG994" s="628"/>
      <c r="BH994" s="628"/>
      <c r="BI994" s="628"/>
      <c r="BJ994" s="628"/>
      <c r="BK994" s="427"/>
      <c r="BL994" s="628"/>
      <c r="BM994" s="628"/>
      <c r="BN994" s="628"/>
      <c r="BO994" s="628"/>
      <c r="BP994" s="628"/>
      <c r="BQ994" s="628"/>
      <c r="BR994" s="628"/>
      <c r="BS994" s="628"/>
      <c r="BT994" s="544"/>
      <c r="BU994" s="628"/>
      <c r="BV994" s="544"/>
      <c r="BW994" s="628"/>
      <c r="BX994" s="628"/>
      <c r="BY994" s="628"/>
      <c r="BZ994" s="628"/>
      <c r="CA994" s="628"/>
      <c r="CB994" s="628"/>
      <c r="CC994" s="628"/>
      <c r="CD994" s="628"/>
      <c r="CE994" s="628"/>
      <c r="CF994" s="628"/>
      <c r="CG994" s="628"/>
      <c r="CH994" s="628">
        <f t="shared" si="391"/>
        <v>96</v>
      </c>
      <c r="CI994" s="628">
        <f t="shared" si="392"/>
        <v>96</v>
      </c>
      <c r="CJ994" s="628">
        <f t="shared" si="393"/>
        <v>96</v>
      </c>
      <c r="CK994" s="427">
        <v>0</v>
      </c>
      <c r="CL994" s="427">
        <v>0</v>
      </c>
      <c r="CM994" s="427">
        <v>0</v>
      </c>
      <c r="CN994" s="544"/>
      <c r="CO994" s="544"/>
      <c r="CP994" s="544"/>
      <c r="CT994" s="544"/>
      <c r="CU994" s="544"/>
      <c r="CV994" s="544"/>
      <c r="CW994" s="544"/>
      <c r="CX994" s="544"/>
    </row>
    <row r="995" s="431" customFormat="1" ht="31" customHeight="1" spans="1:102">
      <c r="A995" s="518">
        <v>45971</v>
      </c>
      <c r="B995" s="519" t="s">
        <v>2542</v>
      </c>
      <c r="C995" s="520" t="s">
        <v>2543</v>
      </c>
      <c r="D995" s="427">
        <v>4500185120</v>
      </c>
      <c r="E995" s="520"/>
      <c r="F995" s="427" t="s">
        <v>5663</v>
      </c>
      <c r="G995" s="521" t="s">
        <v>3378</v>
      </c>
      <c r="H995" s="521" t="s">
        <v>3379</v>
      </c>
      <c r="I995" s="607">
        <v>1500</v>
      </c>
      <c r="J995" s="521">
        <v>0</v>
      </c>
      <c r="K995" s="521">
        <v>50</v>
      </c>
      <c r="L995" s="524">
        <f t="shared" si="384"/>
        <v>30</v>
      </c>
      <c r="M995" s="525">
        <v>46037</v>
      </c>
      <c r="N995" s="525">
        <v>46034</v>
      </c>
      <c r="O995" s="521"/>
      <c r="P995" s="526" t="s">
        <v>103</v>
      </c>
      <c r="Q995" s="521"/>
      <c r="R995" s="530">
        <v>45982</v>
      </c>
      <c r="S995" s="530" t="s">
        <v>66</v>
      </c>
      <c r="T995" s="530" t="s">
        <v>66</v>
      </c>
      <c r="U995" s="530"/>
      <c r="V995" s="532" t="s">
        <v>5664</v>
      </c>
      <c r="W995" s="532" t="s">
        <v>473</v>
      </c>
      <c r="X995" s="536">
        <v>0.924</v>
      </c>
      <c r="Y995" s="540">
        <f t="shared" si="385"/>
        <v>1386</v>
      </c>
      <c r="Z995" s="521"/>
      <c r="AA995" s="521" t="s">
        <v>3378</v>
      </c>
      <c r="AB995" s="521" t="s">
        <v>76</v>
      </c>
      <c r="AC995" s="521"/>
      <c r="AD995" s="519"/>
      <c r="AE995" s="519">
        <v>1</v>
      </c>
      <c r="AF995" s="521">
        <v>1500</v>
      </c>
      <c r="AG995" s="521">
        <f t="shared" si="386"/>
        <v>0</v>
      </c>
      <c r="AH995" s="542"/>
      <c r="AI995" s="521"/>
      <c r="AJ995" s="521"/>
      <c r="AK995" s="521"/>
      <c r="AL995" s="543">
        <f>I995</f>
        <v>1500</v>
      </c>
      <c r="AM995" s="628"/>
      <c r="AN995" s="628"/>
      <c r="AO995" s="630"/>
      <c r="AP995" s="427"/>
      <c r="AQ995" s="628"/>
      <c r="AR995" s="427"/>
      <c r="AS995" s="543"/>
      <c r="AT995" s="544"/>
      <c r="AU995" s="628"/>
      <c r="AV995" s="628"/>
      <c r="AW995" s="628"/>
      <c r="AX995" s="628"/>
      <c r="AY995" s="545">
        <f>I995/24</f>
        <v>62.5</v>
      </c>
      <c r="AZ995" s="546"/>
      <c r="BA995" s="628"/>
      <c r="BB995" s="628"/>
      <c r="BC995" s="628"/>
      <c r="BD995" s="628"/>
      <c r="BE995" s="628"/>
      <c r="BF995" s="628"/>
      <c r="BG995" s="628"/>
      <c r="BH995" s="628"/>
      <c r="BI995" s="628"/>
      <c r="BJ995" s="628"/>
      <c r="BK995" s="427"/>
      <c r="BL995" s="628"/>
      <c r="BM995" s="628"/>
      <c r="BN995" s="628"/>
      <c r="BO995" s="628"/>
      <c r="BP995" s="628"/>
      <c r="BQ995" s="628">
        <f>I995</f>
        <v>1500</v>
      </c>
      <c r="BR995" s="628">
        <f>I995</f>
        <v>1500</v>
      </c>
      <c r="BS995" s="628">
        <f>I995/25</f>
        <v>60</v>
      </c>
      <c r="BT995" s="544"/>
      <c r="BU995" s="628"/>
      <c r="BV995" s="544"/>
      <c r="BW995" s="628"/>
      <c r="BX995" s="628"/>
      <c r="BY995" s="628"/>
      <c r="BZ995" s="628"/>
      <c r="CA995" s="628"/>
      <c r="CB995" s="628"/>
      <c r="CC995" s="628"/>
      <c r="CD995" s="628"/>
      <c r="CE995" s="628"/>
      <c r="CF995" s="628"/>
      <c r="CG995" s="628"/>
      <c r="CH995" s="628"/>
      <c r="CI995" s="628"/>
      <c r="CJ995" s="628"/>
      <c r="CK995" s="427">
        <f>BM995+BL995+BK995+BJ995+BS995</f>
        <v>60</v>
      </c>
      <c r="CL995" s="427">
        <f>CA995+CB995+CC995+CD995+CE995+CG995+CF995</f>
        <v>0</v>
      </c>
      <c r="CM995" s="427">
        <f>BY995+BZ995</f>
        <v>0</v>
      </c>
      <c r="CN995" s="544"/>
      <c r="CO995" s="544"/>
      <c r="CP995" s="544"/>
      <c r="CT995" s="544"/>
      <c r="CU995" s="544"/>
      <c r="CV995" s="544"/>
      <c r="CW995" s="544"/>
      <c r="CX995" s="544"/>
    </row>
    <row r="996" s="431" customFormat="1" ht="31" customHeight="1" spans="1:102">
      <c r="A996" s="518">
        <v>45995</v>
      </c>
      <c r="B996" s="519" t="s">
        <v>4799</v>
      </c>
      <c r="C996" s="520" t="s">
        <v>249</v>
      </c>
      <c r="D996" s="427">
        <v>4500188028</v>
      </c>
      <c r="E996" s="520">
        <v>87878414</v>
      </c>
      <c r="F996" s="427" t="s">
        <v>5665</v>
      </c>
      <c r="G996" s="521" t="s">
        <v>3245</v>
      </c>
      <c r="H996" s="521" t="s">
        <v>3246</v>
      </c>
      <c r="I996" s="607">
        <v>4576</v>
      </c>
      <c r="J996" s="521">
        <v>13</v>
      </c>
      <c r="K996" s="521">
        <f>J996*8</f>
        <v>104</v>
      </c>
      <c r="L996" s="524">
        <f t="shared" si="384"/>
        <v>44</v>
      </c>
      <c r="M996" s="525">
        <v>46037</v>
      </c>
      <c r="N996" s="525">
        <v>46034</v>
      </c>
      <c r="O996" s="521"/>
      <c r="P996" s="526" t="s">
        <v>103</v>
      </c>
      <c r="Q996" s="521"/>
      <c r="R996" s="530">
        <v>45995</v>
      </c>
      <c r="S996" s="530" t="s">
        <v>66</v>
      </c>
      <c r="T996" s="530" t="s">
        <v>66</v>
      </c>
      <c r="U996" s="530"/>
      <c r="V996" s="532" t="s">
        <v>5666</v>
      </c>
      <c r="W996" s="532" t="s">
        <v>1424</v>
      </c>
      <c r="X996" s="536">
        <v>0.9268</v>
      </c>
      <c r="Y996" s="540">
        <f t="shared" si="385"/>
        <v>4241.0368</v>
      </c>
      <c r="Z996" s="521"/>
      <c r="AA996" s="521" t="s">
        <v>3245</v>
      </c>
      <c r="AB996" s="521" t="s">
        <v>76</v>
      </c>
      <c r="AC996" s="521"/>
      <c r="AD996" s="519"/>
      <c r="AE996" s="519">
        <v>1</v>
      </c>
      <c r="AF996" s="521">
        <v>4576</v>
      </c>
      <c r="AG996" s="521">
        <f t="shared" si="386"/>
        <v>0</v>
      </c>
      <c r="AH996" s="542"/>
      <c r="AI996" s="521"/>
      <c r="AJ996" s="521"/>
      <c r="AK996" s="521"/>
      <c r="AL996" s="543">
        <f>I996</f>
        <v>4576</v>
      </c>
      <c r="AM996" s="628"/>
      <c r="AN996" s="628"/>
      <c r="AO996" s="630"/>
      <c r="AP996" s="427"/>
      <c r="AQ996" s="628">
        <f>I996</f>
        <v>4576</v>
      </c>
      <c r="AR996" s="427"/>
      <c r="AS996" s="543">
        <f>I996</f>
        <v>4576</v>
      </c>
      <c r="AT996" s="544"/>
      <c r="AU996" s="628"/>
      <c r="AV996" s="628"/>
      <c r="AW996" s="628"/>
      <c r="AX996" s="628"/>
      <c r="AY996" s="545">
        <f>I996/24</f>
        <v>190.666666666667</v>
      </c>
      <c r="AZ996" s="546"/>
      <c r="BA996" s="628"/>
      <c r="BB996" s="628"/>
      <c r="BC996" s="628"/>
      <c r="BD996" s="628"/>
      <c r="BE996" s="628"/>
      <c r="BF996" s="628"/>
      <c r="BG996" s="628"/>
      <c r="BH996" s="628"/>
      <c r="BI996" s="628">
        <f>I996/13</f>
        <v>352</v>
      </c>
      <c r="BJ996" s="628"/>
      <c r="BK996" s="427"/>
      <c r="BL996" s="628"/>
      <c r="BM996" s="628"/>
      <c r="BN996" s="628"/>
      <c r="BO996" s="628"/>
      <c r="BP996" s="628"/>
      <c r="BQ996" s="628"/>
      <c r="BR996" s="628"/>
      <c r="BS996" s="628"/>
      <c r="BT996" s="544"/>
      <c r="BU996" s="628"/>
      <c r="BV996" s="544"/>
      <c r="BW996" s="628"/>
      <c r="BX996" s="628"/>
      <c r="BY996" s="628"/>
      <c r="BZ996" s="628"/>
      <c r="CA996" s="628"/>
      <c r="CB996" s="628"/>
      <c r="CC996" s="628"/>
      <c r="CD996" s="628"/>
      <c r="CE996" s="628"/>
      <c r="CF996" s="628"/>
      <c r="CG996" s="628"/>
      <c r="CH996" s="628"/>
      <c r="CI996" s="628"/>
      <c r="CJ996" s="628"/>
      <c r="CK996" s="427">
        <f>BM996+BL996+BK996+BJ996+BS996</f>
        <v>0</v>
      </c>
      <c r="CL996" s="427">
        <f>CA996+CB996+CC996+CD996+CE996+CG996+CF996</f>
        <v>0</v>
      </c>
      <c r="CM996" s="427">
        <f>BY996+BZ996</f>
        <v>0</v>
      </c>
      <c r="CN996" s="544"/>
      <c r="CO996" s="544"/>
      <c r="CP996" s="544"/>
      <c r="CT996" s="544"/>
      <c r="CU996" s="544"/>
      <c r="CV996" s="544"/>
      <c r="CW996" s="544"/>
      <c r="CX996" s="544"/>
    </row>
    <row r="997" s="431" customFormat="1" ht="31" customHeight="1" spans="1:102">
      <c r="A997" s="518">
        <v>45978</v>
      </c>
      <c r="B997" s="519" t="s">
        <v>1545</v>
      </c>
      <c r="C997" s="520" t="s">
        <v>90</v>
      </c>
      <c r="D997" s="427">
        <v>4500185143</v>
      </c>
      <c r="E997" s="520">
        <v>2056144</v>
      </c>
      <c r="F997" s="427" t="s">
        <v>5667</v>
      </c>
      <c r="G997" s="521" t="s">
        <v>4564</v>
      </c>
      <c r="H997" s="521" t="s">
        <v>3237</v>
      </c>
      <c r="I997" s="607">
        <v>720</v>
      </c>
      <c r="J997" s="521">
        <v>0</v>
      </c>
      <c r="K997" s="521">
        <v>12</v>
      </c>
      <c r="L997" s="524">
        <f t="shared" si="384"/>
        <v>60</v>
      </c>
      <c r="M997" s="525">
        <v>46038</v>
      </c>
      <c r="N997" s="525">
        <v>46034</v>
      </c>
      <c r="O997" s="521"/>
      <c r="P997" s="526" t="s">
        <v>103</v>
      </c>
      <c r="Q997" s="521"/>
      <c r="R997" s="530">
        <v>45999</v>
      </c>
      <c r="S997" s="530" t="s">
        <v>96</v>
      </c>
      <c r="T997" s="530" t="s">
        <v>5668</v>
      </c>
      <c r="U997" s="530"/>
      <c r="V997" s="532" t="s">
        <v>5669</v>
      </c>
      <c r="W997" s="532" t="s">
        <v>279</v>
      </c>
      <c r="X997" s="536">
        <v>1.3094</v>
      </c>
      <c r="Y997" s="540">
        <f t="shared" si="385"/>
        <v>942.768</v>
      </c>
      <c r="Z997" s="521"/>
      <c r="AA997" s="521" t="s">
        <v>5219</v>
      </c>
      <c r="AB997" s="521" t="s">
        <v>76</v>
      </c>
      <c r="AC997" s="521"/>
      <c r="AD997" s="519"/>
      <c r="AE997" s="519">
        <v>1</v>
      </c>
      <c r="AF997" s="521">
        <v>720</v>
      </c>
      <c r="AG997" s="521">
        <f t="shared" ref="AG997:AG1006" si="394">AF997-I997</f>
        <v>0</v>
      </c>
      <c r="AH997" s="542"/>
      <c r="AI997" s="521" t="s">
        <v>2191</v>
      </c>
      <c r="AJ997" s="521"/>
      <c r="AK997" s="521">
        <f>I997*2</f>
        <v>1440</v>
      </c>
      <c r="AL997" s="543"/>
      <c r="AM997" s="628"/>
      <c r="AN997" s="628">
        <f>I997*2</f>
        <v>1440</v>
      </c>
      <c r="AO997" s="630"/>
      <c r="AP997" s="427"/>
      <c r="AQ997" s="628"/>
      <c r="AR997" s="427">
        <f>I997*2</f>
        <v>1440</v>
      </c>
      <c r="AS997" s="543"/>
      <c r="AT997" s="544"/>
      <c r="AU997" s="628"/>
      <c r="AV997" s="628"/>
      <c r="AW997" s="628"/>
      <c r="AX997" s="628"/>
      <c r="AY997" s="545">
        <f>I997/24*2</f>
        <v>60</v>
      </c>
      <c r="AZ997" s="546"/>
      <c r="BA997" s="628"/>
      <c r="BB997" s="628"/>
      <c r="BC997" s="628"/>
      <c r="BD997" s="628"/>
      <c r="BE997" s="628"/>
      <c r="BF997" s="628"/>
      <c r="BG997" s="628"/>
      <c r="BH997" s="628"/>
      <c r="BI997" s="628"/>
      <c r="BJ997" s="628"/>
      <c r="BK997" s="427"/>
      <c r="BL997" s="628"/>
      <c r="BM997" s="628"/>
      <c r="BN997" s="628"/>
      <c r="BO997" s="628"/>
      <c r="BP997" s="628"/>
      <c r="BQ997" s="628"/>
      <c r="BR997" s="628"/>
      <c r="BS997" s="628"/>
      <c r="BT997" s="544"/>
      <c r="BU997" s="628"/>
      <c r="BV997" s="544"/>
      <c r="BW997" s="628"/>
      <c r="BX997" s="628"/>
      <c r="BY997" s="628"/>
      <c r="BZ997" s="628"/>
      <c r="CA997" s="628"/>
      <c r="CB997" s="628"/>
      <c r="CC997" s="628"/>
      <c r="CD997" s="628"/>
      <c r="CE997" s="628"/>
      <c r="CF997" s="628"/>
      <c r="CG997" s="628"/>
      <c r="CH997" s="628">
        <f>I997</f>
        <v>720</v>
      </c>
      <c r="CI997" s="628">
        <f>I997</f>
        <v>720</v>
      </c>
      <c r="CJ997" s="628">
        <f>I997</f>
        <v>720</v>
      </c>
      <c r="CK997" s="427">
        <v>0</v>
      </c>
      <c r="CL997" s="427">
        <v>0</v>
      </c>
      <c r="CM997" s="427">
        <v>0</v>
      </c>
      <c r="CN997" s="544"/>
      <c r="CO997" s="544"/>
      <c r="CP997" s="544"/>
      <c r="CT997" s="544"/>
      <c r="CU997" s="544"/>
      <c r="CV997" s="544"/>
      <c r="CW997" s="544"/>
      <c r="CX997" s="544"/>
    </row>
    <row r="998" s="431" customFormat="1" ht="31" customHeight="1" spans="1:102">
      <c r="A998" s="518">
        <v>45978</v>
      </c>
      <c r="B998" s="519" t="s">
        <v>1545</v>
      </c>
      <c r="C998" s="520" t="s">
        <v>90</v>
      </c>
      <c r="D998" s="427">
        <v>4500185143</v>
      </c>
      <c r="E998" s="520">
        <v>2056145</v>
      </c>
      <c r="F998" s="427" t="s">
        <v>5670</v>
      </c>
      <c r="G998" s="521" t="s">
        <v>4564</v>
      </c>
      <c r="H998" s="521" t="s">
        <v>3237</v>
      </c>
      <c r="I998" s="607">
        <v>312</v>
      </c>
      <c r="J998" s="521">
        <v>0</v>
      </c>
      <c r="K998" s="521">
        <v>12</v>
      </c>
      <c r="L998" s="524">
        <f t="shared" si="384"/>
        <v>26</v>
      </c>
      <c r="M998" s="525">
        <v>46038</v>
      </c>
      <c r="N998" s="525">
        <v>46034</v>
      </c>
      <c r="O998" s="521"/>
      <c r="P998" s="526" t="s">
        <v>103</v>
      </c>
      <c r="Q998" s="521"/>
      <c r="R998" s="530">
        <v>45999</v>
      </c>
      <c r="S998" s="530" t="s">
        <v>96</v>
      </c>
      <c r="T998" s="530" t="s">
        <v>5668</v>
      </c>
      <c r="U998" s="530"/>
      <c r="V998" s="532" t="s">
        <v>5669</v>
      </c>
      <c r="W998" s="532" t="s">
        <v>279</v>
      </c>
      <c r="X998" s="536">
        <v>1.3094</v>
      </c>
      <c r="Y998" s="540">
        <f t="shared" si="385"/>
        <v>408.5328</v>
      </c>
      <c r="Z998" s="521"/>
      <c r="AA998" s="521" t="s">
        <v>5219</v>
      </c>
      <c r="AB998" s="521" t="s">
        <v>76</v>
      </c>
      <c r="AC998" s="521"/>
      <c r="AD998" s="519"/>
      <c r="AE998" s="519">
        <v>1</v>
      </c>
      <c r="AF998" s="521">
        <v>312</v>
      </c>
      <c r="AG998" s="521">
        <f t="shared" si="394"/>
        <v>0</v>
      </c>
      <c r="AH998" s="542"/>
      <c r="AI998" s="521" t="s">
        <v>2191</v>
      </c>
      <c r="AJ998" s="521"/>
      <c r="AK998" s="521">
        <f>I998*2</f>
        <v>624</v>
      </c>
      <c r="AL998" s="543"/>
      <c r="AM998" s="628"/>
      <c r="AN998" s="628">
        <f>I998*2</f>
        <v>624</v>
      </c>
      <c r="AO998" s="630"/>
      <c r="AP998" s="427"/>
      <c r="AQ998" s="628"/>
      <c r="AR998" s="427">
        <f>I998*2</f>
        <v>624</v>
      </c>
      <c r="AS998" s="543"/>
      <c r="AT998" s="544"/>
      <c r="AU998" s="628"/>
      <c r="AV998" s="628"/>
      <c r="AW998" s="628"/>
      <c r="AX998" s="628"/>
      <c r="AY998" s="545">
        <f>I998/24*2</f>
        <v>26</v>
      </c>
      <c r="AZ998" s="546"/>
      <c r="BA998" s="628"/>
      <c r="BB998" s="628"/>
      <c r="BC998" s="628"/>
      <c r="BD998" s="628"/>
      <c r="BE998" s="628"/>
      <c r="BF998" s="628"/>
      <c r="BG998" s="628"/>
      <c r="BH998" s="628"/>
      <c r="BI998" s="628"/>
      <c r="BJ998" s="628"/>
      <c r="BK998" s="427"/>
      <c r="BL998" s="628"/>
      <c r="BM998" s="628"/>
      <c r="BN998" s="628"/>
      <c r="BO998" s="628"/>
      <c r="BP998" s="628"/>
      <c r="BQ998" s="628"/>
      <c r="BR998" s="628"/>
      <c r="BS998" s="628"/>
      <c r="BT998" s="544"/>
      <c r="BU998" s="628"/>
      <c r="BV998" s="544"/>
      <c r="BW998" s="628"/>
      <c r="BX998" s="628"/>
      <c r="BY998" s="628"/>
      <c r="BZ998" s="628"/>
      <c r="CA998" s="628"/>
      <c r="CB998" s="628"/>
      <c r="CC998" s="628"/>
      <c r="CD998" s="628"/>
      <c r="CE998" s="628"/>
      <c r="CF998" s="628"/>
      <c r="CG998" s="628"/>
      <c r="CH998" s="628">
        <f>I998</f>
        <v>312</v>
      </c>
      <c r="CI998" s="628">
        <f>I998</f>
        <v>312</v>
      </c>
      <c r="CJ998" s="628">
        <f>I998</f>
        <v>312</v>
      </c>
      <c r="CK998" s="427">
        <v>0</v>
      </c>
      <c r="CL998" s="427">
        <v>0</v>
      </c>
      <c r="CM998" s="427">
        <v>0</v>
      </c>
      <c r="CN998" s="544"/>
      <c r="CO998" s="544"/>
      <c r="CP998" s="544"/>
      <c r="CT998" s="544"/>
      <c r="CU998" s="544"/>
      <c r="CV998" s="544"/>
      <c r="CW998" s="544"/>
      <c r="CX998" s="544"/>
    </row>
    <row r="999" s="431" customFormat="1" ht="31" customHeight="1" spans="1:102">
      <c r="A999" s="518">
        <v>45979</v>
      </c>
      <c r="B999" s="519" t="s">
        <v>355</v>
      </c>
      <c r="C999" s="520" t="s">
        <v>356</v>
      </c>
      <c r="D999" s="427">
        <v>4500186008</v>
      </c>
      <c r="E999" s="520"/>
      <c r="F999" s="427" t="s">
        <v>5671</v>
      </c>
      <c r="G999" s="521" t="s">
        <v>3161</v>
      </c>
      <c r="H999" s="521" t="s">
        <v>3221</v>
      </c>
      <c r="I999" s="607">
        <v>4000</v>
      </c>
      <c r="J999" s="521">
        <v>0</v>
      </c>
      <c r="K999" s="521">
        <v>50</v>
      </c>
      <c r="L999" s="524">
        <f t="shared" si="384"/>
        <v>80</v>
      </c>
      <c r="M999" s="525">
        <v>46038</v>
      </c>
      <c r="N999" s="525">
        <v>46034</v>
      </c>
      <c r="O999" s="521"/>
      <c r="P999" s="526" t="s">
        <v>103</v>
      </c>
      <c r="Q999" s="521"/>
      <c r="R999" s="530">
        <v>45982</v>
      </c>
      <c r="S999" s="530" t="s">
        <v>66</v>
      </c>
      <c r="T999" s="530" t="s">
        <v>5672</v>
      </c>
      <c r="U999" s="530"/>
      <c r="V999" s="532" t="s">
        <v>5673</v>
      </c>
      <c r="W999" s="532" t="s">
        <v>359</v>
      </c>
      <c r="X999" s="536">
        <v>0.941</v>
      </c>
      <c r="Y999" s="540">
        <f t="shared" si="385"/>
        <v>3764</v>
      </c>
      <c r="Z999" s="521"/>
      <c r="AA999" s="521" t="s">
        <v>3161</v>
      </c>
      <c r="AB999" s="521" t="s">
        <v>76</v>
      </c>
      <c r="AC999" s="521"/>
      <c r="AD999" s="519"/>
      <c r="AE999" s="519">
        <v>1</v>
      </c>
      <c r="AF999" s="521">
        <v>4000</v>
      </c>
      <c r="AG999" s="521">
        <f t="shared" si="394"/>
        <v>0</v>
      </c>
      <c r="AH999" s="542"/>
      <c r="AI999" s="521" t="s">
        <v>2191</v>
      </c>
      <c r="AJ999" s="521"/>
      <c r="AK999" s="521"/>
      <c r="AL999" s="543">
        <f>I999</f>
        <v>4000</v>
      </c>
      <c r="AM999" s="628"/>
      <c r="AN999" s="628"/>
      <c r="AO999" s="630"/>
      <c r="AP999" s="427"/>
      <c r="AQ999" s="628">
        <f>I999</f>
        <v>4000</v>
      </c>
      <c r="AR999" s="427"/>
      <c r="AS999" s="543">
        <f>I999</f>
        <v>4000</v>
      </c>
      <c r="AT999" s="544"/>
      <c r="AU999" s="628"/>
      <c r="AV999" s="628"/>
      <c r="AW999" s="628"/>
      <c r="AX999" s="628"/>
      <c r="AY999" s="545">
        <f>I999/24</f>
        <v>166.666666666667</v>
      </c>
      <c r="AZ999" s="546"/>
      <c r="BA999" s="628"/>
      <c r="BB999" s="628"/>
      <c r="BC999" s="628"/>
      <c r="BD999" s="628"/>
      <c r="BE999" s="628"/>
      <c r="BF999" s="628"/>
      <c r="BG999" s="628"/>
      <c r="BH999" s="628"/>
      <c r="BI999" s="628"/>
      <c r="BJ999" s="628"/>
      <c r="BK999" s="427"/>
      <c r="BL999" s="628">
        <f>I999/25</f>
        <v>160</v>
      </c>
      <c r="BM999" s="628"/>
      <c r="BN999" s="628"/>
      <c r="BO999" s="628"/>
      <c r="BP999" s="628"/>
      <c r="BQ999" s="628"/>
      <c r="BR999" s="628"/>
      <c r="BS999" s="628"/>
      <c r="BT999" s="544"/>
      <c r="BU999" s="628"/>
      <c r="BV999" s="544"/>
      <c r="BW999" s="628"/>
      <c r="BX999" s="628"/>
      <c r="BY999" s="628"/>
      <c r="BZ999" s="628"/>
      <c r="CA999" s="628"/>
      <c r="CB999" s="628"/>
      <c r="CC999" s="628"/>
      <c r="CD999" s="628"/>
      <c r="CE999" s="628"/>
      <c r="CF999" s="628"/>
      <c r="CG999" s="628"/>
      <c r="CH999" s="628"/>
      <c r="CI999" s="628"/>
      <c r="CJ999" s="628"/>
      <c r="CK999" s="427">
        <f>BM999+BL999+BK999+BJ999+BS999</f>
        <v>160</v>
      </c>
      <c r="CL999" s="427">
        <f>CA999+CB999+CC999+CD999+CE999+CG999+CF999</f>
        <v>0</v>
      </c>
      <c r="CM999" s="427">
        <f>BY999+BZ999</f>
        <v>0</v>
      </c>
      <c r="CN999" s="544"/>
      <c r="CO999" s="544"/>
      <c r="CP999" s="544"/>
      <c r="CT999" s="544"/>
      <c r="CU999" s="544"/>
      <c r="CV999" s="544"/>
      <c r="CW999" s="544"/>
      <c r="CX999" s="544"/>
    </row>
    <row r="1000" s="431" customFormat="1" ht="31" customHeight="1" spans="1:102">
      <c r="A1000" s="518">
        <v>45979</v>
      </c>
      <c r="B1000" s="519" t="s">
        <v>355</v>
      </c>
      <c r="C1000" s="520" t="s">
        <v>356</v>
      </c>
      <c r="D1000" s="427">
        <v>4500186008</v>
      </c>
      <c r="E1000" s="520"/>
      <c r="F1000" s="427" t="s">
        <v>2551</v>
      </c>
      <c r="G1000" s="521" t="s">
        <v>3436</v>
      </c>
      <c r="H1000" s="521" t="s">
        <v>424</v>
      </c>
      <c r="I1000" s="607">
        <v>360</v>
      </c>
      <c r="J1000" s="521">
        <v>0</v>
      </c>
      <c r="K1000" s="521">
        <v>6</v>
      </c>
      <c r="L1000" s="524">
        <f t="shared" si="384"/>
        <v>60</v>
      </c>
      <c r="M1000" s="525">
        <v>46038</v>
      </c>
      <c r="N1000" s="525">
        <v>46034</v>
      </c>
      <c r="O1000" s="521"/>
      <c r="P1000" s="526" t="s">
        <v>103</v>
      </c>
      <c r="Q1000" s="521"/>
      <c r="R1000" s="530">
        <v>45982</v>
      </c>
      <c r="S1000" s="530" t="s">
        <v>66</v>
      </c>
      <c r="T1000" s="530" t="s">
        <v>5674</v>
      </c>
      <c r="U1000" s="530"/>
      <c r="V1000" s="532" t="s">
        <v>5675</v>
      </c>
      <c r="W1000" s="532" t="s">
        <v>359</v>
      </c>
      <c r="X1000" s="536">
        <v>7.1628</v>
      </c>
      <c r="Y1000" s="540">
        <f t="shared" si="385"/>
        <v>2578.608</v>
      </c>
      <c r="Z1000" s="521"/>
      <c r="AA1000" s="521" t="s">
        <v>427</v>
      </c>
      <c r="AB1000" s="521" t="s">
        <v>76</v>
      </c>
      <c r="AC1000" s="521"/>
      <c r="AD1000" s="519"/>
      <c r="AE1000" s="519">
        <v>1</v>
      </c>
      <c r="AF1000" s="521"/>
      <c r="AG1000" s="521">
        <f t="shared" si="394"/>
        <v>-360</v>
      </c>
      <c r="AH1000" s="542"/>
      <c r="AI1000" s="521" t="s">
        <v>2191</v>
      </c>
      <c r="AJ1000" s="521"/>
      <c r="AK1000" s="521"/>
      <c r="AL1000" s="543">
        <f>I1000*2</f>
        <v>720</v>
      </c>
      <c r="AM1000" s="628"/>
      <c r="AN1000" s="628"/>
      <c r="AO1000" s="630"/>
      <c r="AP1000" s="427"/>
      <c r="AQ1000" s="628">
        <f>I1000*2</f>
        <v>720</v>
      </c>
      <c r="AR1000" s="427"/>
      <c r="AS1000" s="543">
        <f>I1000*2</f>
        <v>720</v>
      </c>
      <c r="AT1000" s="544"/>
      <c r="AU1000" s="628"/>
      <c r="AV1000" s="628"/>
      <c r="AW1000" s="628"/>
      <c r="AX1000" s="628"/>
      <c r="AY1000" s="545">
        <f>I1000/24*2</f>
        <v>30</v>
      </c>
      <c r="AZ1000" s="546"/>
      <c r="BA1000" s="628"/>
      <c r="BB1000" s="628"/>
      <c r="BC1000" s="628"/>
      <c r="BD1000" s="628"/>
      <c r="BE1000" s="628"/>
      <c r="BF1000" s="628"/>
      <c r="BG1000" s="628"/>
      <c r="BH1000" s="628"/>
      <c r="BI1000" s="628"/>
      <c r="BJ1000" s="628"/>
      <c r="BK1000" s="427"/>
      <c r="BL1000" s="628"/>
      <c r="BM1000" s="628"/>
      <c r="BN1000" s="628"/>
      <c r="BO1000" s="628"/>
      <c r="BP1000" s="628"/>
      <c r="BQ1000" s="628"/>
      <c r="BR1000" s="628"/>
      <c r="BS1000" s="628"/>
      <c r="BT1000" s="544"/>
      <c r="BU1000" s="628">
        <f>I1000</f>
        <v>360</v>
      </c>
      <c r="BV1000" s="544"/>
      <c r="BW1000" s="628"/>
      <c r="BX1000" s="628"/>
      <c r="BY1000" s="628"/>
      <c r="BZ1000" s="628"/>
      <c r="CA1000" s="628"/>
      <c r="CB1000" s="628"/>
      <c r="CC1000" s="628"/>
      <c r="CD1000" s="628"/>
      <c r="CE1000" s="628"/>
      <c r="CF1000" s="628"/>
      <c r="CG1000" s="628"/>
      <c r="CH1000" s="628"/>
      <c r="CI1000" s="628"/>
      <c r="CJ1000" s="628"/>
      <c r="CK1000" s="427">
        <f>BM1000+BL1000+BK1000+BJ1000+BS1000</f>
        <v>0</v>
      </c>
      <c r="CL1000" s="427">
        <f>CA1000+CB1000+CC1000+CD1000+CE1000+CG1000+CF1000</f>
        <v>0</v>
      </c>
      <c r="CM1000" s="427">
        <f>BY1000+BZ1000</f>
        <v>0</v>
      </c>
      <c r="CN1000" s="544"/>
      <c r="CO1000" s="544"/>
      <c r="CP1000" s="544"/>
      <c r="CQ1000" s="427"/>
      <c r="CR1000" s="427"/>
      <c r="CS1000" s="427"/>
      <c r="CT1000" s="544"/>
      <c r="CU1000" s="544"/>
      <c r="CV1000" s="544"/>
      <c r="CW1000" s="544"/>
      <c r="CX1000" s="544"/>
    </row>
    <row r="1001" s="431" customFormat="1" ht="31" customHeight="1" spans="1:102">
      <c r="A1001" s="518">
        <v>45985</v>
      </c>
      <c r="B1001" s="519" t="s">
        <v>2553</v>
      </c>
      <c r="C1001" s="520" t="s">
        <v>90</v>
      </c>
      <c r="D1001" s="427">
        <v>4500186566</v>
      </c>
      <c r="E1001" s="520">
        <v>70079710</v>
      </c>
      <c r="F1001" s="427" t="s">
        <v>2554</v>
      </c>
      <c r="G1001" s="521" t="s">
        <v>5627</v>
      </c>
      <c r="H1001" s="521" t="s">
        <v>5628</v>
      </c>
      <c r="I1001" s="607">
        <v>1200</v>
      </c>
      <c r="J1001" s="521">
        <v>0</v>
      </c>
      <c r="K1001" s="521">
        <v>8</v>
      </c>
      <c r="L1001" s="524">
        <f t="shared" si="384"/>
        <v>150</v>
      </c>
      <c r="M1001" s="525">
        <v>46038</v>
      </c>
      <c r="N1001" s="525">
        <v>46034</v>
      </c>
      <c r="O1001" s="521"/>
      <c r="P1001" s="526" t="s">
        <v>103</v>
      </c>
      <c r="Q1001" s="521"/>
      <c r="R1001" s="530">
        <v>45985</v>
      </c>
      <c r="S1001" s="530" t="s">
        <v>66</v>
      </c>
      <c r="T1001" s="530" t="s">
        <v>5629</v>
      </c>
      <c r="U1001" s="530"/>
      <c r="V1001" s="532" t="s">
        <v>2555</v>
      </c>
      <c r="W1001" s="532" t="s">
        <v>2556</v>
      </c>
      <c r="X1001" s="536">
        <v>4.0996</v>
      </c>
      <c r="Y1001" s="540">
        <f t="shared" si="385"/>
        <v>4919.52</v>
      </c>
      <c r="Z1001" s="521"/>
      <c r="AA1001" s="521" t="s">
        <v>2495</v>
      </c>
      <c r="AB1001" s="521" t="s">
        <v>76</v>
      </c>
      <c r="AC1001" s="521"/>
      <c r="AD1001" s="519"/>
      <c r="AE1001" s="519">
        <v>1</v>
      </c>
      <c r="AF1001" s="521">
        <v>1200</v>
      </c>
      <c r="AG1001" s="521">
        <f t="shared" si="394"/>
        <v>0</v>
      </c>
      <c r="AH1001" s="542"/>
      <c r="AI1001" s="521"/>
      <c r="AJ1001" s="521"/>
      <c r="AK1001" s="521">
        <f>I1001*2</f>
        <v>2400</v>
      </c>
      <c r="AL1001" s="543"/>
      <c r="AM1001" s="628">
        <f>I1001*2</f>
        <v>2400</v>
      </c>
      <c r="AN1001" s="628"/>
      <c r="AO1001" s="630"/>
      <c r="AP1001" s="427"/>
      <c r="AQ1001" s="628"/>
      <c r="AR1001" s="427">
        <f>I1001</f>
        <v>1200</v>
      </c>
      <c r="AS1001" s="543"/>
      <c r="AT1001" s="544"/>
      <c r="AU1001" s="628"/>
      <c r="AV1001" s="628"/>
      <c r="AW1001" s="628"/>
      <c r="AX1001" s="628"/>
      <c r="AY1001" s="545">
        <f>I1001/24*2</f>
        <v>100</v>
      </c>
      <c r="AZ1001" s="546"/>
      <c r="BA1001" s="628"/>
      <c r="BB1001" s="628"/>
      <c r="BC1001" s="628"/>
      <c r="BD1001" s="628"/>
      <c r="BE1001" s="628"/>
      <c r="BF1001" s="628"/>
      <c r="BG1001" s="628"/>
      <c r="BH1001" s="628"/>
      <c r="BI1001" s="628"/>
      <c r="BJ1001" s="628"/>
      <c r="BK1001" s="427"/>
      <c r="BL1001" s="628"/>
      <c r="BM1001" s="628"/>
      <c r="BN1001" s="628"/>
      <c r="BO1001" s="628"/>
      <c r="BP1001" s="628"/>
      <c r="BQ1001" s="628"/>
      <c r="BR1001" s="628"/>
      <c r="BS1001" s="628"/>
      <c r="BT1001" s="544"/>
      <c r="BU1001" s="628"/>
      <c r="BV1001" s="544">
        <f>I1001</f>
        <v>1200</v>
      </c>
      <c r="BW1001" s="628"/>
      <c r="BX1001" s="628"/>
      <c r="BY1001" s="628"/>
      <c r="BZ1001" s="628"/>
      <c r="CA1001" s="628"/>
      <c r="CB1001" s="628"/>
      <c r="CC1001" s="628"/>
      <c r="CD1001" s="628"/>
      <c r="CE1001" s="628"/>
      <c r="CF1001" s="628"/>
      <c r="CG1001" s="628"/>
      <c r="CH1001" s="628"/>
      <c r="CI1001" s="628"/>
      <c r="CJ1001" s="628"/>
      <c r="CK1001" s="427">
        <f>BM1001+BL1001+BK1001+BJ1001+BS1001</f>
        <v>0</v>
      </c>
      <c r="CL1001" s="427">
        <f>CA1001+CB1001+CC1001+CD1001+CE1001+CG1001+CF1001</f>
        <v>0</v>
      </c>
      <c r="CM1001" s="427">
        <f>BY1001+BZ1001</f>
        <v>0</v>
      </c>
      <c r="CN1001" s="544"/>
      <c r="CO1001" s="544"/>
      <c r="CP1001" s="544"/>
      <c r="CT1001" s="544"/>
      <c r="CU1001" s="544"/>
      <c r="CV1001" s="544"/>
      <c r="CW1001" s="544"/>
      <c r="CX1001" s="544"/>
    </row>
    <row r="1002" s="431" customFormat="1" ht="31" customHeight="1" spans="1:102">
      <c r="A1002" s="518">
        <v>45985</v>
      </c>
      <c r="B1002" s="519" t="s">
        <v>2553</v>
      </c>
      <c r="C1002" s="520" t="s">
        <v>90</v>
      </c>
      <c r="D1002" s="427">
        <v>4500186566</v>
      </c>
      <c r="E1002" s="520">
        <v>70079737</v>
      </c>
      <c r="F1002" s="427" t="s">
        <v>5676</v>
      </c>
      <c r="G1002" s="521" t="s">
        <v>4564</v>
      </c>
      <c r="H1002" s="521" t="s">
        <v>3237</v>
      </c>
      <c r="I1002" s="607">
        <v>1104</v>
      </c>
      <c r="J1002" s="521">
        <v>0</v>
      </c>
      <c r="K1002" s="521">
        <v>12</v>
      </c>
      <c r="L1002" s="524">
        <f t="shared" si="384"/>
        <v>92</v>
      </c>
      <c r="M1002" s="525">
        <v>46038</v>
      </c>
      <c r="N1002" s="525">
        <v>46034</v>
      </c>
      <c r="O1002" s="521"/>
      <c r="P1002" s="526" t="s">
        <v>103</v>
      </c>
      <c r="Q1002" s="521"/>
      <c r="R1002" s="530">
        <v>45985</v>
      </c>
      <c r="S1002" s="530" t="s">
        <v>66</v>
      </c>
      <c r="T1002" s="530" t="s">
        <v>2493</v>
      </c>
      <c r="U1002" s="530"/>
      <c r="V1002" s="532" t="s">
        <v>5677</v>
      </c>
      <c r="W1002" s="532" t="s">
        <v>2556</v>
      </c>
      <c r="X1002" s="536">
        <v>1.2871</v>
      </c>
      <c r="Y1002" s="540">
        <f t="shared" si="385"/>
        <v>1420.9584</v>
      </c>
      <c r="Z1002" s="521"/>
      <c r="AA1002" s="521" t="s">
        <v>5650</v>
      </c>
      <c r="AB1002" s="521" t="s">
        <v>76</v>
      </c>
      <c r="AC1002" s="521"/>
      <c r="AD1002" s="519"/>
      <c r="AE1002" s="519">
        <v>1</v>
      </c>
      <c r="AF1002" s="521">
        <v>1104</v>
      </c>
      <c r="AG1002" s="521">
        <f t="shared" si="394"/>
        <v>0</v>
      </c>
      <c r="AH1002" s="542"/>
      <c r="AI1002" s="521" t="s">
        <v>2191</v>
      </c>
      <c r="AJ1002" s="521"/>
      <c r="AK1002" s="521">
        <f>I1002*2</f>
        <v>2208</v>
      </c>
      <c r="AL1002" s="543"/>
      <c r="AM1002" s="628">
        <f>I1002*2</f>
        <v>2208</v>
      </c>
      <c r="AN1002" s="628"/>
      <c r="AO1002" s="630"/>
      <c r="AP1002" s="427"/>
      <c r="AQ1002" s="628"/>
      <c r="AR1002" s="427">
        <f>I1002*2</f>
        <v>2208</v>
      </c>
      <c r="AS1002" s="543"/>
      <c r="AT1002" s="544"/>
      <c r="AU1002" s="628"/>
      <c r="AV1002" s="628"/>
      <c r="AW1002" s="628"/>
      <c r="AX1002" s="628"/>
      <c r="AY1002" s="545">
        <f>I1002/24*2</f>
        <v>92</v>
      </c>
      <c r="AZ1002" s="546"/>
      <c r="BA1002" s="628"/>
      <c r="BB1002" s="628"/>
      <c r="BC1002" s="628"/>
      <c r="BD1002" s="628"/>
      <c r="BE1002" s="628"/>
      <c r="BF1002" s="628"/>
      <c r="BG1002" s="628"/>
      <c r="BH1002" s="628"/>
      <c r="BI1002" s="628"/>
      <c r="BJ1002" s="628"/>
      <c r="BK1002" s="427"/>
      <c r="BL1002" s="628"/>
      <c r="BM1002" s="628"/>
      <c r="BN1002" s="628"/>
      <c r="BO1002" s="628"/>
      <c r="BP1002" s="628"/>
      <c r="BQ1002" s="628"/>
      <c r="BR1002" s="628"/>
      <c r="BS1002" s="628"/>
      <c r="BT1002" s="544"/>
      <c r="BU1002" s="628"/>
      <c r="BV1002" s="544"/>
      <c r="BW1002" s="628"/>
      <c r="BX1002" s="628"/>
      <c r="BY1002" s="628"/>
      <c r="BZ1002" s="628"/>
      <c r="CA1002" s="628"/>
      <c r="CB1002" s="628"/>
      <c r="CC1002" s="628"/>
      <c r="CD1002" s="628"/>
      <c r="CE1002" s="628"/>
      <c r="CF1002" s="628"/>
      <c r="CG1002" s="628"/>
      <c r="CH1002" s="628">
        <f>I1002</f>
        <v>1104</v>
      </c>
      <c r="CI1002" s="628">
        <f>I1002</f>
        <v>1104</v>
      </c>
      <c r="CJ1002" s="628">
        <f>I1002</f>
        <v>1104</v>
      </c>
      <c r="CK1002" s="427">
        <v>0</v>
      </c>
      <c r="CL1002" s="427">
        <v>0</v>
      </c>
      <c r="CM1002" s="427">
        <v>0</v>
      </c>
      <c r="CN1002" s="544"/>
      <c r="CO1002" s="544"/>
      <c r="CP1002" s="544"/>
      <c r="CT1002" s="544"/>
      <c r="CU1002" s="544"/>
      <c r="CV1002" s="544"/>
      <c r="CW1002" s="544"/>
      <c r="CX1002" s="544"/>
    </row>
    <row r="1003" s="431" customFormat="1" ht="31" customHeight="1" spans="1:102">
      <c r="A1003" s="518">
        <v>45995</v>
      </c>
      <c r="B1003" s="519" t="s">
        <v>754</v>
      </c>
      <c r="C1003" s="520" t="s">
        <v>356</v>
      </c>
      <c r="D1003" s="427">
        <v>4500188043</v>
      </c>
      <c r="E1003" s="520" t="s">
        <v>2688</v>
      </c>
      <c r="F1003" s="427" t="s">
        <v>5678</v>
      </c>
      <c r="G1003" s="521" t="s">
        <v>3161</v>
      </c>
      <c r="H1003" s="521" t="s">
        <v>3221</v>
      </c>
      <c r="I1003" s="607">
        <v>18100</v>
      </c>
      <c r="J1003" s="521">
        <v>0</v>
      </c>
      <c r="K1003" s="521">
        <v>50</v>
      </c>
      <c r="L1003" s="524">
        <f t="shared" si="384"/>
        <v>362</v>
      </c>
      <c r="M1003" s="525">
        <v>46038</v>
      </c>
      <c r="N1003" s="525">
        <v>46034</v>
      </c>
      <c r="O1003" s="521"/>
      <c r="P1003" s="526" t="s">
        <v>103</v>
      </c>
      <c r="Q1003" s="521"/>
      <c r="R1003" s="530">
        <v>46009</v>
      </c>
      <c r="S1003" s="530" t="s">
        <v>66</v>
      </c>
      <c r="T1003" s="530" t="s">
        <v>5679</v>
      </c>
      <c r="U1003" s="530"/>
      <c r="V1003" s="532" t="s">
        <v>5680</v>
      </c>
      <c r="W1003" s="532" t="s">
        <v>395</v>
      </c>
      <c r="X1003" s="536">
        <v>0.9136</v>
      </c>
      <c r="Y1003" s="540">
        <f t="shared" si="385"/>
        <v>16536.16</v>
      </c>
      <c r="Z1003" s="521"/>
      <c r="AA1003" s="521" t="s">
        <v>3161</v>
      </c>
      <c r="AB1003" s="521" t="s">
        <v>76</v>
      </c>
      <c r="AC1003" s="521"/>
      <c r="AD1003" s="519"/>
      <c r="AE1003" s="519">
        <v>1</v>
      </c>
      <c r="AF1003" s="521">
        <v>18100</v>
      </c>
      <c r="AG1003" s="521">
        <f t="shared" si="394"/>
        <v>0</v>
      </c>
      <c r="AH1003" s="542"/>
      <c r="AI1003" s="521" t="s">
        <v>2191</v>
      </c>
      <c r="AJ1003" s="521"/>
      <c r="AK1003" s="521"/>
      <c r="AL1003" s="543">
        <f>I1003</f>
        <v>18100</v>
      </c>
      <c r="AM1003" s="628"/>
      <c r="AN1003" s="628"/>
      <c r="AO1003" s="630"/>
      <c r="AP1003" s="427"/>
      <c r="AQ1003" s="628">
        <f>I1003</f>
        <v>18100</v>
      </c>
      <c r="AR1003" s="427"/>
      <c r="AS1003" s="543">
        <f>I1003</f>
        <v>18100</v>
      </c>
      <c r="AT1003" s="544"/>
      <c r="AU1003" s="628"/>
      <c r="AV1003" s="628"/>
      <c r="AW1003" s="628"/>
      <c r="AX1003" s="628"/>
      <c r="AY1003" s="545">
        <f>I1003/24</f>
        <v>754.166666666667</v>
      </c>
      <c r="AZ1003" s="546"/>
      <c r="BA1003" s="628"/>
      <c r="BB1003" s="628"/>
      <c r="BC1003" s="628"/>
      <c r="BD1003" s="628"/>
      <c r="BE1003" s="628"/>
      <c r="BF1003" s="628"/>
      <c r="BG1003" s="628"/>
      <c r="BH1003" s="628"/>
      <c r="BI1003" s="628"/>
      <c r="BJ1003" s="628"/>
      <c r="BK1003" s="427"/>
      <c r="BL1003" s="628">
        <f>I1003/25</f>
        <v>724</v>
      </c>
      <c r="BM1003" s="628"/>
      <c r="BN1003" s="628"/>
      <c r="BO1003" s="628"/>
      <c r="BP1003" s="628"/>
      <c r="BQ1003" s="628"/>
      <c r="BR1003" s="628"/>
      <c r="BS1003" s="628"/>
      <c r="BT1003" s="544"/>
      <c r="BU1003" s="628"/>
      <c r="BV1003" s="544"/>
      <c r="BW1003" s="628"/>
      <c r="BX1003" s="628"/>
      <c r="BY1003" s="628"/>
      <c r="BZ1003" s="628"/>
      <c r="CA1003" s="628"/>
      <c r="CB1003" s="628"/>
      <c r="CC1003" s="628"/>
      <c r="CD1003" s="628"/>
      <c r="CE1003" s="628"/>
      <c r="CF1003" s="628"/>
      <c r="CG1003" s="628"/>
      <c r="CH1003" s="628"/>
      <c r="CI1003" s="628"/>
      <c r="CJ1003" s="628"/>
      <c r="CK1003" s="427">
        <f>BM1003+BL1003+BK1003+BJ1003+BS1003</f>
        <v>724</v>
      </c>
      <c r="CL1003" s="427">
        <f>CA1003+CB1003+CC1003+CD1003+CE1003+CG1003+CF1003</f>
        <v>0</v>
      </c>
      <c r="CM1003" s="427">
        <f>BY1003+BZ1003</f>
        <v>0</v>
      </c>
      <c r="CN1003" s="544"/>
      <c r="CO1003" s="544"/>
      <c r="CP1003" s="544"/>
      <c r="CT1003" s="544"/>
      <c r="CU1003" s="544"/>
      <c r="CV1003" s="544"/>
      <c r="CW1003" s="544"/>
      <c r="CX1003" s="544"/>
    </row>
    <row r="1004" s="431" customFormat="1" ht="31" customHeight="1" spans="1:102">
      <c r="A1004" s="518">
        <v>45995</v>
      </c>
      <c r="B1004" s="519" t="s">
        <v>2559</v>
      </c>
      <c r="C1004" s="520" t="s">
        <v>749</v>
      </c>
      <c r="D1004" s="427">
        <v>4500187921</v>
      </c>
      <c r="E1004" s="520"/>
      <c r="F1004" s="427" t="s">
        <v>5681</v>
      </c>
      <c r="G1004" s="521" t="s">
        <v>3158</v>
      </c>
      <c r="H1004" s="521" t="s">
        <v>3159</v>
      </c>
      <c r="I1004" s="607">
        <v>468</v>
      </c>
      <c r="J1004" s="521">
        <v>0</v>
      </c>
      <c r="K1004" s="521">
        <v>52</v>
      </c>
      <c r="L1004" s="524">
        <f t="shared" si="384"/>
        <v>9</v>
      </c>
      <c r="M1004" s="525">
        <v>46038</v>
      </c>
      <c r="N1004" s="525">
        <v>46034</v>
      </c>
      <c r="O1004" s="521"/>
      <c r="P1004" s="526" t="s">
        <v>103</v>
      </c>
      <c r="Q1004" s="521"/>
      <c r="R1004" s="530">
        <v>46005</v>
      </c>
      <c r="S1004" s="530" t="s">
        <v>66</v>
      </c>
      <c r="T1004" s="530" t="s">
        <v>2561</v>
      </c>
      <c r="U1004" s="530"/>
      <c r="V1004" s="532" t="s">
        <v>5682</v>
      </c>
      <c r="W1004" s="532" t="s">
        <v>420</v>
      </c>
      <c r="X1004" s="536">
        <v>0.9181</v>
      </c>
      <c r="Y1004" s="540">
        <f t="shared" si="385"/>
        <v>429.6708</v>
      </c>
      <c r="Z1004" s="521"/>
      <c r="AA1004" s="521" t="s">
        <v>3158</v>
      </c>
      <c r="AB1004" s="521" t="s">
        <v>76</v>
      </c>
      <c r="AC1004" s="521"/>
      <c r="AD1004" s="519"/>
      <c r="AE1004" s="519">
        <v>1</v>
      </c>
      <c r="AF1004" s="521">
        <v>468</v>
      </c>
      <c r="AG1004" s="521">
        <f t="shared" si="394"/>
        <v>0</v>
      </c>
      <c r="AH1004" s="542"/>
      <c r="AI1004" s="521" t="s">
        <v>2191</v>
      </c>
      <c r="AJ1004" s="521"/>
      <c r="AK1004" s="521"/>
      <c r="AL1004" s="543">
        <f>I1004</f>
        <v>468</v>
      </c>
      <c r="AM1004" s="628"/>
      <c r="AN1004" s="628"/>
      <c r="AO1004" s="630"/>
      <c r="AP1004" s="427"/>
      <c r="AQ1004" s="628">
        <f>I1004</f>
        <v>468</v>
      </c>
      <c r="AR1004" s="427"/>
      <c r="AS1004" s="543">
        <f>I1004</f>
        <v>468</v>
      </c>
      <c r="AT1004" s="544"/>
      <c r="AU1004" s="628"/>
      <c r="AV1004" s="628"/>
      <c r="AW1004" s="628"/>
      <c r="AX1004" s="628"/>
      <c r="AY1004" s="545">
        <f>I1004/24</f>
        <v>19.5</v>
      </c>
      <c r="AZ1004" s="546"/>
      <c r="BA1004" s="628"/>
      <c r="BB1004" s="628"/>
      <c r="BC1004" s="628"/>
      <c r="BD1004" s="628"/>
      <c r="BE1004" s="628"/>
      <c r="BF1004" s="628"/>
      <c r="BG1004" s="628"/>
      <c r="BH1004" s="628"/>
      <c r="BI1004" s="628">
        <f>I1004/13</f>
        <v>36</v>
      </c>
      <c r="BJ1004" s="628"/>
      <c r="BK1004" s="427"/>
      <c r="BL1004" s="628"/>
      <c r="BM1004" s="628"/>
      <c r="BN1004" s="628"/>
      <c r="BO1004" s="628"/>
      <c r="BP1004" s="628"/>
      <c r="BQ1004" s="628"/>
      <c r="BR1004" s="628"/>
      <c r="BS1004" s="628"/>
      <c r="BT1004" s="544"/>
      <c r="BU1004" s="628"/>
      <c r="BV1004" s="544"/>
      <c r="BW1004" s="628"/>
      <c r="BX1004" s="628"/>
      <c r="BY1004" s="628"/>
      <c r="BZ1004" s="628"/>
      <c r="CA1004" s="628"/>
      <c r="CB1004" s="628"/>
      <c r="CC1004" s="628"/>
      <c r="CD1004" s="628"/>
      <c r="CE1004" s="628"/>
      <c r="CF1004" s="628"/>
      <c r="CG1004" s="628"/>
      <c r="CH1004" s="628"/>
      <c r="CI1004" s="628"/>
      <c r="CJ1004" s="628"/>
      <c r="CK1004" s="427">
        <f>BM1004+BL1004+BK1004+BJ1004+BS1004</f>
        <v>0</v>
      </c>
      <c r="CL1004" s="427">
        <f>CA1004+CB1004+CC1004+CD1004+CE1004+CG1004+CF1004</f>
        <v>0</v>
      </c>
      <c r="CM1004" s="427">
        <f>BY1004+BZ1004</f>
        <v>0</v>
      </c>
      <c r="CN1004" s="544"/>
      <c r="CO1004" s="544"/>
      <c r="CP1004" s="544"/>
      <c r="CT1004" s="544"/>
      <c r="CU1004" s="544"/>
      <c r="CV1004" s="544"/>
      <c r="CW1004" s="544"/>
      <c r="CX1004" s="544"/>
    </row>
    <row r="1005" s="431" customFormat="1" ht="31" customHeight="1" spans="1:102">
      <c r="A1005" s="518">
        <v>45978</v>
      </c>
      <c r="B1005" s="519" t="s">
        <v>1372</v>
      </c>
      <c r="C1005" s="520" t="s">
        <v>90</v>
      </c>
      <c r="D1005" s="427">
        <v>4500185933</v>
      </c>
      <c r="E1005" s="890" t="s">
        <v>2563</v>
      </c>
      <c r="F1005" s="427" t="s">
        <v>2564</v>
      </c>
      <c r="G1005" s="521" t="s">
        <v>5575</v>
      </c>
      <c r="H1005" s="521" t="s">
        <v>744</v>
      </c>
      <c r="I1005" s="607">
        <v>5400</v>
      </c>
      <c r="J1005" s="521">
        <v>0</v>
      </c>
      <c r="K1005" s="521">
        <v>75</v>
      </c>
      <c r="L1005" s="524">
        <f t="shared" si="384"/>
        <v>72</v>
      </c>
      <c r="M1005" s="525">
        <v>46038</v>
      </c>
      <c r="N1005" s="525">
        <v>46034</v>
      </c>
      <c r="O1005" s="521"/>
      <c r="P1005" s="526" t="s">
        <v>103</v>
      </c>
      <c r="Q1005" s="521"/>
      <c r="R1005" s="530" t="s">
        <v>2432</v>
      </c>
      <c r="S1005" s="530" t="s">
        <v>66</v>
      </c>
      <c r="T1005" s="530" t="s">
        <v>66</v>
      </c>
      <c r="U1005" s="530"/>
      <c r="V1005" s="532" t="s">
        <v>2565</v>
      </c>
      <c r="W1005" s="532" t="s">
        <v>821</v>
      </c>
      <c r="X1005" s="536">
        <v>359.3436</v>
      </c>
      <c r="Y1005" s="540">
        <f>X1005*L1005</f>
        <v>25872.7392</v>
      </c>
      <c r="Z1005" s="521"/>
      <c r="AA1005" s="521" t="s">
        <v>1378</v>
      </c>
      <c r="AB1005" s="521" t="s">
        <v>76</v>
      </c>
      <c r="AC1005" s="521"/>
      <c r="AD1005" s="519"/>
      <c r="AE1005" s="519">
        <v>1</v>
      </c>
      <c r="AF1005" s="521">
        <f>2520+2280+600</f>
        <v>5400</v>
      </c>
      <c r="AG1005" s="521">
        <f t="shared" si="394"/>
        <v>0</v>
      </c>
      <c r="AH1005" s="542"/>
      <c r="AI1005" s="521"/>
      <c r="AJ1005" s="521"/>
      <c r="AK1005" s="521">
        <f>I1005*3</f>
        <v>16200</v>
      </c>
      <c r="AL1005" s="543"/>
      <c r="AM1005" s="628"/>
      <c r="AN1005" s="628"/>
      <c r="AO1005" s="630"/>
      <c r="AP1005" s="427"/>
      <c r="AQ1005" s="628"/>
      <c r="AR1005" s="427"/>
      <c r="AS1005" s="543"/>
      <c r="AT1005" s="544"/>
      <c r="AU1005" s="628"/>
      <c r="AV1005" s="628"/>
      <c r="AW1005" s="628"/>
      <c r="AX1005" s="628"/>
      <c r="AY1005" s="545">
        <f>I1005/24*3</f>
        <v>675</v>
      </c>
      <c r="AZ1005" s="546"/>
      <c r="BA1005" s="628"/>
      <c r="BB1005" s="628"/>
      <c r="BC1005" s="628">
        <f>AK1005</f>
        <v>16200</v>
      </c>
      <c r="BD1005" s="628">
        <f>AK1005</f>
        <v>16200</v>
      </c>
      <c r="BE1005" s="628">
        <f>I1005</f>
        <v>5400</v>
      </c>
      <c r="BF1005" s="628">
        <f>I1005/5</f>
        <v>1080</v>
      </c>
      <c r="BG1005" s="628"/>
      <c r="BH1005" s="628"/>
      <c r="BI1005" s="628"/>
      <c r="BJ1005" s="628"/>
      <c r="BK1005" s="427"/>
      <c r="BL1005" s="628"/>
      <c r="BM1005" s="628"/>
      <c r="BN1005" s="628"/>
      <c r="BO1005" s="628"/>
      <c r="BP1005" s="628"/>
      <c r="BQ1005" s="628"/>
      <c r="BR1005" s="628"/>
      <c r="BS1005" s="628"/>
      <c r="BT1005" s="544"/>
      <c r="BU1005" s="628"/>
      <c r="BV1005" s="544"/>
      <c r="BW1005" s="628"/>
      <c r="BX1005" s="628"/>
      <c r="BY1005" s="628"/>
      <c r="BZ1005" s="628"/>
      <c r="CA1005" s="628"/>
      <c r="CB1005" s="628"/>
      <c r="CC1005" s="628"/>
      <c r="CD1005" s="628"/>
      <c r="CE1005" s="628"/>
      <c r="CF1005" s="628"/>
      <c r="CG1005" s="628"/>
      <c r="CH1005" s="628"/>
      <c r="CI1005" s="628"/>
      <c r="CJ1005" s="628"/>
      <c r="CK1005" s="427">
        <f>BM1005+BL1005+BK1005+BJ1005+BS1005</f>
        <v>0</v>
      </c>
      <c r="CL1005" s="427">
        <f>CA1005+CB1005+CC1005+CD1005+CE1005+CG1005+CF1005</f>
        <v>0</v>
      </c>
      <c r="CM1005" s="427">
        <f>BY1005+BZ1005</f>
        <v>0</v>
      </c>
      <c r="CN1005" s="544"/>
      <c r="CO1005" s="544"/>
      <c r="CP1005" s="544"/>
      <c r="CT1005" s="544"/>
      <c r="CU1005" s="544"/>
      <c r="CV1005" s="544"/>
      <c r="CW1005" s="544"/>
      <c r="CX1005" s="544"/>
    </row>
    <row r="1006" s="431" customFormat="1" ht="31" customHeight="1" spans="1:102">
      <c r="A1006" s="518">
        <v>46001</v>
      </c>
      <c r="B1006" s="519" t="s">
        <v>2393</v>
      </c>
      <c r="C1006" s="520" t="s">
        <v>90</v>
      </c>
      <c r="D1006" s="427">
        <v>4500188597</v>
      </c>
      <c r="E1006" s="520">
        <v>40799202</v>
      </c>
      <c r="F1006" s="427" t="s">
        <v>5683</v>
      </c>
      <c r="G1006" s="521" t="s">
        <v>3198</v>
      </c>
      <c r="H1006" s="521" t="s">
        <v>3303</v>
      </c>
      <c r="I1006" s="607">
        <v>1225</v>
      </c>
      <c r="J1006" s="521">
        <v>0</v>
      </c>
      <c r="K1006" s="521">
        <v>25</v>
      </c>
      <c r="L1006" s="524">
        <f t="shared" si="384"/>
        <v>49</v>
      </c>
      <c r="M1006" s="525">
        <v>46041</v>
      </c>
      <c r="N1006" s="525">
        <v>46037</v>
      </c>
      <c r="O1006" s="521" t="s">
        <v>5564</v>
      </c>
      <c r="P1006" s="526" t="s">
        <v>103</v>
      </c>
      <c r="Q1006" s="521"/>
      <c r="R1006" s="530">
        <v>46001</v>
      </c>
      <c r="S1006" s="530" t="s">
        <v>96</v>
      </c>
      <c r="T1006" s="530" t="s">
        <v>5565</v>
      </c>
      <c r="U1006" s="530"/>
      <c r="V1006" s="532" t="s">
        <v>5551</v>
      </c>
      <c r="W1006" s="532" t="s">
        <v>242</v>
      </c>
      <c r="X1006" s="536">
        <v>0.5927</v>
      </c>
      <c r="Y1006" s="540">
        <f t="shared" ref="Y1006:Y1025" si="395">X1006*I1006</f>
        <v>726.0575</v>
      </c>
      <c r="Z1006" s="521"/>
      <c r="AA1006" s="521" t="s">
        <v>3202</v>
      </c>
      <c r="AB1006" s="521" t="s">
        <v>76</v>
      </c>
      <c r="AC1006" s="521"/>
      <c r="AD1006" s="519"/>
      <c r="AE1006" s="519">
        <v>1</v>
      </c>
      <c r="AF1006" s="521">
        <v>1225</v>
      </c>
      <c r="AG1006" s="521">
        <f t="shared" si="394"/>
        <v>0</v>
      </c>
      <c r="AH1006" s="542"/>
      <c r="AI1006" s="521" t="s">
        <v>2191</v>
      </c>
      <c r="AJ1006" s="521"/>
      <c r="AK1006" s="521">
        <f>I1006</f>
        <v>1225</v>
      </c>
      <c r="AL1006" s="543"/>
      <c r="AM1006" s="628"/>
      <c r="AN1006" s="628"/>
      <c r="AO1006" s="630"/>
      <c r="AP1006" s="427">
        <f>I1006</f>
        <v>1225</v>
      </c>
      <c r="AQ1006" s="628"/>
      <c r="AR1006" s="427">
        <f>I1006</f>
        <v>1225</v>
      </c>
      <c r="AS1006" s="543"/>
      <c r="AT1006" s="544"/>
      <c r="AU1006" s="628"/>
      <c r="AV1006" s="628"/>
      <c r="AW1006" s="628"/>
      <c r="AX1006" s="628"/>
      <c r="AY1006" s="545">
        <f>I1006/24</f>
        <v>51.0416666666667</v>
      </c>
      <c r="AZ1006" s="546"/>
      <c r="BA1006" s="628"/>
      <c r="BB1006" s="628"/>
      <c r="BC1006" s="628"/>
      <c r="BD1006" s="628"/>
      <c r="BE1006" s="628"/>
      <c r="BF1006" s="628"/>
      <c r="BG1006" s="628"/>
      <c r="BH1006" s="628"/>
      <c r="BI1006" s="628"/>
      <c r="BJ1006" s="628"/>
      <c r="BK1006" s="427">
        <f>I1006/25</f>
        <v>49</v>
      </c>
      <c r="BL1006" s="628"/>
      <c r="BM1006" s="628"/>
      <c r="BN1006" s="628"/>
      <c r="BO1006" s="628"/>
      <c r="BP1006" s="628"/>
      <c r="BQ1006" s="628"/>
      <c r="BR1006" s="628"/>
      <c r="BS1006" s="628"/>
      <c r="BT1006" s="544"/>
      <c r="BU1006" s="628"/>
      <c r="BV1006" s="544"/>
      <c r="BW1006" s="628"/>
      <c r="BX1006" s="628"/>
      <c r="BY1006" s="628"/>
      <c r="BZ1006" s="628"/>
      <c r="CA1006" s="628"/>
      <c r="CB1006" s="628"/>
      <c r="CC1006" s="628"/>
      <c r="CD1006" s="628"/>
      <c r="CE1006" s="628"/>
      <c r="CF1006" s="628"/>
      <c r="CG1006" s="628"/>
      <c r="CH1006" s="628"/>
      <c r="CI1006" s="628"/>
      <c r="CJ1006" s="628"/>
      <c r="CK1006" s="427">
        <f>BM1006+BL1006+BK1006+BJ1006+BS1006</f>
        <v>49</v>
      </c>
      <c r="CL1006" s="427">
        <f>CA1006+CB1006+CC1006+CD1006+CE1006+CG1006+CF1006</f>
        <v>0</v>
      </c>
      <c r="CM1006" s="427">
        <f>BY1006+BZ1006</f>
        <v>0</v>
      </c>
      <c r="CN1006" s="544"/>
      <c r="CO1006" s="544"/>
      <c r="CP1006" s="544"/>
      <c r="CT1006" s="544"/>
      <c r="CU1006" s="544"/>
      <c r="CV1006" s="544"/>
      <c r="CW1006" s="544"/>
      <c r="CX1006" s="544"/>
    </row>
    <row r="1007" s="431" customFormat="1" ht="31" customHeight="1" spans="1:102">
      <c r="A1007" s="518">
        <v>45993</v>
      </c>
      <c r="B1007" s="519" t="s">
        <v>1669</v>
      </c>
      <c r="C1007" s="520" t="s">
        <v>663</v>
      </c>
      <c r="D1007" s="427">
        <v>4500185221</v>
      </c>
      <c r="E1007" s="520">
        <v>5000002057</v>
      </c>
      <c r="F1007" s="427" t="s">
        <v>5684</v>
      </c>
      <c r="G1007" s="521" t="s">
        <v>3206</v>
      </c>
      <c r="H1007" s="521" t="s">
        <v>4939</v>
      </c>
      <c r="I1007" s="607">
        <v>26000</v>
      </c>
      <c r="J1007" s="521">
        <v>0</v>
      </c>
      <c r="K1007" s="521">
        <v>13</v>
      </c>
      <c r="L1007" s="524">
        <f t="shared" si="384"/>
        <v>2000</v>
      </c>
      <c r="M1007" s="525">
        <v>46042</v>
      </c>
      <c r="N1007" s="525">
        <v>46038</v>
      </c>
      <c r="O1007" s="521"/>
      <c r="P1007" s="526" t="s">
        <v>103</v>
      </c>
      <c r="Q1007" s="521"/>
      <c r="R1007" s="530" t="s">
        <v>4940</v>
      </c>
      <c r="S1007" s="530" t="s">
        <v>96</v>
      </c>
      <c r="T1007" s="530" t="s">
        <v>5153</v>
      </c>
      <c r="U1007" s="530" t="s">
        <v>5622</v>
      </c>
      <c r="V1007" s="532" t="s">
        <v>5685</v>
      </c>
      <c r="W1007" s="532" t="s">
        <v>1674</v>
      </c>
      <c r="X1007" s="536">
        <v>0.8677</v>
      </c>
      <c r="Y1007" s="540">
        <f t="shared" si="395"/>
        <v>22560.2</v>
      </c>
      <c r="Z1007" s="521"/>
      <c r="AA1007" s="521" t="s">
        <v>5467</v>
      </c>
      <c r="AB1007" s="521" t="s">
        <v>76</v>
      </c>
      <c r="AC1007" s="521"/>
      <c r="AD1007" s="519"/>
      <c r="AE1007" s="519">
        <v>1</v>
      </c>
      <c r="AF1007" s="521">
        <f>18876+4680+2444</f>
        <v>26000</v>
      </c>
      <c r="AG1007" s="521">
        <f t="shared" ref="AG1007:AG1025" si="396">AF1007-I1007</f>
        <v>0</v>
      </c>
      <c r="AH1007" s="542"/>
      <c r="AI1007" s="521" t="s">
        <v>2191</v>
      </c>
      <c r="AJ1007" s="521"/>
      <c r="AK1007" s="521"/>
      <c r="AL1007" s="543">
        <f t="shared" ref="AL1007:AL1013" si="397">I1007</f>
        <v>26000</v>
      </c>
      <c r="AM1007" s="628"/>
      <c r="AN1007" s="628"/>
      <c r="AO1007" s="630"/>
      <c r="AP1007" s="427"/>
      <c r="AQ1007" s="628"/>
      <c r="AR1007" s="427"/>
      <c r="AS1007" s="543"/>
      <c r="AT1007" s="544">
        <f>I1007</f>
        <v>26000</v>
      </c>
      <c r="AU1007" s="628">
        <f>I1007</f>
        <v>26000</v>
      </c>
      <c r="AV1007" s="628"/>
      <c r="AW1007" s="628"/>
      <c r="AX1007" s="628">
        <f>I1007/13</f>
        <v>2000</v>
      </c>
      <c r="AY1007" s="545"/>
      <c r="AZ1007" s="546"/>
      <c r="BA1007" s="628"/>
      <c r="BB1007" s="628"/>
      <c r="BC1007" s="628"/>
      <c r="BD1007" s="628"/>
      <c r="BE1007" s="628"/>
      <c r="BF1007" s="628"/>
      <c r="BG1007" s="628"/>
      <c r="BH1007" s="628"/>
      <c r="BI1007" s="628">
        <f>I1007/13</f>
        <v>2000</v>
      </c>
      <c r="BJ1007" s="628"/>
      <c r="BK1007" s="427"/>
      <c r="BL1007" s="628"/>
      <c r="BM1007" s="628"/>
      <c r="BN1007" s="628"/>
      <c r="BO1007" s="628"/>
      <c r="BP1007" s="628"/>
      <c r="BQ1007" s="628"/>
      <c r="BR1007" s="628"/>
      <c r="BS1007" s="628"/>
      <c r="BT1007" s="544"/>
      <c r="BU1007" s="628"/>
      <c r="BV1007" s="544"/>
      <c r="BW1007" s="628"/>
      <c r="BX1007" s="628"/>
      <c r="BY1007" s="628"/>
      <c r="BZ1007" s="628"/>
      <c r="CA1007" s="628"/>
      <c r="CB1007" s="628"/>
      <c r="CC1007" s="628"/>
      <c r="CD1007" s="628"/>
      <c r="CE1007" s="628"/>
      <c r="CF1007" s="628"/>
      <c r="CG1007" s="628"/>
      <c r="CH1007" s="628"/>
      <c r="CI1007" s="628"/>
      <c r="CJ1007" s="628"/>
      <c r="CK1007" s="427">
        <f t="shared" ref="CK1007:CK1020" si="398">BM1007+BL1007+BK1007+BJ1007+BS1007</f>
        <v>0</v>
      </c>
      <c r="CL1007" s="427">
        <f t="shared" ref="CL1007:CL1020" si="399">CA1007+CB1007+CC1007+CD1007+CE1007+CG1007+CF1007</f>
        <v>0</v>
      </c>
      <c r="CM1007" s="427">
        <f t="shared" ref="CM1007:CM1020" si="400">BY1007+BZ1007</f>
        <v>0</v>
      </c>
      <c r="CN1007" s="544"/>
      <c r="CO1007" s="544"/>
      <c r="CP1007" s="544"/>
      <c r="CT1007" s="544"/>
      <c r="CU1007" s="544"/>
      <c r="CV1007" s="544"/>
      <c r="CW1007" s="544"/>
      <c r="CX1007" s="544"/>
    </row>
    <row r="1008" s="431" customFormat="1" ht="31" customHeight="1" spans="1:102">
      <c r="A1008" s="518">
        <v>45993</v>
      </c>
      <c r="B1008" s="519" t="s">
        <v>1669</v>
      </c>
      <c r="C1008" s="520" t="s">
        <v>663</v>
      </c>
      <c r="D1008" s="427">
        <v>4500185221</v>
      </c>
      <c r="E1008" s="520">
        <v>5000002057</v>
      </c>
      <c r="F1008" s="427" t="s">
        <v>5686</v>
      </c>
      <c r="G1008" s="521" t="s">
        <v>3206</v>
      </c>
      <c r="H1008" s="521" t="s">
        <v>4939</v>
      </c>
      <c r="I1008" s="607">
        <v>26000</v>
      </c>
      <c r="J1008" s="521">
        <v>0</v>
      </c>
      <c r="K1008" s="521">
        <v>13</v>
      </c>
      <c r="L1008" s="524">
        <f t="shared" si="384"/>
        <v>2000</v>
      </c>
      <c r="M1008" s="525">
        <v>46042</v>
      </c>
      <c r="N1008" s="525">
        <v>46038</v>
      </c>
      <c r="O1008" s="521"/>
      <c r="P1008" s="526" t="s">
        <v>103</v>
      </c>
      <c r="Q1008" s="521"/>
      <c r="R1008" s="530" t="s">
        <v>4940</v>
      </c>
      <c r="S1008" s="530" t="s">
        <v>96</v>
      </c>
      <c r="T1008" s="530" t="s">
        <v>5153</v>
      </c>
      <c r="U1008" s="530" t="s">
        <v>5622</v>
      </c>
      <c r="V1008" s="532" t="s">
        <v>5685</v>
      </c>
      <c r="W1008" s="532" t="s">
        <v>1674</v>
      </c>
      <c r="X1008" s="536">
        <v>0.8677</v>
      </c>
      <c r="Y1008" s="540">
        <f t="shared" si="395"/>
        <v>22560.2</v>
      </c>
      <c r="Z1008" s="521"/>
      <c r="AA1008" s="521" t="s">
        <v>5467</v>
      </c>
      <c r="AB1008" s="521" t="s">
        <v>76</v>
      </c>
      <c r="AC1008" s="521"/>
      <c r="AD1008" s="519"/>
      <c r="AE1008" s="519">
        <v>1</v>
      </c>
      <c r="AF1008" s="521">
        <f>13260+12740</f>
        <v>26000</v>
      </c>
      <c r="AG1008" s="521">
        <f t="shared" si="396"/>
        <v>0</v>
      </c>
      <c r="AH1008" s="542"/>
      <c r="AI1008" s="521" t="s">
        <v>2191</v>
      </c>
      <c r="AJ1008" s="521"/>
      <c r="AK1008" s="521"/>
      <c r="AL1008" s="543">
        <f t="shared" si="397"/>
        <v>26000</v>
      </c>
      <c r="AM1008" s="628"/>
      <c r="AN1008" s="628"/>
      <c r="AO1008" s="630"/>
      <c r="AP1008" s="427"/>
      <c r="AQ1008" s="628"/>
      <c r="AR1008" s="427"/>
      <c r="AS1008" s="543"/>
      <c r="AT1008" s="544">
        <f>I1008</f>
        <v>26000</v>
      </c>
      <c r="AU1008" s="628">
        <f>I1008</f>
        <v>26000</v>
      </c>
      <c r="AV1008" s="628"/>
      <c r="AW1008" s="628"/>
      <c r="AX1008" s="628">
        <f>I1008/13</f>
        <v>2000</v>
      </c>
      <c r="AY1008" s="545"/>
      <c r="AZ1008" s="546"/>
      <c r="BA1008" s="628"/>
      <c r="BB1008" s="628"/>
      <c r="BC1008" s="628"/>
      <c r="BD1008" s="628"/>
      <c r="BE1008" s="628"/>
      <c r="BF1008" s="628"/>
      <c r="BG1008" s="628"/>
      <c r="BH1008" s="628"/>
      <c r="BI1008" s="628">
        <f>I1008/13</f>
        <v>2000</v>
      </c>
      <c r="BJ1008" s="628"/>
      <c r="BK1008" s="427"/>
      <c r="BL1008" s="628"/>
      <c r="BM1008" s="628"/>
      <c r="BN1008" s="628"/>
      <c r="BO1008" s="628"/>
      <c r="BP1008" s="628"/>
      <c r="BQ1008" s="628"/>
      <c r="BR1008" s="628"/>
      <c r="BS1008" s="628"/>
      <c r="BT1008" s="544"/>
      <c r="BU1008" s="628"/>
      <c r="BV1008" s="544"/>
      <c r="BW1008" s="628"/>
      <c r="BX1008" s="628"/>
      <c r="BY1008" s="628"/>
      <c r="BZ1008" s="628"/>
      <c r="CA1008" s="628"/>
      <c r="CB1008" s="628"/>
      <c r="CC1008" s="628"/>
      <c r="CD1008" s="628"/>
      <c r="CE1008" s="628"/>
      <c r="CF1008" s="628"/>
      <c r="CG1008" s="628"/>
      <c r="CH1008" s="628"/>
      <c r="CI1008" s="628"/>
      <c r="CJ1008" s="628"/>
      <c r="CK1008" s="427">
        <f t="shared" si="398"/>
        <v>0</v>
      </c>
      <c r="CL1008" s="427">
        <f t="shared" si="399"/>
        <v>0</v>
      </c>
      <c r="CM1008" s="427">
        <f t="shared" si="400"/>
        <v>0</v>
      </c>
      <c r="CN1008" s="544"/>
      <c r="CO1008" s="544"/>
      <c r="CP1008" s="544"/>
      <c r="CT1008" s="544"/>
      <c r="CU1008" s="544"/>
      <c r="CV1008" s="544"/>
      <c r="CW1008" s="544"/>
      <c r="CX1008" s="544"/>
    </row>
    <row r="1009" s="431" customFormat="1" ht="31" customHeight="1" spans="1:102">
      <c r="A1009" s="518">
        <v>45993</v>
      </c>
      <c r="B1009" s="519" t="s">
        <v>1669</v>
      </c>
      <c r="C1009" s="520" t="s">
        <v>663</v>
      </c>
      <c r="D1009" s="427">
        <v>4500185221</v>
      </c>
      <c r="E1009" s="520">
        <v>5000002057</v>
      </c>
      <c r="F1009" s="427" t="s">
        <v>5687</v>
      </c>
      <c r="G1009" s="521" t="s">
        <v>3206</v>
      </c>
      <c r="H1009" s="521" t="s">
        <v>4939</v>
      </c>
      <c r="I1009" s="607">
        <v>7280</v>
      </c>
      <c r="J1009" s="521">
        <v>0</v>
      </c>
      <c r="K1009" s="521">
        <v>13</v>
      </c>
      <c r="L1009" s="524">
        <f t="shared" si="384"/>
        <v>560</v>
      </c>
      <c r="M1009" s="525">
        <v>46042</v>
      </c>
      <c r="N1009" s="525">
        <v>46038</v>
      </c>
      <c r="O1009" s="521"/>
      <c r="P1009" s="526" t="s">
        <v>103</v>
      </c>
      <c r="Q1009" s="521"/>
      <c r="R1009" s="530" t="s">
        <v>4940</v>
      </c>
      <c r="S1009" s="530" t="s">
        <v>96</v>
      </c>
      <c r="T1009" s="530" t="s">
        <v>5153</v>
      </c>
      <c r="U1009" s="530" t="s">
        <v>5622</v>
      </c>
      <c r="V1009" s="532" t="s">
        <v>5685</v>
      </c>
      <c r="W1009" s="532" t="s">
        <v>1674</v>
      </c>
      <c r="X1009" s="536">
        <v>0.8677</v>
      </c>
      <c r="Y1009" s="540">
        <f t="shared" si="395"/>
        <v>6316.856</v>
      </c>
      <c r="Z1009" s="521"/>
      <c r="AA1009" s="521" t="s">
        <v>5467</v>
      </c>
      <c r="AB1009" s="521" t="s">
        <v>76</v>
      </c>
      <c r="AC1009" s="521"/>
      <c r="AD1009" s="519"/>
      <c r="AE1009" s="519">
        <v>1</v>
      </c>
      <c r="AF1009" s="521">
        <v>7280</v>
      </c>
      <c r="AG1009" s="521">
        <f t="shared" si="396"/>
        <v>0</v>
      </c>
      <c r="AH1009" s="542"/>
      <c r="AI1009" s="521" t="s">
        <v>2191</v>
      </c>
      <c r="AJ1009" s="521"/>
      <c r="AK1009" s="521"/>
      <c r="AL1009" s="543">
        <f t="shared" si="397"/>
        <v>7280</v>
      </c>
      <c r="AM1009" s="628"/>
      <c r="AN1009" s="628"/>
      <c r="AO1009" s="630"/>
      <c r="AP1009" s="427"/>
      <c r="AQ1009" s="628"/>
      <c r="AR1009" s="427"/>
      <c r="AS1009" s="543"/>
      <c r="AT1009" s="544">
        <f>I1009</f>
        <v>7280</v>
      </c>
      <c r="AU1009" s="628">
        <f>I1009</f>
        <v>7280</v>
      </c>
      <c r="AV1009" s="628"/>
      <c r="AW1009" s="628"/>
      <c r="AX1009" s="628">
        <f>I1009/13</f>
        <v>560</v>
      </c>
      <c r="AY1009" s="545"/>
      <c r="AZ1009" s="546"/>
      <c r="BA1009" s="628"/>
      <c r="BB1009" s="628"/>
      <c r="BC1009" s="628"/>
      <c r="BD1009" s="628"/>
      <c r="BE1009" s="628"/>
      <c r="BF1009" s="628"/>
      <c r="BG1009" s="628"/>
      <c r="BH1009" s="628"/>
      <c r="BI1009" s="628">
        <f>I1009/13</f>
        <v>560</v>
      </c>
      <c r="BJ1009" s="628"/>
      <c r="BK1009" s="427"/>
      <c r="BL1009" s="628"/>
      <c r="BM1009" s="628"/>
      <c r="BN1009" s="628"/>
      <c r="BO1009" s="628"/>
      <c r="BP1009" s="628"/>
      <c r="BQ1009" s="628"/>
      <c r="BR1009" s="628"/>
      <c r="BS1009" s="628"/>
      <c r="BT1009" s="544"/>
      <c r="BU1009" s="628"/>
      <c r="BV1009" s="544"/>
      <c r="BW1009" s="628"/>
      <c r="BX1009" s="628"/>
      <c r="BY1009" s="628"/>
      <c r="BZ1009" s="628"/>
      <c r="CA1009" s="628"/>
      <c r="CB1009" s="628"/>
      <c r="CC1009" s="628"/>
      <c r="CD1009" s="628"/>
      <c r="CE1009" s="628"/>
      <c r="CF1009" s="628"/>
      <c r="CG1009" s="628"/>
      <c r="CH1009" s="628"/>
      <c r="CI1009" s="628"/>
      <c r="CJ1009" s="628"/>
      <c r="CK1009" s="427">
        <f t="shared" si="398"/>
        <v>0</v>
      </c>
      <c r="CL1009" s="427">
        <f t="shared" si="399"/>
        <v>0</v>
      </c>
      <c r="CM1009" s="427">
        <f t="shared" si="400"/>
        <v>0</v>
      </c>
      <c r="CN1009" s="544"/>
      <c r="CO1009" s="544"/>
      <c r="CP1009" s="544"/>
      <c r="CT1009" s="544"/>
      <c r="CU1009" s="544"/>
      <c r="CV1009" s="544"/>
      <c r="CW1009" s="544"/>
      <c r="CX1009" s="544"/>
    </row>
    <row r="1010" s="431" customFormat="1" ht="31" customHeight="1" spans="1:102">
      <c r="A1010" s="518">
        <v>45993</v>
      </c>
      <c r="B1010" s="519" t="s">
        <v>675</v>
      </c>
      <c r="C1010" s="520" t="s">
        <v>676</v>
      </c>
      <c r="D1010" s="427">
        <v>4500187640</v>
      </c>
      <c r="E1010" s="520" t="s">
        <v>2608</v>
      </c>
      <c r="F1010" s="427" t="s">
        <v>5688</v>
      </c>
      <c r="G1010" s="521" t="s">
        <v>3161</v>
      </c>
      <c r="H1010" s="521" t="s">
        <v>3221</v>
      </c>
      <c r="I1010" s="607">
        <v>3000</v>
      </c>
      <c r="J1010" s="521">
        <v>0</v>
      </c>
      <c r="K1010" s="521">
        <v>50</v>
      </c>
      <c r="L1010" s="524">
        <f t="shared" si="384"/>
        <v>60</v>
      </c>
      <c r="M1010" s="525">
        <v>46042</v>
      </c>
      <c r="N1010" s="525">
        <v>46038</v>
      </c>
      <c r="O1010" s="521"/>
      <c r="P1010" s="526" t="s">
        <v>103</v>
      </c>
      <c r="Q1010" s="521"/>
      <c r="R1010" s="530">
        <v>45999</v>
      </c>
      <c r="S1010" s="530" t="s">
        <v>66</v>
      </c>
      <c r="T1010" s="530" t="s">
        <v>2610</v>
      </c>
      <c r="U1010" s="530"/>
      <c r="V1010" s="532" t="s">
        <v>2611</v>
      </c>
      <c r="W1010" s="532" t="s">
        <v>473</v>
      </c>
      <c r="X1010" s="536">
        <v>0.941</v>
      </c>
      <c r="Y1010" s="540">
        <f t="shared" si="395"/>
        <v>2823</v>
      </c>
      <c r="Z1010" s="521"/>
      <c r="AA1010" s="521" t="s">
        <v>3161</v>
      </c>
      <c r="AB1010" s="521" t="s">
        <v>76</v>
      </c>
      <c r="AC1010" s="521"/>
      <c r="AD1010" s="519"/>
      <c r="AE1010" s="519">
        <v>1</v>
      </c>
      <c r="AF1010" s="521">
        <v>3000</v>
      </c>
      <c r="AG1010" s="521">
        <f t="shared" si="396"/>
        <v>0</v>
      </c>
      <c r="AH1010" s="542"/>
      <c r="AI1010" s="521" t="s">
        <v>2191</v>
      </c>
      <c r="AJ1010" s="521"/>
      <c r="AK1010" s="521"/>
      <c r="AL1010" s="543">
        <f t="shared" si="397"/>
        <v>3000</v>
      </c>
      <c r="AM1010" s="628"/>
      <c r="AN1010" s="628"/>
      <c r="AO1010" s="630"/>
      <c r="AP1010" s="427"/>
      <c r="AQ1010" s="628">
        <f t="shared" ref="AQ1007:AQ1012" si="401">I1010</f>
        <v>3000</v>
      </c>
      <c r="AR1010" s="427"/>
      <c r="AS1010" s="543">
        <f>I1010</f>
        <v>3000</v>
      </c>
      <c r="AT1010" s="544"/>
      <c r="AU1010" s="628"/>
      <c r="AV1010" s="628"/>
      <c r="AW1010" s="628"/>
      <c r="AX1010" s="628"/>
      <c r="AY1010" s="545">
        <f>I1010/24</f>
        <v>125</v>
      </c>
      <c r="AZ1010" s="546"/>
      <c r="BA1010" s="628"/>
      <c r="BB1010" s="628"/>
      <c r="BC1010" s="628"/>
      <c r="BD1010" s="628"/>
      <c r="BE1010" s="628"/>
      <c r="BF1010" s="628"/>
      <c r="BG1010" s="628"/>
      <c r="BH1010" s="628"/>
      <c r="BI1010" s="628"/>
      <c r="BJ1010" s="628"/>
      <c r="BK1010" s="427"/>
      <c r="BL1010" s="628">
        <f>I1010/25</f>
        <v>120</v>
      </c>
      <c r="BM1010" s="628"/>
      <c r="BN1010" s="628"/>
      <c r="BO1010" s="628"/>
      <c r="BP1010" s="628"/>
      <c r="BQ1010" s="628"/>
      <c r="BR1010" s="628"/>
      <c r="BS1010" s="628"/>
      <c r="BT1010" s="544"/>
      <c r="BU1010" s="628"/>
      <c r="BV1010" s="544"/>
      <c r="BW1010" s="628"/>
      <c r="BX1010" s="628"/>
      <c r="BY1010" s="628"/>
      <c r="BZ1010" s="628"/>
      <c r="CA1010" s="628"/>
      <c r="CB1010" s="628"/>
      <c r="CC1010" s="628"/>
      <c r="CD1010" s="628"/>
      <c r="CE1010" s="628"/>
      <c r="CF1010" s="628"/>
      <c r="CG1010" s="628"/>
      <c r="CH1010" s="628"/>
      <c r="CI1010" s="628"/>
      <c r="CJ1010" s="628"/>
      <c r="CK1010" s="427">
        <f t="shared" si="398"/>
        <v>120</v>
      </c>
      <c r="CL1010" s="427">
        <f t="shared" si="399"/>
        <v>0</v>
      </c>
      <c r="CM1010" s="427">
        <f t="shared" si="400"/>
        <v>0</v>
      </c>
      <c r="CN1010" s="544"/>
      <c r="CO1010" s="544"/>
      <c r="CP1010" s="544"/>
      <c r="CT1010" s="544"/>
      <c r="CU1010" s="544"/>
      <c r="CV1010" s="544"/>
      <c r="CW1010" s="544"/>
      <c r="CX1010" s="544"/>
    </row>
    <row r="1011" s="431" customFormat="1" ht="31" customHeight="1" spans="1:102">
      <c r="A1011" s="518">
        <v>45990</v>
      </c>
      <c r="B1011" s="519" t="s">
        <v>1492</v>
      </c>
      <c r="C1011" s="520" t="s">
        <v>249</v>
      </c>
      <c r="D1011" s="427">
        <v>4500187433</v>
      </c>
      <c r="E1011" s="520">
        <v>4400528009</v>
      </c>
      <c r="F1011" s="427" t="s">
        <v>5689</v>
      </c>
      <c r="G1011" s="521" t="s">
        <v>3165</v>
      </c>
      <c r="H1011" s="521" t="s">
        <v>3303</v>
      </c>
      <c r="I1011" s="607">
        <v>6500</v>
      </c>
      <c r="J1011" s="521">
        <v>0</v>
      </c>
      <c r="K1011" s="521">
        <v>25</v>
      </c>
      <c r="L1011" s="524">
        <f t="shared" si="384"/>
        <v>260</v>
      </c>
      <c r="M1011" s="525">
        <v>46042</v>
      </c>
      <c r="N1011" s="525">
        <v>46038</v>
      </c>
      <c r="O1011" s="521"/>
      <c r="P1011" s="526" t="s">
        <v>103</v>
      </c>
      <c r="Q1011" s="521"/>
      <c r="R1011" s="530">
        <v>45990</v>
      </c>
      <c r="S1011" s="530" t="s">
        <v>66</v>
      </c>
      <c r="T1011" s="530" t="s">
        <v>5427</v>
      </c>
      <c r="U1011" s="530"/>
      <c r="V1011" s="532" t="s">
        <v>5690</v>
      </c>
      <c r="W1011" s="532" t="s">
        <v>1424</v>
      </c>
      <c r="X1011" s="536">
        <v>0.9365</v>
      </c>
      <c r="Y1011" s="540">
        <f t="shared" si="395"/>
        <v>6087.25</v>
      </c>
      <c r="Z1011" s="521"/>
      <c r="AA1011" s="521" t="s">
        <v>3165</v>
      </c>
      <c r="AB1011" s="521" t="s">
        <v>76</v>
      </c>
      <c r="AC1011" s="521"/>
      <c r="AD1011" s="519"/>
      <c r="AE1011" s="519">
        <v>1</v>
      </c>
      <c r="AF1011" s="521">
        <f>25+6475</f>
        <v>6500</v>
      </c>
      <c r="AG1011" s="521">
        <f t="shared" si="396"/>
        <v>0</v>
      </c>
      <c r="AH1011" s="542"/>
      <c r="AI1011" s="521" t="s">
        <v>2191</v>
      </c>
      <c r="AJ1011" s="521"/>
      <c r="AK1011" s="521"/>
      <c r="AL1011" s="543">
        <f t="shared" si="397"/>
        <v>6500</v>
      </c>
      <c r="AM1011" s="628"/>
      <c r="AN1011" s="628"/>
      <c r="AO1011" s="630"/>
      <c r="AP1011" s="427"/>
      <c r="AQ1011" s="628">
        <f t="shared" si="401"/>
        <v>6500</v>
      </c>
      <c r="AR1011" s="427"/>
      <c r="AS1011" s="543">
        <f>I1011</f>
        <v>6500</v>
      </c>
      <c r="AT1011" s="544"/>
      <c r="AU1011" s="628"/>
      <c r="AV1011" s="628"/>
      <c r="AW1011" s="628"/>
      <c r="AX1011" s="628"/>
      <c r="AY1011" s="545">
        <f>I1011/24*2</f>
        <v>541.666666666667</v>
      </c>
      <c r="AZ1011" s="546"/>
      <c r="BA1011" s="628"/>
      <c r="BB1011" s="628"/>
      <c r="BC1011" s="628"/>
      <c r="BD1011" s="628"/>
      <c r="BE1011" s="628"/>
      <c r="BF1011" s="628"/>
      <c r="BG1011" s="628"/>
      <c r="BH1011" s="628"/>
      <c r="BI1011" s="628"/>
      <c r="BJ1011" s="628"/>
      <c r="BK1011" s="427"/>
      <c r="BL1011" s="427">
        <f>I1011/25</f>
        <v>260</v>
      </c>
      <c r="BM1011" s="628"/>
      <c r="BN1011" s="628"/>
      <c r="BO1011" s="628"/>
      <c r="BP1011" s="628"/>
      <c r="BQ1011" s="628"/>
      <c r="BR1011" s="628"/>
      <c r="BS1011" s="628"/>
      <c r="BT1011" s="544"/>
      <c r="BU1011" s="628"/>
      <c r="BV1011" s="544"/>
      <c r="BW1011" s="628"/>
      <c r="BX1011" s="628"/>
      <c r="BY1011" s="628"/>
      <c r="BZ1011" s="628"/>
      <c r="CA1011" s="628"/>
      <c r="CB1011" s="628"/>
      <c r="CC1011" s="628"/>
      <c r="CD1011" s="628"/>
      <c r="CE1011" s="628"/>
      <c r="CF1011" s="628"/>
      <c r="CG1011" s="628"/>
      <c r="CH1011" s="628"/>
      <c r="CI1011" s="628"/>
      <c r="CJ1011" s="628"/>
      <c r="CK1011" s="427">
        <f t="shared" si="398"/>
        <v>260</v>
      </c>
      <c r="CL1011" s="427">
        <f t="shared" si="399"/>
        <v>0</v>
      </c>
      <c r="CM1011" s="427">
        <f t="shared" si="400"/>
        <v>0</v>
      </c>
      <c r="CN1011" s="544"/>
      <c r="CO1011" s="544"/>
      <c r="CP1011" s="544"/>
      <c r="CT1011" s="544"/>
      <c r="CU1011" s="544"/>
      <c r="CV1011" s="544"/>
      <c r="CW1011" s="544"/>
      <c r="CX1011" s="544"/>
    </row>
    <row r="1012" s="431" customFormat="1" ht="31" customHeight="1" spans="1:102">
      <c r="A1012" s="518">
        <v>46000</v>
      </c>
      <c r="B1012" s="519" t="s">
        <v>5691</v>
      </c>
      <c r="C1012" s="520" t="s">
        <v>5692</v>
      </c>
      <c r="D1012" s="427">
        <v>4500188421</v>
      </c>
      <c r="E1012" s="520" t="s">
        <v>5693</v>
      </c>
      <c r="F1012" s="427" t="s">
        <v>5694</v>
      </c>
      <c r="G1012" s="521" t="s">
        <v>3206</v>
      </c>
      <c r="H1012" s="521" t="s">
        <v>3207</v>
      </c>
      <c r="I1012" s="607">
        <v>5980</v>
      </c>
      <c r="J1012" s="521">
        <v>0</v>
      </c>
      <c r="K1012" s="521">
        <v>13</v>
      </c>
      <c r="L1012" s="524">
        <f t="shared" si="384"/>
        <v>460</v>
      </c>
      <c r="M1012" s="525">
        <v>46042</v>
      </c>
      <c r="N1012" s="525">
        <v>46038</v>
      </c>
      <c r="O1012" s="521"/>
      <c r="P1012" s="526" t="s">
        <v>103</v>
      </c>
      <c r="Q1012" s="521"/>
      <c r="R1012" s="530">
        <v>46006</v>
      </c>
      <c r="S1012" s="530" t="s">
        <v>66</v>
      </c>
      <c r="T1012" s="530" t="s">
        <v>5695</v>
      </c>
      <c r="U1012" s="530"/>
      <c r="V1012" s="532" t="s">
        <v>5696</v>
      </c>
      <c r="W1012" s="532" t="s">
        <v>1663</v>
      </c>
      <c r="X1012" s="536">
        <v>0.9109</v>
      </c>
      <c r="Y1012" s="540">
        <f t="shared" si="395"/>
        <v>5447.182</v>
      </c>
      <c r="Z1012" s="521"/>
      <c r="AA1012" s="521" t="s">
        <v>3206</v>
      </c>
      <c r="AB1012" s="521" t="s">
        <v>76</v>
      </c>
      <c r="AC1012" s="521"/>
      <c r="AD1012" s="519"/>
      <c r="AE1012" s="519" t="s">
        <v>2834</v>
      </c>
      <c r="AF1012" s="521">
        <v>5980</v>
      </c>
      <c r="AG1012" s="521">
        <f t="shared" si="396"/>
        <v>0</v>
      </c>
      <c r="AH1012" s="542"/>
      <c r="AI1012" s="521" t="s">
        <v>2191</v>
      </c>
      <c r="AJ1012" s="521"/>
      <c r="AK1012" s="521"/>
      <c r="AL1012" s="543">
        <f t="shared" si="397"/>
        <v>5980</v>
      </c>
      <c r="AM1012" s="628"/>
      <c r="AN1012" s="628"/>
      <c r="AO1012" s="630"/>
      <c r="AP1012" s="427"/>
      <c r="AQ1012" s="628">
        <f t="shared" si="401"/>
        <v>5980</v>
      </c>
      <c r="AR1012" s="427"/>
      <c r="AS1012" s="543">
        <f>I1012*2</f>
        <v>11960</v>
      </c>
      <c r="AT1012" s="544"/>
      <c r="AU1012" s="628"/>
      <c r="AV1012" s="628"/>
      <c r="AW1012" s="628"/>
      <c r="AX1012" s="628"/>
      <c r="AY1012" s="545">
        <f>I1012/24</f>
        <v>249.166666666667</v>
      </c>
      <c r="AZ1012" s="546"/>
      <c r="BA1012" s="628"/>
      <c r="BB1012" s="628"/>
      <c r="BC1012" s="628"/>
      <c r="BD1012" s="628"/>
      <c r="BE1012" s="628"/>
      <c r="BF1012" s="628"/>
      <c r="BG1012" s="628"/>
      <c r="BH1012" s="628"/>
      <c r="BI1012" s="628">
        <f>I1012/13</f>
        <v>460</v>
      </c>
      <c r="BJ1012" s="628"/>
      <c r="BK1012" s="427"/>
      <c r="BL1012" s="628"/>
      <c r="BM1012" s="628"/>
      <c r="BN1012" s="628"/>
      <c r="BO1012" s="628"/>
      <c r="BP1012" s="628"/>
      <c r="BQ1012" s="628"/>
      <c r="BR1012" s="628"/>
      <c r="BS1012" s="628"/>
      <c r="BT1012" s="544"/>
      <c r="BU1012" s="628"/>
      <c r="BV1012" s="544"/>
      <c r="BW1012" s="628"/>
      <c r="BX1012" s="628"/>
      <c r="BY1012" s="628"/>
      <c r="BZ1012" s="628"/>
      <c r="CA1012" s="628"/>
      <c r="CB1012" s="628"/>
      <c r="CC1012" s="628"/>
      <c r="CD1012" s="628"/>
      <c r="CE1012" s="628"/>
      <c r="CF1012" s="628"/>
      <c r="CG1012" s="628"/>
      <c r="CH1012" s="628"/>
      <c r="CI1012" s="628"/>
      <c r="CJ1012" s="628"/>
      <c r="CK1012" s="427">
        <f t="shared" si="398"/>
        <v>0</v>
      </c>
      <c r="CL1012" s="427">
        <f t="shared" si="399"/>
        <v>0</v>
      </c>
      <c r="CM1012" s="427">
        <f t="shared" si="400"/>
        <v>0</v>
      </c>
      <c r="CN1012" s="544"/>
      <c r="CO1012" s="544"/>
      <c r="CP1012" s="544"/>
      <c r="CT1012" s="544"/>
      <c r="CU1012" s="544"/>
      <c r="CV1012" s="544"/>
      <c r="CW1012" s="544"/>
      <c r="CX1012" s="544"/>
    </row>
    <row r="1013" s="431" customFormat="1" ht="31" customHeight="1" spans="1:102">
      <c r="A1013" s="518">
        <v>45940</v>
      </c>
      <c r="B1013" s="519" t="s">
        <v>498</v>
      </c>
      <c r="C1013" s="520" t="s">
        <v>306</v>
      </c>
      <c r="D1013" s="427">
        <v>4500181289</v>
      </c>
      <c r="E1013" s="520">
        <v>4504470421</v>
      </c>
      <c r="F1013" s="427" t="s">
        <v>5697</v>
      </c>
      <c r="G1013" s="521" t="s">
        <v>3378</v>
      </c>
      <c r="H1013" s="521" t="s">
        <v>3379</v>
      </c>
      <c r="I1013" s="607">
        <v>9000</v>
      </c>
      <c r="J1013" s="521">
        <v>0</v>
      </c>
      <c r="K1013" s="521">
        <v>50</v>
      </c>
      <c r="L1013" s="524">
        <f t="shared" si="384"/>
        <v>180</v>
      </c>
      <c r="M1013" s="525">
        <v>46044</v>
      </c>
      <c r="N1013" s="525">
        <v>46041</v>
      </c>
      <c r="O1013" s="521"/>
      <c r="P1013" s="526" t="s">
        <v>103</v>
      </c>
      <c r="Q1013" s="521"/>
      <c r="R1013" s="530">
        <v>45971</v>
      </c>
      <c r="S1013" s="530" t="s">
        <v>66</v>
      </c>
      <c r="T1013" s="530" t="s">
        <v>66</v>
      </c>
      <c r="U1013" s="530"/>
      <c r="V1013" s="532" t="s">
        <v>5698</v>
      </c>
      <c r="W1013" s="532" t="s">
        <v>473</v>
      </c>
      <c r="X1013" s="536">
        <v>0.9188</v>
      </c>
      <c r="Y1013" s="540">
        <f t="shared" si="395"/>
        <v>8269.2</v>
      </c>
      <c r="Z1013" s="521"/>
      <c r="AA1013" s="521" t="s">
        <v>3378</v>
      </c>
      <c r="AB1013" s="521" t="s">
        <v>76</v>
      </c>
      <c r="AC1013" s="521"/>
      <c r="AD1013" s="519"/>
      <c r="AE1013" s="519">
        <v>1</v>
      </c>
      <c r="AF1013" s="521">
        <v>9000</v>
      </c>
      <c r="AG1013" s="521">
        <f t="shared" si="396"/>
        <v>0</v>
      </c>
      <c r="AH1013" s="542"/>
      <c r="AI1013" s="521"/>
      <c r="AJ1013" s="521"/>
      <c r="AK1013" s="521"/>
      <c r="AL1013" s="543">
        <f t="shared" si="397"/>
        <v>9000</v>
      </c>
      <c r="AM1013" s="628"/>
      <c r="AN1013" s="628"/>
      <c r="AO1013" s="630"/>
      <c r="AP1013" s="427"/>
      <c r="AQ1013" s="628"/>
      <c r="AR1013" s="427"/>
      <c r="AS1013" s="543"/>
      <c r="AT1013" s="544"/>
      <c r="AU1013" s="628"/>
      <c r="AV1013" s="628"/>
      <c r="AW1013" s="628"/>
      <c r="AX1013" s="628"/>
      <c r="AY1013" s="545">
        <f>I1013/24</f>
        <v>375</v>
      </c>
      <c r="AZ1013" s="546"/>
      <c r="BA1013" s="628"/>
      <c r="BB1013" s="628"/>
      <c r="BC1013" s="628"/>
      <c r="BD1013" s="628"/>
      <c r="BE1013" s="628"/>
      <c r="BF1013" s="628"/>
      <c r="BG1013" s="628"/>
      <c r="BH1013" s="628"/>
      <c r="BI1013" s="628"/>
      <c r="BJ1013" s="628"/>
      <c r="BK1013" s="427"/>
      <c r="BL1013" s="628"/>
      <c r="BM1013" s="628"/>
      <c r="BN1013" s="628"/>
      <c r="BO1013" s="628"/>
      <c r="BP1013" s="628"/>
      <c r="BQ1013" s="628">
        <f>I1013</f>
        <v>9000</v>
      </c>
      <c r="BR1013" s="628">
        <f>I1013</f>
        <v>9000</v>
      </c>
      <c r="BS1013" s="628">
        <f>I1013/25</f>
        <v>360</v>
      </c>
      <c r="BT1013" s="544"/>
      <c r="BU1013" s="628"/>
      <c r="BV1013" s="544"/>
      <c r="BW1013" s="628"/>
      <c r="BX1013" s="628"/>
      <c r="BY1013" s="628"/>
      <c r="BZ1013" s="628"/>
      <c r="CA1013" s="628"/>
      <c r="CB1013" s="628"/>
      <c r="CC1013" s="628"/>
      <c r="CD1013" s="628"/>
      <c r="CE1013" s="628"/>
      <c r="CF1013" s="628"/>
      <c r="CG1013" s="628"/>
      <c r="CH1013" s="628"/>
      <c r="CI1013" s="628"/>
      <c r="CJ1013" s="628"/>
      <c r="CK1013" s="427">
        <f t="shared" si="398"/>
        <v>360</v>
      </c>
      <c r="CL1013" s="427">
        <f t="shared" si="399"/>
        <v>0</v>
      </c>
      <c r="CM1013" s="427">
        <f t="shared" si="400"/>
        <v>0</v>
      </c>
      <c r="CN1013" s="544"/>
      <c r="CO1013" s="544"/>
      <c r="CP1013" s="544"/>
      <c r="CT1013" s="544"/>
      <c r="CU1013" s="544"/>
      <c r="CV1013" s="544"/>
      <c r="CW1013" s="544"/>
      <c r="CX1013" s="544"/>
    </row>
    <row r="1014" s="431" customFormat="1" ht="31" customHeight="1" spans="1:102">
      <c r="A1014" s="518">
        <v>45982</v>
      </c>
      <c r="B1014" s="519" t="s">
        <v>1782</v>
      </c>
      <c r="C1014" s="520" t="s">
        <v>139</v>
      </c>
      <c r="D1014" s="427">
        <v>4500186500</v>
      </c>
      <c r="E1014" s="520" t="s">
        <v>2587</v>
      </c>
      <c r="F1014" s="427" t="s">
        <v>2588</v>
      </c>
      <c r="G1014" s="521" t="s">
        <v>3436</v>
      </c>
      <c r="H1014" s="521" t="s">
        <v>424</v>
      </c>
      <c r="I1014" s="607">
        <v>504</v>
      </c>
      <c r="J1014" s="521">
        <v>0</v>
      </c>
      <c r="K1014" s="521">
        <v>6</v>
      </c>
      <c r="L1014" s="524">
        <f t="shared" si="384"/>
        <v>84</v>
      </c>
      <c r="M1014" s="525">
        <v>46044</v>
      </c>
      <c r="N1014" s="525">
        <v>46041</v>
      </c>
      <c r="O1014" s="521"/>
      <c r="P1014" s="526" t="s">
        <v>103</v>
      </c>
      <c r="Q1014" s="521"/>
      <c r="R1014" s="530" t="s">
        <v>411</v>
      </c>
      <c r="S1014" s="530" t="s">
        <v>96</v>
      </c>
      <c r="T1014" s="530" t="s">
        <v>1841</v>
      </c>
      <c r="U1014" s="530"/>
      <c r="V1014" s="532" t="s">
        <v>2590</v>
      </c>
      <c r="W1014" s="532" t="s">
        <v>2591</v>
      </c>
      <c r="X1014" s="536">
        <v>7.1628</v>
      </c>
      <c r="Y1014" s="540">
        <f t="shared" si="395"/>
        <v>3610.0512</v>
      </c>
      <c r="Z1014" s="521"/>
      <c r="AA1014" s="521" t="s">
        <v>427</v>
      </c>
      <c r="AB1014" s="521" t="s">
        <v>76</v>
      </c>
      <c r="AC1014" s="521"/>
      <c r="AD1014" s="519"/>
      <c r="AE1014" s="519">
        <v>1</v>
      </c>
      <c r="AF1014" s="521">
        <v>504</v>
      </c>
      <c r="AG1014" s="521">
        <f t="shared" si="396"/>
        <v>0</v>
      </c>
      <c r="AH1014" s="542"/>
      <c r="AI1014" s="521"/>
      <c r="AJ1014" s="521"/>
      <c r="AK1014" s="521"/>
      <c r="AL1014" s="543">
        <f>I1014*2</f>
        <v>1008</v>
      </c>
      <c r="AM1014" s="628"/>
      <c r="AN1014" s="628"/>
      <c r="AO1014" s="630"/>
      <c r="AP1014" s="427"/>
      <c r="AQ1014" s="628">
        <f>I1014*2</f>
        <v>1008</v>
      </c>
      <c r="AR1014" s="427"/>
      <c r="AS1014" s="543">
        <f>I1014*2</f>
        <v>1008</v>
      </c>
      <c r="AT1014" s="544"/>
      <c r="AU1014" s="628"/>
      <c r="AV1014" s="628"/>
      <c r="AW1014" s="628"/>
      <c r="AX1014" s="628"/>
      <c r="AY1014" s="545">
        <f>I1014/24*2</f>
        <v>42</v>
      </c>
      <c r="AZ1014" s="546"/>
      <c r="BA1014" s="628"/>
      <c r="BB1014" s="628"/>
      <c r="BC1014" s="628"/>
      <c r="BD1014" s="628"/>
      <c r="BE1014" s="628"/>
      <c r="BF1014" s="628"/>
      <c r="BG1014" s="628"/>
      <c r="BH1014" s="628"/>
      <c r="BI1014" s="628"/>
      <c r="BJ1014" s="628"/>
      <c r="BK1014" s="427"/>
      <c r="BL1014" s="628"/>
      <c r="BM1014" s="628"/>
      <c r="BN1014" s="628"/>
      <c r="BO1014" s="628"/>
      <c r="BP1014" s="628"/>
      <c r="BQ1014" s="628"/>
      <c r="BR1014" s="628"/>
      <c r="BS1014" s="628"/>
      <c r="BT1014" s="544"/>
      <c r="BU1014" s="628">
        <f>I1014</f>
        <v>504</v>
      </c>
      <c r="BV1014" s="544"/>
      <c r="BW1014" s="628"/>
      <c r="BX1014" s="628"/>
      <c r="BY1014" s="628"/>
      <c r="BZ1014" s="628"/>
      <c r="CA1014" s="628"/>
      <c r="CB1014" s="628"/>
      <c r="CC1014" s="628"/>
      <c r="CD1014" s="628"/>
      <c r="CE1014" s="628"/>
      <c r="CF1014" s="628"/>
      <c r="CG1014" s="628"/>
      <c r="CH1014" s="628"/>
      <c r="CI1014" s="628"/>
      <c r="CJ1014" s="628"/>
      <c r="CK1014" s="427">
        <f t="shared" si="398"/>
        <v>0</v>
      </c>
      <c r="CL1014" s="427">
        <f t="shared" si="399"/>
        <v>0</v>
      </c>
      <c r="CM1014" s="427">
        <f t="shared" si="400"/>
        <v>0</v>
      </c>
      <c r="CN1014" s="544"/>
      <c r="CO1014" s="544"/>
      <c r="CP1014" s="544"/>
      <c r="CQ1014" s="427"/>
      <c r="CR1014" s="427"/>
      <c r="CS1014" s="427"/>
      <c r="CT1014" s="544"/>
      <c r="CU1014" s="544"/>
      <c r="CV1014" s="544"/>
      <c r="CW1014" s="544"/>
      <c r="CX1014" s="544"/>
    </row>
    <row r="1015" s="431" customFormat="1" ht="31" customHeight="1" spans="1:102">
      <c r="A1015" s="518">
        <v>45999</v>
      </c>
      <c r="B1015" s="519" t="s">
        <v>360</v>
      </c>
      <c r="C1015" s="520" t="s">
        <v>249</v>
      </c>
      <c r="D1015" s="427">
        <v>4500188088</v>
      </c>
      <c r="E1015" s="520">
        <v>181262</v>
      </c>
      <c r="F1015" s="427" t="s">
        <v>5699</v>
      </c>
      <c r="G1015" s="521" t="s">
        <v>3143</v>
      </c>
      <c r="H1015" s="521" t="s">
        <v>3144</v>
      </c>
      <c r="I1015" s="607">
        <v>1512</v>
      </c>
      <c r="J1015" s="521">
        <v>0</v>
      </c>
      <c r="K1015" s="521">
        <v>24</v>
      </c>
      <c r="L1015" s="524">
        <f t="shared" si="384"/>
        <v>63</v>
      </c>
      <c r="M1015" s="525">
        <v>46044</v>
      </c>
      <c r="N1015" s="525">
        <v>46041</v>
      </c>
      <c r="O1015" s="521"/>
      <c r="P1015" s="526" t="s">
        <v>103</v>
      </c>
      <c r="Q1015" s="521"/>
      <c r="R1015" s="530">
        <v>45999</v>
      </c>
      <c r="S1015" s="530" t="s">
        <v>66</v>
      </c>
      <c r="T1015" s="530" t="s">
        <v>2291</v>
      </c>
      <c r="U1015" s="530"/>
      <c r="V1015" s="532" t="s">
        <v>5700</v>
      </c>
      <c r="W1015" s="532" t="s">
        <v>451</v>
      </c>
      <c r="X1015" s="536">
        <v>0.8656</v>
      </c>
      <c r="Y1015" s="540">
        <f t="shared" si="395"/>
        <v>1308.7872</v>
      </c>
      <c r="Z1015" s="521"/>
      <c r="AA1015" s="521" t="s">
        <v>3143</v>
      </c>
      <c r="AB1015" s="521" t="s">
        <v>76</v>
      </c>
      <c r="AC1015" s="521"/>
      <c r="AD1015" s="519"/>
      <c r="AE1015" s="519">
        <v>1</v>
      </c>
      <c r="AF1015" s="521">
        <v>1512</v>
      </c>
      <c r="AG1015" s="521">
        <f t="shared" si="396"/>
        <v>0</v>
      </c>
      <c r="AH1015" s="542"/>
      <c r="AI1015" s="521" t="s">
        <v>2191</v>
      </c>
      <c r="AJ1015" s="521"/>
      <c r="AK1015" s="521"/>
      <c r="AL1015" s="543">
        <f>I1015</f>
        <v>1512</v>
      </c>
      <c r="AM1015" s="628"/>
      <c r="AN1015" s="628"/>
      <c r="AO1015" s="630"/>
      <c r="AP1015" s="427"/>
      <c r="AQ1015" s="628">
        <f>I1015</f>
        <v>1512</v>
      </c>
      <c r="AR1015" s="427"/>
      <c r="AS1015" s="543">
        <f>I1015</f>
        <v>1512</v>
      </c>
      <c r="AT1015" s="544"/>
      <c r="AU1015" s="628"/>
      <c r="AV1015" s="628"/>
      <c r="AW1015" s="628"/>
      <c r="AX1015" s="628"/>
      <c r="AY1015" s="545">
        <f t="shared" ref="AY1015:AY1020" si="402">I1015/24</f>
        <v>63</v>
      </c>
      <c r="AZ1015" s="546"/>
      <c r="BA1015" s="628"/>
      <c r="BB1015" s="628"/>
      <c r="BC1015" s="628"/>
      <c r="BD1015" s="628"/>
      <c r="BE1015" s="628"/>
      <c r="BF1015" s="628"/>
      <c r="BG1015" s="628"/>
      <c r="BH1015" s="628"/>
      <c r="BI1015" s="628"/>
      <c r="BJ1015" s="628"/>
      <c r="BK1015" s="427"/>
      <c r="BL1015" s="628"/>
      <c r="BM1015" s="628"/>
      <c r="BN1015" s="628"/>
      <c r="BO1015" s="628"/>
      <c r="BP1015" s="628"/>
      <c r="BQ1015" s="628"/>
      <c r="BR1015" s="628"/>
      <c r="BS1015" s="628"/>
      <c r="BT1015" s="544"/>
      <c r="BU1015" s="628"/>
      <c r="BV1015" s="544"/>
      <c r="BW1015" s="628"/>
      <c r="BX1015" s="628"/>
      <c r="BY1015" s="628"/>
      <c r="BZ1015" s="628"/>
      <c r="CA1015" s="628"/>
      <c r="CB1015" s="628"/>
      <c r="CC1015" s="628"/>
      <c r="CD1015" s="628"/>
      <c r="CE1015" s="628"/>
      <c r="CF1015" s="628"/>
      <c r="CG1015" s="628"/>
      <c r="CH1015" s="628"/>
      <c r="CI1015" s="628"/>
      <c r="CJ1015" s="628"/>
      <c r="CK1015" s="427">
        <f t="shared" si="398"/>
        <v>0</v>
      </c>
      <c r="CL1015" s="427">
        <f t="shared" si="399"/>
        <v>0</v>
      </c>
      <c r="CM1015" s="427">
        <f t="shared" si="400"/>
        <v>0</v>
      </c>
      <c r="CN1015" s="544"/>
      <c r="CO1015" s="544"/>
      <c r="CP1015" s="544"/>
      <c r="CT1015" s="544"/>
      <c r="CU1015" s="544"/>
      <c r="CV1015" s="544"/>
      <c r="CW1015" s="544"/>
      <c r="CX1015" s="544"/>
    </row>
    <row r="1016" s="431" customFormat="1" ht="31" customHeight="1" spans="1:102">
      <c r="A1016" s="518">
        <v>45985</v>
      </c>
      <c r="B1016" s="519" t="s">
        <v>2726</v>
      </c>
      <c r="C1016" s="520" t="s">
        <v>90</v>
      </c>
      <c r="D1016" s="427">
        <v>4500186641</v>
      </c>
      <c r="E1016" s="520" t="s">
        <v>2727</v>
      </c>
      <c r="F1016" s="427" t="s">
        <v>5701</v>
      </c>
      <c r="G1016" s="521" t="s">
        <v>3150</v>
      </c>
      <c r="H1016" s="521" t="s">
        <v>3151</v>
      </c>
      <c r="I1016" s="607">
        <v>40040</v>
      </c>
      <c r="J1016" s="521">
        <v>0</v>
      </c>
      <c r="K1016" s="521">
        <v>52</v>
      </c>
      <c r="L1016" s="524">
        <f t="shared" si="384"/>
        <v>770</v>
      </c>
      <c r="M1016" s="525">
        <v>46045</v>
      </c>
      <c r="N1016" s="525">
        <v>46041</v>
      </c>
      <c r="O1016" s="521"/>
      <c r="P1016" s="526" t="s">
        <v>103</v>
      </c>
      <c r="Q1016" s="521"/>
      <c r="R1016" s="530">
        <v>45992</v>
      </c>
      <c r="S1016" s="530" t="s">
        <v>66</v>
      </c>
      <c r="T1016" s="530" t="s">
        <v>5702</v>
      </c>
      <c r="U1016" s="530"/>
      <c r="V1016" s="532" t="s">
        <v>2730</v>
      </c>
      <c r="W1016" s="532" t="s">
        <v>1261</v>
      </c>
      <c r="X1016" s="536">
        <v>0.5399</v>
      </c>
      <c r="Y1016" s="540">
        <f t="shared" si="395"/>
        <v>21617.596</v>
      </c>
      <c r="Z1016" s="521"/>
      <c r="AA1016" s="521" t="s">
        <v>3150</v>
      </c>
      <c r="AB1016" s="521" t="s">
        <v>76</v>
      </c>
      <c r="AC1016" s="521"/>
      <c r="AD1016" s="519"/>
      <c r="AE1016" s="519">
        <v>1</v>
      </c>
      <c r="AF1016" s="521">
        <v>40040</v>
      </c>
      <c r="AG1016" s="521">
        <f t="shared" si="396"/>
        <v>0</v>
      </c>
      <c r="AH1016" s="542"/>
      <c r="AI1016" s="521" t="s">
        <v>2191</v>
      </c>
      <c r="AJ1016" s="521"/>
      <c r="AK1016" s="521">
        <f>I1016</f>
        <v>40040</v>
      </c>
      <c r="AL1016" s="543"/>
      <c r="AM1016" s="628">
        <f>I1016</f>
        <v>40040</v>
      </c>
      <c r="AN1016" s="628"/>
      <c r="AO1016" s="630"/>
      <c r="AP1016" s="427"/>
      <c r="AQ1016" s="628"/>
      <c r="AR1016" s="427">
        <f>I1016</f>
        <v>40040</v>
      </c>
      <c r="AS1016" s="543"/>
      <c r="AT1016" s="544"/>
      <c r="AU1016" s="628"/>
      <c r="AV1016" s="628"/>
      <c r="AW1016" s="628"/>
      <c r="AX1016" s="628"/>
      <c r="AY1016" s="545">
        <f t="shared" si="402"/>
        <v>1668.33333333333</v>
      </c>
      <c r="AZ1016" s="546"/>
      <c r="BA1016" s="628"/>
      <c r="BB1016" s="628"/>
      <c r="BC1016" s="628"/>
      <c r="BD1016" s="628"/>
      <c r="BE1016" s="628"/>
      <c r="BF1016" s="628"/>
      <c r="BG1016" s="628">
        <f>I1016/13</f>
        <v>3080</v>
      </c>
      <c r="BH1016" s="628"/>
      <c r="BI1016" s="628"/>
      <c r="BJ1016" s="628"/>
      <c r="BK1016" s="427"/>
      <c r="BL1016" s="628"/>
      <c r="BM1016" s="628"/>
      <c r="BN1016" s="628"/>
      <c r="BO1016" s="628"/>
      <c r="BP1016" s="628"/>
      <c r="BQ1016" s="628"/>
      <c r="BR1016" s="628"/>
      <c r="BS1016" s="628"/>
      <c r="BT1016" s="544"/>
      <c r="BU1016" s="628"/>
      <c r="BV1016" s="544"/>
      <c r="BW1016" s="628"/>
      <c r="BX1016" s="628"/>
      <c r="BY1016" s="628"/>
      <c r="BZ1016" s="628"/>
      <c r="CA1016" s="628"/>
      <c r="CB1016" s="628"/>
      <c r="CC1016" s="628"/>
      <c r="CD1016" s="628"/>
      <c r="CE1016" s="628"/>
      <c r="CF1016" s="628"/>
      <c r="CG1016" s="628"/>
      <c r="CH1016" s="628"/>
      <c r="CI1016" s="628"/>
      <c r="CJ1016" s="628"/>
      <c r="CK1016" s="427">
        <f t="shared" si="398"/>
        <v>0</v>
      </c>
      <c r="CL1016" s="427">
        <f t="shared" si="399"/>
        <v>0</v>
      </c>
      <c r="CM1016" s="427">
        <f t="shared" si="400"/>
        <v>0</v>
      </c>
      <c r="CN1016" s="544"/>
      <c r="CO1016" s="544"/>
      <c r="CP1016" s="544"/>
      <c r="CT1016" s="544"/>
      <c r="CU1016" s="544"/>
      <c r="CV1016" s="544"/>
      <c r="CW1016" s="544"/>
      <c r="CX1016" s="544"/>
    </row>
    <row r="1017" s="431" customFormat="1" ht="31" customHeight="1" spans="1:102">
      <c r="A1017" s="518">
        <v>45980</v>
      </c>
      <c r="B1017" s="519" t="s">
        <v>1643</v>
      </c>
      <c r="C1017" s="520" t="s">
        <v>249</v>
      </c>
      <c r="D1017" s="427">
        <v>4500185077</v>
      </c>
      <c r="E1017" s="520" t="s">
        <v>2619</v>
      </c>
      <c r="F1017" s="427" t="s">
        <v>5703</v>
      </c>
      <c r="G1017" s="521" t="s">
        <v>3419</v>
      </c>
      <c r="H1017" s="521" t="s">
        <v>3221</v>
      </c>
      <c r="I1017" s="607">
        <v>1500</v>
      </c>
      <c r="J1017" s="521">
        <v>25</v>
      </c>
      <c r="K1017" s="521">
        <v>50</v>
      </c>
      <c r="L1017" s="524">
        <f t="shared" si="384"/>
        <v>30</v>
      </c>
      <c r="M1017" s="525">
        <v>46045</v>
      </c>
      <c r="N1017" s="525">
        <v>46041</v>
      </c>
      <c r="O1017" s="521"/>
      <c r="P1017" s="526" t="s">
        <v>103</v>
      </c>
      <c r="Q1017" s="521"/>
      <c r="R1017" s="530">
        <v>45981</v>
      </c>
      <c r="S1017" s="530" t="s">
        <v>66</v>
      </c>
      <c r="T1017" s="530" t="s">
        <v>66</v>
      </c>
      <c r="U1017" s="530"/>
      <c r="V1017" s="532" t="s">
        <v>5704</v>
      </c>
      <c r="W1017" s="532" t="s">
        <v>2622</v>
      </c>
      <c r="X1017" s="536">
        <v>0.9678</v>
      </c>
      <c r="Y1017" s="540">
        <f t="shared" si="395"/>
        <v>1451.7</v>
      </c>
      <c r="Z1017" s="521"/>
      <c r="AA1017" s="521" t="s">
        <v>3419</v>
      </c>
      <c r="AB1017" s="521" t="s">
        <v>76</v>
      </c>
      <c r="AC1017" s="521"/>
      <c r="AD1017" s="519"/>
      <c r="AE1017" s="519">
        <v>1</v>
      </c>
      <c r="AF1017" s="521">
        <v>1500</v>
      </c>
      <c r="AG1017" s="521">
        <f t="shared" si="396"/>
        <v>0</v>
      </c>
      <c r="AH1017" s="542"/>
      <c r="AI1017" s="521" t="s">
        <v>2191</v>
      </c>
      <c r="AJ1017" s="521"/>
      <c r="AK1017" s="521"/>
      <c r="AL1017" s="543">
        <f>I1017</f>
        <v>1500</v>
      </c>
      <c r="AM1017" s="628"/>
      <c r="AN1017" s="628"/>
      <c r="AO1017" s="630"/>
      <c r="AP1017" s="427"/>
      <c r="AQ1017" s="628">
        <f>I1017</f>
        <v>1500</v>
      </c>
      <c r="AR1017" s="427"/>
      <c r="AS1017" s="543">
        <f>I1017</f>
        <v>1500</v>
      </c>
      <c r="AT1017" s="544"/>
      <c r="AU1017" s="628"/>
      <c r="AV1017" s="628"/>
      <c r="AW1017" s="628"/>
      <c r="AX1017" s="628"/>
      <c r="AY1017" s="545">
        <f t="shared" si="402"/>
        <v>62.5</v>
      </c>
      <c r="AZ1017" s="546"/>
      <c r="BA1017" s="628"/>
      <c r="BB1017" s="628"/>
      <c r="BC1017" s="628"/>
      <c r="BD1017" s="628"/>
      <c r="BE1017" s="628"/>
      <c r="BF1017" s="628"/>
      <c r="BG1017" s="628"/>
      <c r="BH1017" s="628"/>
      <c r="BI1017" s="628"/>
      <c r="BJ1017" s="628"/>
      <c r="BK1017" s="427"/>
      <c r="BL1017" s="628">
        <f>I1017/25</f>
        <v>60</v>
      </c>
      <c r="BM1017" s="628"/>
      <c r="BN1017" s="628"/>
      <c r="BO1017" s="628"/>
      <c r="BP1017" s="628"/>
      <c r="BQ1017" s="628"/>
      <c r="BR1017" s="628"/>
      <c r="BS1017" s="628"/>
      <c r="BT1017" s="544"/>
      <c r="BU1017" s="628"/>
      <c r="BV1017" s="544"/>
      <c r="BW1017" s="628"/>
      <c r="BX1017" s="628"/>
      <c r="BY1017" s="628"/>
      <c r="BZ1017" s="628"/>
      <c r="CA1017" s="628"/>
      <c r="CB1017" s="628"/>
      <c r="CC1017" s="628"/>
      <c r="CD1017" s="628"/>
      <c r="CE1017" s="628"/>
      <c r="CF1017" s="628"/>
      <c r="CG1017" s="628"/>
      <c r="CH1017" s="628"/>
      <c r="CI1017" s="628"/>
      <c r="CJ1017" s="628"/>
      <c r="CK1017" s="427">
        <f t="shared" si="398"/>
        <v>60</v>
      </c>
      <c r="CL1017" s="427">
        <f t="shared" si="399"/>
        <v>0</v>
      </c>
      <c r="CM1017" s="427">
        <f t="shared" si="400"/>
        <v>0</v>
      </c>
      <c r="CN1017" s="544"/>
      <c r="CO1017" s="544"/>
      <c r="CP1017" s="544"/>
      <c r="CT1017" s="544"/>
      <c r="CU1017" s="544"/>
      <c r="CV1017" s="544"/>
      <c r="CW1017" s="544"/>
      <c r="CX1017" s="544"/>
    </row>
    <row r="1018" s="431" customFormat="1" ht="31" customHeight="1" spans="1:102">
      <c r="A1018" s="518">
        <v>45982</v>
      </c>
      <c r="B1018" s="519" t="s">
        <v>913</v>
      </c>
      <c r="C1018" s="520" t="s">
        <v>90</v>
      </c>
      <c r="D1018" s="427">
        <v>4500186456</v>
      </c>
      <c r="E1018" s="520" t="s">
        <v>5705</v>
      </c>
      <c r="F1018" s="427" t="s">
        <v>5706</v>
      </c>
      <c r="G1018" s="521" t="s">
        <v>3272</v>
      </c>
      <c r="H1018" s="521" t="s">
        <v>3207</v>
      </c>
      <c r="I1018" s="607">
        <v>780</v>
      </c>
      <c r="J1018" s="521">
        <v>0</v>
      </c>
      <c r="K1018" s="521">
        <v>13</v>
      </c>
      <c r="L1018" s="524">
        <f t="shared" si="384"/>
        <v>60</v>
      </c>
      <c r="M1018" s="525">
        <v>46048</v>
      </c>
      <c r="N1018" s="525">
        <v>46044</v>
      </c>
      <c r="O1018" s="521"/>
      <c r="P1018" s="526" t="s">
        <v>103</v>
      </c>
      <c r="Q1018" s="521"/>
      <c r="R1018" s="530">
        <v>45995</v>
      </c>
      <c r="S1018" s="530" t="s">
        <v>66</v>
      </c>
      <c r="T1018" s="530" t="s">
        <v>66</v>
      </c>
      <c r="U1018" s="530"/>
      <c r="V1018" s="532" t="s">
        <v>2602</v>
      </c>
      <c r="W1018" s="532" t="s">
        <v>794</v>
      </c>
      <c r="X1018" s="536">
        <v>0.5559</v>
      </c>
      <c r="Y1018" s="540">
        <f t="shared" si="395"/>
        <v>433.602</v>
      </c>
      <c r="Z1018" s="521"/>
      <c r="AA1018" s="521" t="s">
        <v>3359</v>
      </c>
      <c r="AB1018" s="521" t="s">
        <v>76</v>
      </c>
      <c r="AC1018" s="521"/>
      <c r="AD1018" s="519"/>
      <c r="AE1018" s="519">
        <v>1</v>
      </c>
      <c r="AF1018" s="521">
        <v>780</v>
      </c>
      <c r="AG1018" s="521">
        <f t="shared" si="396"/>
        <v>0</v>
      </c>
      <c r="AH1018" s="542"/>
      <c r="AI1018" s="521"/>
      <c r="AJ1018" s="521"/>
      <c r="AK1018" s="521">
        <f>I1018</f>
        <v>780</v>
      </c>
      <c r="AL1018" s="543"/>
      <c r="AM1018" s="628">
        <f>I1018</f>
        <v>780</v>
      </c>
      <c r="AN1018" s="628"/>
      <c r="AO1018" s="630"/>
      <c r="AP1018" s="427"/>
      <c r="AQ1018" s="628"/>
      <c r="AR1018" s="427">
        <f>I1018</f>
        <v>780</v>
      </c>
      <c r="AS1018" s="543"/>
      <c r="AT1018" s="544"/>
      <c r="AU1018" s="628"/>
      <c r="AV1018" s="628"/>
      <c r="AW1018" s="628"/>
      <c r="AX1018" s="628"/>
      <c r="AY1018" s="545">
        <f t="shared" si="402"/>
        <v>32.5</v>
      </c>
      <c r="AZ1018" s="546"/>
      <c r="BA1018" s="628"/>
      <c r="BB1018" s="628"/>
      <c r="BC1018" s="628"/>
      <c r="BD1018" s="628"/>
      <c r="BE1018" s="628"/>
      <c r="BF1018" s="628"/>
      <c r="BG1018" s="628">
        <f>I1018/13</f>
        <v>60</v>
      </c>
      <c r="BH1018" s="628"/>
      <c r="BI1018" s="628"/>
      <c r="BJ1018" s="628"/>
      <c r="BK1018" s="427"/>
      <c r="BL1018" s="628"/>
      <c r="BM1018" s="628"/>
      <c r="BN1018" s="628"/>
      <c r="BO1018" s="628"/>
      <c r="BP1018" s="628"/>
      <c r="BQ1018" s="628"/>
      <c r="BR1018" s="628"/>
      <c r="BS1018" s="628"/>
      <c r="BT1018" s="544"/>
      <c r="BU1018" s="628"/>
      <c r="BV1018" s="544"/>
      <c r="BW1018" s="628"/>
      <c r="BX1018" s="628"/>
      <c r="BY1018" s="628"/>
      <c r="BZ1018" s="628"/>
      <c r="CA1018" s="628"/>
      <c r="CB1018" s="628"/>
      <c r="CC1018" s="628"/>
      <c r="CD1018" s="628"/>
      <c r="CE1018" s="628"/>
      <c r="CF1018" s="628"/>
      <c r="CG1018" s="628"/>
      <c r="CH1018" s="628"/>
      <c r="CI1018" s="628"/>
      <c r="CJ1018" s="628"/>
      <c r="CK1018" s="427">
        <f t="shared" si="398"/>
        <v>0</v>
      </c>
      <c r="CL1018" s="427">
        <f t="shared" si="399"/>
        <v>0</v>
      </c>
      <c r="CM1018" s="427">
        <f t="shared" si="400"/>
        <v>0</v>
      </c>
      <c r="CN1018" s="544"/>
      <c r="CO1018" s="544"/>
      <c r="CP1018" s="544"/>
      <c r="CT1018" s="544"/>
      <c r="CU1018" s="544"/>
      <c r="CV1018" s="544"/>
      <c r="CW1018" s="544"/>
      <c r="CX1018" s="544"/>
    </row>
    <row r="1019" s="431" customFormat="1" ht="31" customHeight="1" spans="1:102">
      <c r="A1019" s="518">
        <v>45972</v>
      </c>
      <c r="B1019" s="519" t="s">
        <v>5188</v>
      </c>
      <c r="C1019" s="520" t="s">
        <v>90</v>
      </c>
      <c r="D1019" s="427">
        <v>4500185170</v>
      </c>
      <c r="E1019" s="520" t="s">
        <v>5707</v>
      </c>
      <c r="F1019" s="427" t="s">
        <v>5708</v>
      </c>
      <c r="G1019" s="521" t="s">
        <v>5191</v>
      </c>
      <c r="H1019" s="521" t="s">
        <v>3214</v>
      </c>
      <c r="I1019" s="607">
        <v>21180</v>
      </c>
      <c r="J1019" s="521">
        <v>0</v>
      </c>
      <c r="K1019" s="521">
        <v>6</v>
      </c>
      <c r="L1019" s="524">
        <f t="shared" si="384"/>
        <v>3530</v>
      </c>
      <c r="M1019" s="525">
        <v>46043</v>
      </c>
      <c r="N1019" s="525">
        <v>46039</v>
      </c>
      <c r="O1019" s="521"/>
      <c r="P1019" s="526" t="s">
        <v>103</v>
      </c>
      <c r="Q1019" s="521"/>
      <c r="R1019" s="530">
        <v>45982</v>
      </c>
      <c r="S1019" s="530" t="s">
        <v>96</v>
      </c>
      <c r="T1019" s="530" t="s">
        <v>5709</v>
      </c>
      <c r="U1019" s="530"/>
      <c r="V1019" s="532" t="s">
        <v>5710</v>
      </c>
      <c r="W1019" s="532" t="s">
        <v>5195</v>
      </c>
      <c r="X1019" s="536">
        <v>0.5789</v>
      </c>
      <c r="Y1019" s="540">
        <f t="shared" si="395"/>
        <v>12261.102</v>
      </c>
      <c r="Z1019" s="521"/>
      <c r="AA1019" s="521" t="s">
        <v>5191</v>
      </c>
      <c r="AB1019" s="521" t="s">
        <v>76</v>
      </c>
      <c r="AC1019" s="521"/>
      <c r="AD1019" s="519"/>
      <c r="AE1019" s="519">
        <v>1</v>
      </c>
      <c r="AF1019" s="521">
        <v>21180</v>
      </c>
      <c r="AG1019" s="521">
        <f t="shared" si="396"/>
        <v>0</v>
      </c>
      <c r="AH1019" s="542"/>
      <c r="AI1019" s="521"/>
      <c r="AJ1019" s="521"/>
      <c r="AK1019" s="521">
        <f>I1019</f>
        <v>21180</v>
      </c>
      <c r="AL1019" s="543"/>
      <c r="AM1019" s="628">
        <f>I1019</f>
        <v>21180</v>
      </c>
      <c r="AN1019" s="628"/>
      <c r="AO1019" s="630"/>
      <c r="AP1019" s="427"/>
      <c r="AQ1019" s="628"/>
      <c r="AR1019" s="427">
        <f>I1019</f>
        <v>21180</v>
      </c>
      <c r="AS1019" s="543"/>
      <c r="AT1019" s="544"/>
      <c r="AU1019" s="628"/>
      <c r="AV1019" s="628"/>
      <c r="AW1019" s="628"/>
      <c r="AX1019" s="628"/>
      <c r="AY1019" s="545">
        <f t="shared" si="402"/>
        <v>882.5</v>
      </c>
      <c r="AZ1019" s="546"/>
      <c r="BA1019" s="628"/>
      <c r="BB1019" s="628"/>
      <c r="BC1019" s="628"/>
      <c r="BD1019" s="628"/>
      <c r="BE1019" s="628"/>
      <c r="BF1019" s="628"/>
      <c r="BG1019" s="628"/>
      <c r="BH1019" s="628"/>
      <c r="BI1019" s="628"/>
      <c r="BJ1019" s="628"/>
      <c r="BK1019" s="427"/>
      <c r="BL1019" s="628"/>
      <c r="BM1019" s="628"/>
      <c r="BN1019" s="628"/>
      <c r="BO1019" s="628"/>
      <c r="BP1019" s="628">
        <f>L1019</f>
        <v>3530</v>
      </c>
      <c r="BQ1019" s="628"/>
      <c r="BR1019" s="628"/>
      <c r="BS1019" s="628"/>
      <c r="BT1019" s="544"/>
      <c r="BU1019" s="628"/>
      <c r="BV1019" s="544"/>
      <c r="BW1019" s="628"/>
      <c r="BX1019" s="628"/>
      <c r="BY1019" s="628"/>
      <c r="BZ1019" s="628"/>
      <c r="CA1019" s="628"/>
      <c r="CB1019" s="628"/>
      <c r="CC1019" s="628"/>
      <c r="CD1019" s="628"/>
      <c r="CE1019" s="628"/>
      <c r="CF1019" s="628"/>
      <c r="CG1019" s="628"/>
      <c r="CH1019" s="628"/>
      <c r="CI1019" s="628"/>
      <c r="CJ1019" s="628"/>
      <c r="CK1019" s="428">
        <f t="shared" si="398"/>
        <v>0</v>
      </c>
      <c r="CL1019" s="428">
        <f t="shared" si="399"/>
        <v>0</v>
      </c>
      <c r="CM1019" s="428">
        <f t="shared" si="400"/>
        <v>0</v>
      </c>
      <c r="CN1019" s="544"/>
      <c r="CO1019" s="544"/>
      <c r="CP1019" s="544"/>
      <c r="CT1019" s="544"/>
      <c r="CU1019" s="544"/>
      <c r="CV1019" s="544"/>
      <c r="CW1019" s="544"/>
      <c r="CX1019" s="544"/>
    </row>
    <row r="1020" s="431" customFormat="1" ht="31" customHeight="1" spans="1:102">
      <c r="A1020" s="518">
        <v>45996</v>
      </c>
      <c r="B1020" s="519" t="s">
        <v>1117</v>
      </c>
      <c r="C1020" s="520" t="s">
        <v>468</v>
      </c>
      <c r="D1020" s="427">
        <v>4500188145</v>
      </c>
      <c r="E1020" s="520">
        <v>5120008</v>
      </c>
      <c r="F1020" s="427" t="s">
        <v>5711</v>
      </c>
      <c r="G1020" s="521" t="s">
        <v>3161</v>
      </c>
      <c r="H1020" s="521" t="s">
        <v>3221</v>
      </c>
      <c r="I1020" s="607">
        <v>3500</v>
      </c>
      <c r="J1020" s="521">
        <v>0</v>
      </c>
      <c r="K1020" s="521">
        <v>50</v>
      </c>
      <c r="L1020" s="524">
        <f t="shared" si="384"/>
        <v>70</v>
      </c>
      <c r="M1020" s="525">
        <v>46043</v>
      </c>
      <c r="N1020" s="525">
        <v>46039</v>
      </c>
      <c r="O1020" s="521"/>
      <c r="P1020" s="526" t="s">
        <v>103</v>
      </c>
      <c r="Q1020" s="521"/>
      <c r="R1020" s="530">
        <v>46016</v>
      </c>
      <c r="S1020" s="530" t="s">
        <v>66</v>
      </c>
      <c r="T1020" s="530" t="s">
        <v>5412</v>
      </c>
      <c r="U1020" s="530"/>
      <c r="V1020" s="532" t="s">
        <v>5712</v>
      </c>
      <c r="W1020" s="532" t="s">
        <v>304</v>
      </c>
      <c r="X1020" s="536">
        <v>0.941</v>
      </c>
      <c r="Y1020" s="540">
        <f t="shared" si="395"/>
        <v>3293.5</v>
      </c>
      <c r="Z1020" s="521"/>
      <c r="AA1020" s="521" t="s">
        <v>3161</v>
      </c>
      <c r="AB1020" s="521" t="s">
        <v>76</v>
      </c>
      <c r="AC1020" s="521"/>
      <c r="AD1020" s="519"/>
      <c r="AE1020" s="519">
        <v>1</v>
      </c>
      <c r="AF1020" s="521">
        <v>3500</v>
      </c>
      <c r="AG1020" s="521">
        <f t="shared" si="396"/>
        <v>0</v>
      </c>
      <c r="AH1020" s="542"/>
      <c r="AI1020" s="521" t="s">
        <v>2191</v>
      </c>
      <c r="AJ1020" s="521"/>
      <c r="AK1020" s="521"/>
      <c r="AL1020" s="543">
        <f>I1020</f>
        <v>3500</v>
      </c>
      <c r="AM1020" s="628"/>
      <c r="AN1020" s="628"/>
      <c r="AO1020" s="630"/>
      <c r="AP1020" s="427"/>
      <c r="AQ1020" s="628">
        <f>I1020</f>
        <v>3500</v>
      </c>
      <c r="AR1020" s="427"/>
      <c r="AS1020" s="543">
        <f>I1020</f>
        <v>3500</v>
      </c>
      <c r="AT1020" s="544"/>
      <c r="AU1020" s="628"/>
      <c r="AV1020" s="628"/>
      <c r="AW1020" s="628"/>
      <c r="AX1020" s="628"/>
      <c r="AY1020" s="545">
        <f t="shared" si="402"/>
        <v>145.833333333333</v>
      </c>
      <c r="AZ1020" s="546"/>
      <c r="BA1020" s="628"/>
      <c r="BB1020" s="628"/>
      <c r="BC1020" s="628"/>
      <c r="BD1020" s="628"/>
      <c r="BE1020" s="628"/>
      <c r="BF1020" s="628"/>
      <c r="BG1020" s="628"/>
      <c r="BH1020" s="628"/>
      <c r="BI1020" s="628"/>
      <c r="BJ1020" s="628"/>
      <c r="BK1020" s="427"/>
      <c r="BL1020" s="628">
        <f>I1020/25</f>
        <v>140</v>
      </c>
      <c r="BM1020" s="628"/>
      <c r="BN1020" s="628"/>
      <c r="BO1020" s="628"/>
      <c r="BP1020" s="628"/>
      <c r="BQ1020" s="628"/>
      <c r="BR1020" s="628"/>
      <c r="BS1020" s="628"/>
      <c r="BT1020" s="544"/>
      <c r="BU1020" s="628"/>
      <c r="BV1020" s="544"/>
      <c r="BW1020" s="628"/>
      <c r="BX1020" s="628"/>
      <c r="BY1020" s="628"/>
      <c r="BZ1020" s="628"/>
      <c r="CA1020" s="628"/>
      <c r="CB1020" s="628"/>
      <c r="CC1020" s="628"/>
      <c r="CD1020" s="628"/>
      <c r="CE1020" s="628"/>
      <c r="CF1020" s="628"/>
      <c r="CG1020" s="628"/>
      <c r="CH1020" s="628"/>
      <c r="CI1020" s="628"/>
      <c r="CJ1020" s="628"/>
      <c r="CK1020" s="427">
        <f t="shared" si="398"/>
        <v>140</v>
      </c>
      <c r="CL1020" s="427">
        <f t="shared" si="399"/>
        <v>0</v>
      </c>
      <c r="CM1020" s="427">
        <f t="shared" si="400"/>
        <v>0</v>
      </c>
      <c r="CN1020" s="544"/>
      <c r="CO1020" s="544"/>
      <c r="CP1020" s="544"/>
      <c r="CT1020" s="544"/>
      <c r="CU1020" s="544"/>
      <c r="CV1020" s="544"/>
      <c r="CW1020" s="544"/>
      <c r="CX1020" s="544"/>
    </row>
    <row r="1021" s="431" customFormat="1" ht="31" customHeight="1" spans="1:102">
      <c r="A1021" s="518">
        <v>45985</v>
      </c>
      <c r="B1021" s="519" t="s">
        <v>2489</v>
      </c>
      <c r="C1021" s="520" t="s">
        <v>90</v>
      </c>
      <c r="D1021" s="427">
        <v>4500186392</v>
      </c>
      <c r="E1021" s="520">
        <v>60261201</v>
      </c>
      <c r="F1021" s="427" t="s">
        <v>5713</v>
      </c>
      <c r="G1021" s="521" t="s">
        <v>4564</v>
      </c>
      <c r="H1021" s="521" t="s">
        <v>3237</v>
      </c>
      <c r="I1021" s="607">
        <v>2004</v>
      </c>
      <c r="J1021" s="521">
        <v>0</v>
      </c>
      <c r="K1021" s="521">
        <v>12</v>
      </c>
      <c r="L1021" s="524">
        <f t="shared" si="384"/>
        <v>167</v>
      </c>
      <c r="M1021" s="525">
        <v>46044</v>
      </c>
      <c r="N1021" s="525">
        <v>46041</v>
      </c>
      <c r="O1021" s="521"/>
      <c r="P1021" s="526" t="s">
        <v>103</v>
      </c>
      <c r="Q1021" s="521"/>
      <c r="R1021" s="530">
        <v>45985</v>
      </c>
      <c r="S1021" s="530" t="s">
        <v>66</v>
      </c>
      <c r="T1021" s="530" t="s">
        <v>2493</v>
      </c>
      <c r="U1021" s="530"/>
      <c r="V1021" s="532" t="s">
        <v>5677</v>
      </c>
      <c r="W1021" s="532" t="s">
        <v>2441</v>
      </c>
      <c r="X1021" s="536">
        <v>1.2871</v>
      </c>
      <c r="Y1021" s="540">
        <f t="shared" si="395"/>
        <v>2579.3484</v>
      </c>
      <c r="Z1021" s="521"/>
      <c r="AA1021" s="521" t="s">
        <v>5650</v>
      </c>
      <c r="AB1021" s="521" t="s">
        <v>76</v>
      </c>
      <c r="AC1021" s="521"/>
      <c r="AD1021" s="519"/>
      <c r="AE1021" s="519">
        <v>1</v>
      </c>
      <c r="AF1021" s="521">
        <v>2004</v>
      </c>
      <c r="AG1021" s="521">
        <f t="shared" si="396"/>
        <v>0</v>
      </c>
      <c r="AH1021" s="542"/>
      <c r="AI1021" s="521" t="s">
        <v>2191</v>
      </c>
      <c r="AJ1021" s="521"/>
      <c r="AK1021" s="521">
        <f>I1021*2</f>
        <v>4008</v>
      </c>
      <c r="AL1021" s="543"/>
      <c r="AM1021" s="628">
        <f>I1021*2</f>
        <v>4008</v>
      </c>
      <c r="AN1021" s="628"/>
      <c r="AO1021" s="630"/>
      <c r="AP1021" s="427"/>
      <c r="AQ1021" s="628"/>
      <c r="AR1021" s="427">
        <f>I1021*2</f>
        <v>4008</v>
      </c>
      <c r="AS1021" s="543"/>
      <c r="AT1021" s="544"/>
      <c r="AU1021" s="628"/>
      <c r="AV1021" s="628"/>
      <c r="AW1021" s="628"/>
      <c r="AX1021" s="628"/>
      <c r="AY1021" s="545">
        <f>I1021/24*2</f>
        <v>167</v>
      </c>
      <c r="AZ1021" s="546"/>
      <c r="BA1021" s="628"/>
      <c r="BB1021" s="628"/>
      <c r="BC1021" s="628"/>
      <c r="BD1021" s="628"/>
      <c r="BE1021" s="628"/>
      <c r="BF1021" s="628"/>
      <c r="BG1021" s="628"/>
      <c r="BH1021" s="628"/>
      <c r="BI1021" s="628"/>
      <c r="BJ1021" s="628"/>
      <c r="BK1021" s="427"/>
      <c r="BL1021" s="628"/>
      <c r="BM1021" s="628"/>
      <c r="BN1021" s="628"/>
      <c r="BO1021" s="628"/>
      <c r="BP1021" s="628"/>
      <c r="BQ1021" s="628"/>
      <c r="BR1021" s="628"/>
      <c r="BS1021" s="628"/>
      <c r="BT1021" s="544"/>
      <c r="BU1021" s="628"/>
      <c r="BV1021" s="544"/>
      <c r="BW1021" s="628"/>
      <c r="BX1021" s="628"/>
      <c r="BY1021" s="628"/>
      <c r="BZ1021" s="628"/>
      <c r="CA1021" s="628"/>
      <c r="CB1021" s="628"/>
      <c r="CC1021" s="628"/>
      <c r="CD1021" s="628"/>
      <c r="CE1021" s="628"/>
      <c r="CF1021" s="628"/>
      <c r="CG1021" s="628"/>
      <c r="CH1021" s="628">
        <f>I1021</f>
        <v>2004</v>
      </c>
      <c r="CI1021" s="628">
        <f>I1021</f>
        <v>2004</v>
      </c>
      <c r="CJ1021" s="628">
        <f>I1021</f>
        <v>2004</v>
      </c>
      <c r="CK1021" s="427">
        <v>0</v>
      </c>
      <c r="CL1021" s="427">
        <v>0</v>
      </c>
      <c r="CM1021" s="427">
        <v>0</v>
      </c>
      <c r="CN1021" s="544"/>
      <c r="CO1021" s="544"/>
      <c r="CP1021" s="544"/>
      <c r="CT1021" s="544"/>
      <c r="CU1021" s="544"/>
      <c r="CV1021" s="544"/>
      <c r="CW1021" s="544"/>
      <c r="CX1021" s="544"/>
    </row>
    <row r="1022" s="431" customFormat="1" ht="31" customHeight="1" spans="1:102">
      <c r="A1022" s="518">
        <v>45985</v>
      </c>
      <c r="B1022" s="519" t="s">
        <v>2489</v>
      </c>
      <c r="C1022" s="520" t="s">
        <v>90</v>
      </c>
      <c r="D1022" s="427">
        <v>4500186392</v>
      </c>
      <c r="E1022" s="520">
        <v>60261201</v>
      </c>
      <c r="F1022" s="427" t="s">
        <v>2617</v>
      </c>
      <c r="G1022" s="521" t="s">
        <v>5627</v>
      </c>
      <c r="H1022" s="521" t="s">
        <v>5628</v>
      </c>
      <c r="I1022" s="607">
        <v>2000</v>
      </c>
      <c r="J1022" s="521">
        <v>0</v>
      </c>
      <c r="K1022" s="521">
        <v>8</v>
      </c>
      <c r="L1022" s="524">
        <f t="shared" si="384"/>
        <v>250</v>
      </c>
      <c r="M1022" s="525">
        <v>46044</v>
      </c>
      <c r="N1022" s="525">
        <v>46041</v>
      </c>
      <c r="O1022" s="521"/>
      <c r="P1022" s="526" t="s">
        <v>103</v>
      </c>
      <c r="Q1022" s="521"/>
      <c r="R1022" s="530">
        <v>45985</v>
      </c>
      <c r="S1022" s="530" t="s">
        <v>66</v>
      </c>
      <c r="T1022" s="530" t="s">
        <v>5629</v>
      </c>
      <c r="U1022" s="530"/>
      <c r="V1022" s="532" t="s">
        <v>2555</v>
      </c>
      <c r="W1022" s="532" t="s">
        <v>2441</v>
      </c>
      <c r="X1022" s="536">
        <v>4.097</v>
      </c>
      <c r="Y1022" s="540">
        <f t="shared" si="395"/>
        <v>8194</v>
      </c>
      <c r="Z1022" s="521"/>
      <c r="AA1022" s="521" t="s">
        <v>2495</v>
      </c>
      <c r="AB1022" s="521" t="s">
        <v>76</v>
      </c>
      <c r="AC1022" s="521"/>
      <c r="AD1022" s="519"/>
      <c r="AE1022" s="519">
        <v>1</v>
      </c>
      <c r="AF1022" s="521"/>
      <c r="AG1022" s="521">
        <f t="shared" si="396"/>
        <v>-2000</v>
      </c>
      <c r="AH1022" s="542"/>
      <c r="AI1022" s="521"/>
      <c r="AJ1022" s="521"/>
      <c r="AK1022" s="521">
        <f>I1022*2</f>
        <v>4000</v>
      </c>
      <c r="AL1022" s="543"/>
      <c r="AM1022" s="628">
        <f>I1022*2</f>
        <v>4000</v>
      </c>
      <c r="AN1022" s="628"/>
      <c r="AO1022" s="630"/>
      <c r="AP1022" s="427"/>
      <c r="AQ1022" s="628"/>
      <c r="AR1022" s="427">
        <f>I1022</f>
        <v>2000</v>
      </c>
      <c r="AS1022" s="543"/>
      <c r="AT1022" s="544"/>
      <c r="AU1022" s="628"/>
      <c r="AV1022" s="628"/>
      <c r="AW1022" s="628"/>
      <c r="AX1022" s="628"/>
      <c r="AY1022" s="545">
        <f>I1022/24*2</f>
        <v>166.666666666667</v>
      </c>
      <c r="AZ1022" s="546"/>
      <c r="BA1022" s="628"/>
      <c r="BB1022" s="628"/>
      <c r="BC1022" s="628"/>
      <c r="BD1022" s="628"/>
      <c r="BE1022" s="628"/>
      <c r="BF1022" s="628"/>
      <c r="BG1022" s="628"/>
      <c r="BH1022" s="628"/>
      <c r="BI1022" s="628"/>
      <c r="BJ1022" s="628"/>
      <c r="BK1022" s="427"/>
      <c r="BL1022" s="628"/>
      <c r="BM1022" s="628"/>
      <c r="BN1022" s="628"/>
      <c r="BO1022" s="628"/>
      <c r="BP1022" s="628"/>
      <c r="BQ1022" s="628"/>
      <c r="BR1022" s="628"/>
      <c r="BS1022" s="628"/>
      <c r="BT1022" s="544"/>
      <c r="BU1022" s="628"/>
      <c r="BV1022" s="544">
        <f>I1022</f>
        <v>2000</v>
      </c>
      <c r="BW1022" s="628"/>
      <c r="BX1022" s="628"/>
      <c r="BY1022" s="628"/>
      <c r="BZ1022" s="628"/>
      <c r="CA1022" s="628"/>
      <c r="CB1022" s="628"/>
      <c r="CC1022" s="628"/>
      <c r="CD1022" s="628"/>
      <c r="CE1022" s="628"/>
      <c r="CF1022" s="628"/>
      <c r="CG1022" s="628"/>
      <c r="CH1022" s="628"/>
      <c r="CI1022" s="628"/>
      <c r="CJ1022" s="628"/>
      <c r="CK1022" s="427">
        <f>BM1022+BL1022+BK1022+BJ1022+BS1022</f>
        <v>0</v>
      </c>
      <c r="CL1022" s="427">
        <f>CA1022+CB1022+CC1022+CD1022+CE1022+CG1022+CF1022</f>
        <v>0</v>
      </c>
      <c r="CM1022" s="427">
        <f>BY1022+BZ1022</f>
        <v>0</v>
      </c>
      <c r="CN1022" s="544"/>
      <c r="CO1022" s="544"/>
      <c r="CP1022" s="544"/>
      <c r="CT1022" s="544"/>
      <c r="CU1022" s="544"/>
      <c r="CV1022" s="544"/>
      <c r="CW1022" s="544"/>
      <c r="CX1022" s="544"/>
    </row>
    <row r="1023" s="431" customFormat="1" ht="31" customHeight="1" spans="1:102">
      <c r="A1023" s="518">
        <v>45995</v>
      </c>
      <c r="B1023" s="519" t="s">
        <v>2863</v>
      </c>
      <c r="C1023" s="520" t="s">
        <v>90</v>
      </c>
      <c r="D1023" s="427">
        <v>4500187984</v>
      </c>
      <c r="E1023" s="520">
        <v>4353960389</v>
      </c>
      <c r="F1023" s="427" t="s">
        <v>5714</v>
      </c>
      <c r="G1023" s="521" t="s">
        <v>3198</v>
      </c>
      <c r="H1023" s="521" t="s">
        <v>3303</v>
      </c>
      <c r="I1023" s="607">
        <v>7025</v>
      </c>
      <c r="J1023" s="521">
        <v>0</v>
      </c>
      <c r="K1023" s="521">
        <v>25</v>
      </c>
      <c r="L1023" s="524">
        <f t="shared" si="384"/>
        <v>281</v>
      </c>
      <c r="M1023" s="525">
        <v>46044</v>
      </c>
      <c r="N1023" s="525">
        <v>46041</v>
      </c>
      <c r="O1023" s="521"/>
      <c r="P1023" s="526" t="s">
        <v>103</v>
      </c>
      <c r="Q1023" s="521"/>
      <c r="R1023" s="530">
        <v>46009</v>
      </c>
      <c r="S1023" s="530" t="s">
        <v>66</v>
      </c>
      <c r="T1023" s="530" t="s">
        <v>5715</v>
      </c>
      <c r="U1023" s="530"/>
      <c r="V1023" s="532" t="s">
        <v>5716</v>
      </c>
      <c r="W1023" s="532" t="s">
        <v>2868</v>
      </c>
      <c r="X1023" s="536">
        <v>0.5574</v>
      </c>
      <c r="Y1023" s="540">
        <f t="shared" si="395"/>
        <v>3915.735</v>
      </c>
      <c r="Z1023" s="521"/>
      <c r="AA1023" s="521" t="s">
        <v>3198</v>
      </c>
      <c r="AB1023" s="521" t="s">
        <v>76</v>
      </c>
      <c r="AC1023" s="521"/>
      <c r="AD1023" s="519"/>
      <c r="AE1023" s="519">
        <v>1</v>
      </c>
      <c r="AF1023" s="521">
        <v>7025</v>
      </c>
      <c r="AG1023" s="521">
        <f t="shared" si="396"/>
        <v>0</v>
      </c>
      <c r="AH1023" s="542"/>
      <c r="AI1023" s="521" t="s">
        <v>2191</v>
      </c>
      <c r="AJ1023" s="521"/>
      <c r="AK1023" s="521">
        <f>I1023</f>
        <v>7025</v>
      </c>
      <c r="AL1023" s="543"/>
      <c r="AM1023" s="628">
        <f>I1023</f>
        <v>7025</v>
      </c>
      <c r="AN1023" s="628"/>
      <c r="AO1023" s="630"/>
      <c r="AP1023" s="427"/>
      <c r="AQ1023" s="628"/>
      <c r="AR1023" s="427">
        <f>I1023</f>
        <v>7025</v>
      </c>
      <c r="AS1023" s="543"/>
      <c r="AT1023" s="544"/>
      <c r="AU1023" s="628"/>
      <c r="AV1023" s="628"/>
      <c r="AW1023" s="628"/>
      <c r="AX1023" s="628"/>
      <c r="AY1023" s="545">
        <f>I1023/24</f>
        <v>292.708333333333</v>
      </c>
      <c r="AZ1023" s="546"/>
      <c r="BA1023" s="628"/>
      <c r="BB1023" s="628"/>
      <c r="BC1023" s="628"/>
      <c r="BD1023" s="628"/>
      <c r="BE1023" s="628"/>
      <c r="BF1023" s="628"/>
      <c r="BG1023" s="628"/>
      <c r="BH1023" s="628"/>
      <c r="BI1023" s="628"/>
      <c r="BJ1023" s="628">
        <f>I1023/25</f>
        <v>281</v>
      </c>
      <c r="BK1023" s="427"/>
      <c r="BL1023" s="628"/>
      <c r="BM1023" s="628"/>
      <c r="BN1023" s="628"/>
      <c r="BO1023" s="628"/>
      <c r="BP1023" s="628"/>
      <c r="BQ1023" s="628"/>
      <c r="BR1023" s="628"/>
      <c r="BS1023" s="628"/>
      <c r="BT1023" s="544"/>
      <c r="BU1023" s="628"/>
      <c r="BV1023" s="544"/>
      <c r="BW1023" s="628"/>
      <c r="BX1023" s="628"/>
      <c r="BY1023" s="628"/>
      <c r="BZ1023" s="628"/>
      <c r="CA1023" s="628"/>
      <c r="CB1023" s="628"/>
      <c r="CC1023" s="628"/>
      <c r="CD1023" s="628"/>
      <c r="CE1023" s="628"/>
      <c r="CF1023" s="628"/>
      <c r="CG1023" s="628"/>
      <c r="CH1023" s="628"/>
      <c r="CI1023" s="628"/>
      <c r="CJ1023" s="628"/>
      <c r="CK1023" s="427">
        <f>BM1023+BL1023+BK1023+BJ1023+BS1023</f>
        <v>281</v>
      </c>
      <c r="CL1023" s="427">
        <f>CA1023+CB1023+CC1023+CD1023+CE1023+CG1023+CF1023</f>
        <v>0</v>
      </c>
      <c r="CM1023" s="427">
        <f>BY1023+BZ1023</f>
        <v>0</v>
      </c>
      <c r="CN1023" s="544"/>
      <c r="CO1023" s="544"/>
      <c r="CP1023" s="544"/>
      <c r="CT1023" s="544"/>
      <c r="CU1023" s="544"/>
      <c r="CV1023" s="544"/>
      <c r="CW1023" s="544"/>
      <c r="CX1023" s="544"/>
    </row>
    <row r="1024" s="431" customFormat="1" ht="31" customHeight="1" spans="1:102">
      <c r="A1024" s="518">
        <v>45996</v>
      </c>
      <c r="B1024" s="519" t="s">
        <v>2863</v>
      </c>
      <c r="C1024" s="520" t="s">
        <v>90</v>
      </c>
      <c r="D1024" s="427">
        <v>4500188208</v>
      </c>
      <c r="E1024" s="520">
        <v>4353960671</v>
      </c>
      <c r="F1024" s="427" t="s">
        <v>5717</v>
      </c>
      <c r="G1024" s="521" t="s">
        <v>3198</v>
      </c>
      <c r="H1024" s="521" t="s">
        <v>3303</v>
      </c>
      <c r="I1024" s="607">
        <v>5725</v>
      </c>
      <c r="J1024" s="521">
        <v>0</v>
      </c>
      <c r="K1024" s="521">
        <v>25</v>
      </c>
      <c r="L1024" s="524">
        <f t="shared" si="384"/>
        <v>229</v>
      </c>
      <c r="M1024" s="525">
        <v>46044</v>
      </c>
      <c r="N1024" s="525">
        <v>46041</v>
      </c>
      <c r="O1024" s="521"/>
      <c r="P1024" s="526" t="s">
        <v>103</v>
      </c>
      <c r="Q1024" s="521"/>
      <c r="R1024" s="530">
        <v>46009</v>
      </c>
      <c r="S1024" s="530" t="s">
        <v>66</v>
      </c>
      <c r="T1024" s="530" t="s">
        <v>5715</v>
      </c>
      <c r="U1024" s="530"/>
      <c r="V1024" s="532" t="s">
        <v>5716</v>
      </c>
      <c r="W1024" s="532" t="s">
        <v>2868</v>
      </c>
      <c r="X1024" s="536">
        <v>0.5574</v>
      </c>
      <c r="Y1024" s="540">
        <f t="shared" si="395"/>
        <v>3191.115</v>
      </c>
      <c r="Z1024" s="521"/>
      <c r="AA1024" s="521" t="s">
        <v>3198</v>
      </c>
      <c r="AB1024" s="521" t="s">
        <v>76</v>
      </c>
      <c r="AC1024" s="521"/>
      <c r="AD1024" s="519"/>
      <c r="AE1024" s="519">
        <v>1</v>
      </c>
      <c r="AF1024" s="521">
        <v>5725</v>
      </c>
      <c r="AG1024" s="521">
        <f t="shared" si="396"/>
        <v>0</v>
      </c>
      <c r="AH1024" s="542"/>
      <c r="AI1024" s="521" t="s">
        <v>2191</v>
      </c>
      <c r="AJ1024" s="521"/>
      <c r="AK1024" s="521">
        <f>I1024</f>
        <v>5725</v>
      </c>
      <c r="AL1024" s="543"/>
      <c r="AM1024" s="628">
        <f>I1024</f>
        <v>5725</v>
      </c>
      <c r="AN1024" s="628"/>
      <c r="AO1024" s="630"/>
      <c r="AP1024" s="427"/>
      <c r="AQ1024" s="628"/>
      <c r="AR1024" s="427">
        <f>I1024</f>
        <v>5725</v>
      </c>
      <c r="AS1024" s="543"/>
      <c r="AT1024" s="544"/>
      <c r="AU1024" s="628"/>
      <c r="AV1024" s="628"/>
      <c r="AW1024" s="628"/>
      <c r="AX1024" s="628"/>
      <c r="AY1024" s="545">
        <f>I1024/24</f>
        <v>238.541666666667</v>
      </c>
      <c r="AZ1024" s="546"/>
      <c r="BA1024" s="628"/>
      <c r="BB1024" s="628"/>
      <c r="BC1024" s="628"/>
      <c r="BD1024" s="628"/>
      <c r="BE1024" s="628"/>
      <c r="BF1024" s="628"/>
      <c r="BG1024" s="628"/>
      <c r="BH1024" s="628"/>
      <c r="BI1024" s="628"/>
      <c r="BJ1024" s="628">
        <f>I1024/25</f>
        <v>229</v>
      </c>
      <c r="BK1024" s="427"/>
      <c r="BL1024" s="628"/>
      <c r="BM1024" s="628"/>
      <c r="BN1024" s="628"/>
      <c r="BO1024" s="628"/>
      <c r="BP1024" s="628"/>
      <c r="BQ1024" s="628"/>
      <c r="BR1024" s="628"/>
      <c r="BS1024" s="628"/>
      <c r="BT1024" s="544"/>
      <c r="BU1024" s="628"/>
      <c r="BV1024" s="544"/>
      <c r="BW1024" s="628"/>
      <c r="BX1024" s="628"/>
      <c r="BY1024" s="628"/>
      <c r="BZ1024" s="628"/>
      <c r="CA1024" s="628"/>
      <c r="CB1024" s="628"/>
      <c r="CC1024" s="628"/>
      <c r="CD1024" s="628"/>
      <c r="CE1024" s="628"/>
      <c r="CF1024" s="628"/>
      <c r="CG1024" s="628"/>
      <c r="CH1024" s="628"/>
      <c r="CI1024" s="628"/>
      <c r="CJ1024" s="628"/>
      <c r="CK1024" s="427">
        <f>BM1024+BL1024+BK1024+BJ1024+BS1024</f>
        <v>229</v>
      </c>
      <c r="CL1024" s="427">
        <f>CA1024+CB1024+CC1024+CD1024+CE1024+CG1024+CF1024</f>
        <v>0</v>
      </c>
      <c r="CM1024" s="427">
        <f>BY1024+BZ1024</f>
        <v>0</v>
      </c>
      <c r="CN1024" s="544"/>
      <c r="CO1024" s="544"/>
      <c r="CP1024" s="544"/>
      <c r="CT1024" s="544"/>
      <c r="CU1024" s="544"/>
      <c r="CV1024" s="544"/>
      <c r="CW1024" s="544"/>
      <c r="CX1024" s="544"/>
    </row>
    <row r="1025" s="431" customFormat="1" ht="31" customHeight="1" spans="1:102">
      <c r="A1025" s="518">
        <v>45996</v>
      </c>
      <c r="B1025" s="519" t="s">
        <v>1228</v>
      </c>
      <c r="C1025" s="520" t="s">
        <v>841</v>
      </c>
      <c r="D1025" s="427">
        <v>4500188288</v>
      </c>
      <c r="E1025" s="520"/>
      <c r="F1025" s="427" t="s">
        <v>5718</v>
      </c>
      <c r="G1025" s="521" t="s">
        <v>3378</v>
      </c>
      <c r="H1025" s="521" t="s">
        <v>3379</v>
      </c>
      <c r="I1025" s="607">
        <v>1100</v>
      </c>
      <c r="J1025" s="521">
        <v>0</v>
      </c>
      <c r="K1025" s="521">
        <v>50</v>
      </c>
      <c r="L1025" s="524">
        <f t="shared" si="384"/>
        <v>22</v>
      </c>
      <c r="M1025" s="525">
        <v>46045</v>
      </c>
      <c r="N1025" s="525">
        <v>46041</v>
      </c>
      <c r="O1025" s="521"/>
      <c r="P1025" s="526" t="s">
        <v>103</v>
      </c>
      <c r="Q1025" s="521"/>
      <c r="R1025" s="530">
        <v>46021</v>
      </c>
      <c r="S1025" s="530" t="s">
        <v>66</v>
      </c>
      <c r="T1025" s="530" t="s">
        <v>66</v>
      </c>
      <c r="U1025" s="530"/>
      <c r="V1025" s="532" t="s">
        <v>5719</v>
      </c>
      <c r="W1025" s="532" t="s">
        <v>853</v>
      </c>
      <c r="X1025" s="536">
        <v>0.9521</v>
      </c>
      <c r="Y1025" s="540">
        <f t="shared" si="395"/>
        <v>1047.31</v>
      </c>
      <c r="Z1025" s="521"/>
      <c r="AA1025" s="521" t="s">
        <v>3378</v>
      </c>
      <c r="AB1025" s="521" t="s">
        <v>76</v>
      </c>
      <c r="AC1025" s="521"/>
      <c r="AD1025" s="519"/>
      <c r="AE1025" s="519">
        <v>1</v>
      </c>
      <c r="AF1025" s="521">
        <v>3800</v>
      </c>
      <c r="AG1025" s="521">
        <f t="shared" si="396"/>
        <v>2700</v>
      </c>
      <c r="AH1025" s="542"/>
      <c r="AI1025" s="521"/>
      <c r="AJ1025" s="521"/>
      <c r="AK1025" s="521"/>
      <c r="AL1025" s="543">
        <f>I1025</f>
        <v>1100</v>
      </c>
      <c r="AM1025" s="628"/>
      <c r="AN1025" s="628"/>
      <c r="AO1025" s="630"/>
      <c r="AP1025" s="427"/>
      <c r="AQ1025" s="628"/>
      <c r="AR1025" s="427"/>
      <c r="AS1025" s="543"/>
      <c r="AT1025" s="544"/>
      <c r="AU1025" s="628"/>
      <c r="AV1025" s="628"/>
      <c r="AW1025" s="628"/>
      <c r="AX1025" s="628"/>
      <c r="AY1025" s="545">
        <f>I1025/24</f>
        <v>45.8333333333333</v>
      </c>
      <c r="AZ1025" s="546"/>
      <c r="BA1025" s="628"/>
      <c r="BB1025" s="628"/>
      <c r="BC1025" s="628"/>
      <c r="BD1025" s="628"/>
      <c r="BE1025" s="628"/>
      <c r="BF1025" s="628"/>
      <c r="BG1025" s="628"/>
      <c r="BH1025" s="628"/>
      <c r="BI1025" s="628"/>
      <c r="BJ1025" s="628"/>
      <c r="BK1025" s="427"/>
      <c r="BL1025" s="628"/>
      <c r="BM1025" s="628"/>
      <c r="BN1025" s="628"/>
      <c r="BO1025" s="628"/>
      <c r="BP1025" s="628"/>
      <c r="BQ1025" s="628">
        <f>I1025</f>
        <v>1100</v>
      </c>
      <c r="BR1025" s="628">
        <f>I1025</f>
        <v>1100</v>
      </c>
      <c r="BS1025" s="628">
        <f>I1025/25</f>
        <v>44</v>
      </c>
      <c r="BT1025" s="544"/>
      <c r="BU1025" s="628"/>
      <c r="BV1025" s="544"/>
      <c r="BW1025" s="628"/>
      <c r="BX1025" s="628"/>
      <c r="BY1025" s="628"/>
      <c r="BZ1025" s="628"/>
      <c r="CA1025" s="628"/>
      <c r="CB1025" s="628"/>
      <c r="CC1025" s="628"/>
      <c r="CD1025" s="628"/>
      <c r="CE1025" s="628"/>
      <c r="CF1025" s="628"/>
      <c r="CG1025" s="628"/>
      <c r="CH1025" s="628"/>
      <c r="CI1025" s="628"/>
      <c r="CJ1025" s="628"/>
      <c r="CK1025" s="427">
        <f>BM1025+BL1025+BK1025+BJ1025+BS1025</f>
        <v>44</v>
      </c>
      <c r="CL1025" s="427">
        <f>CA1025+CB1025+CC1025+CD1025+CE1025+CG1025+CF1025</f>
        <v>0</v>
      </c>
      <c r="CM1025" s="427">
        <f>BY1025+BZ1025</f>
        <v>0</v>
      </c>
      <c r="CN1025" s="544"/>
      <c r="CO1025" s="544"/>
      <c r="CP1025" s="544"/>
      <c r="CT1025" s="544"/>
      <c r="CU1025" s="544"/>
      <c r="CV1025" s="544"/>
      <c r="CW1025" s="544"/>
      <c r="CX1025" s="544"/>
    </row>
    <row r="1026" s="431" customFormat="1" ht="31" customHeight="1" spans="1:102">
      <c r="A1026" s="518">
        <v>45999</v>
      </c>
      <c r="B1026" s="519" t="s">
        <v>857</v>
      </c>
      <c r="C1026" s="520" t="s">
        <v>249</v>
      </c>
      <c r="D1026" s="427">
        <v>4500188369</v>
      </c>
      <c r="E1026" s="520" t="s">
        <v>2629</v>
      </c>
      <c r="F1026" s="427" t="s">
        <v>2630</v>
      </c>
      <c r="G1026" s="521" t="s">
        <v>743</v>
      </c>
      <c r="H1026" s="521" t="s">
        <v>744</v>
      </c>
      <c r="I1026" s="607">
        <v>5400</v>
      </c>
      <c r="J1026" s="521">
        <v>0</v>
      </c>
      <c r="K1026" s="521">
        <v>75</v>
      </c>
      <c r="L1026" s="524">
        <f t="shared" si="384"/>
        <v>72</v>
      </c>
      <c r="M1026" s="525">
        <v>46045</v>
      </c>
      <c r="N1026" s="525">
        <v>46041</v>
      </c>
      <c r="O1026" s="521"/>
      <c r="P1026" s="526" t="s">
        <v>103</v>
      </c>
      <c r="Q1026" s="521"/>
      <c r="R1026" s="530">
        <v>46000</v>
      </c>
      <c r="S1026" s="530" t="s">
        <v>66</v>
      </c>
      <c r="T1026" s="530" t="s">
        <v>66</v>
      </c>
      <c r="U1026" s="530"/>
      <c r="V1026" s="532" t="s">
        <v>2631</v>
      </c>
      <c r="W1026" s="532" t="s">
        <v>1424</v>
      </c>
      <c r="X1026" s="536">
        <v>24.1361</v>
      </c>
      <c r="Y1026" s="540">
        <f>X1026*L1026</f>
        <v>1737.7992</v>
      </c>
      <c r="Z1026" s="521"/>
      <c r="AA1026" s="521" t="s">
        <v>743</v>
      </c>
      <c r="AB1026" s="521" t="s">
        <v>76</v>
      </c>
      <c r="AC1026" s="521"/>
      <c r="AD1026" s="519"/>
      <c r="AE1026" s="519" t="s">
        <v>2757</v>
      </c>
      <c r="AF1026" s="521"/>
      <c r="AG1026" s="521">
        <f>I1026</f>
        <v>5400</v>
      </c>
      <c r="AH1026" s="542"/>
      <c r="AI1026" s="521"/>
      <c r="AJ1026" s="521"/>
      <c r="AK1026" s="521"/>
      <c r="AL1026" s="543">
        <f>I1026*3</f>
        <v>16200</v>
      </c>
      <c r="AM1026" s="628"/>
      <c r="AN1026" s="628"/>
      <c r="AO1026" s="630"/>
      <c r="AP1026" s="427"/>
      <c r="AQ1026" s="628"/>
      <c r="AR1026" s="427"/>
      <c r="AS1026" s="543"/>
      <c r="AT1026" s="544"/>
      <c r="AU1026" s="628"/>
      <c r="AV1026" s="628"/>
      <c r="AW1026" s="628"/>
      <c r="AX1026" s="628"/>
      <c r="AY1026" s="545"/>
      <c r="AZ1026" s="546"/>
      <c r="BA1026" s="628"/>
      <c r="BB1026" s="628"/>
      <c r="BC1026" s="628">
        <f>I1026*3</f>
        <v>16200</v>
      </c>
      <c r="BD1026" s="628">
        <f>BC1026</f>
        <v>16200</v>
      </c>
      <c r="BE1026" s="628">
        <f>I1026</f>
        <v>5400</v>
      </c>
      <c r="BF1026" s="628">
        <f>I1026/5</f>
        <v>1080</v>
      </c>
      <c r="BG1026" s="628"/>
      <c r="BH1026" s="628"/>
      <c r="BI1026" s="628"/>
      <c r="BJ1026" s="628"/>
      <c r="BK1026" s="427"/>
      <c r="BL1026" s="628"/>
      <c r="BM1026" s="628"/>
      <c r="BN1026" s="628"/>
      <c r="BO1026" s="628"/>
      <c r="BP1026" s="628"/>
      <c r="BQ1026" s="628"/>
      <c r="BR1026" s="628"/>
      <c r="BS1026" s="628"/>
      <c r="BT1026" s="544"/>
      <c r="BU1026" s="628"/>
      <c r="BV1026" s="544"/>
      <c r="BW1026" s="628"/>
      <c r="BX1026" s="628"/>
      <c r="BY1026" s="628"/>
      <c r="BZ1026" s="628"/>
      <c r="CA1026" s="628"/>
      <c r="CB1026" s="628"/>
      <c r="CC1026" s="628"/>
      <c r="CD1026" s="628"/>
      <c r="CE1026" s="628"/>
      <c r="CF1026" s="628"/>
      <c r="CG1026" s="628"/>
      <c r="CH1026" s="628"/>
      <c r="CI1026" s="628"/>
      <c r="CJ1026" s="628"/>
      <c r="CK1026" s="427">
        <f>BM1026+BL1026+BK1026+BJ1026+BS1026</f>
        <v>0</v>
      </c>
      <c r="CL1026" s="427">
        <f>CA1026+CB1026+CC1026+CD1026+CE1026+CG1026+CF1026</f>
        <v>0</v>
      </c>
      <c r="CM1026" s="427">
        <f>BY1026+BZ1026</f>
        <v>0</v>
      </c>
      <c r="CN1026" s="544"/>
      <c r="CO1026" s="544"/>
      <c r="CP1026" s="544"/>
      <c r="CT1026" s="544"/>
      <c r="CU1026" s="544"/>
      <c r="CV1026" s="544"/>
      <c r="CW1026" s="544"/>
      <c r="CX1026" s="544"/>
    </row>
    <row r="1027" s="431" customFormat="1" ht="31" customHeight="1" spans="1:102">
      <c r="A1027" s="518">
        <v>45985</v>
      </c>
      <c r="B1027" s="519" t="s">
        <v>489</v>
      </c>
      <c r="C1027" s="520" t="s">
        <v>249</v>
      </c>
      <c r="D1027" s="427">
        <v>4500186739</v>
      </c>
      <c r="E1027" s="520" t="s">
        <v>2632</v>
      </c>
      <c r="F1027" s="427" t="s">
        <v>2633</v>
      </c>
      <c r="G1027" s="521" t="s">
        <v>3436</v>
      </c>
      <c r="H1027" s="521" t="s">
        <v>424</v>
      </c>
      <c r="I1027" s="607">
        <v>762</v>
      </c>
      <c r="J1027" s="521">
        <v>0</v>
      </c>
      <c r="K1027" s="521">
        <v>6</v>
      </c>
      <c r="L1027" s="524">
        <f t="shared" si="384"/>
        <v>127</v>
      </c>
      <c r="M1027" s="525">
        <v>46048</v>
      </c>
      <c r="N1027" s="525">
        <v>46044</v>
      </c>
      <c r="O1027" s="521"/>
      <c r="P1027" s="526" t="s">
        <v>103</v>
      </c>
      <c r="Q1027" s="521"/>
      <c r="R1027" s="530" t="s">
        <v>411</v>
      </c>
      <c r="S1027" s="530" t="s">
        <v>96</v>
      </c>
      <c r="T1027" s="530" t="s">
        <v>1841</v>
      </c>
      <c r="U1027" s="530"/>
      <c r="V1027" s="532" t="s">
        <v>5720</v>
      </c>
      <c r="W1027" s="532" t="s">
        <v>2591</v>
      </c>
      <c r="X1027" s="536">
        <v>7.0456</v>
      </c>
      <c r="Y1027" s="540">
        <f t="shared" ref="Y1026:Y1047" si="403">X1027*I1027</f>
        <v>5368.7472</v>
      </c>
      <c r="Z1027" s="521"/>
      <c r="AA1027" s="521" t="s">
        <v>427</v>
      </c>
      <c r="AB1027" s="521" t="s">
        <v>76</v>
      </c>
      <c r="AC1027" s="521"/>
      <c r="AD1027" s="519"/>
      <c r="AE1027" s="519">
        <v>1</v>
      </c>
      <c r="AF1027" s="521">
        <f>648+114</f>
        <v>762</v>
      </c>
      <c r="AG1027" s="521">
        <f t="shared" ref="AG1026:AG1074" si="404">AF1027-I1027</f>
        <v>0</v>
      </c>
      <c r="AH1027" s="542"/>
      <c r="AI1027" s="521"/>
      <c r="AJ1027" s="521"/>
      <c r="AK1027" s="521"/>
      <c r="AL1027" s="543">
        <f>I1027*2</f>
        <v>1524</v>
      </c>
      <c r="AM1027" s="628"/>
      <c r="AN1027" s="628"/>
      <c r="AO1027" s="630"/>
      <c r="AP1027" s="427"/>
      <c r="AQ1027" s="628">
        <f t="shared" ref="AQ1027:AQ1030" si="405">I1027*2</f>
        <v>1524</v>
      </c>
      <c r="AR1027" s="427"/>
      <c r="AS1027" s="543">
        <f>I1027*2</f>
        <v>1524</v>
      </c>
      <c r="AT1027" s="544"/>
      <c r="AU1027" s="628"/>
      <c r="AV1027" s="628"/>
      <c r="AW1027" s="628"/>
      <c r="AX1027" s="628"/>
      <c r="AY1027" s="545">
        <f>I1027/24*2</f>
        <v>63.5</v>
      </c>
      <c r="AZ1027" s="546"/>
      <c r="BA1027" s="628"/>
      <c r="BB1027" s="628"/>
      <c r="BC1027" s="628"/>
      <c r="BD1027" s="628"/>
      <c r="BE1027" s="628"/>
      <c r="BF1027" s="628"/>
      <c r="BG1027" s="628"/>
      <c r="BH1027" s="628"/>
      <c r="BI1027" s="628"/>
      <c r="BJ1027" s="628"/>
      <c r="BK1027" s="427"/>
      <c r="BL1027" s="628"/>
      <c r="BM1027" s="628"/>
      <c r="BN1027" s="628"/>
      <c r="BO1027" s="628"/>
      <c r="BP1027" s="628"/>
      <c r="BQ1027" s="628"/>
      <c r="BR1027" s="628"/>
      <c r="BS1027" s="628"/>
      <c r="BT1027" s="544"/>
      <c r="BU1027" s="628">
        <f>I1027</f>
        <v>762</v>
      </c>
      <c r="BV1027" s="544"/>
      <c r="BW1027" s="628"/>
      <c r="BX1027" s="628"/>
      <c r="BY1027" s="628"/>
      <c r="BZ1027" s="628"/>
      <c r="CA1027" s="628"/>
      <c r="CB1027" s="628"/>
      <c r="CC1027" s="628"/>
      <c r="CD1027" s="628"/>
      <c r="CE1027" s="628"/>
      <c r="CF1027" s="628"/>
      <c r="CG1027" s="628"/>
      <c r="CH1027" s="628"/>
      <c r="CI1027" s="628"/>
      <c r="CJ1027" s="628"/>
      <c r="CK1027" s="427">
        <f t="shared" ref="CK1027:CK1062" si="406">BM1027+BL1027+BK1027+BJ1027+BS1027</f>
        <v>0</v>
      </c>
      <c r="CL1027" s="427">
        <f t="shared" ref="CL1027:CL1070" si="407">CA1027+CB1027+CC1027+CD1027+CE1027+CG1027+CF1027</f>
        <v>0</v>
      </c>
      <c r="CM1027" s="427">
        <f t="shared" ref="CM1027:CM1070" si="408">BY1027+BZ1027</f>
        <v>0</v>
      </c>
      <c r="CN1027" s="544"/>
      <c r="CO1027" s="544"/>
      <c r="CP1027" s="544"/>
      <c r="CT1027" s="544"/>
      <c r="CU1027" s="544"/>
      <c r="CV1027" s="544"/>
      <c r="CW1027" s="544"/>
      <c r="CX1027" s="544"/>
    </row>
    <row r="1028" s="431" customFormat="1" ht="31" customHeight="1" spans="1:102">
      <c r="A1028" s="518">
        <v>45985</v>
      </c>
      <c r="B1028" s="519" t="s">
        <v>489</v>
      </c>
      <c r="C1028" s="520" t="s">
        <v>249</v>
      </c>
      <c r="D1028" s="427">
        <v>4500186739</v>
      </c>
      <c r="E1028" s="520" t="s">
        <v>2635</v>
      </c>
      <c r="F1028" s="427" t="s">
        <v>2636</v>
      </c>
      <c r="G1028" s="521" t="s">
        <v>3436</v>
      </c>
      <c r="H1028" s="521" t="s">
        <v>424</v>
      </c>
      <c r="I1028" s="607">
        <v>504</v>
      </c>
      <c r="J1028" s="521">
        <v>0</v>
      </c>
      <c r="K1028" s="521">
        <v>6</v>
      </c>
      <c r="L1028" s="524">
        <f t="shared" si="384"/>
        <v>84</v>
      </c>
      <c r="M1028" s="525">
        <v>46048</v>
      </c>
      <c r="N1028" s="525">
        <v>46044</v>
      </c>
      <c r="O1028" s="521"/>
      <c r="P1028" s="526" t="s">
        <v>103</v>
      </c>
      <c r="Q1028" s="521"/>
      <c r="R1028" s="530" t="s">
        <v>411</v>
      </c>
      <c r="S1028" s="530" t="s">
        <v>96</v>
      </c>
      <c r="T1028" s="530" t="s">
        <v>1841</v>
      </c>
      <c r="U1028" s="530"/>
      <c r="V1028" s="532" t="s">
        <v>5720</v>
      </c>
      <c r="W1028" s="532" t="s">
        <v>2591</v>
      </c>
      <c r="X1028" s="536">
        <v>7.0456</v>
      </c>
      <c r="Y1028" s="540">
        <f t="shared" si="403"/>
        <v>3550.9824</v>
      </c>
      <c r="Z1028" s="521"/>
      <c r="AA1028" s="521" t="s">
        <v>427</v>
      </c>
      <c r="AB1028" s="521" t="s">
        <v>76</v>
      </c>
      <c r="AC1028" s="521"/>
      <c r="AD1028" s="519"/>
      <c r="AE1028" s="519">
        <v>1</v>
      </c>
      <c r="AF1028" s="521">
        <f>324+180</f>
        <v>504</v>
      </c>
      <c r="AG1028" s="521">
        <f t="shared" si="404"/>
        <v>0</v>
      </c>
      <c r="AH1028" s="542"/>
      <c r="AI1028" s="521"/>
      <c r="AJ1028" s="521"/>
      <c r="AK1028" s="521"/>
      <c r="AL1028" s="543">
        <f>I1028*2</f>
        <v>1008</v>
      </c>
      <c r="AM1028" s="628"/>
      <c r="AN1028" s="628"/>
      <c r="AO1028" s="630"/>
      <c r="AP1028" s="427"/>
      <c r="AQ1028" s="628">
        <f t="shared" si="405"/>
        <v>1008</v>
      </c>
      <c r="AR1028" s="427"/>
      <c r="AS1028" s="543">
        <f>I1028*2</f>
        <v>1008</v>
      </c>
      <c r="AT1028" s="544"/>
      <c r="AU1028" s="628"/>
      <c r="AV1028" s="628"/>
      <c r="AW1028" s="628"/>
      <c r="AX1028" s="628"/>
      <c r="AY1028" s="545">
        <f>I1028/24*2</f>
        <v>42</v>
      </c>
      <c r="AZ1028" s="546"/>
      <c r="BA1028" s="628"/>
      <c r="BB1028" s="628"/>
      <c r="BC1028" s="628"/>
      <c r="BD1028" s="628"/>
      <c r="BE1028" s="628"/>
      <c r="BF1028" s="628"/>
      <c r="BG1028" s="628"/>
      <c r="BH1028" s="628"/>
      <c r="BI1028" s="628"/>
      <c r="BJ1028" s="628"/>
      <c r="BK1028" s="427"/>
      <c r="BL1028" s="628"/>
      <c r="BM1028" s="628"/>
      <c r="BN1028" s="628"/>
      <c r="BO1028" s="628"/>
      <c r="BP1028" s="628"/>
      <c r="BQ1028" s="628"/>
      <c r="BR1028" s="628"/>
      <c r="BS1028" s="628"/>
      <c r="BT1028" s="544"/>
      <c r="BU1028" s="628">
        <f>I1028</f>
        <v>504</v>
      </c>
      <c r="BV1028" s="544"/>
      <c r="BW1028" s="628"/>
      <c r="BX1028" s="628"/>
      <c r="BY1028" s="628"/>
      <c r="BZ1028" s="628"/>
      <c r="CA1028" s="628"/>
      <c r="CB1028" s="628"/>
      <c r="CC1028" s="628"/>
      <c r="CD1028" s="628"/>
      <c r="CE1028" s="628"/>
      <c r="CF1028" s="628"/>
      <c r="CG1028" s="628"/>
      <c r="CH1028" s="628"/>
      <c r="CI1028" s="628"/>
      <c r="CJ1028" s="628"/>
      <c r="CK1028" s="427">
        <f t="shared" si="406"/>
        <v>0</v>
      </c>
      <c r="CL1028" s="427">
        <f t="shared" si="407"/>
        <v>0</v>
      </c>
      <c r="CM1028" s="427">
        <f t="shared" si="408"/>
        <v>0</v>
      </c>
      <c r="CN1028" s="544"/>
      <c r="CO1028" s="544"/>
      <c r="CP1028" s="544"/>
      <c r="CT1028" s="544"/>
      <c r="CU1028" s="544"/>
      <c r="CV1028" s="544"/>
      <c r="CW1028" s="544"/>
      <c r="CX1028" s="544"/>
    </row>
    <row r="1029" s="431" customFormat="1" ht="31" customHeight="1" spans="1:102">
      <c r="A1029" s="518">
        <v>45985</v>
      </c>
      <c r="B1029" s="519" t="s">
        <v>489</v>
      </c>
      <c r="C1029" s="520" t="s">
        <v>249</v>
      </c>
      <c r="D1029" s="427">
        <v>4500186739</v>
      </c>
      <c r="E1029" s="520" t="s">
        <v>5721</v>
      </c>
      <c r="F1029" s="427" t="s">
        <v>5722</v>
      </c>
      <c r="G1029" s="521" t="s">
        <v>4962</v>
      </c>
      <c r="H1029" s="521" t="s">
        <v>3237</v>
      </c>
      <c r="I1029" s="607">
        <v>984</v>
      </c>
      <c r="J1029" s="521">
        <v>0</v>
      </c>
      <c r="K1029" s="521">
        <v>12</v>
      </c>
      <c r="L1029" s="524">
        <f t="shared" si="384"/>
        <v>82</v>
      </c>
      <c r="M1029" s="525">
        <v>46048</v>
      </c>
      <c r="N1029" s="525">
        <v>46044</v>
      </c>
      <c r="O1029" s="521"/>
      <c r="P1029" s="526" t="s">
        <v>103</v>
      </c>
      <c r="Q1029" s="521"/>
      <c r="R1029" s="530" t="s">
        <v>411</v>
      </c>
      <c r="S1029" s="530" t="s">
        <v>96</v>
      </c>
      <c r="T1029" s="530" t="s">
        <v>1841</v>
      </c>
      <c r="U1029" s="530"/>
      <c r="V1029" s="532" t="s">
        <v>5723</v>
      </c>
      <c r="W1029" s="532" t="s">
        <v>2591</v>
      </c>
      <c r="X1029" s="536">
        <v>2.1257</v>
      </c>
      <c r="Y1029" s="540">
        <f t="shared" si="403"/>
        <v>2091.6888</v>
      </c>
      <c r="Z1029" s="521"/>
      <c r="AA1029" s="521" t="s">
        <v>3464</v>
      </c>
      <c r="AB1029" s="521" t="s">
        <v>76</v>
      </c>
      <c r="AC1029" s="521"/>
      <c r="AD1029" s="519"/>
      <c r="AE1029" s="519">
        <v>1</v>
      </c>
      <c r="AF1029" s="521">
        <v>984</v>
      </c>
      <c r="AG1029" s="521">
        <f t="shared" si="404"/>
        <v>0</v>
      </c>
      <c r="AH1029" s="542"/>
      <c r="AI1029" s="521" t="s">
        <v>2191</v>
      </c>
      <c r="AJ1029" s="521"/>
      <c r="AK1029" s="521"/>
      <c r="AL1029" s="543">
        <f>I1029*2</f>
        <v>1968</v>
      </c>
      <c r="AM1029" s="628"/>
      <c r="AN1029" s="628"/>
      <c r="AO1029" s="630"/>
      <c r="AP1029" s="427"/>
      <c r="AQ1029" s="628">
        <f t="shared" si="405"/>
        <v>1968</v>
      </c>
      <c r="AR1029" s="427"/>
      <c r="AS1029" s="543">
        <f>I1029*2</f>
        <v>1968</v>
      </c>
      <c r="AT1029" s="544"/>
      <c r="AU1029" s="628"/>
      <c r="AV1029" s="628"/>
      <c r="AW1029" s="628"/>
      <c r="AX1029" s="628"/>
      <c r="AY1029" s="545">
        <f>I1029/24*2</f>
        <v>82</v>
      </c>
      <c r="AZ1029" s="546"/>
      <c r="BA1029" s="628"/>
      <c r="BB1029" s="628"/>
      <c r="BC1029" s="628"/>
      <c r="BD1029" s="628"/>
      <c r="BE1029" s="628"/>
      <c r="BF1029" s="628"/>
      <c r="BG1029" s="628"/>
      <c r="BH1029" s="628"/>
      <c r="BI1029" s="628"/>
      <c r="BJ1029" s="628"/>
      <c r="BK1029" s="427"/>
      <c r="BL1029" s="628"/>
      <c r="BM1029" s="628"/>
      <c r="BN1029" s="628"/>
      <c r="BO1029" s="628"/>
      <c r="BP1029" s="628"/>
      <c r="BQ1029" s="628"/>
      <c r="BR1029" s="628"/>
      <c r="BS1029" s="628"/>
      <c r="BT1029" s="544"/>
      <c r="BU1029" s="628"/>
      <c r="BV1029" s="544"/>
      <c r="BW1029" s="628"/>
      <c r="BX1029" s="628"/>
      <c r="BY1029" s="628"/>
      <c r="BZ1029" s="628"/>
      <c r="CA1029" s="628"/>
      <c r="CB1029" s="628"/>
      <c r="CC1029" s="628"/>
      <c r="CD1029" s="628"/>
      <c r="CE1029" s="628"/>
      <c r="CF1029" s="628"/>
      <c r="CG1029" s="628"/>
      <c r="CH1029" s="628">
        <f>I1029</f>
        <v>984</v>
      </c>
      <c r="CI1029" s="628">
        <f>I1029</f>
        <v>984</v>
      </c>
      <c r="CJ1029" s="628">
        <f>I1029</f>
        <v>984</v>
      </c>
      <c r="CK1029" s="427">
        <f t="shared" si="406"/>
        <v>0</v>
      </c>
      <c r="CL1029" s="427">
        <f t="shared" si="407"/>
        <v>0</v>
      </c>
      <c r="CM1029" s="427">
        <f t="shared" si="408"/>
        <v>0</v>
      </c>
      <c r="CN1029" s="544"/>
      <c r="CO1029" s="544"/>
      <c r="CP1029" s="544"/>
      <c r="CT1029" s="544"/>
      <c r="CU1029" s="544"/>
      <c r="CV1029" s="544"/>
      <c r="CW1029" s="544"/>
      <c r="CX1029" s="544"/>
    </row>
    <row r="1030" s="431" customFormat="1" ht="31" customHeight="1" spans="1:102">
      <c r="A1030" s="518">
        <v>45995</v>
      </c>
      <c r="B1030" s="519" t="s">
        <v>122</v>
      </c>
      <c r="C1030" s="520" t="s">
        <v>116</v>
      </c>
      <c r="D1030" s="427">
        <v>4500187429</v>
      </c>
      <c r="E1030" s="520">
        <v>21304827</v>
      </c>
      <c r="F1030" s="427" t="s">
        <v>5724</v>
      </c>
      <c r="G1030" s="521" t="s">
        <v>3206</v>
      </c>
      <c r="H1030" s="521" t="s">
        <v>3207</v>
      </c>
      <c r="I1030" s="607">
        <v>3965</v>
      </c>
      <c r="J1030" s="521">
        <v>0</v>
      </c>
      <c r="K1030" s="521">
        <v>13</v>
      </c>
      <c r="L1030" s="524">
        <f t="shared" si="384"/>
        <v>305</v>
      </c>
      <c r="M1030" s="525">
        <v>46048</v>
      </c>
      <c r="N1030" s="525">
        <v>46044</v>
      </c>
      <c r="O1030" s="521"/>
      <c r="P1030" s="526" t="s">
        <v>103</v>
      </c>
      <c r="Q1030" s="521"/>
      <c r="R1030" s="530">
        <v>46017</v>
      </c>
      <c r="S1030" s="530" t="s">
        <v>96</v>
      </c>
      <c r="T1030" s="530" t="s">
        <v>4660</v>
      </c>
      <c r="U1030" s="530"/>
      <c r="V1030" s="532" t="s">
        <v>5725</v>
      </c>
      <c r="W1030" s="532" t="s">
        <v>121</v>
      </c>
      <c r="X1030" s="536">
        <v>0.9475</v>
      </c>
      <c r="Y1030" s="540">
        <f t="shared" si="403"/>
        <v>3756.8375</v>
      </c>
      <c r="Z1030" s="521"/>
      <c r="AA1030" s="521" t="s">
        <v>3206</v>
      </c>
      <c r="AB1030" s="521" t="s">
        <v>76</v>
      </c>
      <c r="AC1030" s="521"/>
      <c r="AD1030" s="519"/>
      <c r="AE1030" s="519">
        <v>1</v>
      </c>
      <c r="AF1030" s="521">
        <v>3965</v>
      </c>
      <c r="AG1030" s="521">
        <f t="shared" si="404"/>
        <v>0</v>
      </c>
      <c r="AH1030" s="542"/>
      <c r="AI1030" s="521" t="s">
        <v>2191</v>
      </c>
      <c r="AJ1030" s="521"/>
      <c r="AK1030" s="521"/>
      <c r="AL1030" s="543">
        <f>I1030</f>
        <v>3965</v>
      </c>
      <c r="AM1030" s="628"/>
      <c r="AN1030" s="628"/>
      <c r="AO1030" s="630"/>
      <c r="AP1030" s="427"/>
      <c r="AQ1030" s="628">
        <f t="shared" si="405"/>
        <v>7930</v>
      </c>
      <c r="AR1030" s="427"/>
      <c r="AS1030" s="543">
        <f>I1030*2</f>
        <v>7930</v>
      </c>
      <c r="AT1030" s="544"/>
      <c r="AU1030" s="628"/>
      <c r="AV1030" s="628"/>
      <c r="AW1030" s="628"/>
      <c r="AX1030" s="628"/>
      <c r="AY1030" s="545">
        <f>I1030/24</f>
        <v>165.208333333333</v>
      </c>
      <c r="AZ1030" s="546"/>
      <c r="BA1030" s="628"/>
      <c r="BB1030" s="628"/>
      <c r="BC1030" s="628"/>
      <c r="BD1030" s="628"/>
      <c r="BE1030" s="628"/>
      <c r="BF1030" s="628"/>
      <c r="BG1030" s="628"/>
      <c r="BH1030" s="628"/>
      <c r="BI1030" s="628">
        <f>I1030/13</f>
        <v>305</v>
      </c>
      <c r="BJ1030" s="628"/>
      <c r="BK1030" s="427"/>
      <c r="BL1030" s="628"/>
      <c r="BM1030" s="628"/>
      <c r="BN1030" s="628"/>
      <c r="BO1030" s="628"/>
      <c r="BP1030" s="628"/>
      <c r="BQ1030" s="628"/>
      <c r="BR1030" s="628"/>
      <c r="BS1030" s="628"/>
      <c r="BT1030" s="544"/>
      <c r="BU1030" s="628"/>
      <c r="BV1030" s="544"/>
      <c r="BW1030" s="628"/>
      <c r="BX1030" s="628"/>
      <c r="BY1030" s="628"/>
      <c r="BZ1030" s="628"/>
      <c r="CA1030" s="628"/>
      <c r="CB1030" s="628"/>
      <c r="CC1030" s="628"/>
      <c r="CD1030" s="628"/>
      <c r="CE1030" s="628"/>
      <c r="CF1030" s="628"/>
      <c r="CG1030" s="628"/>
      <c r="CH1030" s="628"/>
      <c r="CI1030" s="628"/>
      <c r="CJ1030" s="628"/>
      <c r="CK1030" s="427">
        <f t="shared" si="406"/>
        <v>0</v>
      </c>
      <c r="CL1030" s="427">
        <f t="shared" si="407"/>
        <v>0</v>
      </c>
      <c r="CM1030" s="427">
        <f t="shared" si="408"/>
        <v>0</v>
      </c>
      <c r="CN1030" s="544"/>
      <c r="CO1030" s="544"/>
      <c r="CP1030" s="544"/>
      <c r="CT1030" s="544"/>
      <c r="CU1030" s="544"/>
      <c r="CV1030" s="544"/>
      <c r="CW1030" s="544"/>
      <c r="CX1030" s="544"/>
    </row>
    <row r="1031" s="431" customFormat="1" ht="31" customHeight="1" spans="1:102">
      <c r="A1031" s="518">
        <v>46001</v>
      </c>
      <c r="B1031" s="519" t="s">
        <v>2393</v>
      </c>
      <c r="C1031" s="520" t="s">
        <v>90</v>
      </c>
      <c r="D1031" s="427">
        <v>4500188598</v>
      </c>
      <c r="E1031" s="520">
        <v>40799204</v>
      </c>
      <c r="F1031" s="427" t="s">
        <v>5726</v>
      </c>
      <c r="G1031" s="521" t="s">
        <v>3198</v>
      </c>
      <c r="H1031" s="521" t="s">
        <v>3303</v>
      </c>
      <c r="I1031" s="607">
        <v>1925</v>
      </c>
      <c r="J1031" s="521">
        <v>0</v>
      </c>
      <c r="K1031" s="521">
        <v>25</v>
      </c>
      <c r="L1031" s="524">
        <f t="shared" si="384"/>
        <v>77</v>
      </c>
      <c r="M1031" s="525">
        <v>46048</v>
      </c>
      <c r="N1031" s="525">
        <v>46044</v>
      </c>
      <c r="O1031" s="521" t="s">
        <v>5564</v>
      </c>
      <c r="P1031" s="526" t="s">
        <v>103</v>
      </c>
      <c r="Q1031" s="521"/>
      <c r="R1031" s="530">
        <v>46001</v>
      </c>
      <c r="S1031" s="530" t="s">
        <v>96</v>
      </c>
      <c r="T1031" s="530" t="s">
        <v>5565</v>
      </c>
      <c r="U1031" s="530"/>
      <c r="V1031" s="532" t="s">
        <v>5551</v>
      </c>
      <c r="W1031" s="532" t="s">
        <v>242</v>
      </c>
      <c r="X1031" s="536">
        <v>0.5927</v>
      </c>
      <c r="Y1031" s="540">
        <f t="shared" si="403"/>
        <v>1140.9475</v>
      </c>
      <c r="Z1031" s="521"/>
      <c r="AA1031" s="521" t="s">
        <v>3202</v>
      </c>
      <c r="AB1031" s="521" t="s">
        <v>76</v>
      </c>
      <c r="AC1031" s="521"/>
      <c r="AD1031" s="519"/>
      <c r="AE1031" s="519">
        <v>1</v>
      </c>
      <c r="AF1031" s="521">
        <v>1925</v>
      </c>
      <c r="AG1031" s="521">
        <f t="shared" si="404"/>
        <v>0</v>
      </c>
      <c r="AH1031" s="542"/>
      <c r="AI1031" s="521" t="s">
        <v>2191</v>
      </c>
      <c r="AJ1031" s="521"/>
      <c r="AK1031" s="521">
        <f>I1031</f>
        <v>1925</v>
      </c>
      <c r="AL1031" s="543"/>
      <c r="AM1031" s="628"/>
      <c r="AN1031" s="628"/>
      <c r="AO1031" s="630"/>
      <c r="AP1031" s="427">
        <f>I1031</f>
        <v>1925</v>
      </c>
      <c r="AQ1031" s="628"/>
      <c r="AR1031" s="427">
        <f>I1031</f>
        <v>1925</v>
      </c>
      <c r="AS1031" s="543"/>
      <c r="AT1031" s="544"/>
      <c r="AU1031" s="628"/>
      <c r="AV1031" s="628"/>
      <c r="AW1031" s="628"/>
      <c r="AX1031" s="628"/>
      <c r="AY1031" s="545">
        <f>I1031/24</f>
        <v>80.2083333333333</v>
      </c>
      <c r="AZ1031" s="546"/>
      <c r="BA1031" s="628"/>
      <c r="BB1031" s="628"/>
      <c r="BC1031" s="628"/>
      <c r="BD1031" s="628"/>
      <c r="BE1031" s="628"/>
      <c r="BF1031" s="628"/>
      <c r="BG1031" s="628"/>
      <c r="BH1031" s="628"/>
      <c r="BI1031" s="628"/>
      <c r="BJ1031" s="628"/>
      <c r="BK1031" s="427">
        <f>I1031/25</f>
        <v>77</v>
      </c>
      <c r="BL1031" s="628"/>
      <c r="BM1031" s="628"/>
      <c r="BN1031" s="628"/>
      <c r="BO1031" s="628"/>
      <c r="BP1031" s="628"/>
      <c r="BQ1031" s="628"/>
      <c r="BR1031" s="628"/>
      <c r="BS1031" s="628"/>
      <c r="BT1031" s="544"/>
      <c r="BU1031" s="628"/>
      <c r="BV1031" s="544"/>
      <c r="BW1031" s="628"/>
      <c r="BX1031" s="628"/>
      <c r="BY1031" s="628"/>
      <c r="BZ1031" s="628"/>
      <c r="CA1031" s="628"/>
      <c r="CB1031" s="628"/>
      <c r="CC1031" s="628"/>
      <c r="CD1031" s="628"/>
      <c r="CE1031" s="628"/>
      <c r="CF1031" s="628"/>
      <c r="CG1031" s="628"/>
      <c r="CH1031" s="628"/>
      <c r="CI1031" s="628"/>
      <c r="CJ1031" s="628"/>
      <c r="CK1031" s="427">
        <f t="shared" si="406"/>
        <v>77</v>
      </c>
      <c r="CL1031" s="427">
        <f t="shared" si="407"/>
        <v>0</v>
      </c>
      <c r="CM1031" s="427">
        <f t="shared" si="408"/>
        <v>0</v>
      </c>
      <c r="CN1031" s="544"/>
      <c r="CO1031" s="544"/>
      <c r="CP1031" s="544"/>
      <c r="CT1031" s="544"/>
      <c r="CU1031" s="544"/>
      <c r="CV1031" s="544"/>
      <c r="CW1031" s="544"/>
      <c r="CX1031" s="544"/>
    </row>
    <row r="1032" s="431" customFormat="1" ht="31" customHeight="1" spans="1:102">
      <c r="A1032" s="518">
        <v>46001</v>
      </c>
      <c r="B1032" s="519" t="s">
        <v>2393</v>
      </c>
      <c r="C1032" s="520" t="s">
        <v>90</v>
      </c>
      <c r="D1032" s="427">
        <v>4500188599</v>
      </c>
      <c r="E1032" s="520">
        <v>40799198</v>
      </c>
      <c r="F1032" s="427" t="s">
        <v>5727</v>
      </c>
      <c r="G1032" s="521" t="s">
        <v>3198</v>
      </c>
      <c r="H1032" s="521" t="s">
        <v>3303</v>
      </c>
      <c r="I1032" s="607">
        <v>925</v>
      </c>
      <c r="J1032" s="521">
        <v>0</v>
      </c>
      <c r="K1032" s="521">
        <v>25</v>
      </c>
      <c r="L1032" s="524">
        <f t="shared" si="384"/>
        <v>37</v>
      </c>
      <c r="M1032" s="525">
        <v>46048</v>
      </c>
      <c r="N1032" s="525">
        <v>46046</v>
      </c>
      <c r="O1032" s="521" t="s">
        <v>5564</v>
      </c>
      <c r="P1032" s="526" t="s">
        <v>103</v>
      </c>
      <c r="Q1032" s="521"/>
      <c r="R1032" s="530">
        <v>46001</v>
      </c>
      <c r="S1032" s="530" t="s">
        <v>96</v>
      </c>
      <c r="T1032" s="530" t="s">
        <v>5565</v>
      </c>
      <c r="U1032" s="530"/>
      <c r="V1032" s="532" t="s">
        <v>5551</v>
      </c>
      <c r="W1032" s="532" t="s">
        <v>242</v>
      </c>
      <c r="X1032" s="536">
        <v>0.5957</v>
      </c>
      <c r="Y1032" s="540">
        <f t="shared" si="403"/>
        <v>551.0225</v>
      </c>
      <c r="Z1032" s="521"/>
      <c r="AA1032" s="521" t="s">
        <v>3202</v>
      </c>
      <c r="AB1032" s="521" t="s">
        <v>76</v>
      </c>
      <c r="AC1032" s="521"/>
      <c r="AD1032" s="519"/>
      <c r="AE1032" s="519">
        <v>1</v>
      </c>
      <c r="AF1032" s="521">
        <v>925</v>
      </c>
      <c r="AG1032" s="521">
        <f t="shared" si="404"/>
        <v>0</v>
      </c>
      <c r="AH1032" s="542"/>
      <c r="AI1032" s="521" t="s">
        <v>2191</v>
      </c>
      <c r="AJ1032" s="521"/>
      <c r="AK1032" s="521">
        <f>I1032</f>
        <v>925</v>
      </c>
      <c r="AL1032" s="543"/>
      <c r="AM1032" s="628"/>
      <c r="AN1032" s="628"/>
      <c r="AO1032" s="630"/>
      <c r="AP1032" s="427">
        <f>I1032</f>
        <v>925</v>
      </c>
      <c r="AQ1032" s="628"/>
      <c r="AR1032" s="427">
        <f>I1032</f>
        <v>925</v>
      </c>
      <c r="AS1032" s="543"/>
      <c r="AT1032" s="544"/>
      <c r="AU1032" s="628"/>
      <c r="AV1032" s="628"/>
      <c r="AW1032" s="628"/>
      <c r="AX1032" s="628"/>
      <c r="AY1032" s="545">
        <f>I1032/24</f>
        <v>38.5416666666667</v>
      </c>
      <c r="AZ1032" s="546"/>
      <c r="BA1032" s="628"/>
      <c r="BB1032" s="628"/>
      <c r="BC1032" s="628"/>
      <c r="BD1032" s="628"/>
      <c r="BE1032" s="628"/>
      <c r="BF1032" s="628"/>
      <c r="BG1032" s="628"/>
      <c r="BH1032" s="628"/>
      <c r="BI1032" s="628"/>
      <c r="BJ1032" s="628"/>
      <c r="BK1032" s="427">
        <f>I1032/25</f>
        <v>37</v>
      </c>
      <c r="BL1032" s="628"/>
      <c r="BM1032" s="628"/>
      <c r="BN1032" s="628"/>
      <c r="BO1032" s="628"/>
      <c r="BP1032" s="628"/>
      <c r="BQ1032" s="628"/>
      <c r="BR1032" s="628"/>
      <c r="BS1032" s="628"/>
      <c r="BT1032" s="544"/>
      <c r="BU1032" s="628"/>
      <c r="BV1032" s="544"/>
      <c r="BW1032" s="628"/>
      <c r="BX1032" s="628"/>
      <c r="BY1032" s="628"/>
      <c r="BZ1032" s="628"/>
      <c r="CA1032" s="628"/>
      <c r="CB1032" s="628"/>
      <c r="CC1032" s="628"/>
      <c r="CD1032" s="628"/>
      <c r="CE1032" s="628"/>
      <c r="CF1032" s="628"/>
      <c r="CG1032" s="628"/>
      <c r="CH1032" s="628"/>
      <c r="CI1032" s="628"/>
      <c r="CJ1032" s="628"/>
      <c r="CK1032" s="427">
        <f t="shared" si="406"/>
        <v>37</v>
      </c>
      <c r="CL1032" s="427">
        <f t="shared" si="407"/>
        <v>0</v>
      </c>
      <c r="CM1032" s="427">
        <f t="shared" si="408"/>
        <v>0</v>
      </c>
      <c r="CN1032" s="544"/>
      <c r="CO1032" s="544"/>
      <c r="CP1032" s="544"/>
      <c r="CT1032" s="544"/>
      <c r="CU1032" s="544"/>
      <c r="CV1032" s="544"/>
      <c r="CW1032" s="544"/>
      <c r="CX1032" s="544"/>
    </row>
    <row r="1033" s="431" customFormat="1" ht="31" customHeight="1" spans="1:102">
      <c r="A1033" s="518">
        <v>46001</v>
      </c>
      <c r="B1033" s="519" t="s">
        <v>2393</v>
      </c>
      <c r="C1033" s="520" t="s">
        <v>90</v>
      </c>
      <c r="D1033" s="427">
        <v>4500188600</v>
      </c>
      <c r="E1033" s="520">
        <v>40799201</v>
      </c>
      <c r="F1033" s="427" t="s">
        <v>5728</v>
      </c>
      <c r="G1033" s="521" t="s">
        <v>3198</v>
      </c>
      <c r="H1033" s="521" t="s">
        <v>3303</v>
      </c>
      <c r="I1033" s="607">
        <v>2025</v>
      </c>
      <c r="J1033" s="521">
        <v>0</v>
      </c>
      <c r="K1033" s="521">
        <v>25</v>
      </c>
      <c r="L1033" s="524">
        <f t="shared" si="384"/>
        <v>81</v>
      </c>
      <c r="M1033" s="525">
        <v>46048</v>
      </c>
      <c r="N1033" s="525">
        <v>46044</v>
      </c>
      <c r="O1033" s="521" t="s">
        <v>5564</v>
      </c>
      <c r="P1033" s="526" t="s">
        <v>103</v>
      </c>
      <c r="Q1033" s="521"/>
      <c r="R1033" s="530">
        <v>46001</v>
      </c>
      <c r="S1033" s="530" t="s">
        <v>96</v>
      </c>
      <c r="T1033" s="530" t="s">
        <v>5565</v>
      </c>
      <c r="U1033" s="530"/>
      <c r="V1033" s="532" t="s">
        <v>5729</v>
      </c>
      <c r="W1033" s="532" t="s">
        <v>242</v>
      </c>
      <c r="X1033" s="536">
        <v>0.5927</v>
      </c>
      <c r="Y1033" s="540">
        <f t="shared" si="403"/>
        <v>1200.2175</v>
      </c>
      <c r="Z1033" s="521"/>
      <c r="AA1033" s="521" t="s">
        <v>3202</v>
      </c>
      <c r="AB1033" s="521" t="s">
        <v>76</v>
      </c>
      <c r="AC1033" s="521"/>
      <c r="AD1033" s="519"/>
      <c r="AE1033" s="519">
        <v>1</v>
      </c>
      <c r="AF1033" s="521">
        <v>2025</v>
      </c>
      <c r="AG1033" s="521">
        <f t="shared" si="404"/>
        <v>0</v>
      </c>
      <c r="AH1033" s="542"/>
      <c r="AI1033" s="521" t="s">
        <v>2191</v>
      </c>
      <c r="AJ1033" s="521"/>
      <c r="AK1033" s="521">
        <f>I1033</f>
        <v>2025</v>
      </c>
      <c r="AL1033" s="543"/>
      <c r="AM1033" s="628"/>
      <c r="AN1033" s="628"/>
      <c r="AO1033" s="630"/>
      <c r="AP1033" s="427">
        <f>I1033</f>
        <v>2025</v>
      </c>
      <c r="AQ1033" s="628"/>
      <c r="AR1033" s="427">
        <f>I1033</f>
        <v>2025</v>
      </c>
      <c r="AS1033" s="543"/>
      <c r="AT1033" s="544"/>
      <c r="AU1033" s="628"/>
      <c r="AV1033" s="628"/>
      <c r="AW1033" s="628"/>
      <c r="AX1033" s="628"/>
      <c r="AY1033" s="545"/>
      <c r="AZ1033" s="546"/>
      <c r="BA1033" s="628"/>
      <c r="BB1033" s="628"/>
      <c r="BC1033" s="628"/>
      <c r="BD1033" s="628"/>
      <c r="BE1033" s="628"/>
      <c r="BF1033" s="628"/>
      <c r="BG1033" s="628"/>
      <c r="BH1033" s="628"/>
      <c r="BI1033" s="628"/>
      <c r="BJ1033" s="628"/>
      <c r="BK1033" s="427">
        <f>I1033/25</f>
        <v>81</v>
      </c>
      <c r="BL1033" s="628"/>
      <c r="BM1033" s="628"/>
      <c r="BN1033" s="628"/>
      <c r="BO1033" s="628"/>
      <c r="BP1033" s="628"/>
      <c r="BQ1033" s="628"/>
      <c r="BR1033" s="628"/>
      <c r="BS1033" s="628"/>
      <c r="BT1033" s="544"/>
      <c r="BU1033" s="628"/>
      <c r="BV1033" s="544"/>
      <c r="BW1033" s="628"/>
      <c r="BX1033" s="628"/>
      <c r="BY1033" s="628"/>
      <c r="BZ1033" s="628"/>
      <c r="CA1033" s="628"/>
      <c r="CB1033" s="628"/>
      <c r="CC1033" s="628"/>
      <c r="CD1033" s="628"/>
      <c r="CE1033" s="628"/>
      <c r="CF1033" s="628"/>
      <c r="CG1033" s="628"/>
      <c r="CH1033" s="628"/>
      <c r="CI1033" s="628"/>
      <c r="CJ1033" s="628"/>
      <c r="CK1033" s="427">
        <f t="shared" si="406"/>
        <v>81</v>
      </c>
      <c r="CL1033" s="427">
        <f t="shared" si="407"/>
        <v>0</v>
      </c>
      <c r="CM1033" s="427">
        <f t="shared" si="408"/>
        <v>0</v>
      </c>
      <c r="CN1033" s="544"/>
      <c r="CO1033" s="544"/>
      <c r="CP1033" s="544"/>
      <c r="CT1033" s="544"/>
      <c r="CU1033" s="544"/>
      <c r="CV1033" s="544"/>
      <c r="CW1033" s="544"/>
      <c r="CX1033" s="544"/>
    </row>
    <row r="1034" s="431" customFormat="1" ht="31" customHeight="1" spans="1:102">
      <c r="A1034" s="518">
        <v>46003</v>
      </c>
      <c r="B1034" s="519" t="s">
        <v>122</v>
      </c>
      <c r="C1034" s="520" t="s">
        <v>116</v>
      </c>
      <c r="D1034" s="427">
        <v>4500188871</v>
      </c>
      <c r="E1034" s="520">
        <v>21320116</v>
      </c>
      <c r="F1034" s="427" t="s">
        <v>5730</v>
      </c>
      <c r="G1034" s="521" t="s">
        <v>3206</v>
      </c>
      <c r="H1034" s="521" t="s">
        <v>3207</v>
      </c>
      <c r="I1034" s="607">
        <v>4407</v>
      </c>
      <c r="J1034" s="521">
        <v>0</v>
      </c>
      <c r="K1034" s="521">
        <v>13</v>
      </c>
      <c r="L1034" s="524">
        <f t="shared" si="384"/>
        <v>339</v>
      </c>
      <c r="M1034" s="525">
        <v>46048</v>
      </c>
      <c r="N1034" s="525">
        <v>46044</v>
      </c>
      <c r="O1034" s="521"/>
      <c r="P1034" s="526" t="s">
        <v>103</v>
      </c>
      <c r="Q1034" s="521"/>
      <c r="R1034" s="530">
        <v>46017</v>
      </c>
      <c r="S1034" s="530" t="s">
        <v>96</v>
      </c>
      <c r="T1034" s="530" t="s">
        <v>5731</v>
      </c>
      <c r="U1034" s="530"/>
      <c r="V1034" s="532" t="s">
        <v>5732</v>
      </c>
      <c r="W1034" s="532" t="s">
        <v>2893</v>
      </c>
      <c r="X1034" s="536">
        <v>0.9475</v>
      </c>
      <c r="Y1034" s="540">
        <f t="shared" si="403"/>
        <v>4175.6325</v>
      </c>
      <c r="Z1034" s="521"/>
      <c r="AA1034" s="521" t="s">
        <v>3206</v>
      </c>
      <c r="AB1034" s="521" t="s">
        <v>76</v>
      </c>
      <c r="AC1034" s="521"/>
      <c r="AD1034" s="519"/>
      <c r="AE1034" s="519">
        <v>1</v>
      </c>
      <c r="AF1034" s="521">
        <v>4407</v>
      </c>
      <c r="AG1034" s="521">
        <f t="shared" si="404"/>
        <v>0</v>
      </c>
      <c r="AH1034" s="542"/>
      <c r="AI1034" s="521" t="s">
        <v>2191</v>
      </c>
      <c r="AJ1034" s="521"/>
      <c r="AK1034" s="521"/>
      <c r="AL1034" s="543">
        <f>I1034</f>
        <v>4407</v>
      </c>
      <c r="AM1034" s="628"/>
      <c r="AN1034" s="628"/>
      <c r="AO1034" s="630"/>
      <c r="AP1034" s="427"/>
      <c r="AQ1034" s="628">
        <f>I1034*2</f>
        <v>8814</v>
      </c>
      <c r="AR1034" s="427"/>
      <c r="AS1034" s="543">
        <f>I1034*2</f>
        <v>8814</v>
      </c>
      <c r="AT1034" s="544"/>
      <c r="AU1034" s="628"/>
      <c r="AV1034" s="628"/>
      <c r="AW1034" s="628"/>
      <c r="AX1034" s="628"/>
      <c r="AY1034" s="545">
        <f>I1034/24</f>
        <v>183.625</v>
      </c>
      <c r="AZ1034" s="546"/>
      <c r="BA1034" s="628"/>
      <c r="BB1034" s="628"/>
      <c r="BC1034" s="628"/>
      <c r="BD1034" s="628"/>
      <c r="BE1034" s="628"/>
      <c r="BF1034" s="628"/>
      <c r="BG1034" s="628"/>
      <c r="BH1034" s="628"/>
      <c r="BI1034" s="628">
        <f>I1034/13</f>
        <v>339</v>
      </c>
      <c r="BJ1034" s="628"/>
      <c r="BK1034" s="427"/>
      <c r="BL1034" s="628"/>
      <c r="BM1034" s="628"/>
      <c r="BN1034" s="628"/>
      <c r="BO1034" s="628"/>
      <c r="BP1034" s="628"/>
      <c r="BQ1034" s="628"/>
      <c r="BR1034" s="628"/>
      <c r="BS1034" s="628"/>
      <c r="BT1034" s="544"/>
      <c r="BU1034" s="628"/>
      <c r="BV1034" s="544"/>
      <c r="BW1034" s="628"/>
      <c r="BX1034" s="628"/>
      <c r="BY1034" s="628"/>
      <c r="BZ1034" s="628"/>
      <c r="CA1034" s="628"/>
      <c r="CB1034" s="628"/>
      <c r="CC1034" s="628"/>
      <c r="CD1034" s="628"/>
      <c r="CE1034" s="628"/>
      <c r="CF1034" s="628"/>
      <c r="CG1034" s="628"/>
      <c r="CH1034" s="628"/>
      <c r="CI1034" s="628"/>
      <c r="CJ1034" s="628"/>
      <c r="CK1034" s="427">
        <f t="shared" si="406"/>
        <v>0</v>
      </c>
      <c r="CL1034" s="427">
        <f t="shared" si="407"/>
        <v>0</v>
      </c>
      <c r="CM1034" s="427">
        <f t="shared" si="408"/>
        <v>0</v>
      </c>
      <c r="CN1034" s="544"/>
      <c r="CO1034" s="544"/>
      <c r="CP1034" s="544"/>
      <c r="CT1034" s="544"/>
      <c r="CU1034" s="544"/>
      <c r="CV1034" s="544"/>
      <c r="CW1034" s="544"/>
      <c r="CX1034" s="544"/>
    </row>
    <row r="1035" s="431" customFormat="1" ht="31" customHeight="1" spans="1:102">
      <c r="A1035" s="518">
        <v>46003</v>
      </c>
      <c r="B1035" s="519" t="s">
        <v>125</v>
      </c>
      <c r="C1035" s="520" t="s">
        <v>71</v>
      </c>
      <c r="D1035" s="427">
        <v>4500188875</v>
      </c>
      <c r="E1035" s="520">
        <v>21320117</v>
      </c>
      <c r="F1035" s="427" t="s">
        <v>5733</v>
      </c>
      <c r="G1035" s="521" t="s">
        <v>3206</v>
      </c>
      <c r="H1035" s="521" t="s">
        <v>3207</v>
      </c>
      <c r="I1035" s="607">
        <v>52</v>
      </c>
      <c r="J1035" s="521">
        <v>0</v>
      </c>
      <c r="K1035" s="521">
        <v>13</v>
      </c>
      <c r="L1035" s="524">
        <f t="shared" si="384"/>
        <v>4</v>
      </c>
      <c r="M1035" s="525">
        <v>46048</v>
      </c>
      <c r="N1035" s="525">
        <v>46044</v>
      </c>
      <c r="O1035" s="521"/>
      <c r="P1035" s="526" t="s">
        <v>103</v>
      </c>
      <c r="Q1035" s="521"/>
      <c r="R1035" s="530">
        <v>46017</v>
      </c>
      <c r="S1035" s="530" t="s">
        <v>96</v>
      </c>
      <c r="T1035" s="530" t="s">
        <v>5731</v>
      </c>
      <c r="U1035" s="530"/>
      <c r="V1035" s="532" t="s">
        <v>5734</v>
      </c>
      <c r="W1035" s="532" t="s">
        <v>2893</v>
      </c>
      <c r="X1035" s="536">
        <v>0.9526</v>
      </c>
      <c r="Y1035" s="540">
        <f t="shared" si="403"/>
        <v>49.5352</v>
      </c>
      <c r="Z1035" s="521"/>
      <c r="AA1035" s="521" t="s">
        <v>3206</v>
      </c>
      <c r="AB1035" s="521" t="s">
        <v>76</v>
      </c>
      <c r="AC1035" s="521"/>
      <c r="AD1035" s="519"/>
      <c r="AE1035" s="519">
        <v>1</v>
      </c>
      <c r="AF1035" s="521">
        <v>52</v>
      </c>
      <c r="AG1035" s="521">
        <f t="shared" si="404"/>
        <v>0</v>
      </c>
      <c r="AH1035" s="542"/>
      <c r="AI1035" s="521" t="s">
        <v>2191</v>
      </c>
      <c r="AJ1035" s="521"/>
      <c r="AK1035" s="521"/>
      <c r="AL1035" s="543">
        <f>I1035</f>
        <v>52</v>
      </c>
      <c r="AM1035" s="628"/>
      <c r="AN1035" s="628"/>
      <c r="AO1035" s="630"/>
      <c r="AP1035" s="427"/>
      <c r="AQ1035" s="628">
        <f>I1035*2</f>
        <v>104</v>
      </c>
      <c r="AR1035" s="427"/>
      <c r="AS1035" s="543">
        <f>I1035*2</f>
        <v>104</v>
      </c>
      <c r="AT1035" s="544"/>
      <c r="AU1035" s="628"/>
      <c r="AV1035" s="628"/>
      <c r="AW1035" s="628"/>
      <c r="AX1035" s="628"/>
      <c r="AY1035" s="545">
        <f>I1035/24</f>
        <v>2.16666666666667</v>
      </c>
      <c r="AZ1035" s="546"/>
      <c r="BA1035" s="628"/>
      <c r="BB1035" s="628"/>
      <c r="BC1035" s="628"/>
      <c r="BD1035" s="628"/>
      <c r="BE1035" s="628"/>
      <c r="BF1035" s="628"/>
      <c r="BG1035" s="628"/>
      <c r="BH1035" s="628"/>
      <c r="BI1035" s="628">
        <f>I1035/13</f>
        <v>4</v>
      </c>
      <c r="BJ1035" s="628"/>
      <c r="BK1035" s="427"/>
      <c r="BL1035" s="628"/>
      <c r="BM1035" s="628"/>
      <c r="BN1035" s="628"/>
      <c r="BO1035" s="628"/>
      <c r="BP1035" s="628"/>
      <c r="BQ1035" s="628"/>
      <c r="BR1035" s="628"/>
      <c r="BS1035" s="628"/>
      <c r="BT1035" s="544"/>
      <c r="BU1035" s="628"/>
      <c r="BV1035" s="544"/>
      <c r="BW1035" s="628"/>
      <c r="BX1035" s="628"/>
      <c r="BY1035" s="628"/>
      <c r="BZ1035" s="628"/>
      <c r="CA1035" s="628"/>
      <c r="CB1035" s="628"/>
      <c r="CC1035" s="628"/>
      <c r="CD1035" s="628"/>
      <c r="CE1035" s="628"/>
      <c r="CF1035" s="628"/>
      <c r="CG1035" s="628"/>
      <c r="CH1035" s="628"/>
      <c r="CI1035" s="628"/>
      <c r="CJ1035" s="628"/>
      <c r="CK1035" s="427">
        <f t="shared" si="406"/>
        <v>0</v>
      </c>
      <c r="CL1035" s="427">
        <f t="shared" si="407"/>
        <v>0</v>
      </c>
      <c r="CM1035" s="427">
        <f t="shared" si="408"/>
        <v>0</v>
      </c>
      <c r="CN1035" s="544"/>
      <c r="CO1035" s="544"/>
      <c r="CP1035" s="544"/>
      <c r="CT1035" s="544"/>
      <c r="CU1035" s="544"/>
      <c r="CV1035" s="544"/>
      <c r="CW1035" s="544"/>
      <c r="CX1035" s="544"/>
    </row>
    <row r="1036" s="431" customFormat="1" ht="31" customHeight="1" spans="1:102">
      <c r="A1036" s="518">
        <v>46008</v>
      </c>
      <c r="B1036" s="519" t="s">
        <v>2594</v>
      </c>
      <c r="C1036" s="520" t="s">
        <v>139</v>
      </c>
      <c r="D1036" s="427">
        <v>4500189254</v>
      </c>
      <c r="E1036" s="520" t="s">
        <v>2595</v>
      </c>
      <c r="F1036" s="427" t="s">
        <v>5735</v>
      </c>
      <c r="G1036" s="521" t="s">
        <v>3158</v>
      </c>
      <c r="H1036" s="521" t="s">
        <v>3159</v>
      </c>
      <c r="I1036" s="607">
        <v>2080</v>
      </c>
      <c r="J1036" s="521">
        <v>0</v>
      </c>
      <c r="K1036" s="521">
        <v>52</v>
      </c>
      <c r="L1036" s="524">
        <f t="shared" si="384"/>
        <v>40</v>
      </c>
      <c r="M1036" s="525">
        <v>46048</v>
      </c>
      <c r="N1036" s="525">
        <v>46044</v>
      </c>
      <c r="O1036" s="521"/>
      <c r="P1036" s="526" t="s">
        <v>103</v>
      </c>
      <c r="Q1036" s="521"/>
      <c r="R1036" s="530">
        <v>46016</v>
      </c>
      <c r="S1036" s="530" t="s">
        <v>66</v>
      </c>
      <c r="T1036" s="530" t="s">
        <v>5736</v>
      </c>
      <c r="U1036" s="530"/>
      <c r="V1036" s="532" t="s">
        <v>5737</v>
      </c>
      <c r="W1036" s="532" t="s">
        <v>420</v>
      </c>
      <c r="X1036" s="536">
        <v>0.9129</v>
      </c>
      <c r="Y1036" s="540">
        <f t="shared" si="403"/>
        <v>1898.832</v>
      </c>
      <c r="Z1036" s="521"/>
      <c r="AA1036" s="521" t="s">
        <v>3158</v>
      </c>
      <c r="AB1036" s="521" t="s">
        <v>76</v>
      </c>
      <c r="AC1036" s="521"/>
      <c r="AD1036" s="519"/>
      <c r="AE1036" s="519">
        <v>1</v>
      </c>
      <c r="AF1036" s="521">
        <v>2080</v>
      </c>
      <c r="AG1036" s="521">
        <f t="shared" si="404"/>
        <v>0</v>
      </c>
      <c r="AH1036" s="542"/>
      <c r="AI1036" s="521" t="s">
        <v>2191</v>
      </c>
      <c r="AJ1036" s="521"/>
      <c r="AK1036" s="521"/>
      <c r="AL1036" s="543">
        <f>I1036</f>
        <v>2080</v>
      </c>
      <c r="AM1036" s="628"/>
      <c r="AN1036" s="628"/>
      <c r="AO1036" s="630"/>
      <c r="AP1036" s="427"/>
      <c r="AQ1036" s="628">
        <f>I1036</f>
        <v>2080</v>
      </c>
      <c r="AR1036" s="427"/>
      <c r="AS1036" s="543">
        <f>I1036</f>
        <v>2080</v>
      </c>
      <c r="AT1036" s="544"/>
      <c r="AU1036" s="628"/>
      <c r="AV1036" s="628"/>
      <c r="AW1036" s="628"/>
      <c r="AX1036" s="628"/>
      <c r="AY1036" s="545">
        <f>I1036/24</f>
        <v>86.6666666666667</v>
      </c>
      <c r="AZ1036" s="546"/>
      <c r="BA1036" s="628"/>
      <c r="BB1036" s="628"/>
      <c r="BC1036" s="628"/>
      <c r="BD1036" s="628"/>
      <c r="BE1036" s="628"/>
      <c r="BF1036" s="628"/>
      <c r="BG1036" s="628"/>
      <c r="BH1036" s="628"/>
      <c r="BI1036" s="628">
        <f>I1036/13</f>
        <v>160</v>
      </c>
      <c r="BJ1036" s="628"/>
      <c r="BK1036" s="427"/>
      <c r="BL1036" s="628"/>
      <c r="BM1036" s="628"/>
      <c r="BN1036" s="628"/>
      <c r="BO1036" s="628"/>
      <c r="BP1036" s="628"/>
      <c r="BQ1036" s="628"/>
      <c r="BR1036" s="628"/>
      <c r="BS1036" s="628"/>
      <c r="BT1036" s="544"/>
      <c r="BU1036" s="628"/>
      <c r="BV1036" s="544"/>
      <c r="BW1036" s="628"/>
      <c r="BX1036" s="628"/>
      <c r="BY1036" s="628"/>
      <c r="BZ1036" s="628"/>
      <c r="CA1036" s="628"/>
      <c r="CB1036" s="628"/>
      <c r="CC1036" s="628"/>
      <c r="CD1036" s="628"/>
      <c r="CE1036" s="628"/>
      <c r="CF1036" s="628"/>
      <c r="CG1036" s="628"/>
      <c r="CH1036" s="628"/>
      <c r="CI1036" s="628"/>
      <c r="CJ1036" s="628"/>
      <c r="CK1036" s="427">
        <f t="shared" si="406"/>
        <v>0</v>
      </c>
      <c r="CL1036" s="427">
        <f t="shared" si="407"/>
        <v>0</v>
      </c>
      <c r="CM1036" s="427">
        <f t="shared" si="408"/>
        <v>0</v>
      </c>
      <c r="CN1036" s="544"/>
      <c r="CO1036" s="544"/>
      <c r="CP1036" s="544"/>
      <c r="CT1036" s="544"/>
      <c r="CU1036" s="544"/>
      <c r="CV1036" s="544"/>
      <c r="CW1036" s="544"/>
      <c r="CX1036" s="544"/>
    </row>
    <row r="1037" s="431" customFormat="1" ht="31" customHeight="1" spans="1:102">
      <c r="A1037" s="518">
        <v>46010</v>
      </c>
      <c r="B1037" s="519" t="s">
        <v>1669</v>
      </c>
      <c r="C1037" s="520" t="s">
        <v>663</v>
      </c>
      <c r="D1037" s="427">
        <v>4500185221</v>
      </c>
      <c r="E1037" s="520">
        <v>5000002057</v>
      </c>
      <c r="F1037" s="427" t="s">
        <v>5738</v>
      </c>
      <c r="G1037" s="521" t="s">
        <v>3206</v>
      </c>
      <c r="H1037" s="521" t="s">
        <v>4939</v>
      </c>
      <c r="I1037" s="607">
        <v>5200</v>
      </c>
      <c r="J1037" s="521">
        <v>0</v>
      </c>
      <c r="K1037" s="521">
        <v>13</v>
      </c>
      <c r="L1037" s="524">
        <f t="shared" si="384"/>
        <v>400</v>
      </c>
      <c r="M1037" s="525">
        <v>46048</v>
      </c>
      <c r="N1037" s="525">
        <v>46044</v>
      </c>
      <c r="O1037" s="521"/>
      <c r="P1037" s="526" t="s">
        <v>103</v>
      </c>
      <c r="Q1037" s="521"/>
      <c r="R1037" s="530" t="s">
        <v>4940</v>
      </c>
      <c r="S1037" s="530" t="s">
        <v>96</v>
      </c>
      <c r="T1037" s="530" t="s">
        <v>1573</v>
      </c>
      <c r="U1037" s="530" t="s">
        <v>5622</v>
      </c>
      <c r="V1037" s="532" t="s">
        <v>5685</v>
      </c>
      <c r="W1037" s="532" t="s">
        <v>1674</v>
      </c>
      <c r="X1037" s="536">
        <v>0.8677</v>
      </c>
      <c r="Y1037" s="540">
        <f t="shared" si="403"/>
        <v>4512.04</v>
      </c>
      <c r="Z1037" s="521"/>
      <c r="AA1037" s="521" t="s">
        <v>5467</v>
      </c>
      <c r="AB1037" s="521" t="s">
        <v>76</v>
      </c>
      <c r="AC1037" s="521"/>
      <c r="AD1037" s="519"/>
      <c r="AE1037" s="519">
        <v>1</v>
      </c>
      <c r="AF1037" s="521">
        <f>5161+39</f>
        <v>5200</v>
      </c>
      <c r="AG1037" s="521">
        <f t="shared" si="404"/>
        <v>0</v>
      </c>
      <c r="AH1037" s="542"/>
      <c r="AI1037" s="521" t="s">
        <v>2191</v>
      </c>
      <c r="AJ1037" s="521"/>
      <c r="AK1037" s="521"/>
      <c r="AL1037" s="543">
        <f>I1037</f>
        <v>5200</v>
      </c>
      <c r="AM1037" s="628"/>
      <c r="AN1037" s="628"/>
      <c r="AO1037" s="630"/>
      <c r="AP1037" s="427"/>
      <c r="AQ1037" s="628"/>
      <c r="AR1037" s="427"/>
      <c r="AS1037" s="543"/>
      <c r="AT1037" s="544">
        <f>I1037</f>
        <v>5200</v>
      </c>
      <c r="AU1037" s="628">
        <f>I1037</f>
        <v>5200</v>
      </c>
      <c r="AV1037" s="628"/>
      <c r="AW1037" s="628"/>
      <c r="AX1037" s="628">
        <f>I1037/13</f>
        <v>400</v>
      </c>
      <c r="AY1037" s="545"/>
      <c r="AZ1037" s="546"/>
      <c r="BA1037" s="628"/>
      <c r="BB1037" s="628"/>
      <c r="BC1037" s="628"/>
      <c r="BD1037" s="628"/>
      <c r="BE1037" s="628"/>
      <c r="BF1037" s="628"/>
      <c r="BG1037" s="628"/>
      <c r="BH1037" s="628"/>
      <c r="BI1037" s="628">
        <f>I1037/13</f>
        <v>400</v>
      </c>
      <c r="BJ1037" s="628"/>
      <c r="BK1037" s="427"/>
      <c r="BL1037" s="628"/>
      <c r="BM1037" s="628"/>
      <c r="BN1037" s="628"/>
      <c r="BO1037" s="628"/>
      <c r="BP1037" s="628"/>
      <c r="BQ1037" s="628"/>
      <c r="BR1037" s="628"/>
      <c r="BS1037" s="628"/>
      <c r="BT1037" s="544"/>
      <c r="BU1037" s="628"/>
      <c r="BV1037" s="544"/>
      <c r="BW1037" s="628"/>
      <c r="BX1037" s="628"/>
      <c r="BY1037" s="628"/>
      <c r="BZ1037" s="628"/>
      <c r="CA1037" s="628"/>
      <c r="CB1037" s="628"/>
      <c r="CC1037" s="628"/>
      <c r="CD1037" s="628"/>
      <c r="CE1037" s="628"/>
      <c r="CF1037" s="628"/>
      <c r="CG1037" s="628"/>
      <c r="CH1037" s="628"/>
      <c r="CI1037" s="628"/>
      <c r="CJ1037" s="628"/>
      <c r="CK1037" s="427">
        <f t="shared" si="406"/>
        <v>0</v>
      </c>
      <c r="CL1037" s="427">
        <f t="shared" si="407"/>
        <v>0</v>
      </c>
      <c r="CM1037" s="427">
        <f t="shared" si="408"/>
        <v>0</v>
      </c>
      <c r="CN1037" s="544"/>
      <c r="CO1037" s="544"/>
      <c r="CP1037" s="544"/>
      <c r="CT1037" s="544"/>
      <c r="CU1037" s="544"/>
      <c r="CV1037" s="544"/>
      <c r="CW1037" s="544"/>
      <c r="CX1037" s="544"/>
    </row>
    <row r="1038" s="431" customFormat="1" ht="31" customHeight="1" spans="1:102">
      <c r="A1038" s="518">
        <v>46016</v>
      </c>
      <c r="B1038" s="519" t="s">
        <v>4029</v>
      </c>
      <c r="C1038" s="520" t="s">
        <v>468</v>
      </c>
      <c r="D1038" s="427">
        <v>4500189841</v>
      </c>
      <c r="E1038" s="520" t="s">
        <v>5739</v>
      </c>
      <c r="F1038" s="427" t="s">
        <v>5740</v>
      </c>
      <c r="G1038" s="521" t="s">
        <v>4962</v>
      </c>
      <c r="H1038" s="521" t="s">
        <v>3237</v>
      </c>
      <c r="I1038" s="607">
        <v>252</v>
      </c>
      <c r="J1038" s="521">
        <v>0</v>
      </c>
      <c r="K1038" s="521">
        <v>12</v>
      </c>
      <c r="L1038" s="524">
        <f t="shared" si="384"/>
        <v>21</v>
      </c>
      <c r="M1038" s="525">
        <v>46048</v>
      </c>
      <c r="N1038" s="525">
        <v>46044</v>
      </c>
      <c r="O1038" s="521"/>
      <c r="P1038" s="526" t="s">
        <v>103</v>
      </c>
      <c r="Q1038" s="521"/>
      <c r="R1038" s="530" t="s">
        <v>5741</v>
      </c>
      <c r="S1038" s="530" t="s">
        <v>96</v>
      </c>
      <c r="T1038" s="530" t="s">
        <v>5742</v>
      </c>
      <c r="U1038" s="530"/>
      <c r="V1038" s="532" t="s">
        <v>5743</v>
      </c>
      <c r="W1038" s="532" t="s">
        <v>5744</v>
      </c>
      <c r="X1038" s="536">
        <v>2.2418</v>
      </c>
      <c r="Y1038" s="540">
        <f t="shared" si="403"/>
        <v>564.9336</v>
      </c>
      <c r="Z1038" s="521"/>
      <c r="AA1038" s="521" t="s">
        <v>3464</v>
      </c>
      <c r="AB1038" s="521" t="s">
        <v>76</v>
      </c>
      <c r="AC1038" s="521"/>
      <c r="AD1038" s="519"/>
      <c r="AE1038" s="519">
        <v>1</v>
      </c>
      <c r="AF1038" s="521">
        <v>252</v>
      </c>
      <c r="AG1038" s="521">
        <f t="shared" si="404"/>
        <v>0</v>
      </c>
      <c r="AH1038" s="542"/>
      <c r="AI1038" s="521" t="s">
        <v>2191</v>
      </c>
      <c r="AJ1038" s="521"/>
      <c r="AK1038" s="521"/>
      <c r="AL1038" s="543">
        <f>I1038*2</f>
        <v>504</v>
      </c>
      <c r="AM1038" s="628"/>
      <c r="AN1038" s="628"/>
      <c r="AO1038" s="630"/>
      <c r="AP1038" s="427"/>
      <c r="AQ1038" s="628">
        <f>I1038*2</f>
        <v>504</v>
      </c>
      <c r="AR1038" s="427"/>
      <c r="AS1038" s="543">
        <f>I1038*2</f>
        <v>504</v>
      </c>
      <c r="AT1038" s="544"/>
      <c r="AU1038" s="628"/>
      <c r="AV1038" s="628"/>
      <c r="AW1038" s="628"/>
      <c r="AX1038" s="628"/>
      <c r="AY1038" s="545">
        <f>I1038/24*2</f>
        <v>21</v>
      </c>
      <c r="AZ1038" s="546"/>
      <c r="BA1038" s="628"/>
      <c r="BB1038" s="628"/>
      <c r="BC1038" s="628"/>
      <c r="BD1038" s="628"/>
      <c r="BE1038" s="628"/>
      <c r="BF1038" s="628"/>
      <c r="BG1038" s="628"/>
      <c r="BH1038" s="628"/>
      <c r="BI1038" s="628"/>
      <c r="BJ1038" s="628"/>
      <c r="BK1038" s="427"/>
      <c r="BL1038" s="628"/>
      <c r="BM1038" s="628"/>
      <c r="BN1038" s="628"/>
      <c r="BO1038" s="628"/>
      <c r="BP1038" s="628"/>
      <c r="BQ1038" s="628"/>
      <c r="BR1038" s="628"/>
      <c r="BS1038" s="628"/>
      <c r="BT1038" s="544"/>
      <c r="BU1038" s="628"/>
      <c r="BV1038" s="544"/>
      <c r="BW1038" s="628"/>
      <c r="BX1038" s="628"/>
      <c r="BY1038" s="628"/>
      <c r="BZ1038" s="628"/>
      <c r="CA1038" s="628"/>
      <c r="CB1038" s="628"/>
      <c r="CC1038" s="628"/>
      <c r="CD1038" s="628"/>
      <c r="CE1038" s="628"/>
      <c r="CF1038" s="628"/>
      <c r="CG1038" s="628"/>
      <c r="CH1038" s="628">
        <f>I1038</f>
        <v>252</v>
      </c>
      <c r="CI1038" s="628">
        <f>I1038</f>
        <v>252</v>
      </c>
      <c r="CJ1038" s="628">
        <f>I1038</f>
        <v>252</v>
      </c>
      <c r="CK1038" s="427">
        <f t="shared" si="406"/>
        <v>0</v>
      </c>
      <c r="CL1038" s="427">
        <f t="shared" si="407"/>
        <v>0</v>
      </c>
      <c r="CM1038" s="427">
        <f t="shared" si="408"/>
        <v>0</v>
      </c>
      <c r="CN1038" s="544"/>
      <c r="CO1038" s="544"/>
      <c r="CP1038" s="544"/>
      <c r="CT1038" s="544"/>
      <c r="CU1038" s="544"/>
      <c r="CV1038" s="544"/>
      <c r="CW1038" s="544"/>
      <c r="CX1038" s="544"/>
    </row>
    <row r="1039" s="431" customFormat="1" ht="31" customHeight="1" spans="1:102">
      <c r="A1039" s="518">
        <v>46016</v>
      </c>
      <c r="B1039" s="519" t="s">
        <v>4029</v>
      </c>
      <c r="C1039" s="520" t="s">
        <v>468</v>
      </c>
      <c r="D1039" s="427">
        <v>4500189841</v>
      </c>
      <c r="E1039" s="520" t="s">
        <v>5745</v>
      </c>
      <c r="F1039" s="427" t="s">
        <v>5746</v>
      </c>
      <c r="G1039" s="521" t="s">
        <v>4962</v>
      </c>
      <c r="H1039" s="521" t="s">
        <v>3237</v>
      </c>
      <c r="I1039" s="607">
        <v>1044</v>
      </c>
      <c r="J1039" s="521">
        <v>0</v>
      </c>
      <c r="K1039" s="521">
        <v>12</v>
      </c>
      <c r="L1039" s="524">
        <f t="shared" si="384"/>
        <v>87</v>
      </c>
      <c r="M1039" s="525">
        <v>46048</v>
      </c>
      <c r="N1039" s="525">
        <v>46044</v>
      </c>
      <c r="O1039" s="521"/>
      <c r="P1039" s="526" t="s">
        <v>103</v>
      </c>
      <c r="Q1039" s="521"/>
      <c r="R1039" s="530" t="s">
        <v>5741</v>
      </c>
      <c r="S1039" s="530" t="s">
        <v>96</v>
      </c>
      <c r="T1039" s="530" t="s">
        <v>5742</v>
      </c>
      <c r="U1039" s="530"/>
      <c r="V1039" s="532" t="s">
        <v>5743</v>
      </c>
      <c r="W1039" s="532" t="s">
        <v>5744</v>
      </c>
      <c r="X1039" s="536">
        <v>2.2418</v>
      </c>
      <c r="Y1039" s="540">
        <f t="shared" si="403"/>
        <v>2340.4392</v>
      </c>
      <c r="Z1039" s="521"/>
      <c r="AA1039" s="521" t="s">
        <v>3464</v>
      </c>
      <c r="AB1039" s="521" t="s">
        <v>76</v>
      </c>
      <c r="AC1039" s="521"/>
      <c r="AD1039" s="519"/>
      <c r="AE1039" s="519">
        <v>1</v>
      </c>
      <c r="AF1039" s="521">
        <v>1044</v>
      </c>
      <c r="AG1039" s="521">
        <f t="shared" si="404"/>
        <v>0</v>
      </c>
      <c r="AH1039" s="542"/>
      <c r="AI1039" s="521" t="s">
        <v>2191</v>
      </c>
      <c r="AJ1039" s="521"/>
      <c r="AK1039" s="521"/>
      <c r="AL1039" s="543">
        <f>I1039*2</f>
        <v>2088</v>
      </c>
      <c r="AM1039" s="628"/>
      <c r="AN1039" s="628"/>
      <c r="AO1039" s="630"/>
      <c r="AP1039" s="427"/>
      <c r="AQ1039" s="628">
        <f>I1039*2</f>
        <v>2088</v>
      </c>
      <c r="AR1039" s="427"/>
      <c r="AS1039" s="543">
        <f>I1039*2</f>
        <v>2088</v>
      </c>
      <c r="AT1039" s="544"/>
      <c r="AU1039" s="628"/>
      <c r="AV1039" s="628"/>
      <c r="AW1039" s="628"/>
      <c r="AX1039" s="628"/>
      <c r="AY1039" s="545">
        <f>I1039/24*2</f>
        <v>87</v>
      </c>
      <c r="AZ1039" s="546"/>
      <c r="BA1039" s="628"/>
      <c r="BB1039" s="628"/>
      <c r="BC1039" s="628"/>
      <c r="BD1039" s="628"/>
      <c r="BE1039" s="628"/>
      <c r="BF1039" s="628"/>
      <c r="BG1039" s="628"/>
      <c r="BH1039" s="628"/>
      <c r="BI1039" s="628"/>
      <c r="BJ1039" s="628"/>
      <c r="BK1039" s="427"/>
      <c r="BL1039" s="628"/>
      <c r="BM1039" s="628"/>
      <c r="BN1039" s="628"/>
      <c r="BO1039" s="628"/>
      <c r="BP1039" s="628"/>
      <c r="BQ1039" s="628"/>
      <c r="BR1039" s="628"/>
      <c r="BS1039" s="628"/>
      <c r="BT1039" s="544"/>
      <c r="BU1039" s="628"/>
      <c r="BV1039" s="544"/>
      <c r="BW1039" s="628"/>
      <c r="BX1039" s="628"/>
      <c r="BY1039" s="628"/>
      <c r="BZ1039" s="628"/>
      <c r="CA1039" s="628"/>
      <c r="CB1039" s="628"/>
      <c r="CC1039" s="628"/>
      <c r="CD1039" s="628"/>
      <c r="CE1039" s="628"/>
      <c r="CF1039" s="628"/>
      <c r="CG1039" s="628"/>
      <c r="CH1039" s="628">
        <f>I1039</f>
        <v>1044</v>
      </c>
      <c r="CI1039" s="628">
        <f>I1039</f>
        <v>1044</v>
      </c>
      <c r="CJ1039" s="628">
        <f>I1039</f>
        <v>1044</v>
      </c>
      <c r="CK1039" s="427">
        <f t="shared" si="406"/>
        <v>0</v>
      </c>
      <c r="CL1039" s="427">
        <f t="shared" si="407"/>
        <v>0</v>
      </c>
      <c r="CM1039" s="427">
        <f t="shared" si="408"/>
        <v>0</v>
      </c>
      <c r="CN1039" s="544"/>
      <c r="CO1039" s="544"/>
      <c r="CP1039" s="544"/>
      <c r="CT1039" s="544"/>
      <c r="CU1039" s="544"/>
      <c r="CV1039" s="544"/>
      <c r="CW1039" s="544"/>
      <c r="CX1039" s="544"/>
    </row>
    <row r="1040" s="431" customFormat="1" ht="31" customHeight="1" spans="1:102">
      <c r="A1040" s="518">
        <v>45993</v>
      </c>
      <c r="B1040" s="519" t="s">
        <v>1566</v>
      </c>
      <c r="C1040" s="520" t="s">
        <v>1567</v>
      </c>
      <c r="D1040" s="427">
        <v>4500187657</v>
      </c>
      <c r="E1040" s="520"/>
      <c r="F1040" s="427" t="s">
        <v>5747</v>
      </c>
      <c r="G1040" s="521" t="s">
        <v>3378</v>
      </c>
      <c r="H1040" s="521" t="s">
        <v>3379</v>
      </c>
      <c r="I1040" s="607">
        <v>2400</v>
      </c>
      <c r="J1040" s="521">
        <v>0</v>
      </c>
      <c r="K1040" s="521">
        <v>50</v>
      </c>
      <c r="L1040" s="524">
        <f t="shared" si="384"/>
        <v>48</v>
      </c>
      <c r="M1040" s="525">
        <v>46051</v>
      </c>
      <c r="N1040" s="525">
        <v>46048</v>
      </c>
      <c r="O1040" s="521"/>
      <c r="P1040" s="526" t="s">
        <v>103</v>
      </c>
      <c r="Q1040" s="521"/>
      <c r="R1040" s="530">
        <v>46009</v>
      </c>
      <c r="S1040" s="530" t="s">
        <v>66</v>
      </c>
      <c r="T1040" s="530" t="s">
        <v>5748</v>
      </c>
      <c r="U1040" s="530" t="s">
        <v>5749</v>
      </c>
      <c r="V1040" s="532" t="s">
        <v>2669</v>
      </c>
      <c r="W1040" s="532" t="s">
        <v>473</v>
      </c>
      <c r="X1040" s="536">
        <v>0.9351</v>
      </c>
      <c r="Y1040" s="540">
        <f t="shared" si="403"/>
        <v>2244.24</v>
      </c>
      <c r="Z1040" s="521"/>
      <c r="AA1040" s="521" t="s">
        <v>3378</v>
      </c>
      <c r="AB1040" s="521" t="s">
        <v>76</v>
      </c>
      <c r="AC1040" s="521"/>
      <c r="AD1040" s="519"/>
      <c r="AE1040" s="519">
        <v>1</v>
      </c>
      <c r="AF1040" s="521">
        <v>2400</v>
      </c>
      <c r="AG1040" s="521">
        <f t="shared" si="404"/>
        <v>0</v>
      </c>
      <c r="AH1040" s="542"/>
      <c r="AI1040" s="521" t="s">
        <v>2191</v>
      </c>
      <c r="AJ1040" s="521"/>
      <c r="AK1040" s="521"/>
      <c r="AL1040" s="543">
        <f t="shared" ref="AL1040:AL1047" si="409">I1040</f>
        <v>2400</v>
      </c>
      <c r="AM1040" s="628"/>
      <c r="AN1040" s="628"/>
      <c r="AO1040" s="630"/>
      <c r="AP1040" s="427"/>
      <c r="AQ1040" s="628"/>
      <c r="AR1040" s="427"/>
      <c r="AS1040" s="543"/>
      <c r="AT1040" s="544"/>
      <c r="AU1040" s="628"/>
      <c r="AV1040" s="628"/>
      <c r="AW1040" s="628"/>
      <c r="AX1040" s="628"/>
      <c r="AY1040" s="545">
        <f t="shared" ref="AY1040:AY1047" si="410">I1040/24</f>
        <v>100</v>
      </c>
      <c r="AZ1040" s="546"/>
      <c r="BA1040" s="628"/>
      <c r="BB1040" s="628"/>
      <c r="BC1040" s="628"/>
      <c r="BD1040" s="628"/>
      <c r="BE1040" s="628"/>
      <c r="BF1040" s="628"/>
      <c r="BG1040" s="628"/>
      <c r="BH1040" s="628"/>
      <c r="BI1040" s="628"/>
      <c r="BJ1040" s="628"/>
      <c r="BK1040" s="427"/>
      <c r="BL1040" s="628"/>
      <c r="BM1040" s="628"/>
      <c r="BN1040" s="628"/>
      <c r="BO1040" s="628"/>
      <c r="BP1040" s="628"/>
      <c r="BQ1040" s="628">
        <f>I1040</f>
        <v>2400</v>
      </c>
      <c r="BR1040" s="628">
        <f>I1040</f>
        <v>2400</v>
      </c>
      <c r="BS1040" s="628">
        <f>I1040/25</f>
        <v>96</v>
      </c>
      <c r="BT1040" s="544"/>
      <c r="BU1040" s="628"/>
      <c r="BV1040" s="544"/>
      <c r="BW1040" s="628"/>
      <c r="BX1040" s="628"/>
      <c r="BY1040" s="628"/>
      <c r="BZ1040" s="628"/>
      <c r="CA1040" s="628"/>
      <c r="CB1040" s="628"/>
      <c r="CC1040" s="628"/>
      <c r="CD1040" s="628"/>
      <c r="CE1040" s="628"/>
      <c r="CF1040" s="628"/>
      <c r="CG1040" s="628"/>
      <c r="CH1040" s="628"/>
      <c r="CI1040" s="628"/>
      <c r="CJ1040" s="628"/>
      <c r="CK1040" s="427">
        <f t="shared" si="406"/>
        <v>96</v>
      </c>
      <c r="CL1040" s="427">
        <f t="shared" si="407"/>
        <v>0</v>
      </c>
      <c r="CM1040" s="427">
        <f t="shared" si="408"/>
        <v>0</v>
      </c>
      <c r="CN1040" s="544"/>
      <c r="CO1040" s="544"/>
      <c r="CP1040" s="544"/>
      <c r="CT1040" s="544"/>
      <c r="CU1040" s="544"/>
      <c r="CV1040" s="544"/>
      <c r="CW1040" s="544"/>
      <c r="CX1040" s="544"/>
    </row>
    <row r="1041" s="431" customFormat="1" ht="31" customHeight="1" spans="1:102">
      <c r="A1041" s="518">
        <v>46003</v>
      </c>
      <c r="B1041" s="519" t="s">
        <v>2673</v>
      </c>
      <c r="C1041" s="520" t="s">
        <v>1130</v>
      </c>
      <c r="D1041" s="427">
        <v>4500188881</v>
      </c>
      <c r="E1041" s="520"/>
      <c r="F1041" s="427" t="s">
        <v>5750</v>
      </c>
      <c r="G1041" s="521" t="s">
        <v>3378</v>
      </c>
      <c r="H1041" s="521" t="s">
        <v>3379</v>
      </c>
      <c r="I1041" s="607">
        <v>800</v>
      </c>
      <c r="J1041" s="521">
        <v>0</v>
      </c>
      <c r="K1041" s="521">
        <v>50</v>
      </c>
      <c r="L1041" s="524">
        <f t="shared" si="384"/>
        <v>16</v>
      </c>
      <c r="M1041" s="525">
        <v>46051</v>
      </c>
      <c r="N1041" s="525">
        <v>46048</v>
      </c>
      <c r="O1041" s="521"/>
      <c r="P1041" s="526" t="s">
        <v>103</v>
      </c>
      <c r="Q1041" s="521"/>
      <c r="R1041" s="530">
        <v>46009</v>
      </c>
      <c r="S1041" s="530" t="s">
        <v>66</v>
      </c>
      <c r="T1041" s="530" t="s">
        <v>2675</v>
      </c>
      <c r="U1041" s="530"/>
      <c r="V1041" s="532" t="s">
        <v>5751</v>
      </c>
      <c r="W1041" s="532" t="s">
        <v>473</v>
      </c>
      <c r="X1041" s="536">
        <v>0.9572</v>
      </c>
      <c r="Y1041" s="540">
        <f t="shared" si="403"/>
        <v>765.76</v>
      </c>
      <c r="Z1041" s="521"/>
      <c r="AA1041" s="521" t="s">
        <v>3378</v>
      </c>
      <c r="AB1041" s="521" t="s">
        <v>76</v>
      </c>
      <c r="AC1041" s="521"/>
      <c r="AD1041" s="519"/>
      <c r="AE1041" s="519">
        <v>1</v>
      </c>
      <c r="AF1041" s="521">
        <v>800</v>
      </c>
      <c r="AG1041" s="521">
        <f t="shared" si="404"/>
        <v>0</v>
      </c>
      <c r="AH1041" s="542"/>
      <c r="AI1041" s="521" t="s">
        <v>2191</v>
      </c>
      <c r="AJ1041" s="521"/>
      <c r="AK1041" s="521"/>
      <c r="AL1041" s="543">
        <f t="shared" si="409"/>
        <v>800</v>
      </c>
      <c r="AM1041" s="628"/>
      <c r="AN1041" s="628"/>
      <c r="AO1041" s="630"/>
      <c r="AP1041" s="427"/>
      <c r="AQ1041" s="628">
        <f>I1041</f>
        <v>800</v>
      </c>
      <c r="AR1041" s="427"/>
      <c r="AS1041" s="543"/>
      <c r="AT1041" s="544"/>
      <c r="AU1041" s="628"/>
      <c r="AV1041" s="628"/>
      <c r="AW1041" s="628"/>
      <c r="AX1041" s="628"/>
      <c r="AY1041" s="545">
        <f t="shared" si="410"/>
        <v>33.3333333333333</v>
      </c>
      <c r="AZ1041" s="546"/>
      <c r="BA1041" s="628"/>
      <c r="BB1041" s="628"/>
      <c r="BC1041" s="628"/>
      <c r="BD1041" s="628"/>
      <c r="BE1041" s="628"/>
      <c r="BF1041" s="628"/>
      <c r="BG1041" s="628"/>
      <c r="BH1041" s="628"/>
      <c r="BI1041" s="628"/>
      <c r="BJ1041" s="628"/>
      <c r="BK1041" s="427"/>
      <c r="BL1041" s="628"/>
      <c r="BM1041" s="628"/>
      <c r="BN1041" s="628"/>
      <c r="BO1041" s="628"/>
      <c r="BP1041" s="628"/>
      <c r="BQ1041" s="628"/>
      <c r="BR1041" s="628">
        <f>I1041</f>
        <v>800</v>
      </c>
      <c r="BS1041" s="628">
        <f>I1041/25</f>
        <v>32</v>
      </c>
      <c r="BT1041" s="544"/>
      <c r="BU1041" s="628"/>
      <c r="BV1041" s="544"/>
      <c r="BW1041" s="628"/>
      <c r="BX1041" s="628"/>
      <c r="BY1041" s="628"/>
      <c r="BZ1041" s="628"/>
      <c r="CA1041" s="628"/>
      <c r="CB1041" s="628"/>
      <c r="CC1041" s="628"/>
      <c r="CD1041" s="628"/>
      <c r="CE1041" s="628"/>
      <c r="CF1041" s="628"/>
      <c r="CG1041" s="628"/>
      <c r="CH1041" s="628"/>
      <c r="CI1041" s="628"/>
      <c r="CJ1041" s="628"/>
      <c r="CK1041" s="427">
        <f t="shared" si="406"/>
        <v>32</v>
      </c>
      <c r="CL1041" s="427">
        <f t="shared" si="407"/>
        <v>0</v>
      </c>
      <c r="CM1041" s="427">
        <f t="shared" si="408"/>
        <v>0</v>
      </c>
      <c r="CN1041" s="544"/>
      <c r="CO1041" s="544"/>
      <c r="CP1041" s="544"/>
      <c r="CT1041" s="544"/>
      <c r="CU1041" s="544"/>
      <c r="CV1041" s="544"/>
      <c r="CW1041" s="544"/>
      <c r="CX1041" s="544"/>
    </row>
    <row r="1042" s="431" customFormat="1" ht="31" customHeight="1" spans="1:102">
      <c r="A1042" s="518">
        <v>46006</v>
      </c>
      <c r="B1042" s="519" t="s">
        <v>893</v>
      </c>
      <c r="C1042" s="520" t="s">
        <v>356</v>
      </c>
      <c r="D1042" s="427">
        <v>4500189088</v>
      </c>
      <c r="E1042" s="520"/>
      <c r="F1042" s="427" t="s">
        <v>5752</v>
      </c>
      <c r="G1042" s="521" t="s">
        <v>3161</v>
      </c>
      <c r="H1042" s="521" t="s">
        <v>3221</v>
      </c>
      <c r="I1042" s="607">
        <v>1200</v>
      </c>
      <c r="J1042" s="521">
        <v>0</v>
      </c>
      <c r="K1042" s="521">
        <v>50</v>
      </c>
      <c r="L1042" s="524">
        <f t="shared" si="384"/>
        <v>24</v>
      </c>
      <c r="M1042" s="525">
        <v>46051</v>
      </c>
      <c r="N1042" s="525">
        <v>46048</v>
      </c>
      <c r="O1042" s="521"/>
      <c r="P1042" s="526" t="s">
        <v>103</v>
      </c>
      <c r="Q1042" s="521"/>
      <c r="R1042" s="530">
        <v>46009</v>
      </c>
      <c r="S1042" s="530" t="s">
        <v>66</v>
      </c>
      <c r="T1042" s="530" t="s">
        <v>5753</v>
      </c>
      <c r="U1042" s="530"/>
      <c r="V1042" s="532" t="s">
        <v>5754</v>
      </c>
      <c r="W1042" s="532" t="s">
        <v>359</v>
      </c>
      <c r="X1042" s="536">
        <v>0.941</v>
      </c>
      <c r="Y1042" s="540">
        <f t="shared" si="403"/>
        <v>1129.2</v>
      </c>
      <c r="Z1042" s="521"/>
      <c r="AA1042" s="521" t="s">
        <v>3161</v>
      </c>
      <c r="AB1042" s="521" t="s">
        <v>76</v>
      </c>
      <c r="AC1042" s="521"/>
      <c r="AD1042" s="519"/>
      <c r="AE1042" s="519">
        <v>1</v>
      </c>
      <c r="AF1042" s="521">
        <v>1200</v>
      </c>
      <c r="AG1042" s="521">
        <f t="shared" si="404"/>
        <v>0</v>
      </c>
      <c r="AH1042" s="542"/>
      <c r="AI1042" s="521" t="s">
        <v>2191</v>
      </c>
      <c r="AJ1042" s="521"/>
      <c r="AK1042" s="521"/>
      <c r="AL1042" s="543">
        <f t="shared" si="409"/>
        <v>1200</v>
      </c>
      <c r="AM1042" s="628"/>
      <c r="AN1042" s="628"/>
      <c r="AO1042" s="630"/>
      <c r="AP1042" s="427"/>
      <c r="AQ1042" s="628">
        <f>I1042</f>
        <v>1200</v>
      </c>
      <c r="AR1042" s="427"/>
      <c r="AS1042" s="543">
        <f>I1042</f>
        <v>1200</v>
      </c>
      <c r="AT1042" s="544"/>
      <c r="AU1042" s="628"/>
      <c r="AV1042" s="628"/>
      <c r="AW1042" s="628"/>
      <c r="AX1042" s="628"/>
      <c r="AY1042" s="545">
        <f t="shared" si="410"/>
        <v>50</v>
      </c>
      <c r="AZ1042" s="546"/>
      <c r="BA1042" s="628"/>
      <c r="BB1042" s="628"/>
      <c r="BC1042" s="628"/>
      <c r="BD1042" s="628"/>
      <c r="BE1042" s="628"/>
      <c r="BF1042" s="628"/>
      <c r="BG1042" s="628"/>
      <c r="BH1042" s="628"/>
      <c r="BI1042" s="628"/>
      <c r="BJ1042" s="628"/>
      <c r="BK1042" s="427"/>
      <c r="BL1042" s="628">
        <f>I1042/25</f>
        <v>48</v>
      </c>
      <c r="BM1042" s="628"/>
      <c r="BN1042" s="628"/>
      <c r="BO1042" s="628"/>
      <c r="BP1042" s="628"/>
      <c r="BQ1042" s="628"/>
      <c r="BR1042" s="628"/>
      <c r="BS1042" s="628"/>
      <c r="BT1042" s="544"/>
      <c r="BU1042" s="628"/>
      <c r="BV1042" s="544"/>
      <c r="BW1042" s="628"/>
      <c r="BX1042" s="628"/>
      <c r="BY1042" s="628"/>
      <c r="BZ1042" s="628"/>
      <c r="CA1042" s="628"/>
      <c r="CB1042" s="628"/>
      <c r="CC1042" s="628"/>
      <c r="CD1042" s="628"/>
      <c r="CE1042" s="628"/>
      <c r="CF1042" s="628"/>
      <c r="CG1042" s="628"/>
      <c r="CH1042" s="628"/>
      <c r="CI1042" s="628"/>
      <c r="CJ1042" s="628"/>
      <c r="CK1042" s="427">
        <f t="shared" si="406"/>
        <v>48</v>
      </c>
      <c r="CL1042" s="427">
        <f t="shared" si="407"/>
        <v>0</v>
      </c>
      <c r="CM1042" s="427">
        <f t="shared" si="408"/>
        <v>0</v>
      </c>
      <c r="CN1042" s="544"/>
      <c r="CO1042" s="544"/>
      <c r="CP1042" s="544"/>
      <c r="CT1042" s="544"/>
      <c r="CU1042" s="544"/>
      <c r="CV1042" s="544"/>
      <c r="CW1042" s="544"/>
      <c r="CX1042" s="544"/>
    </row>
    <row r="1043" s="431" customFormat="1" ht="31" customHeight="1" spans="1:102">
      <c r="A1043" s="518">
        <v>45995</v>
      </c>
      <c r="B1043" s="519" t="s">
        <v>1121</v>
      </c>
      <c r="C1043" s="520" t="s">
        <v>356</v>
      </c>
      <c r="D1043" s="427">
        <v>4500187980</v>
      </c>
      <c r="E1043" s="520"/>
      <c r="F1043" s="427" t="s">
        <v>5755</v>
      </c>
      <c r="G1043" s="521" t="s">
        <v>3161</v>
      </c>
      <c r="H1043" s="521" t="s">
        <v>3221</v>
      </c>
      <c r="I1043" s="607">
        <v>1200</v>
      </c>
      <c r="J1043" s="521">
        <v>0</v>
      </c>
      <c r="K1043" s="521">
        <v>50</v>
      </c>
      <c r="L1043" s="524">
        <f t="shared" si="384"/>
        <v>24</v>
      </c>
      <c r="M1043" s="525">
        <v>46052</v>
      </c>
      <c r="N1043" s="525">
        <v>46048</v>
      </c>
      <c r="O1043" s="521"/>
      <c r="P1043" s="526" t="s">
        <v>103</v>
      </c>
      <c r="Q1043" s="521"/>
      <c r="R1043" s="530">
        <v>45995</v>
      </c>
      <c r="S1043" s="530" t="s">
        <v>66</v>
      </c>
      <c r="T1043" s="530" t="s">
        <v>5756</v>
      </c>
      <c r="U1043" s="530"/>
      <c r="V1043" s="532" t="s">
        <v>5757</v>
      </c>
      <c r="W1043" s="532" t="s">
        <v>359</v>
      </c>
      <c r="X1043" s="536">
        <v>0.941</v>
      </c>
      <c r="Y1043" s="540">
        <f t="shared" si="403"/>
        <v>1129.2</v>
      </c>
      <c r="Z1043" s="521"/>
      <c r="AA1043" s="521" t="s">
        <v>3161</v>
      </c>
      <c r="AB1043" s="521" t="s">
        <v>76</v>
      </c>
      <c r="AC1043" s="521"/>
      <c r="AD1043" s="519"/>
      <c r="AE1043" s="519">
        <v>1</v>
      </c>
      <c r="AF1043" s="521">
        <v>1200</v>
      </c>
      <c r="AG1043" s="521">
        <f t="shared" si="404"/>
        <v>0</v>
      </c>
      <c r="AH1043" s="542"/>
      <c r="AI1043" s="521" t="s">
        <v>403</v>
      </c>
      <c r="AJ1043" s="521"/>
      <c r="AK1043" s="521"/>
      <c r="AL1043" s="543">
        <f t="shared" si="409"/>
        <v>1200</v>
      </c>
      <c r="AM1043" s="628"/>
      <c r="AN1043" s="628"/>
      <c r="AO1043" s="630"/>
      <c r="AP1043" s="427"/>
      <c r="AQ1043" s="628">
        <f>I1043</f>
        <v>1200</v>
      </c>
      <c r="AR1043" s="427"/>
      <c r="AS1043" s="543">
        <f>I1043</f>
        <v>1200</v>
      </c>
      <c r="AT1043" s="544"/>
      <c r="AU1043" s="628"/>
      <c r="AV1043" s="628"/>
      <c r="AW1043" s="628"/>
      <c r="AX1043" s="628"/>
      <c r="AY1043" s="545">
        <f t="shared" si="410"/>
        <v>50</v>
      </c>
      <c r="AZ1043" s="546"/>
      <c r="BA1043" s="628"/>
      <c r="BB1043" s="628"/>
      <c r="BC1043" s="628"/>
      <c r="BD1043" s="628"/>
      <c r="BE1043" s="628"/>
      <c r="BF1043" s="628"/>
      <c r="BG1043" s="628"/>
      <c r="BH1043" s="628"/>
      <c r="BI1043" s="628"/>
      <c r="BJ1043" s="628"/>
      <c r="BK1043" s="427"/>
      <c r="BL1043" s="628">
        <f>I1043/25</f>
        <v>48</v>
      </c>
      <c r="BM1043" s="628"/>
      <c r="BN1043" s="628"/>
      <c r="BO1043" s="628"/>
      <c r="BP1043" s="628"/>
      <c r="BQ1043" s="628"/>
      <c r="BR1043" s="628"/>
      <c r="BS1043" s="628"/>
      <c r="BT1043" s="544"/>
      <c r="BU1043" s="628"/>
      <c r="BV1043" s="544"/>
      <c r="BW1043" s="628"/>
      <c r="BX1043" s="628"/>
      <c r="BY1043" s="628"/>
      <c r="BZ1043" s="628"/>
      <c r="CA1043" s="628"/>
      <c r="CB1043" s="628"/>
      <c r="CC1043" s="628"/>
      <c r="CD1043" s="628"/>
      <c r="CE1043" s="628"/>
      <c r="CF1043" s="628"/>
      <c r="CG1043" s="628"/>
      <c r="CH1043" s="628"/>
      <c r="CI1043" s="628"/>
      <c r="CJ1043" s="628"/>
      <c r="CK1043" s="427">
        <f t="shared" si="406"/>
        <v>48</v>
      </c>
      <c r="CL1043" s="427">
        <f t="shared" si="407"/>
        <v>0</v>
      </c>
      <c r="CM1043" s="427">
        <f t="shared" si="408"/>
        <v>0</v>
      </c>
      <c r="CN1043" s="544"/>
      <c r="CO1043" s="544"/>
      <c r="CP1043" s="544"/>
      <c r="CT1043" s="544"/>
      <c r="CU1043" s="544"/>
      <c r="CV1043" s="544"/>
      <c r="CW1043" s="544"/>
      <c r="CX1043" s="544"/>
    </row>
    <row r="1044" s="431" customFormat="1" ht="31" customHeight="1" spans="1:102">
      <c r="A1044" s="518">
        <v>46014</v>
      </c>
      <c r="B1044" s="519" t="s">
        <v>1228</v>
      </c>
      <c r="C1044" s="520" t="s">
        <v>841</v>
      </c>
      <c r="D1044" s="427">
        <v>4500189691</v>
      </c>
      <c r="E1044" s="520"/>
      <c r="F1044" s="427" t="s">
        <v>5758</v>
      </c>
      <c r="G1044" s="521" t="s">
        <v>3378</v>
      </c>
      <c r="H1044" s="521" t="s">
        <v>3379</v>
      </c>
      <c r="I1044" s="607">
        <v>2400</v>
      </c>
      <c r="J1044" s="521">
        <v>0</v>
      </c>
      <c r="K1044" s="521">
        <v>50</v>
      </c>
      <c r="L1044" s="524">
        <f t="shared" si="384"/>
        <v>48</v>
      </c>
      <c r="M1044" s="525">
        <v>46052</v>
      </c>
      <c r="N1044" s="525">
        <v>46048</v>
      </c>
      <c r="O1044" s="521"/>
      <c r="P1044" s="526" t="s">
        <v>103</v>
      </c>
      <c r="Q1044" s="521"/>
      <c r="R1044" s="530">
        <v>46021</v>
      </c>
      <c r="S1044" s="530" t="s">
        <v>66</v>
      </c>
      <c r="T1044" s="530" t="s">
        <v>66</v>
      </c>
      <c r="U1044" s="530"/>
      <c r="V1044" s="532" t="s">
        <v>5759</v>
      </c>
      <c r="W1044" s="532" t="s">
        <v>853</v>
      </c>
      <c r="X1044" s="536">
        <v>0.9521</v>
      </c>
      <c r="Y1044" s="540">
        <f t="shared" si="403"/>
        <v>2285.04</v>
      </c>
      <c r="Z1044" s="521"/>
      <c r="AA1044" s="521" t="s">
        <v>3378</v>
      </c>
      <c r="AB1044" s="521" t="s">
        <v>76</v>
      </c>
      <c r="AC1044" s="521"/>
      <c r="AD1044" s="519"/>
      <c r="AE1044" s="519">
        <v>1</v>
      </c>
      <c r="AF1044" s="521">
        <v>2400</v>
      </c>
      <c r="AG1044" s="521">
        <f t="shared" si="404"/>
        <v>0</v>
      </c>
      <c r="AH1044" s="542"/>
      <c r="AI1044" s="521"/>
      <c r="AJ1044" s="521"/>
      <c r="AK1044" s="521"/>
      <c r="AL1044" s="543">
        <f t="shared" si="409"/>
        <v>2400</v>
      </c>
      <c r="AM1044" s="628"/>
      <c r="AN1044" s="628"/>
      <c r="AO1044" s="630"/>
      <c r="AP1044" s="427"/>
      <c r="AQ1044" s="628"/>
      <c r="AR1044" s="427"/>
      <c r="AS1044" s="543"/>
      <c r="AT1044" s="544"/>
      <c r="AU1044" s="628"/>
      <c r="AV1044" s="628"/>
      <c r="AW1044" s="628"/>
      <c r="AX1044" s="628"/>
      <c r="AY1044" s="545">
        <f t="shared" si="410"/>
        <v>100</v>
      </c>
      <c r="AZ1044" s="546"/>
      <c r="BA1044" s="628"/>
      <c r="BB1044" s="628"/>
      <c r="BC1044" s="628"/>
      <c r="BD1044" s="628"/>
      <c r="BE1044" s="628"/>
      <c r="BF1044" s="628"/>
      <c r="BG1044" s="628"/>
      <c r="BH1044" s="628"/>
      <c r="BI1044" s="628"/>
      <c r="BJ1044" s="628"/>
      <c r="BK1044" s="427"/>
      <c r="BL1044" s="628"/>
      <c r="BM1044" s="628"/>
      <c r="BN1044" s="628"/>
      <c r="BO1044" s="628"/>
      <c r="BP1044" s="628"/>
      <c r="BQ1044" s="628">
        <f>I1044</f>
        <v>2400</v>
      </c>
      <c r="BR1044" s="628">
        <f>I1044</f>
        <v>2400</v>
      </c>
      <c r="BS1044" s="628">
        <f>I1044/25</f>
        <v>96</v>
      </c>
      <c r="BT1044" s="544"/>
      <c r="BU1044" s="628"/>
      <c r="BV1044" s="544"/>
      <c r="BW1044" s="628"/>
      <c r="BX1044" s="628"/>
      <c r="BY1044" s="628"/>
      <c r="BZ1044" s="628"/>
      <c r="CA1044" s="628"/>
      <c r="CB1044" s="628"/>
      <c r="CC1044" s="628"/>
      <c r="CD1044" s="628"/>
      <c r="CE1044" s="628"/>
      <c r="CF1044" s="628"/>
      <c r="CG1044" s="628"/>
      <c r="CH1044" s="628"/>
      <c r="CI1044" s="628"/>
      <c r="CJ1044" s="628"/>
      <c r="CK1044" s="427">
        <f t="shared" si="406"/>
        <v>96</v>
      </c>
      <c r="CL1044" s="427">
        <f t="shared" si="407"/>
        <v>0</v>
      </c>
      <c r="CM1044" s="427">
        <f t="shared" si="408"/>
        <v>0</v>
      </c>
      <c r="CN1044" s="544"/>
      <c r="CO1044" s="544"/>
      <c r="CP1044" s="544"/>
      <c r="CT1044" s="544"/>
      <c r="CU1044" s="544"/>
      <c r="CV1044" s="544"/>
      <c r="CW1044" s="544"/>
      <c r="CX1044" s="544"/>
    </row>
    <row r="1045" s="431" customFormat="1" ht="31" customHeight="1" spans="1:102">
      <c r="A1045" s="518">
        <v>46014</v>
      </c>
      <c r="B1045" s="519" t="s">
        <v>1228</v>
      </c>
      <c r="C1045" s="520" t="s">
        <v>841</v>
      </c>
      <c r="D1045" s="427">
        <v>4500188307</v>
      </c>
      <c r="E1045" s="520"/>
      <c r="F1045" s="427" t="s">
        <v>5760</v>
      </c>
      <c r="G1045" s="521" t="s">
        <v>3378</v>
      </c>
      <c r="H1045" s="521" t="s">
        <v>3379</v>
      </c>
      <c r="I1045" s="607">
        <v>2000</v>
      </c>
      <c r="J1045" s="521">
        <v>0</v>
      </c>
      <c r="K1045" s="521">
        <v>50</v>
      </c>
      <c r="L1045" s="524">
        <f t="shared" si="384"/>
        <v>40</v>
      </c>
      <c r="M1045" s="525">
        <v>46052</v>
      </c>
      <c r="N1045" s="525">
        <v>46048</v>
      </c>
      <c r="O1045" s="521"/>
      <c r="P1045" s="526" t="s">
        <v>103</v>
      </c>
      <c r="Q1045" s="521"/>
      <c r="R1045" s="530">
        <v>46021</v>
      </c>
      <c r="S1045" s="530" t="s">
        <v>66</v>
      </c>
      <c r="T1045" s="530" t="s">
        <v>66</v>
      </c>
      <c r="U1045" s="530"/>
      <c r="V1045" s="532" t="s">
        <v>5761</v>
      </c>
      <c r="W1045" s="532" t="s">
        <v>853</v>
      </c>
      <c r="X1045" s="536">
        <v>0.9521</v>
      </c>
      <c r="Y1045" s="540">
        <f t="shared" si="403"/>
        <v>1904.2</v>
      </c>
      <c r="Z1045" s="521"/>
      <c r="AA1045" s="521" t="s">
        <v>3378</v>
      </c>
      <c r="AB1045" s="521" t="s">
        <v>76</v>
      </c>
      <c r="AC1045" s="521"/>
      <c r="AD1045" s="519"/>
      <c r="AE1045" s="519">
        <v>1</v>
      </c>
      <c r="AF1045" s="521">
        <v>2000</v>
      </c>
      <c r="AG1045" s="521">
        <f t="shared" si="404"/>
        <v>0</v>
      </c>
      <c r="AH1045" s="542"/>
      <c r="AI1045" s="521"/>
      <c r="AJ1045" s="521"/>
      <c r="AK1045" s="521"/>
      <c r="AL1045" s="543">
        <f t="shared" si="409"/>
        <v>2000</v>
      </c>
      <c r="AM1045" s="628"/>
      <c r="AN1045" s="628"/>
      <c r="AO1045" s="630"/>
      <c r="AP1045" s="427"/>
      <c r="AQ1045" s="628"/>
      <c r="AR1045" s="427"/>
      <c r="AS1045" s="543"/>
      <c r="AT1045" s="544"/>
      <c r="AU1045" s="628"/>
      <c r="AV1045" s="628"/>
      <c r="AW1045" s="628"/>
      <c r="AX1045" s="628"/>
      <c r="AY1045" s="545">
        <f t="shared" si="410"/>
        <v>83.3333333333333</v>
      </c>
      <c r="AZ1045" s="546"/>
      <c r="BA1045" s="628"/>
      <c r="BB1045" s="628"/>
      <c r="BC1045" s="628"/>
      <c r="BD1045" s="628"/>
      <c r="BE1045" s="628"/>
      <c r="BF1045" s="628"/>
      <c r="BG1045" s="628"/>
      <c r="BH1045" s="628"/>
      <c r="BI1045" s="628"/>
      <c r="BJ1045" s="628"/>
      <c r="BK1045" s="427"/>
      <c r="BL1045" s="628"/>
      <c r="BM1045" s="628"/>
      <c r="BN1045" s="628"/>
      <c r="BO1045" s="628"/>
      <c r="BP1045" s="628"/>
      <c r="BQ1045" s="628">
        <f>I1045</f>
        <v>2000</v>
      </c>
      <c r="BR1045" s="628">
        <f>I1045</f>
        <v>2000</v>
      </c>
      <c r="BS1045" s="628">
        <f>I1045/25</f>
        <v>80</v>
      </c>
      <c r="BT1045" s="544"/>
      <c r="BU1045" s="628"/>
      <c r="BV1045" s="544"/>
      <c r="BW1045" s="628"/>
      <c r="BX1045" s="628"/>
      <c r="BY1045" s="628"/>
      <c r="BZ1045" s="628"/>
      <c r="CA1045" s="628"/>
      <c r="CB1045" s="628"/>
      <c r="CC1045" s="628"/>
      <c r="CD1045" s="628"/>
      <c r="CE1045" s="628"/>
      <c r="CF1045" s="628"/>
      <c r="CG1045" s="628"/>
      <c r="CH1045" s="628"/>
      <c r="CI1045" s="628"/>
      <c r="CJ1045" s="628"/>
      <c r="CK1045" s="427">
        <f t="shared" si="406"/>
        <v>80</v>
      </c>
      <c r="CL1045" s="427">
        <f t="shared" si="407"/>
        <v>0</v>
      </c>
      <c r="CM1045" s="427">
        <f t="shared" si="408"/>
        <v>0</v>
      </c>
      <c r="CN1045" s="544"/>
      <c r="CO1045" s="544"/>
      <c r="CP1045" s="544"/>
      <c r="CT1045" s="544"/>
      <c r="CU1045" s="544"/>
      <c r="CV1045" s="544"/>
      <c r="CW1045" s="544"/>
      <c r="CX1045" s="544"/>
    </row>
    <row r="1046" s="431" customFormat="1" ht="31" customHeight="1" spans="1:102">
      <c r="A1046" s="518">
        <v>45996</v>
      </c>
      <c r="B1046" s="519" t="s">
        <v>1228</v>
      </c>
      <c r="C1046" s="520" t="s">
        <v>841</v>
      </c>
      <c r="D1046" s="427">
        <v>4500188248</v>
      </c>
      <c r="E1046" s="520"/>
      <c r="F1046" s="427" t="s">
        <v>5762</v>
      </c>
      <c r="G1046" s="521" t="s">
        <v>3378</v>
      </c>
      <c r="H1046" s="521" t="s">
        <v>3379</v>
      </c>
      <c r="I1046" s="607">
        <v>7200</v>
      </c>
      <c r="J1046" s="521">
        <v>0</v>
      </c>
      <c r="K1046" s="521">
        <v>50</v>
      </c>
      <c r="L1046" s="524">
        <f t="shared" si="384"/>
        <v>144</v>
      </c>
      <c r="M1046" s="525">
        <v>46052</v>
      </c>
      <c r="N1046" s="525">
        <v>46048</v>
      </c>
      <c r="O1046" s="521"/>
      <c r="P1046" s="526" t="s">
        <v>103</v>
      </c>
      <c r="Q1046" s="521"/>
      <c r="R1046" s="530">
        <v>46021</v>
      </c>
      <c r="S1046" s="530" t="s">
        <v>66</v>
      </c>
      <c r="T1046" s="530" t="s">
        <v>66</v>
      </c>
      <c r="U1046" s="530" t="s">
        <v>5763</v>
      </c>
      <c r="V1046" s="532" t="s">
        <v>5764</v>
      </c>
      <c r="W1046" s="532" t="s">
        <v>853</v>
      </c>
      <c r="X1046" s="536">
        <v>0.9521</v>
      </c>
      <c r="Y1046" s="540">
        <f t="shared" si="403"/>
        <v>6855.12</v>
      </c>
      <c r="Z1046" s="521"/>
      <c r="AA1046" s="521" t="s">
        <v>3378</v>
      </c>
      <c r="AB1046" s="521" t="s">
        <v>76</v>
      </c>
      <c r="AC1046" s="521"/>
      <c r="AD1046" s="519"/>
      <c r="AE1046" s="519">
        <v>1</v>
      </c>
      <c r="AF1046" s="521">
        <v>4500</v>
      </c>
      <c r="AG1046" s="521">
        <f t="shared" si="404"/>
        <v>-2700</v>
      </c>
      <c r="AH1046" s="542"/>
      <c r="AI1046" s="521"/>
      <c r="AJ1046" s="521"/>
      <c r="AK1046" s="521"/>
      <c r="AL1046" s="543">
        <f t="shared" si="409"/>
        <v>7200</v>
      </c>
      <c r="AM1046" s="628"/>
      <c r="AN1046" s="628"/>
      <c r="AO1046" s="630"/>
      <c r="AP1046" s="427"/>
      <c r="AQ1046" s="628"/>
      <c r="AR1046" s="427"/>
      <c r="AS1046" s="543"/>
      <c r="AT1046" s="544"/>
      <c r="AU1046" s="628"/>
      <c r="AV1046" s="628"/>
      <c r="AW1046" s="628"/>
      <c r="AX1046" s="628"/>
      <c r="AY1046" s="545">
        <f t="shared" si="410"/>
        <v>300</v>
      </c>
      <c r="AZ1046" s="546"/>
      <c r="BA1046" s="628"/>
      <c r="BB1046" s="628"/>
      <c r="BC1046" s="628"/>
      <c r="BD1046" s="628"/>
      <c r="BE1046" s="628"/>
      <c r="BF1046" s="628"/>
      <c r="BG1046" s="628"/>
      <c r="BH1046" s="628"/>
      <c r="BI1046" s="628"/>
      <c r="BJ1046" s="628"/>
      <c r="BK1046" s="427"/>
      <c r="BL1046" s="628"/>
      <c r="BM1046" s="628"/>
      <c r="BN1046" s="628"/>
      <c r="BO1046" s="628"/>
      <c r="BP1046" s="628"/>
      <c r="BQ1046" s="628">
        <f>I1046</f>
        <v>7200</v>
      </c>
      <c r="BR1046" s="628">
        <f>I1046</f>
        <v>7200</v>
      </c>
      <c r="BS1046" s="628">
        <f>I1046/25</f>
        <v>288</v>
      </c>
      <c r="BT1046" s="544"/>
      <c r="BU1046" s="628"/>
      <c r="BV1046" s="544"/>
      <c r="BW1046" s="628"/>
      <c r="BX1046" s="628"/>
      <c r="BY1046" s="628"/>
      <c r="BZ1046" s="628"/>
      <c r="CA1046" s="628"/>
      <c r="CB1046" s="628"/>
      <c r="CC1046" s="628"/>
      <c r="CD1046" s="628"/>
      <c r="CE1046" s="628"/>
      <c r="CF1046" s="628"/>
      <c r="CG1046" s="628"/>
      <c r="CH1046" s="628"/>
      <c r="CI1046" s="628"/>
      <c r="CJ1046" s="628"/>
      <c r="CK1046" s="427">
        <f t="shared" si="406"/>
        <v>288</v>
      </c>
      <c r="CL1046" s="427">
        <f t="shared" si="407"/>
        <v>0</v>
      </c>
      <c r="CM1046" s="427">
        <f t="shared" si="408"/>
        <v>0</v>
      </c>
      <c r="CN1046" s="544"/>
      <c r="CO1046" s="544"/>
      <c r="CP1046" s="544"/>
      <c r="CT1046" s="544"/>
      <c r="CU1046" s="544"/>
      <c r="CV1046" s="544"/>
      <c r="CW1046" s="544"/>
      <c r="CX1046" s="544"/>
    </row>
    <row r="1047" s="431" customFormat="1" ht="31" customHeight="1" spans="1:102">
      <c r="A1047" s="518">
        <v>45996</v>
      </c>
      <c r="B1047" s="519" t="s">
        <v>1228</v>
      </c>
      <c r="C1047" s="520" t="s">
        <v>841</v>
      </c>
      <c r="D1047" s="427">
        <v>4500188302</v>
      </c>
      <c r="E1047" s="520"/>
      <c r="F1047" s="427" t="s">
        <v>5765</v>
      </c>
      <c r="G1047" s="521" t="s">
        <v>3378</v>
      </c>
      <c r="H1047" s="521" t="s">
        <v>3379</v>
      </c>
      <c r="I1047" s="607">
        <v>700</v>
      </c>
      <c r="J1047" s="521">
        <v>0</v>
      </c>
      <c r="K1047" s="521">
        <v>50</v>
      </c>
      <c r="L1047" s="524">
        <f t="shared" si="384"/>
        <v>14</v>
      </c>
      <c r="M1047" s="525">
        <v>46052</v>
      </c>
      <c r="N1047" s="525">
        <v>46048</v>
      </c>
      <c r="O1047" s="521"/>
      <c r="P1047" s="526" t="s">
        <v>103</v>
      </c>
      <c r="Q1047" s="521"/>
      <c r="R1047" s="530">
        <v>46021</v>
      </c>
      <c r="S1047" s="530" t="s">
        <v>66</v>
      </c>
      <c r="T1047" s="530" t="s">
        <v>66</v>
      </c>
      <c r="U1047" s="530"/>
      <c r="V1047" s="532" t="s">
        <v>5764</v>
      </c>
      <c r="W1047" s="532" t="s">
        <v>853</v>
      </c>
      <c r="X1047" s="536">
        <v>0.9402</v>
      </c>
      <c r="Y1047" s="540">
        <f t="shared" si="403"/>
        <v>658.14</v>
      </c>
      <c r="Z1047" s="521"/>
      <c r="AA1047" s="521" t="s">
        <v>3378</v>
      </c>
      <c r="AB1047" s="521" t="s">
        <v>76</v>
      </c>
      <c r="AC1047" s="521"/>
      <c r="AD1047" s="519"/>
      <c r="AE1047" s="519">
        <v>1</v>
      </c>
      <c r="AF1047" s="521">
        <v>700</v>
      </c>
      <c r="AG1047" s="521">
        <f t="shared" si="404"/>
        <v>0</v>
      </c>
      <c r="AH1047" s="542"/>
      <c r="AI1047" s="521"/>
      <c r="AJ1047" s="521"/>
      <c r="AK1047" s="521"/>
      <c r="AL1047" s="543">
        <f t="shared" si="409"/>
        <v>700</v>
      </c>
      <c r="AM1047" s="628"/>
      <c r="AN1047" s="628"/>
      <c r="AO1047" s="630"/>
      <c r="AP1047" s="427"/>
      <c r="AQ1047" s="628"/>
      <c r="AR1047" s="427"/>
      <c r="AS1047" s="543"/>
      <c r="AT1047" s="544"/>
      <c r="AU1047" s="628"/>
      <c r="AV1047" s="628"/>
      <c r="AW1047" s="628"/>
      <c r="AX1047" s="628"/>
      <c r="AY1047" s="545">
        <f t="shared" si="410"/>
        <v>29.1666666666667</v>
      </c>
      <c r="AZ1047" s="546"/>
      <c r="BA1047" s="628"/>
      <c r="BB1047" s="628"/>
      <c r="BC1047" s="628"/>
      <c r="BD1047" s="628"/>
      <c r="BE1047" s="628"/>
      <c r="BF1047" s="628"/>
      <c r="BG1047" s="628"/>
      <c r="BH1047" s="628"/>
      <c r="BI1047" s="628"/>
      <c r="BJ1047" s="628"/>
      <c r="BK1047" s="427"/>
      <c r="BL1047" s="628"/>
      <c r="BM1047" s="628"/>
      <c r="BN1047" s="628"/>
      <c r="BO1047" s="628"/>
      <c r="BP1047" s="628"/>
      <c r="BQ1047" s="628">
        <f>I1047</f>
        <v>700</v>
      </c>
      <c r="BR1047" s="628">
        <f>I1047</f>
        <v>700</v>
      </c>
      <c r="BS1047" s="628">
        <f>I1047/25</f>
        <v>28</v>
      </c>
      <c r="BT1047" s="544"/>
      <c r="BU1047" s="628"/>
      <c r="BV1047" s="544"/>
      <c r="BW1047" s="628"/>
      <c r="BX1047" s="628"/>
      <c r="BY1047" s="628"/>
      <c r="BZ1047" s="628"/>
      <c r="CA1047" s="628"/>
      <c r="CB1047" s="628"/>
      <c r="CC1047" s="628"/>
      <c r="CD1047" s="628"/>
      <c r="CE1047" s="628"/>
      <c r="CF1047" s="628"/>
      <c r="CG1047" s="628"/>
      <c r="CH1047" s="628"/>
      <c r="CI1047" s="628"/>
      <c r="CJ1047" s="628"/>
      <c r="CK1047" s="427">
        <f t="shared" si="406"/>
        <v>28</v>
      </c>
      <c r="CL1047" s="427">
        <f t="shared" si="407"/>
        <v>0</v>
      </c>
      <c r="CM1047" s="427">
        <f t="shared" si="408"/>
        <v>0</v>
      </c>
      <c r="CN1047" s="544"/>
      <c r="CO1047" s="544"/>
      <c r="CP1047" s="544"/>
      <c r="CT1047" s="544"/>
      <c r="CU1047" s="544"/>
      <c r="CV1047" s="544"/>
      <c r="CW1047" s="544"/>
      <c r="CX1047" s="544"/>
    </row>
    <row r="1048" s="431" customFormat="1" ht="31" customHeight="1" spans="1:102">
      <c r="A1048" s="518">
        <v>45978</v>
      </c>
      <c r="B1048" s="519" t="s">
        <v>1372</v>
      </c>
      <c r="C1048" s="520" t="s">
        <v>90</v>
      </c>
      <c r="D1048" s="427">
        <v>4500185934</v>
      </c>
      <c r="E1048" s="890" t="s">
        <v>2710</v>
      </c>
      <c r="F1048" s="427" t="s">
        <v>2711</v>
      </c>
      <c r="G1048" s="521" t="s">
        <v>5575</v>
      </c>
      <c r="H1048" s="521" t="s">
        <v>744</v>
      </c>
      <c r="I1048" s="607">
        <v>5400</v>
      </c>
      <c r="J1048" s="521">
        <v>0</v>
      </c>
      <c r="K1048" s="521">
        <v>75</v>
      </c>
      <c r="L1048" s="524">
        <f t="shared" si="384"/>
        <v>72</v>
      </c>
      <c r="M1048" s="525">
        <v>46052</v>
      </c>
      <c r="N1048" s="525">
        <v>46048</v>
      </c>
      <c r="O1048" s="521"/>
      <c r="P1048" s="526" t="s">
        <v>103</v>
      </c>
      <c r="Q1048" s="521"/>
      <c r="R1048" s="530" t="s">
        <v>2432</v>
      </c>
      <c r="S1048" s="530" t="s">
        <v>66</v>
      </c>
      <c r="T1048" s="530" t="s">
        <v>66</v>
      </c>
      <c r="U1048" s="530"/>
      <c r="V1048" s="532" t="s">
        <v>2565</v>
      </c>
      <c r="W1048" s="532" t="s">
        <v>821</v>
      </c>
      <c r="X1048" s="536">
        <v>359.3436</v>
      </c>
      <c r="Y1048" s="540">
        <f>X1048*L1048</f>
        <v>25872.7392</v>
      </c>
      <c r="Z1048" s="521"/>
      <c r="AA1048" s="521" t="s">
        <v>1378</v>
      </c>
      <c r="AB1048" s="521" t="s">
        <v>76</v>
      </c>
      <c r="AC1048" s="521"/>
      <c r="AD1048" s="519"/>
      <c r="AE1048" s="519">
        <v>1</v>
      </c>
      <c r="AF1048" s="521">
        <v>5400</v>
      </c>
      <c r="AG1048" s="521">
        <f t="shared" si="404"/>
        <v>0</v>
      </c>
      <c r="AH1048" s="542"/>
      <c r="AI1048" s="521"/>
      <c r="AJ1048" s="521"/>
      <c r="AK1048" s="521">
        <f>I1048*3</f>
        <v>16200</v>
      </c>
      <c r="AL1048" s="543"/>
      <c r="AM1048" s="628"/>
      <c r="AN1048" s="628"/>
      <c r="AO1048" s="630"/>
      <c r="AP1048" s="427"/>
      <c r="AQ1048" s="628"/>
      <c r="AR1048" s="427"/>
      <c r="AS1048" s="543"/>
      <c r="AT1048" s="544"/>
      <c r="AU1048" s="628"/>
      <c r="AV1048" s="628"/>
      <c r="AW1048" s="628"/>
      <c r="AX1048" s="628"/>
      <c r="AY1048" s="545">
        <f>I1048/24*3</f>
        <v>675</v>
      </c>
      <c r="AZ1048" s="546"/>
      <c r="BA1048" s="628"/>
      <c r="BB1048" s="628"/>
      <c r="BC1048" s="628">
        <f>AK1048</f>
        <v>16200</v>
      </c>
      <c r="BD1048" s="628">
        <f>AK1048</f>
        <v>16200</v>
      </c>
      <c r="BE1048" s="628">
        <f>I1048</f>
        <v>5400</v>
      </c>
      <c r="BF1048" s="628">
        <f>I1048/5</f>
        <v>1080</v>
      </c>
      <c r="BG1048" s="628"/>
      <c r="BH1048" s="628"/>
      <c r="BI1048" s="628"/>
      <c r="BJ1048" s="628"/>
      <c r="BK1048" s="427"/>
      <c r="BL1048" s="628"/>
      <c r="BM1048" s="628"/>
      <c r="BN1048" s="628"/>
      <c r="BO1048" s="628"/>
      <c r="BP1048" s="628"/>
      <c r="BQ1048" s="628"/>
      <c r="BR1048" s="628"/>
      <c r="BS1048" s="628"/>
      <c r="BT1048" s="544"/>
      <c r="BU1048" s="628"/>
      <c r="BV1048" s="544"/>
      <c r="BW1048" s="628"/>
      <c r="BX1048" s="628"/>
      <c r="BY1048" s="628"/>
      <c r="BZ1048" s="628"/>
      <c r="CA1048" s="628"/>
      <c r="CB1048" s="628"/>
      <c r="CC1048" s="628"/>
      <c r="CD1048" s="628"/>
      <c r="CE1048" s="628"/>
      <c r="CF1048" s="628"/>
      <c r="CG1048" s="628"/>
      <c r="CH1048" s="628"/>
      <c r="CI1048" s="628"/>
      <c r="CJ1048" s="628"/>
      <c r="CK1048" s="427">
        <f t="shared" si="406"/>
        <v>0</v>
      </c>
      <c r="CL1048" s="427">
        <f t="shared" si="407"/>
        <v>0</v>
      </c>
      <c r="CM1048" s="427">
        <f t="shared" si="408"/>
        <v>0</v>
      </c>
      <c r="CN1048" s="544"/>
      <c r="CO1048" s="544"/>
      <c r="CP1048" s="544"/>
      <c r="CT1048" s="544"/>
      <c r="CU1048" s="544"/>
      <c r="CV1048" s="544"/>
      <c r="CW1048" s="544"/>
      <c r="CX1048" s="544"/>
    </row>
    <row r="1049" s="431" customFormat="1" ht="31" customHeight="1" spans="1:102">
      <c r="A1049" s="518">
        <v>46010</v>
      </c>
      <c r="B1049" s="519" t="s">
        <v>3526</v>
      </c>
      <c r="C1049" s="520" t="s">
        <v>90</v>
      </c>
      <c r="D1049" s="427">
        <v>4500189455</v>
      </c>
      <c r="E1049" s="520"/>
      <c r="F1049" s="427" t="s">
        <v>5766</v>
      </c>
      <c r="G1049" s="521" t="s">
        <v>5767</v>
      </c>
      <c r="H1049" s="521"/>
      <c r="I1049" s="607">
        <v>4500</v>
      </c>
      <c r="J1049" s="521">
        <v>0</v>
      </c>
      <c r="K1049" s="521">
        <v>25</v>
      </c>
      <c r="L1049" s="524">
        <f t="shared" ref="L1049:L1074" si="411">I1049/K1049</f>
        <v>180</v>
      </c>
      <c r="M1049" s="525">
        <v>46052</v>
      </c>
      <c r="N1049" s="525">
        <v>46038</v>
      </c>
      <c r="O1049" s="521"/>
      <c r="P1049" s="526" t="s">
        <v>103</v>
      </c>
      <c r="Q1049" s="521"/>
      <c r="R1049" s="530">
        <v>46028</v>
      </c>
      <c r="S1049" s="530" t="s">
        <v>66</v>
      </c>
      <c r="T1049" s="530" t="s">
        <v>5768</v>
      </c>
      <c r="U1049" s="530"/>
      <c r="V1049" s="532" t="s">
        <v>5769</v>
      </c>
      <c r="W1049" s="532" t="s">
        <v>1590</v>
      </c>
      <c r="X1049" s="536">
        <v>686.64</v>
      </c>
      <c r="Y1049" s="540">
        <f>X1049*L1049</f>
        <v>123595.2</v>
      </c>
      <c r="Z1049" s="521"/>
      <c r="AA1049" s="521" t="s">
        <v>5767</v>
      </c>
      <c r="AB1049" s="521" t="s">
        <v>76</v>
      </c>
      <c r="AC1049" s="521"/>
      <c r="AD1049" s="519"/>
      <c r="AE1049" s="519" t="s">
        <v>76</v>
      </c>
      <c r="AF1049" s="521">
        <v>4500</v>
      </c>
      <c r="AG1049" s="521">
        <f t="shared" si="404"/>
        <v>0</v>
      </c>
      <c r="AH1049" s="542"/>
      <c r="AI1049" s="521" t="s">
        <v>2191</v>
      </c>
      <c r="AJ1049" s="521"/>
      <c r="AK1049" s="521">
        <f>I1049</f>
        <v>4500</v>
      </c>
      <c r="AL1049" s="543"/>
      <c r="AM1049" s="628">
        <f>I1049</f>
        <v>4500</v>
      </c>
      <c r="AN1049" s="628"/>
      <c r="AO1049" s="630"/>
      <c r="AP1049" s="427"/>
      <c r="AQ1049" s="628"/>
      <c r="AR1049" s="427">
        <f>I1049</f>
        <v>4500</v>
      </c>
      <c r="AS1049" s="543"/>
      <c r="AT1049" s="544"/>
      <c r="AU1049" s="628"/>
      <c r="AV1049" s="628"/>
      <c r="AW1049" s="628"/>
      <c r="AX1049" s="628"/>
      <c r="AY1049" s="545">
        <f>I1049/24*2</f>
        <v>375</v>
      </c>
      <c r="AZ1049" s="546"/>
      <c r="BA1049" s="628"/>
      <c r="BB1049" s="628"/>
      <c r="BC1049" s="628"/>
      <c r="BD1049" s="628"/>
      <c r="BE1049" s="628"/>
      <c r="BF1049" s="628"/>
      <c r="BG1049" s="628"/>
      <c r="BH1049" s="628"/>
      <c r="BI1049" s="628"/>
      <c r="BJ1049" s="628">
        <f>I1049/25</f>
        <v>180</v>
      </c>
      <c r="BK1049" s="427"/>
      <c r="BL1049" s="628"/>
      <c r="BM1049" s="628"/>
      <c r="BN1049" s="628"/>
      <c r="BO1049" s="628"/>
      <c r="BP1049" s="628"/>
      <c r="BQ1049" s="628"/>
      <c r="BR1049" s="628"/>
      <c r="BS1049" s="628"/>
      <c r="BT1049" s="544"/>
      <c r="BU1049" s="628"/>
      <c r="BV1049" s="544"/>
      <c r="BW1049" s="628"/>
      <c r="BX1049" s="628"/>
      <c r="BY1049" s="628"/>
      <c r="BZ1049" s="628"/>
      <c r="CA1049" s="628"/>
      <c r="CB1049" s="628"/>
      <c r="CC1049" s="628"/>
      <c r="CD1049" s="628"/>
      <c r="CE1049" s="628"/>
      <c r="CF1049" s="628"/>
      <c r="CG1049" s="628"/>
      <c r="CH1049" s="628"/>
      <c r="CI1049" s="628"/>
      <c r="CJ1049" s="628"/>
      <c r="CK1049" s="427">
        <f t="shared" si="406"/>
        <v>180</v>
      </c>
      <c r="CL1049" s="427">
        <f t="shared" si="407"/>
        <v>0</v>
      </c>
      <c r="CM1049" s="427">
        <f t="shared" si="408"/>
        <v>0</v>
      </c>
      <c r="CN1049" s="544"/>
      <c r="CO1049" s="544"/>
      <c r="CP1049" s="544"/>
      <c r="CT1049" s="544"/>
      <c r="CU1049" s="544"/>
      <c r="CV1049" s="544"/>
      <c r="CW1049" s="544"/>
      <c r="CX1049" s="544"/>
    </row>
    <row r="1050" s="431" customFormat="1" ht="31" customHeight="1" spans="1:102">
      <c r="A1050" s="518">
        <v>45971</v>
      </c>
      <c r="B1050" s="519" t="s">
        <v>1514</v>
      </c>
      <c r="C1050" s="520" t="s">
        <v>645</v>
      </c>
      <c r="D1050" s="427">
        <v>4500189943</v>
      </c>
      <c r="E1050" s="520" t="s">
        <v>2705</v>
      </c>
      <c r="F1050" s="427" t="s">
        <v>5770</v>
      </c>
      <c r="G1050" s="521" t="s">
        <v>3158</v>
      </c>
      <c r="H1050" s="521" t="s">
        <v>3159</v>
      </c>
      <c r="I1050" s="607">
        <v>1560</v>
      </c>
      <c r="J1050" s="521">
        <v>0</v>
      </c>
      <c r="K1050" s="521">
        <v>52</v>
      </c>
      <c r="L1050" s="524">
        <f t="shared" si="411"/>
        <v>30</v>
      </c>
      <c r="M1050" s="525">
        <v>46052</v>
      </c>
      <c r="N1050" s="525">
        <v>46048</v>
      </c>
      <c r="O1050" s="521" t="s">
        <v>5771</v>
      </c>
      <c r="P1050" s="526" t="s">
        <v>103</v>
      </c>
      <c r="Q1050" s="521"/>
      <c r="R1050" s="530">
        <v>45971</v>
      </c>
      <c r="S1050" s="530" t="s">
        <v>66</v>
      </c>
      <c r="T1050" s="530" t="s">
        <v>5772</v>
      </c>
      <c r="U1050" s="530" t="s">
        <v>2707</v>
      </c>
      <c r="V1050" s="532" t="s">
        <v>5773</v>
      </c>
      <c r="W1050" s="532" t="s">
        <v>1663</v>
      </c>
      <c r="X1050" s="536">
        <v>0.9371</v>
      </c>
      <c r="Y1050" s="540">
        <f t="shared" ref="Y1050:Y1056" si="412">X1050*I1050</f>
        <v>1461.876</v>
      </c>
      <c r="Z1050" s="521"/>
      <c r="AA1050" s="521" t="s">
        <v>3158</v>
      </c>
      <c r="AB1050" s="521" t="s">
        <v>76</v>
      </c>
      <c r="AC1050" s="521"/>
      <c r="AD1050" s="519"/>
      <c r="AE1050" s="519">
        <v>1</v>
      </c>
      <c r="AF1050" s="521">
        <f>780+780</f>
        <v>1560</v>
      </c>
      <c r="AG1050" s="521">
        <f t="shared" si="404"/>
        <v>0</v>
      </c>
      <c r="AH1050" s="542"/>
      <c r="AI1050" s="521" t="s">
        <v>2191</v>
      </c>
      <c r="AJ1050" s="521"/>
      <c r="AK1050" s="521"/>
      <c r="AL1050" s="543">
        <f>I1050</f>
        <v>1560</v>
      </c>
      <c r="AM1050" s="628"/>
      <c r="AN1050" s="628"/>
      <c r="AO1050" s="630"/>
      <c r="AP1050" s="427"/>
      <c r="AQ1050" s="628">
        <f>I1050</f>
        <v>1560</v>
      </c>
      <c r="AR1050" s="427"/>
      <c r="AS1050" s="543">
        <f>I1050</f>
        <v>1560</v>
      </c>
      <c r="AT1050" s="544"/>
      <c r="AU1050" s="628"/>
      <c r="AV1050" s="628"/>
      <c r="AW1050" s="628"/>
      <c r="AX1050" s="628"/>
      <c r="AY1050" s="545">
        <f>I1050/24</f>
        <v>65</v>
      </c>
      <c r="AZ1050" s="546"/>
      <c r="BA1050" s="628"/>
      <c r="BB1050" s="628"/>
      <c r="BC1050" s="628"/>
      <c r="BD1050" s="628"/>
      <c r="BE1050" s="628"/>
      <c r="BF1050" s="628"/>
      <c r="BG1050" s="628"/>
      <c r="BH1050" s="628"/>
      <c r="BI1050" s="628">
        <f>I1050/13</f>
        <v>120</v>
      </c>
      <c r="BJ1050" s="628"/>
      <c r="BK1050" s="427"/>
      <c r="BL1050" s="628"/>
      <c r="BM1050" s="628"/>
      <c r="BN1050" s="628"/>
      <c r="BO1050" s="628"/>
      <c r="BP1050" s="628"/>
      <c r="BQ1050" s="628"/>
      <c r="BR1050" s="628"/>
      <c r="BS1050" s="628"/>
      <c r="BT1050" s="544"/>
      <c r="BU1050" s="628"/>
      <c r="BV1050" s="544"/>
      <c r="BW1050" s="628"/>
      <c r="BX1050" s="628"/>
      <c r="BY1050" s="628"/>
      <c r="BZ1050" s="628"/>
      <c r="CA1050" s="628"/>
      <c r="CB1050" s="628"/>
      <c r="CC1050" s="628"/>
      <c r="CD1050" s="628"/>
      <c r="CE1050" s="628"/>
      <c r="CF1050" s="628"/>
      <c r="CG1050" s="628"/>
      <c r="CH1050" s="628"/>
      <c r="CI1050" s="628"/>
      <c r="CJ1050" s="628"/>
      <c r="CK1050" s="427">
        <f t="shared" si="406"/>
        <v>0</v>
      </c>
      <c r="CL1050" s="427">
        <f t="shared" si="407"/>
        <v>0</v>
      </c>
      <c r="CM1050" s="427">
        <f t="shared" si="408"/>
        <v>0</v>
      </c>
      <c r="CN1050" s="544"/>
      <c r="CO1050" s="544"/>
      <c r="CP1050" s="544"/>
      <c r="CT1050" s="544"/>
      <c r="CU1050" s="544"/>
      <c r="CV1050" s="544"/>
      <c r="CW1050" s="544"/>
      <c r="CX1050" s="544"/>
    </row>
    <row r="1051" s="431" customFormat="1" ht="31" customHeight="1" spans="1:102">
      <c r="A1051" s="518">
        <v>45930</v>
      </c>
      <c r="B1051" s="519" t="s">
        <v>1105</v>
      </c>
      <c r="C1051" s="520" t="s">
        <v>468</v>
      </c>
      <c r="D1051" s="427">
        <v>4500181047</v>
      </c>
      <c r="E1051" s="520">
        <v>137110638</v>
      </c>
      <c r="F1051" s="427" t="s">
        <v>5774</v>
      </c>
      <c r="G1051" s="521" t="s">
        <v>3161</v>
      </c>
      <c r="H1051" s="521" t="s">
        <v>3221</v>
      </c>
      <c r="I1051" s="607">
        <v>1250</v>
      </c>
      <c r="J1051" s="521">
        <v>0</v>
      </c>
      <c r="K1051" s="521">
        <v>50</v>
      </c>
      <c r="L1051" s="524">
        <f t="shared" si="411"/>
        <v>25</v>
      </c>
      <c r="M1051" s="525">
        <v>46055</v>
      </c>
      <c r="N1051" s="525">
        <f>M1051-4</f>
        <v>46051</v>
      </c>
      <c r="O1051" s="521" t="s">
        <v>5775</v>
      </c>
      <c r="P1051" s="526" t="s">
        <v>103</v>
      </c>
      <c r="Q1051" s="521"/>
      <c r="R1051" s="530">
        <v>46027</v>
      </c>
      <c r="S1051" s="530" t="s">
        <v>66</v>
      </c>
      <c r="T1051" s="530" t="s">
        <v>5776</v>
      </c>
      <c r="U1051" s="530"/>
      <c r="V1051" s="532" t="s">
        <v>5777</v>
      </c>
      <c r="W1051" s="532" t="s">
        <v>304</v>
      </c>
      <c r="X1051" s="536">
        <v>0.941</v>
      </c>
      <c r="Y1051" s="540">
        <f t="shared" si="412"/>
        <v>1176.25</v>
      </c>
      <c r="Z1051" s="521"/>
      <c r="AA1051" s="521" t="s">
        <v>3161</v>
      </c>
      <c r="AB1051" s="521" t="s">
        <v>76</v>
      </c>
      <c r="AC1051" s="521"/>
      <c r="AD1051" s="519"/>
      <c r="AE1051" s="519" t="s">
        <v>114</v>
      </c>
      <c r="AF1051" s="521">
        <v>1250</v>
      </c>
      <c r="AG1051" s="521">
        <f t="shared" si="404"/>
        <v>0</v>
      </c>
      <c r="AH1051" s="542"/>
      <c r="AI1051" s="521" t="s">
        <v>2191</v>
      </c>
      <c r="AJ1051" s="521"/>
      <c r="AK1051" s="521"/>
      <c r="AL1051" s="543">
        <f>I1051</f>
        <v>1250</v>
      </c>
      <c r="AM1051" s="628"/>
      <c r="AN1051" s="628"/>
      <c r="AO1051" s="630"/>
      <c r="AP1051" s="427"/>
      <c r="AQ1051" s="628">
        <f>I1051</f>
        <v>1250</v>
      </c>
      <c r="AR1051" s="427"/>
      <c r="AS1051" s="543">
        <f>I1051</f>
        <v>1250</v>
      </c>
      <c r="AT1051" s="544"/>
      <c r="AU1051" s="628"/>
      <c r="AV1051" s="628"/>
      <c r="AW1051" s="628"/>
      <c r="AX1051" s="628"/>
      <c r="AY1051" s="545">
        <f>I1051/24</f>
        <v>52.0833333333333</v>
      </c>
      <c r="AZ1051" s="546"/>
      <c r="BA1051" s="628"/>
      <c r="BB1051" s="628"/>
      <c r="BC1051" s="628"/>
      <c r="BD1051" s="628"/>
      <c r="BE1051" s="628"/>
      <c r="BF1051" s="628"/>
      <c r="BG1051" s="628"/>
      <c r="BH1051" s="628"/>
      <c r="BI1051" s="628"/>
      <c r="BJ1051" s="628"/>
      <c r="BK1051" s="427"/>
      <c r="BL1051" s="628">
        <f>I1051/25</f>
        <v>50</v>
      </c>
      <c r="BM1051" s="628"/>
      <c r="BN1051" s="628"/>
      <c r="BO1051" s="628"/>
      <c r="BP1051" s="628"/>
      <c r="BQ1051" s="628"/>
      <c r="BR1051" s="628"/>
      <c r="BS1051" s="628"/>
      <c r="BT1051" s="544"/>
      <c r="BU1051" s="628"/>
      <c r="BV1051" s="544"/>
      <c r="BW1051" s="628"/>
      <c r="BX1051" s="628"/>
      <c r="BY1051" s="628"/>
      <c r="BZ1051" s="628"/>
      <c r="CA1051" s="628"/>
      <c r="CB1051" s="628"/>
      <c r="CC1051" s="628"/>
      <c r="CD1051" s="628"/>
      <c r="CE1051" s="628"/>
      <c r="CF1051" s="628"/>
      <c r="CG1051" s="628"/>
      <c r="CH1051" s="628"/>
      <c r="CI1051" s="628"/>
      <c r="CJ1051" s="628"/>
      <c r="CK1051" s="427">
        <f t="shared" si="406"/>
        <v>50</v>
      </c>
      <c r="CL1051" s="427">
        <f t="shared" si="407"/>
        <v>0</v>
      </c>
      <c r="CM1051" s="427">
        <f t="shared" si="408"/>
        <v>0</v>
      </c>
      <c r="CN1051" s="544"/>
      <c r="CO1051" s="544"/>
      <c r="CP1051" s="544"/>
      <c r="CT1051" s="544"/>
      <c r="CU1051" s="544"/>
      <c r="CV1051" s="544"/>
      <c r="CW1051" s="544"/>
      <c r="CX1051" s="544"/>
    </row>
    <row r="1052" s="431" customFormat="1" ht="31" customHeight="1" spans="1:102">
      <c r="A1052" s="518">
        <v>46027</v>
      </c>
      <c r="B1052" s="519" t="s">
        <v>1105</v>
      </c>
      <c r="C1052" s="520" t="s">
        <v>468</v>
      </c>
      <c r="D1052" s="427">
        <v>4500181047</v>
      </c>
      <c r="E1052" s="520">
        <v>137121075</v>
      </c>
      <c r="F1052" s="427" t="s">
        <v>5778</v>
      </c>
      <c r="G1052" s="521" t="s">
        <v>3161</v>
      </c>
      <c r="H1052" s="521" t="s">
        <v>3221</v>
      </c>
      <c r="I1052" s="607">
        <v>300</v>
      </c>
      <c r="J1052" s="521">
        <v>0</v>
      </c>
      <c r="K1052" s="521">
        <v>50</v>
      </c>
      <c r="L1052" s="524">
        <f t="shared" si="411"/>
        <v>6</v>
      </c>
      <c r="M1052" s="525">
        <v>46055</v>
      </c>
      <c r="N1052" s="525">
        <f>M1052-4</f>
        <v>46051</v>
      </c>
      <c r="O1052" s="521" t="s">
        <v>5775</v>
      </c>
      <c r="P1052" s="526" t="s">
        <v>103</v>
      </c>
      <c r="Q1052" s="521"/>
      <c r="R1052" s="530">
        <v>46027</v>
      </c>
      <c r="S1052" s="530" t="s">
        <v>66</v>
      </c>
      <c r="T1052" s="530" t="s">
        <v>5776</v>
      </c>
      <c r="U1052" s="530"/>
      <c r="V1052" s="532" t="s">
        <v>5779</v>
      </c>
      <c r="W1052" s="532" t="s">
        <v>304</v>
      </c>
      <c r="X1052" s="536">
        <v>0.941</v>
      </c>
      <c r="Y1052" s="540">
        <f t="shared" si="412"/>
        <v>282.3</v>
      </c>
      <c r="Z1052" s="521"/>
      <c r="AA1052" s="521" t="s">
        <v>3161</v>
      </c>
      <c r="AB1052" s="521" t="s">
        <v>76</v>
      </c>
      <c r="AC1052" s="521"/>
      <c r="AD1052" s="519"/>
      <c r="AE1052" s="519" t="s">
        <v>114</v>
      </c>
      <c r="AF1052" s="521">
        <v>300</v>
      </c>
      <c r="AG1052" s="521">
        <f t="shared" si="404"/>
        <v>0</v>
      </c>
      <c r="AH1052" s="542"/>
      <c r="AI1052" s="521"/>
      <c r="AJ1052" s="521"/>
      <c r="AK1052" s="521"/>
      <c r="AL1052" s="543">
        <f>I1052</f>
        <v>300</v>
      </c>
      <c r="AM1052" s="628"/>
      <c r="AN1052" s="628"/>
      <c r="AO1052" s="630"/>
      <c r="AP1052" s="427"/>
      <c r="AQ1052" s="628">
        <f>I1052</f>
        <v>300</v>
      </c>
      <c r="AR1052" s="427"/>
      <c r="AS1052" s="543">
        <f>I1052</f>
        <v>300</v>
      </c>
      <c r="AT1052" s="544"/>
      <c r="AU1052" s="628"/>
      <c r="AV1052" s="628"/>
      <c r="AW1052" s="628"/>
      <c r="AX1052" s="628"/>
      <c r="AY1052" s="545">
        <f>I1052/24</f>
        <v>12.5</v>
      </c>
      <c r="AZ1052" s="546"/>
      <c r="BA1052" s="628"/>
      <c r="BB1052" s="628"/>
      <c r="BC1052" s="628"/>
      <c r="BD1052" s="628"/>
      <c r="BE1052" s="628"/>
      <c r="BF1052" s="628"/>
      <c r="BG1052" s="628"/>
      <c r="BH1052" s="628"/>
      <c r="BI1052" s="628"/>
      <c r="BJ1052" s="628"/>
      <c r="BK1052" s="427"/>
      <c r="BL1052" s="628">
        <f>I1052/25</f>
        <v>12</v>
      </c>
      <c r="BM1052" s="628"/>
      <c r="BN1052" s="628"/>
      <c r="BO1052" s="628"/>
      <c r="BP1052" s="628"/>
      <c r="BQ1052" s="628"/>
      <c r="BR1052" s="628"/>
      <c r="BS1052" s="628"/>
      <c r="BT1052" s="544"/>
      <c r="BU1052" s="628"/>
      <c r="BV1052" s="544"/>
      <c r="BW1052" s="628"/>
      <c r="BX1052" s="628"/>
      <c r="BY1052" s="628"/>
      <c r="BZ1052" s="628"/>
      <c r="CA1052" s="628"/>
      <c r="CB1052" s="628"/>
      <c r="CC1052" s="628"/>
      <c r="CD1052" s="628"/>
      <c r="CE1052" s="628"/>
      <c r="CF1052" s="628"/>
      <c r="CG1052" s="628"/>
      <c r="CH1052" s="628"/>
      <c r="CI1052" s="628"/>
      <c r="CJ1052" s="628"/>
      <c r="CK1052" s="427">
        <f t="shared" si="406"/>
        <v>12</v>
      </c>
      <c r="CL1052" s="427">
        <f t="shared" si="407"/>
        <v>0</v>
      </c>
      <c r="CM1052" s="427">
        <f t="shared" si="408"/>
        <v>0</v>
      </c>
      <c r="CN1052" s="544"/>
      <c r="CO1052" s="544"/>
      <c r="CP1052" s="544"/>
      <c r="CT1052" s="544"/>
      <c r="CU1052" s="544"/>
      <c r="CV1052" s="544"/>
      <c r="CW1052" s="544"/>
      <c r="CX1052" s="544"/>
    </row>
    <row r="1053" s="431" customFormat="1" ht="31" customHeight="1" spans="1:102">
      <c r="A1053" s="518">
        <v>46027</v>
      </c>
      <c r="B1053" s="519" t="s">
        <v>1105</v>
      </c>
      <c r="C1053" s="520" t="s">
        <v>468</v>
      </c>
      <c r="D1053" s="427">
        <v>4500181047</v>
      </c>
      <c r="E1053" s="520">
        <v>137121646</v>
      </c>
      <c r="F1053" s="427" t="s">
        <v>5780</v>
      </c>
      <c r="G1053" s="521" t="s">
        <v>3161</v>
      </c>
      <c r="H1053" s="521" t="s">
        <v>3221</v>
      </c>
      <c r="I1053" s="607">
        <v>950</v>
      </c>
      <c r="J1053" s="521">
        <v>0</v>
      </c>
      <c r="K1053" s="521">
        <v>50</v>
      </c>
      <c r="L1053" s="524">
        <f t="shared" si="411"/>
        <v>19</v>
      </c>
      <c r="M1053" s="525">
        <v>46055</v>
      </c>
      <c r="N1053" s="525">
        <f>M1053-4</f>
        <v>46051</v>
      </c>
      <c r="O1053" s="521" t="s">
        <v>5775</v>
      </c>
      <c r="P1053" s="526" t="s">
        <v>103</v>
      </c>
      <c r="Q1053" s="521"/>
      <c r="R1053" s="530">
        <v>46027</v>
      </c>
      <c r="S1053" s="530" t="s">
        <v>66</v>
      </c>
      <c r="T1053" s="530" t="s">
        <v>5776</v>
      </c>
      <c r="U1053" s="530"/>
      <c r="V1053" s="532" t="s">
        <v>5779</v>
      </c>
      <c r="W1053" s="532" t="s">
        <v>304</v>
      </c>
      <c r="X1053" s="536">
        <v>0.941</v>
      </c>
      <c r="Y1053" s="540">
        <f t="shared" si="412"/>
        <v>893.95</v>
      </c>
      <c r="Z1053" s="521"/>
      <c r="AA1053" s="521" t="s">
        <v>3161</v>
      </c>
      <c r="AB1053" s="521" t="s">
        <v>76</v>
      </c>
      <c r="AC1053" s="521"/>
      <c r="AD1053" s="519"/>
      <c r="AE1053" s="519">
        <v>1</v>
      </c>
      <c r="AF1053" s="521">
        <v>950</v>
      </c>
      <c r="AG1053" s="521">
        <f t="shared" si="404"/>
        <v>0</v>
      </c>
      <c r="AH1053" s="542"/>
      <c r="AI1053" s="521"/>
      <c r="AJ1053" s="521"/>
      <c r="AK1053" s="521"/>
      <c r="AL1053" s="543">
        <f>I1053</f>
        <v>950</v>
      </c>
      <c r="AM1053" s="628"/>
      <c r="AN1053" s="628"/>
      <c r="AO1053" s="630"/>
      <c r="AP1053" s="427"/>
      <c r="AQ1053" s="628">
        <f>I1053</f>
        <v>950</v>
      </c>
      <c r="AR1053" s="427"/>
      <c r="AS1053" s="543">
        <f>I1053</f>
        <v>950</v>
      </c>
      <c r="AT1053" s="544"/>
      <c r="AU1053" s="628"/>
      <c r="AV1053" s="628"/>
      <c r="AW1053" s="628"/>
      <c r="AX1053" s="628"/>
      <c r="AY1053" s="545">
        <f>I1053/24</f>
        <v>39.5833333333333</v>
      </c>
      <c r="AZ1053" s="546"/>
      <c r="BA1053" s="628"/>
      <c r="BB1053" s="628"/>
      <c r="BC1053" s="628"/>
      <c r="BD1053" s="628"/>
      <c r="BE1053" s="628"/>
      <c r="BF1053" s="628"/>
      <c r="BG1053" s="628"/>
      <c r="BH1053" s="628"/>
      <c r="BI1053" s="628"/>
      <c r="BJ1053" s="628"/>
      <c r="BK1053" s="427"/>
      <c r="BL1053" s="628">
        <f>I1053/25</f>
        <v>38</v>
      </c>
      <c r="BM1053" s="628"/>
      <c r="BN1053" s="628"/>
      <c r="BO1053" s="628"/>
      <c r="BP1053" s="628"/>
      <c r="BQ1053" s="628"/>
      <c r="BR1053" s="628"/>
      <c r="BS1053" s="628"/>
      <c r="BT1053" s="544"/>
      <c r="BU1053" s="628"/>
      <c r="BV1053" s="544"/>
      <c r="BW1053" s="628"/>
      <c r="BX1053" s="628"/>
      <c r="BY1053" s="628"/>
      <c r="BZ1053" s="628"/>
      <c r="CA1053" s="628"/>
      <c r="CB1053" s="628"/>
      <c r="CC1053" s="628"/>
      <c r="CD1053" s="628"/>
      <c r="CE1053" s="628"/>
      <c r="CF1053" s="628"/>
      <c r="CG1053" s="628"/>
      <c r="CH1053" s="628"/>
      <c r="CI1053" s="628"/>
      <c r="CJ1053" s="628"/>
      <c r="CK1053" s="427">
        <f t="shared" si="406"/>
        <v>38</v>
      </c>
      <c r="CL1053" s="427">
        <f t="shared" si="407"/>
        <v>0</v>
      </c>
      <c r="CM1053" s="427">
        <f t="shared" si="408"/>
        <v>0</v>
      </c>
      <c r="CN1053" s="544"/>
      <c r="CO1053" s="544"/>
      <c r="CP1053" s="544"/>
      <c r="CT1053" s="544"/>
      <c r="CU1053" s="544"/>
      <c r="CV1053" s="544"/>
      <c r="CW1053" s="544"/>
      <c r="CX1053" s="544"/>
    </row>
    <row r="1054" s="431" customFormat="1" ht="31" customHeight="1" spans="1:102">
      <c r="A1054" s="518">
        <v>46015</v>
      </c>
      <c r="B1054" s="519" t="s">
        <v>1051</v>
      </c>
      <c r="C1054" s="520" t="s">
        <v>153</v>
      </c>
      <c r="D1054" s="427">
        <v>4500189941</v>
      </c>
      <c r="E1054" s="520" t="s">
        <v>2719</v>
      </c>
      <c r="F1054" s="427" t="s">
        <v>5781</v>
      </c>
      <c r="G1054" s="521" t="s">
        <v>3272</v>
      </c>
      <c r="H1054" s="521" t="s">
        <v>3207</v>
      </c>
      <c r="I1054" s="607">
        <v>1300</v>
      </c>
      <c r="J1054" s="521">
        <v>0</v>
      </c>
      <c r="K1054" s="521">
        <v>13</v>
      </c>
      <c r="L1054" s="524">
        <f t="shared" si="411"/>
        <v>100</v>
      </c>
      <c r="M1054" s="525">
        <v>46055</v>
      </c>
      <c r="N1054" s="525">
        <f>M1054-4</f>
        <v>46051</v>
      </c>
      <c r="O1054" s="521"/>
      <c r="P1054" s="526" t="s">
        <v>103</v>
      </c>
      <c r="Q1054" s="521"/>
      <c r="R1054" s="530">
        <v>46027</v>
      </c>
      <c r="S1054" s="530" t="s">
        <v>66</v>
      </c>
      <c r="T1054" s="530" t="s">
        <v>66</v>
      </c>
      <c r="U1054" s="530"/>
      <c r="V1054" s="532" t="s">
        <v>5782</v>
      </c>
      <c r="W1054" s="532" t="s">
        <v>1055</v>
      </c>
      <c r="X1054" s="536">
        <v>0.9213</v>
      </c>
      <c r="Y1054" s="540">
        <f t="shared" si="412"/>
        <v>1197.69</v>
      </c>
      <c r="Z1054" s="521"/>
      <c r="AA1054" s="521" t="s">
        <v>3272</v>
      </c>
      <c r="AB1054" s="521" t="s">
        <v>76</v>
      </c>
      <c r="AC1054" s="521"/>
      <c r="AD1054" s="519"/>
      <c r="AE1054" s="519">
        <v>1</v>
      </c>
      <c r="AF1054" s="521">
        <v>1300</v>
      </c>
      <c r="AG1054" s="521">
        <f t="shared" si="404"/>
        <v>0</v>
      </c>
      <c r="AH1054" s="542"/>
      <c r="AI1054" s="521" t="s">
        <v>2191</v>
      </c>
      <c r="AJ1054" s="521"/>
      <c r="AK1054" s="521">
        <f>I1054</f>
        <v>1300</v>
      </c>
      <c r="AL1054" s="543"/>
      <c r="AM1054" s="628"/>
      <c r="AN1054" s="628"/>
      <c r="AO1054" s="630"/>
      <c r="AP1054" s="427">
        <f>I1054</f>
        <v>1300</v>
      </c>
      <c r="AQ1054" s="628"/>
      <c r="AR1054" s="427">
        <f>I1054</f>
        <v>1300</v>
      </c>
      <c r="AS1054" s="543"/>
      <c r="AT1054" s="544"/>
      <c r="AU1054" s="628"/>
      <c r="AV1054" s="628"/>
      <c r="AW1054" s="628"/>
      <c r="AX1054" s="628"/>
      <c r="AY1054" s="545">
        <f>I1054/24</f>
        <v>54.1666666666667</v>
      </c>
      <c r="AZ1054" s="546"/>
      <c r="BA1054" s="628"/>
      <c r="BB1054" s="628"/>
      <c r="BC1054" s="628"/>
      <c r="BD1054" s="628"/>
      <c r="BE1054" s="628"/>
      <c r="BF1054" s="628"/>
      <c r="BG1054" s="628"/>
      <c r="BH1054" s="628">
        <f>I1054/13</f>
        <v>100</v>
      </c>
      <c r="BI1054" s="628"/>
      <c r="BJ1054" s="628"/>
      <c r="BK1054" s="427"/>
      <c r="BL1054" s="628"/>
      <c r="BM1054" s="628"/>
      <c r="BN1054" s="628"/>
      <c r="BO1054" s="628"/>
      <c r="BP1054" s="628"/>
      <c r="BQ1054" s="628"/>
      <c r="BR1054" s="628"/>
      <c r="BS1054" s="628"/>
      <c r="BT1054" s="544"/>
      <c r="BU1054" s="628"/>
      <c r="BV1054" s="544"/>
      <c r="BW1054" s="628"/>
      <c r="BX1054" s="628"/>
      <c r="BY1054" s="628"/>
      <c r="BZ1054" s="628"/>
      <c r="CA1054" s="628"/>
      <c r="CB1054" s="628"/>
      <c r="CC1054" s="628"/>
      <c r="CD1054" s="628"/>
      <c r="CE1054" s="628"/>
      <c r="CF1054" s="628"/>
      <c r="CG1054" s="628"/>
      <c r="CH1054" s="628"/>
      <c r="CI1054" s="628"/>
      <c r="CJ1054" s="628"/>
      <c r="CK1054" s="427">
        <f t="shared" si="406"/>
        <v>0</v>
      </c>
      <c r="CL1054" s="427">
        <f t="shared" si="407"/>
        <v>0</v>
      </c>
      <c r="CM1054" s="427">
        <f t="shared" si="408"/>
        <v>0</v>
      </c>
      <c r="CN1054" s="544"/>
      <c r="CO1054" s="544"/>
      <c r="CP1054" s="544"/>
      <c r="CT1054" s="544"/>
      <c r="CU1054" s="544"/>
      <c r="CV1054" s="544"/>
      <c r="CW1054" s="544"/>
      <c r="CX1054" s="544"/>
    </row>
    <row r="1055" s="431" customFormat="1" ht="31" customHeight="1" spans="1:102">
      <c r="A1055" s="518">
        <v>45996</v>
      </c>
      <c r="B1055" s="519" t="s">
        <v>1492</v>
      </c>
      <c r="C1055" s="520" t="s">
        <v>249</v>
      </c>
      <c r="D1055" s="427">
        <v>4500188241</v>
      </c>
      <c r="E1055" s="520">
        <v>4400529725</v>
      </c>
      <c r="F1055" s="427" t="s">
        <v>5783</v>
      </c>
      <c r="G1055" s="521" t="s">
        <v>3165</v>
      </c>
      <c r="H1055" s="521" t="s">
        <v>3303</v>
      </c>
      <c r="I1055" s="607">
        <v>10000</v>
      </c>
      <c r="J1055" s="521">
        <v>0</v>
      </c>
      <c r="K1055" s="521">
        <v>25</v>
      </c>
      <c r="L1055" s="524">
        <f t="shared" si="411"/>
        <v>400</v>
      </c>
      <c r="M1055" s="525">
        <v>46056</v>
      </c>
      <c r="N1055" s="525">
        <v>46052</v>
      </c>
      <c r="O1055" s="521"/>
      <c r="P1055" s="526" t="s">
        <v>103</v>
      </c>
      <c r="Q1055" s="521"/>
      <c r="R1055" s="530">
        <v>45990</v>
      </c>
      <c r="S1055" s="530" t="s">
        <v>66</v>
      </c>
      <c r="T1055" s="530" t="s">
        <v>5427</v>
      </c>
      <c r="U1055" s="530"/>
      <c r="V1055" s="532" t="s">
        <v>5464</v>
      </c>
      <c r="W1055" s="532" t="s">
        <v>1424</v>
      </c>
      <c r="X1055" s="536">
        <v>0.9313</v>
      </c>
      <c r="Y1055" s="540">
        <f t="shared" si="412"/>
        <v>9313</v>
      </c>
      <c r="Z1055" s="521"/>
      <c r="AA1055" s="521" t="s">
        <v>3165</v>
      </c>
      <c r="AB1055" s="521" t="s">
        <v>76</v>
      </c>
      <c r="AC1055" s="521"/>
      <c r="AD1055" s="519"/>
      <c r="AE1055" s="519">
        <v>1</v>
      </c>
      <c r="AF1055" s="521">
        <v>10000</v>
      </c>
      <c r="AG1055" s="521">
        <f t="shared" si="404"/>
        <v>0</v>
      </c>
      <c r="AH1055" s="542"/>
      <c r="AI1055" s="521" t="s">
        <v>2191</v>
      </c>
      <c r="AJ1055" s="521"/>
      <c r="AK1055" s="521"/>
      <c r="AL1055" s="543">
        <f>I1055</f>
        <v>10000</v>
      </c>
      <c r="AM1055" s="628"/>
      <c r="AN1055" s="628"/>
      <c r="AO1055" s="630"/>
      <c r="AP1055" s="427"/>
      <c r="AQ1055" s="628">
        <f>I1055</f>
        <v>10000</v>
      </c>
      <c r="AR1055" s="427"/>
      <c r="AS1055" s="543">
        <f>I1055</f>
        <v>10000</v>
      </c>
      <c r="AT1055" s="544"/>
      <c r="AU1055" s="628"/>
      <c r="AV1055" s="628"/>
      <c r="AW1055" s="628"/>
      <c r="AX1055" s="628"/>
      <c r="AY1055" s="545">
        <f>I1055/24*2</f>
        <v>833.333333333333</v>
      </c>
      <c r="AZ1055" s="546"/>
      <c r="BA1055" s="628"/>
      <c r="BB1055" s="628"/>
      <c r="BC1055" s="628"/>
      <c r="BD1055" s="628"/>
      <c r="BE1055" s="628"/>
      <c r="BF1055" s="628"/>
      <c r="BG1055" s="628"/>
      <c r="BH1055" s="628"/>
      <c r="BI1055" s="628"/>
      <c r="BJ1055" s="628"/>
      <c r="BK1055" s="427"/>
      <c r="BL1055" s="427">
        <f>I1055/25</f>
        <v>400</v>
      </c>
      <c r="BM1055" s="628"/>
      <c r="BN1055" s="628"/>
      <c r="BO1055" s="628"/>
      <c r="BP1055" s="628"/>
      <c r="BQ1055" s="628"/>
      <c r="BR1055" s="628"/>
      <c r="BS1055" s="628"/>
      <c r="BT1055" s="544"/>
      <c r="BU1055" s="628"/>
      <c r="BV1055" s="544"/>
      <c r="BW1055" s="628"/>
      <c r="BX1055" s="628"/>
      <c r="BY1055" s="628"/>
      <c r="BZ1055" s="628"/>
      <c r="CA1055" s="628"/>
      <c r="CB1055" s="628"/>
      <c r="CC1055" s="628"/>
      <c r="CD1055" s="628"/>
      <c r="CE1055" s="628"/>
      <c r="CF1055" s="628"/>
      <c r="CG1055" s="628"/>
      <c r="CH1055" s="628"/>
      <c r="CI1055" s="628"/>
      <c r="CJ1055" s="628"/>
      <c r="CK1055" s="427">
        <f t="shared" si="406"/>
        <v>400</v>
      </c>
      <c r="CL1055" s="427">
        <f t="shared" si="407"/>
        <v>0</v>
      </c>
      <c r="CM1055" s="427">
        <f t="shared" si="408"/>
        <v>0</v>
      </c>
      <c r="CN1055" s="544"/>
      <c r="CO1055" s="544"/>
      <c r="CP1055" s="544"/>
      <c r="CT1055" s="544"/>
      <c r="CU1055" s="544"/>
      <c r="CV1055" s="544"/>
      <c r="CW1055" s="544"/>
      <c r="CX1055" s="544"/>
    </row>
    <row r="1056" s="431" customFormat="1" ht="31" customHeight="1" spans="1:102">
      <c r="A1056" s="518">
        <v>45996</v>
      </c>
      <c r="B1056" s="519" t="s">
        <v>1419</v>
      </c>
      <c r="C1056" s="520" t="s">
        <v>231</v>
      </c>
      <c r="D1056" s="427">
        <v>4500188243</v>
      </c>
      <c r="E1056" s="520">
        <v>4400529726</v>
      </c>
      <c r="F1056" s="427" t="s">
        <v>5784</v>
      </c>
      <c r="G1056" s="521" t="s">
        <v>3165</v>
      </c>
      <c r="H1056" s="521" t="s">
        <v>3303</v>
      </c>
      <c r="I1056" s="607">
        <v>4000</v>
      </c>
      <c r="J1056" s="521">
        <v>0</v>
      </c>
      <c r="K1056" s="521">
        <v>25</v>
      </c>
      <c r="L1056" s="524">
        <f t="shared" si="411"/>
        <v>160</v>
      </c>
      <c r="M1056" s="525">
        <v>46056</v>
      </c>
      <c r="N1056" s="525">
        <v>46052</v>
      </c>
      <c r="O1056" s="521"/>
      <c r="P1056" s="526" t="s">
        <v>103</v>
      </c>
      <c r="Q1056" s="521"/>
      <c r="R1056" s="530">
        <v>45996</v>
      </c>
      <c r="S1056" s="530" t="s">
        <v>66</v>
      </c>
      <c r="T1056" s="530" t="s">
        <v>5427</v>
      </c>
      <c r="U1056" s="530"/>
      <c r="V1056" s="532" t="s">
        <v>5464</v>
      </c>
      <c r="W1056" s="532" t="s">
        <v>1424</v>
      </c>
      <c r="X1056" s="536">
        <v>0.9417</v>
      </c>
      <c r="Y1056" s="540">
        <f t="shared" si="412"/>
        <v>3766.8</v>
      </c>
      <c r="Z1056" s="521"/>
      <c r="AA1056" s="521" t="s">
        <v>3165</v>
      </c>
      <c r="AB1056" s="521" t="s">
        <v>76</v>
      </c>
      <c r="AC1056" s="521"/>
      <c r="AD1056" s="519"/>
      <c r="AE1056" s="519">
        <v>1</v>
      </c>
      <c r="AF1056" s="521">
        <v>4000</v>
      </c>
      <c r="AG1056" s="521">
        <f t="shared" si="404"/>
        <v>0</v>
      </c>
      <c r="AH1056" s="542"/>
      <c r="AI1056" s="521" t="s">
        <v>2191</v>
      </c>
      <c r="AJ1056" s="521"/>
      <c r="AK1056" s="521"/>
      <c r="AL1056" s="543">
        <f>I1056</f>
        <v>4000</v>
      </c>
      <c r="AM1056" s="628"/>
      <c r="AN1056" s="628"/>
      <c r="AO1056" s="630"/>
      <c r="AP1056" s="427"/>
      <c r="AQ1056" s="628">
        <f>I1056</f>
        <v>4000</v>
      </c>
      <c r="AR1056" s="427"/>
      <c r="AS1056" s="543">
        <f>I1056</f>
        <v>4000</v>
      </c>
      <c r="AT1056" s="544"/>
      <c r="AU1056" s="628"/>
      <c r="AV1056" s="628"/>
      <c r="AW1056" s="628"/>
      <c r="AX1056" s="628"/>
      <c r="AY1056" s="545">
        <f>I1056/24*2</f>
        <v>333.333333333333</v>
      </c>
      <c r="AZ1056" s="546"/>
      <c r="BA1056" s="628"/>
      <c r="BB1056" s="628"/>
      <c r="BC1056" s="628"/>
      <c r="BD1056" s="628"/>
      <c r="BE1056" s="628"/>
      <c r="BF1056" s="628"/>
      <c r="BG1056" s="628"/>
      <c r="BH1056" s="628"/>
      <c r="BI1056" s="628"/>
      <c r="BJ1056" s="628"/>
      <c r="BK1056" s="427"/>
      <c r="BL1056" s="427">
        <f>I1056/25</f>
        <v>160</v>
      </c>
      <c r="BM1056" s="628"/>
      <c r="BN1056" s="628"/>
      <c r="BO1056" s="628"/>
      <c r="BP1056" s="628"/>
      <c r="BQ1056" s="628"/>
      <c r="BR1056" s="628"/>
      <c r="BS1056" s="628"/>
      <c r="BT1056" s="544"/>
      <c r="BU1056" s="628"/>
      <c r="BV1056" s="544"/>
      <c r="BW1056" s="628"/>
      <c r="BX1056" s="628"/>
      <c r="BY1056" s="628"/>
      <c r="BZ1056" s="628"/>
      <c r="CA1056" s="628"/>
      <c r="CB1056" s="628"/>
      <c r="CC1056" s="628"/>
      <c r="CD1056" s="628"/>
      <c r="CE1056" s="628"/>
      <c r="CF1056" s="628"/>
      <c r="CG1056" s="628"/>
      <c r="CH1056" s="628"/>
      <c r="CI1056" s="628"/>
      <c r="CJ1056" s="628"/>
      <c r="CK1056" s="427">
        <f t="shared" si="406"/>
        <v>160</v>
      </c>
      <c r="CL1056" s="427">
        <f t="shared" si="407"/>
        <v>0</v>
      </c>
      <c r="CM1056" s="427">
        <f t="shared" si="408"/>
        <v>0</v>
      </c>
      <c r="CN1056" s="544"/>
      <c r="CO1056" s="544"/>
      <c r="CP1056" s="544"/>
      <c r="CT1056" s="544"/>
      <c r="CU1056" s="544"/>
      <c r="CV1056" s="544"/>
      <c r="CW1056" s="544"/>
      <c r="CX1056" s="544"/>
    </row>
    <row r="1057" s="424" customFormat="1" ht="31" customHeight="1" spans="1:102">
      <c r="A1057" s="633">
        <v>46006</v>
      </c>
      <c r="B1057" s="497" t="s">
        <v>535</v>
      </c>
      <c r="C1057" s="634" t="s">
        <v>90</v>
      </c>
      <c r="D1057" s="432">
        <v>4500188692</v>
      </c>
      <c r="E1057" s="635">
        <v>4836737</v>
      </c>
      <c r="F1057" s="432" t="s">
        <v>2722</v>
      </c>
      <c r="G1057" s="482" t="s">
        <v>5785</v>
      </c>
      <c r="H1057" s="482" t="s">
        <v>455</v>
      </c>
      <c r="I1057" s="482">
        <v>4500</v>
      </c>
      <c r="J1057" s="482">
        <v>0</v>
      </c>
      <c r="K1057" s="482">
        <v>90</v>
      </c>
      <c r="L1057" s="639">
        <f t="shared" si="411"/>
        <v>50</v>
      </c>
      <c r="M1057" s="640">
        <v>46051</v>
      </c>
      <c r="N1057" s="640">
        <v>46048</v>
      </c>
      <c r="O1057" s="641"/>
      <c r="P1057" s="641"/>
      <c r="Q1057" s="482"/>
      <c r="R1057" s="647">
        <v>46006</v>
      </c>
      <c r="S1057" s="647" t="s">
        <v>66</v>
      </c>
      <c r="T1057" s="647" t="s">
        <v>66</v>
      </c>
      <c r="U1057" s="647"/>
      <c r="V1057" s="508" t="s">
        <v>2724</v>
      </c>
      <c r="W1057" s="508" t="s">
        <v>279</v>
      </c>
      <c r="X1057" s="648">
        <v>108.436</v>
      </c>
      <c r="Y1057" s="651">
        <f>X1057*L1057</f>
        <v>5421.8</v>
      </c>
      <c r="Z1057" s="482"/>
      <c r="AA1057" s="482" t="s">
        <v>5785</v>
      </c>
      <c r="AB1057" s="482" t="s">
        <v>76</v>
      </c>
      <c r="AC1057" s="482"/>
      <c r="AD1057" s="482"/>
      <c r="AE1057" s="482" t="s">
        <v>2834</v>
      </c>
      <c r="AF1057" s="482">
        <v>4500</v>
      </c>
      <c r="AG1057" s="482">
        <f t="shared" si="404"/>
        <v>0</v>
      </c>
      <c r="AH1057" s="655"/>
      <c r="AI1057" s="482"/>
      <c r="AJ1057" s="482"/>
      <c r="AK1057" s="482">
        <f>I1057</f>
        <v>4500</v>
      </c>
      <c r="AL1057" s="656"/>
      <c r="AM1057" s="432">
        <f>I1057</f>
        <v>4500</v>
      </c>
      <c r="AN1057" s="657"/>
      <c r="AO1057" s="659"/>
      <c r="AP1057" s="657"/>
      <c r="AQ1057" s="657"/>
      <c r="AR1057" s="432">
        <f>I1057</f>
        <v>4500</v>
      </c>
      <c r="AS1057" s="656"/>
      <c r="AT1057" s="660"/>
      <c r="AU1057" s="657"/>
      <c r="AV1057" s="657"/>
      <c r="AW1057" s="657"/>
      <c r="AX1057" s="657"/>
      <c r="AY1057" s="581">
        <f>I1057/24</f>
        <v>187.5</v>
      </c>
      <c r="AZ1057" s="662"/>
      <c r="BA1057" s="657"/>
      <c r="BB1057" s="657"/>
      <c r="BC1057" s="657"/>
      <c r="BD1057" s="657"/>
      <c r="BE1057" s="657"/>
      <c r="BF1057" s="657"/>
      <c r="BG1057" s="657"/>
      <c r="BH1057" s="657"/>
      <c r="BI1057" s="657"/>
      <c r="BJ1057" s="657"/>
      <c r="BK1057" s="657"/>
      <c r="BL1057" s="657"/>
      <c r="BM1057" s="657"/>
      <c r="BN1057" s="657"/>
      <c r="BO1057" s="657"/>
      <c r="BP1057" s="657"/>
      <c r="BQ1057" s="657"/>
      <c r="BR1057" s="657"/>
      <c r="BS1057" s="657"/>
      <c r="BT1057" s="660"/>
      <c r="BU1057" s="657"/>
      <c r="BV1057" s="660"/>
      <c r="BW1057" s="657"/>
      <c r="BX1057" s="657"/>
      <c r="BY1057" s="657"/>
      <c r="BZ1057" s="432">
        <f>L1057</f>
        <v>50</v>
      </c>
      <c r="CA1057" s="657"/>
      <c r="CB1057" s="657"/>
      <c r="CC1057" s="657"/>
      <c r="CD1057" s="657"/>
      <c r="CE1057" s="657"/>
      <c r="CF1057" s="657"/>
      <c r="CG1057" s="657"/>
      <c r="CH1057" s="657"/>
      <c r="CI1057" s="657"/>
      <c r="CJ1057" s="657"/>
      <c r="CK1057" s="432">
        <f t="shared" si="406"/>
        <v>0</v>
      </c>
      <c r="CL1057" s="432">
        <f t="shared" si="407"/>
        <v>0</v>
      </c>
      <c r="CM1057" s="432">
        <f t="shared" si="408"/>
        <v>50</v>
      </c>
      <c r="CN1057" s="660"/>
      <c r="CO1057" s="660"/>
      <c r="CP1057" s="660"/>
      <c r="CT1057" s="660"/>
      <c r="CU1057" s="660"/>
      <c r="CV1057" s="660"/>
      <c r="CW1057" s="660"/>
      <c r="CX1057" s="660"/>
    </row>
    <row r="1058" s="432" customFormat="1" ht="31" customHeight="1" spans="1:102">
      <c r="A1058" s="633">
        <v>45995</v>
      </c>
      <c r="B1058" s="497" t="s">
        <v>754</v>
      </c>
      <c r="C1058" s="634" t="s">
        <v>356</v>
      </c>
      <c r="D1058" s="432">
        <v>4500188053</v>
      </c>
      <c r="E1058" s="635" t="s">
        <v>2688</v>
      </c>
      <c r="F1058" s="432" t="s">
        <v>2731</v>
      </c>
      <c r="G1058" s="482" t="s">
        <v>3436</v>
      </c>
      <c r="H1058" s="482" t="s">
        <v>424</v>
      </c>
      <c r="I1058" s="642">
        <v>2532</v>
      </c>
      <c r="J1058" s="482">
        <v>0</v>
      </c>
      <c r="K1058" s="482">
        <v>6</v>
      </c>
      <c r="L1058" s="639">
        <f t="shared" si="411"/>
        <v>422</v>
      </c>
      <c r="M1058" s="640">
        <v>46052</v>
      </c>
      <c r="N1058" s="640">
        <v>46048</v>
      </c>
      <c r="O1058" s="641"/>
      <c r="P1058" s="641"/>
      <c r="Q1058" s="647" t="s">
        <v>2690</v>
      </c>
      <c r="R1058" s="647">
        <v>46009</v>
      </c>
      <c r="S1058" s="647" t="s">
        <v>66</v>
      </c>
      <c r="T1058" s="647" t="s">
        <v>5786</v>
      </c>
      <c r="U1058" s="647"/>
      <c r="V1058" s="649" t="s">
        <v>2732</v>
      </c>
      <c r="W1058" s="508" t="s">
        <v>395</v>
      </c>
      <c r="X1058" s="648">
        <v>6.7112</v>
      </c>
      <c r="Y1058" s="651">
        <f t="shared" ref="Y1058:Y1063" si="413">X1058*I1058</f>
        <v>16992.7584</v>
      </c>
      <c r="Z1058" s="482"/>
      <c r="AA1058" s="482" t="s">
        <v>427</v>
      </c>
      <c r="AB1058" s="482" t="s">
        <v>76</v>
      </c>
      <c r="AC1058" s="482"/>
      <c r="AD1058" s="482"/>
      <c r="AE1058" s="482">
        <v>1</v>
      </c>
      <c r="AF1058" s="482">
        <f>2268+264</f>
        <v>2532</v>
      </c>
      <c r="AG1058" s="482">
        <f t="shared" si="404"/>
        <v>0</v>
      </c>
      <c r="AH1058" s="655"/>
      <c r="AI1058" s="482" t="s">
        <v>2191</v>
      </c>
      <c r="AJ1058" s="482"/>
      <c r="AK1058" s="482"/>
      <c r="AL1058" s="656">
        <f>I1058*2</f>
        <v>5064</v>
      </c>
      <c r="AQ1058" s="432">
        <f>I1058*2</f>
        <v>5064</v>
      </c>
      <c r="AS1058" s="656">
        <f>I1058*2</f>
        <v>5064</v>
      </c>
      <c r="AT1058" s="660"/>
      <c r="AY1058" s="663">
        <f>I1058/24*2</f>
        <v>211</v>
      </c>
      <c r="AZ1058" s="662"/>
      <c r="BT1058" s="660"/>
      <c r="BU1058" s="432">
        <f>I1058</f>
        <v>2532</v>
      </c>
      <c r="BV1058" s="660"/>
      <c r="CK1058" s="432">
        <f t="shared" si="406"/>
        <v>0</v>
      </c>
      <c r="CL1058" s="432">
        <f t="shared" si="407"/>
        <v>0</v>
      </c>
      <c r="CM1058" s="432">
        <f t="shared" si="408"/>
        <v>0</v>
      </c>
      <c r="CN1058" s="660"/>
      <c r="CO1058" s="660"/>
      <c r="CP1058" s="660"/>
      <c r="CQ1058" s="427"/>
      <c r="CR1058" s="427"/>
      <c r="CS1058" s="427"/>
      <c r="CT1058" s="660"/>
      <c r="CU1058" s="660"/>
      <c r="CV1058" s="660"/>
      <c r="CW1058" s="660"/>
      <c r="CX1058" s="660"/>
    </row>
    <row r="1059" s="432" customFormat="1" ht="31" customHeight="1" spans="1:102">
      <c r="A1059" s="633">
        <v>46003</v>
      </c>
      <c r="B1059" s="497" t="s">
        <v>382</v>
      </c>
      <c r="C1059" s="634" t="s">
        <v>71</v>
      </c>
      <c r="D1059" s="432">
        <v>4500188835</v>
      </c>
      <c r="E1059" s="635">
        <v>3026</v>
      </c>
      <c r="F1059" s="432" t="s">
        <v>5787</v>
      </c>
      <c r="G1059" s="482" t="s">
        <v>3165</v>
      </c>
      <c r="H1059" s="482" t="s">
        <v>3303</v>
      </c>
      <c r="I1059" s="482">
        <v>1250</v>
      </c>
      <c r="J1059" s="482">
        <v>0</v>
      </c>
      <c r="K1059" s="482">
        <v>25</v>
      </c>
      <c r="L1059" s="639">
        <f t="shared" si="411"/>
        <v>50</v>
      </c>
      <c r="M1059" s="640">
        <v>46052</v>
      </c>
      <c r="N1059" s="640">
        <v>46048</v>
      </c>
      <c r="O1059" s="641"/>
      <c r="P1059" s="641"/>
      <c r="Q1059" s="482"/>
      <c r="R1059" s="647">
        <v>46003</v>
      </c>
      <c r="S1059" s="647" t="s">
        <v>66</v>
      </c>
      <c r="T1059" s="647" t="s">
        <v>66</v>
      </c>
      <c r="U1059" s="647"/>
      <c r="V1059" s="508" t="s">
        <v>5788</v>
      </c>
      <c r="W1059" s="508" t="s">
        <v>1602</v>
      </c>
      <c r="X1059" s="648">
        <v>0.9551</v>
      </c>
      <c r="Y1059" s="651">
        <f t="shared" si="413"/>
        <v>1193.875</v>
      </c>
      <c r="Z1059" s="482"/>
      <c r="AA1059" s="482" t="s">
        <v>3165</v>
      </c>
      <c r="AB1059" s="482" t="s">
        <v>76</v>
      </c>
      <c r="AC1059" s="482"/>
      <c r="AD1059" s="482"/>
      <c r="AE1059" s="482">
        <v>1</v>
      </c>
      <c r="AF1059" s="482">
        <v>1250</v>
      </c>
      <c r="AG1059" s="482">
        <f t="shared" si="404"/>
        <v>0</v>
      </c>
      <c r="AH1059" s="655"/>
      <c r="AI1059" s="482"/>
      <c r="AJ1059" s="482"/>
      <c r="AK1059" s="482"/>
      <c r="AL1059" s="656">
        <f>I1059</f>
        <v>1250</v>
      </c>
      <c r="AQ1059" s="432">
        <f>I1059</f>
        <v>1250</v>
      </c>
      <c r="AS1059" s="656">
        <f>I1059</f>
        <v>1250</v>
      </c>
      <c r="AT1059" s="660"/>
      <c r="AY1059" s="581">
        <f>I1059/24*2</f>
        <v>104.166666666667</v>
      </c>
      <c r="AZ1059" s="662"/>
      <c r="BL1059" s="432">
        <f>I1059/25</f>
        <v>50</v>
      </c>
      <c r="BT1059" s="660"/>
      <c r="BV1059" s="660"/>
      <c r="CK1059" s="432">
        <f t="shared" si="406"/>
        <v>50</v>
      </c>
      <c r="CL1059" s="432">
        <f t="shared" si="407"/>
        <v>0</v>
      </c>
      <c r="CM1059" s="432">
        <f t="shared" si="408"/>
        <v>0</v>
      </c>
      <c r="CN1059" s="660"/>
      <c r="CO1059" s="660"/>
      <c r="CP1059" s="660"/>
      <c r="CT1059" s="660"/>
      <c r="CU1059" s="660"/>
      <c r="CV1059" s="660"/>
      <c r="CW1059" s="660"/>
      <c r="CX1059" s="660"/>
    </row>
    <row r="1060" s="432" customFormat="1" ht="31" customHeight="1" spans="1:102">
      <c r="A1060" s="633">
        <v>46003</v>
      </c>
      <c r="B1060" s="497" t="s">
        <v>1224</v>
      </c>
      <c r="C1060" s="634" t="s">
        <v>524</v>
      </c>
      <c r="D1060" s="432">
        <v>4500188846</v>
      </c>
      <c r="E1060" s="635"/>
      <c r="F1060" s="432" t="s">
        <v>5789</v>
      </c>
      <c r="G1060" s="482" t="s">
        <v>3541</v>
      </c>
      <c r="H1060" s="482" t="s">
        <v>3542</v>
      </c>
      <c r="I1060" s="643">
        <v>3000</v>
      </c>
      <c r="J1060" s="482">
        <v>0</v>
      </c>
      <c r="K1060" s="482">
        <v>50</v>
      </c>
      <c r="L1060" s="639">
        <f t="shared" si="411"/>
        <v>60</v>
      </c>
      <c r="M1060" s="640">
        <v>46052</v>
      </c>
      <c r="N1060" s="640">
        <v>46048</v>
      </c>
      <c r="O1060" s="641"/>
      <c r="P1060" s="641"/>
      <c r="Q1060" s="482" t="s">
        <v>2693</v>
      </c>
      <c r="R1060" s="647">
        <v>46013</v>
      </c>
      <c r="S1060" s="647" t="s">
        <v>66</v>
      </c>
      <c r="T1060" s="647" t="s">
        <v>5111</v>
      </c>
      <c r="U1060" s="647"/>
      <c r="V1060" s="508" t="s">
        <v>5790</v>
      </c>
      <c r="W1060" s="508" t="s">
        <v>207</v>
      </c>
      <c r="X1060" s="648">
        <v>0.9676</v>
      </c>
      <c r="Y1060" s="651">
        <f t="shared" si="413"/>
        <v>2902.8</v>
      </c>
      <c r="Z1060" s="482"/>
      <c r="AA1060" s="482" t="s">
        <v>3541</v>
      </c>
      <c r="AB1060" s="482" t="s">
        <v>76</v>
      </c>
      <c r="AC1060" s="482"/>
      <c r="AD1060" s="482"/>
      <c r="AE1060" s="482">
        <v>1</v>
      </c>
      <c r="AF1060" s="482">
        <v>3000</v>
      </c>
      <c r="AG1060" s="482">
        <f t="shared" si="404"/>
        <v>0</v>
      </c>
      <c r="AH1060" s="655"/>
      <c r="AI1060" s="482" t="s">
        <v>2191</v>
      </c>
      <c r="AJ1060" s="482"/>
      <c r="AK1060" s="482"/>
      <c r="AL1060" s="432">
        <f>I1060</f>
        <v>3000</v>
      </c>
      <c r="AQ1060" s="432">
        <f>I1060</f>
        <v>3000</v>
      </c>
      <c r="AS1060" s="656"/>
      <c r="AT1060" s="660"/>
      <c r="AW1060" s="432">
        <f>I1060</f>
        <v>3000</v>
      </c>
      <c r="AY1060" s="581">
        <f>I1060/24</f>
        <v>125</v>
      </c>
      <c r="AZ1060" s="662"/>
      <c r="BS1060" s="432">
        <f>I1060/25</f>
        <v>120</v>
      </c>
      <c r="BT1060" s="660"/>
      <c r="BV1060" s="660"/>
      <c r="CK1060" s="432">
        <f t="shared" si="406"/>
        <v>120</v>
      </c>
      <c r="CL1060" s="432">
        <f t="shared" si="407"/>
        <v>0</v>
      </c>
      <c r="CM1060" s="432">
        <f t="shared" si="408"/>
        <v>0</v>
      </c>
      <c r="CN1060" s="660"/>
      <c r="CO1060" s="660"/>
      <c r="CP1060" s="660"/>
      <c r="CT1060" s="660"/>
      <c r="CU1060" s="660"/>
      <c r="CV1060" s="660"/>
      <c r="CW1060" s="660"/>
      <c r="CX1060" s="660"/>
    </row>
    <row r="1061" s="424" customFormat="1" ht="31" customHeight="1" spans="1:102">
      <c r="A1061" s="633">
        <v>46007</v>
      </c>
      <c r="B1061" s="497" t="s">
        <v>190</v>
      </c>
      <c r="C1061" s="634" t="s">
        <v>191</v>
      </c>
      <c r="D1061" s="636">
        <v>4500189099</v>
      </c>
      <c r="E1061" s="635" t="s">
        <v>2702</v>
      </c>
      <c r="F1061" s="432" t="s">
        <v>5791</v>
      </c>
      <c r="G1061" s="482" t="s">
        <v>3158</v>
      </c>
      <c r="H1061" s="482" t="s">
        <v>3159</v>
      </c>
      <c r="I1061" s="482">
        <v>2080</v>
      </c>
      <c r="J1061" s="482">
        <v>0</v>
      </c>
      <c r="K1061" s="482">
        <v>52</v>
      </c>
      <c r="L1061" s="639">
        <f t="shared" si="411"/>
        <v>40</v>
      </c>
      <c r="M1061" s="640">
        <v>46052</v>
      </c>
      <c r="N1061" s="640">
        <v>46048</v>
      </c>
      <c r="O1061" s="641"/>
      <c r="P1061" s="641"/>
      <c r="Q1061" s="482"/>
      <c r="R1061" s="647">
        <v>46007</v>
      </c>
      <c r="S1061" s="647" t="s">
        <v>66</v>
      </c>
      <c r="T1061" s="647" t="s">
        <v>5792</v>
      </c>
      <c r="U1061" s="647"/>
      <c r="V1061" s="508" t="s">
        <v>5793</v>
      </c>
      <c r="W1061" s="508" t="s">
        <v>1663</v>
      </c>
      <c r="X1061" s="648">
        <v>0.8951</v>
      </c>
      <c r="Y1061" s="651">
        <f t="shared" si="413"/>
        <v>1861.808</v>
      </c>
      <c r="Z1061" s="482"/>
      <c r="AA1061" s="482" t="s">
        <v>3158</v>
      </c>
      <c r="AB1061" s="482" t="s">
        <v>76</v>
      </c>
      <c r="AC1061" s="482"/>
      <c r="AD1061" s="482"/>
      <c r="AE1061" s="482">
        <v>1</v>
      </c>
      <c r="AF1061" s="482">
        <v>2080</v>
      </c>
      <c r="AG1061" s="482">
        <f t="shared" si="404"/>
        <v>0</v>
      </c>
      <c r="AH1061" s="655"/>
      <c r="AI1061" s="482" t="s">
        <v>2191</v>
      </c>
      <c r="AJ1061" s="482"/>
      <c r="AK1061" s="482"/>
      <c r="AL1061" s="656">
        <f>I1061</f>
        <v>2080</v>
      </c>
      <c r="AM1061" s="657"/>
      <c r="AN1061" s="657"/>
      <c r="AO1061" s="659"/>
      <c r="AP1061" s="657"/>
      <c r="AQ1061" s="432">
        <f>I1061</f>
        <v>2080</v>
      </c>
      <c r="AR1061" s="657"/>
      <c r="AS1061" s="656">
        <f>I1061</f>
        <v>2080</v>
      </c>
      <c r="AT1061" s="660"/>
      <c r="AU1061" s="657"/>
      <c r="AV1061" s="657"/>
      <c r="AW1061" s="657"/>
      <c r="AX1061" s="657"/>
      <c r="AY1061" s="581">
        <f>I1061/24</f>
        <v>86.6666666666667</v>
      </c>
      <c r="AZ1061" s="662"/>
      <c r="BA1061" s="657"/>
      <c r="BB1061" s="657"/>
      <c r="BC1061" s="657"/>
      <c r="BD1061" s="657"/>
      <c r="BE1061" s="657"/>
      <c r="BF1061" s="657"/>
      <c r="BG1061" s="657"/>
      <c r="BH1061" s="657"/>
      <c r="BI1061" s="432">
        <f>I1061/13</f>
        <v>160</v>
      </c>
      <c r="BJ1061" s="657"/>
      <c r="BK1061" s="657"/>
      <c r="BL1061" s="657"/>
      <c r="BM1061" s="657"/>
      <c r="BN1061" s="657"/>
      <c r="BO1061" s="657"/>
      <c r="BP1061" s="657"/>
      <c r="BQ1061" s="657"/>
      <c r="BR1061" s="657"/>
      <c r="BS1061" s="657"/>
      <c r="BT1061" s="660"/>
      <c r="BU1061" s="657"/>
      <c r="BV1061" s="660"/>
      <c r="BW1061" s="657"/>
      <c r="BX1061" s="657"/>
      <c r="BY1061" s="657"/>
      <c r="BZ1061" s="657"/>
      <c r="CA1061" s="657"/>
      <c r="CB1061" s="657"/>
      <c r="CC1061" s="657"/>
      <c r="CD1061" s="657"/>
      <c r="CE1061" s="657"/>
      <c r="CF1061" s="657"/>
      <c r="CG1061" s="657"/>
      <c r="CH1061" s="657"/>
      <c r="CI1061" s="657"/>
      <c r="CJ1061" s="657"/>
      <c r="CK1061" s="432">
        <f t="shared" si="406"/>
        <v>0</v>
      </c>
      <c r="CL1061" s="432">
        <f t="shared" si="407"/>
        <v>0</v>
      </c>
      <c r="CM1061" s="432">
        <f t="shared" si="408"/>
        <v>0</v>
      </c>
      <c r="CN1061" s="660"/>
      <c r="CO1061" s="660"/>
      <c r="CP1061" s="660"/>
      <c r="CT1061" s="660"/>
      <c r="CU1061" s="660"/>
      <c r="CV1061" s="660"/>
      <c r="CW1061" s="660"/>
      <c r="CX1061" s="660"/>
    </row>
    <row r="1062" s="424" customFormat="1" ht="31" customHeight="1" spans="1:102">
      <c r="A1062" s="633">
        <v>46007</v>
      </c>
      <c r="B1062" s="497" t="s">
        <v>190</v>
      </c>
      <c r="C1062" s="634" t="s">
        <v>191</v>
      </c>
      <c r="D1062" s="432">
        <v>4500189099</v>
      </c>
      <c r="E1062" s="635" t="s">
        <v>2702</v>
      </c>
      <c r="F1062" s="432" t="s">
        <v>2733</v>
      </c>
      <c r="G1062" s="482" t="s">
        <v>3436</v>
      </c>
      <c r="H1062" s="482" t="s">
        <v>424</v>
      </c>
      <c r="I1062" s="482">
        <v>720</v>
      </c>
      <c r="J1062" s="482">
        <v>0</v>
      </c>
      <c r="K1062" s="482">
        <v>6</v>
      </c>
      <c r="L1062" s="639">
        <f t="shared" si="411"/>
        <v>120</v>
      </c>
      <c r="M1062" s="640">
        <v>46052</v>
      </c>
      <c r="N1062" s="640">
        <v>46048</v>
      </c>
      <c r="O1062" s="641"/>
      <c r="P1062" s="641"/>
      <c r="Q1062" s="482"/>
      <c r="R1062" s="647">
        <v>46007</v>
      </c>
      <c r="S1062" s="647" t="s">
        <v>66</v>
      </c>
      <c r="T1062" s="647" t="s">
        <v>5794</v>
      </c>
      <c r="U1062" s="647"/>
      <c r="V1062" s="508" t="s">
        <v>2735</v>
      </c>
      <c r="W1062" s="508" t="s">
        <v>1663</v>
      </c>
      <c r="X1062" s="648">
        <v>7.0456</v>
      </c>
      <c r="Y1062" s="651">
        <f t="shared" si="413"/>
        <v>5072.832</v>
      </c>
      <c r="Z1062" s="482"/>
      <c r="AA1062" s="509" t="s">
        <v>1203</v>
      </c>
      <c r="AB1062" s="482" t="s">
        <v>76</v>
      </c>
      <c r="AC1062" s="482"/>
      <c r="AD1062" s="482"/>
      <c r="AE1062" s="482">
        <v>1</v>
      </c>
      <c r="AF1062" s="482">
        <v>720</v>
      </c>
      <c r="AG1062" s="482">
        <f t="shared" si="404"/>
        <v>0</v>
      </c>
      <c r="AH1062" s="655"/>
      <c r="AI1062" s="482" t="s">
        <v>2191</v>
      </c>
      <c r="AJ1062" s="482"/>
      <c r="AK1062" s="482"/>
      <c r="AL1062" s="656">
        <f>I1062*2</f>
        <v>1440</v>
      </c>
      <c r="AM1062" s="657"/>
      <c r="AN1062" s="657"/>
      <c r="AO1062" s="659"/>
      <c r="AP1062" s="657"/>
      <c r="AQ1062" s="432">
        <f>I1062*2</f>
        <v>1440</v>
      </c>
      <c r="AR1062" s="657"/>
      <c r="AS1062" s="656">
        <f>I1062*2</f>
        <v>1440</v>
      </c>
      <c r="AT1062" s="660"/>
      <c r="AU1062" s="657"/>
      <c r="AV1062" s="657"/>
      <c r="AW1062" s="657"/>
      <c r="AX1062" s="657"/>
      <c r="AY1062" s="663">
        <f>I1062/24*2</f>
        <v>60</v>
      </c>
      <c r="AZ1062" s="662"/>
      <c r="BA1062" s="657"/>
      <c r="BB1062" s="657"/>
      <c r="BC1062" s="657"/>
      <c r="BD1062" s="657"/>
      <c r="BE1062" s="657"/>
      <c r="BF1062" s="657"/>
      <c r="BG1062" s="657"/>
      <c r="BH1062" s="657"/>
      <c r="BI1062" s="657"/>
      <c r="BJ1062" s="657"/>
      <c r="BK1062" s="657"/>
      <c r="BL1062" s="657"/>
      <c r="BM1062" s="657"/>
      <c r="BN1062" s="657"/>
      <c r="BO1062" s="657"/>
      <c r="BP1062" s="657"/>
      <c r="BQ1062" s="657"/>
      <c r="BR1062" s="657"/>
      <c r="BS1062" s="657"/>
      <c r="BT1062" s="660"/>
      <c r="BU1062" s="432">
        <f>I1062</f>
        <v>720</v>
      </c>
      <c r="BV1062" s="660"/>
      <c r="BW1062" s="657"/>
      <c r="BX1062" s="657"/>
      <c r="BY1062" s="657"/>
      <c r="BZ1062" s="657"/>
      <c r="CA1062" s="657"/>
      <c r="CB1062" s="657"/>
      <c r="CC1062" s="657"/>
      <c r="CD1062" s="657"/>
      <c r="CE1062" s="657"/>
      <c r="CF1062" s="657"/>
      <c r="CG1062" s="657"/>
      <c r="CH1062" s="657"/>
      <c r="CI1062" s="657"/>
      <c r="CJ1062" s="657"/>
      <c r="CK1062" s="432">
        <f t="shared" si="406"/>
        <v>0</v>
      </c>
      <c r="CL1062" s="432">
        <f t="shared" si="407"/>
        <v>0</v>
      </c>
      <c r="CM1062" s="432">
        <f t="shared" si="408"/>
        <v>0</v>
      </c>
      <c r="CN1062" s="660"/>
      <c r="CO1062" s="660"/>
      <c r="CP1062" s="660"/>
      <c r="CQ1062" s="427"/>
      <c r="CR1062" s="427"/>
      <c r="CS1062" s="427"/>
      <c r="CT1062" s="660"/>
      <c r="CU1062" s="660"/>
      <c r="CV1062" s="660"/>
      <c r="CW1062" s="660"/>
      <c r="CX1062" s="660"/>
    </row>
    <row r="1063" s="424" customFormat="1" ht="31" customHeight="1" spans="1:102">
      <c r="A1063" s="633">
        <v>46013</v>
      </c>
      <c r="B1063" s="497" t="s">
        <v>152</v>
      </c>
      <c r="C1063" s="635" t="s">
        <v>153</v>
      </c>
      <c r="D1063" s="432">
        <v>4500189631</v>
      </c>
      <c r="E1063" s="635"/>
      <c r="F1063" s="432" t="s">
        <v>5795</v>
      </c>
      <c r="G1063" s="482" t="s">
        <v>3180</v>
      </c>
      <c r="H1063" s="482" t="s">
        <v>3181</v>
      </c>
      <c r="I1063" s="482">
        <v>8752</v>
      </c>
      <c r="J1063" s="482">
        <v>0</v>
      </c>
      <c r="K1063" s="482">
        <v>16</v>
      </c>
      <c r="L1063" s="639">
        <f t="shared" si="411"/>
        <v>547</v>
      </c>
      <c r="M1063" s="640">
        <v>46052</v>
      </c>
      <c r="N1063" s="640">
        <v>46048</v>
      </c>
      <c r="O1063" s="641" t="s">
        <v>5796</v>
      </c>
      <c r="P1063" s="641"/>
      <c r="Q1063" s="482"/>
      <c r="R1063" s="647">
        <v>46017</v>
      </c>
      <c r="S1063" s="647" t="s">
        <v>66</v>
      </c>
      <c r="T1063" s="647" t="s">
        <v>2397</v>
      </c>
      <c r="U1063" s="647"/>
      <c r="V1063" s="508" t="s">
        <v>5797</v>
      </c>
      <c r="W1063" s="650" t="s">
        <v>1912</v>
      </c>
      <c r="X1063" s="508">
        <v>0.9894</v>
      </c>
      <c r="Y1063" s="651">
        <f t="shared" si="413"/>
        <v>8659.2288</v>
      </c>
      <c r="Z1063" s="482"/>
      <c r="AA1063" s="482" t="s">
        <v>5477</v>
      </c>
      <c r="AB1063" s="482" t="s">
        <v>76</v>
      </c>
      <c r="AC1063" s="482"/>
      <c r="AD1063" s="497"/>
      <c r="AE1063" s="497">
        <v>1</v>
      </c>
      <c r="AF1063" s="482">
        <f>32+8720</f>
        <v>8752</v>
      </c>
      <c r="AG1063" s="521">
        <f t="shared" si="404"/>
        <v>0</v>
      </c>
      <c r="AH1063" s="655"/>
      <c r="AI1063" s="482"/>
      <c r="AJ1063" s="482"/>
      <c r="AK1063" s="482">
        <f>I1063</f>
        <v>8752</v>
      </c>
      <c r="AL1063" s="656"/>
      <c r="AM1063" s="657"/>
      <c r="AN1063" s="657"/>
      <c r="AO1063" s="659"/>
      <c r="AP1063" s="427">
        <f>I1063</f>
        <v>8752</v>
      </c>
      <c r="AQ1063" s="658"/>
      <c r="AR1063" s="427">
        <f>I1063</f>
        <v>8752</v>
      </c>
      <c r="AS1063" s="656"/>
      <c r="AT1063" s="660"/>
      <c r="AU1063" s="657"/>
      <c r="AV1063" s="657"/>
      <c r="AW1063" s="657"/>
      <c r="AX1063" s="657"/>
      <c r="AY1063" s="545">
        <f>I1063/24</f>
        <v>364.666666666667</v>
      </c>
      <c r="AZ1063" s="662"/>
      <c r="BA1063" s="657"/>
      <c r="BB1063" s="657"/>
      <c r="BC1063" s="657"/>
      <c r="BD1063" s="657"/>
      <c r="BE1063" s="657"/>
      <c r="BF1063" s="657"/>
      <c r="BG1063" s="657"/>
      <c r="BH1063" s="657"/>
      <c r="BI1063" s="657"/>
      <c r="BJ1063" s="657"/>
      <c r="BK1063" s="657"/>
      <c r="BL1063" s="657"/>
      <c r="BM1063" s="657"/>
      <c r="BN1063" s="427">
        <f>L1063</f>
        <v>547</v>
      </c>
      <c r="BO1063" s="657"/>
      <c r="BP1063" s="657"/>
      <c r="BQ1063" s="657"/>
      <c r="BR1063" s="657"/>
      <c r="BS1063" s="657"/>
      <c r="BT1063" s="660"/>
      <c r="BU1063" s="657"/>
      <c r="BV1063" s="660"/>
      <c r="BW1063" s="657"/>
      <c r="BX1063" s="657"/>
      <c r="BY1063" s="657"/>
      <c r="BZ1063" s="657"/>
      <c r="CA1063" s="657"/>
      <c r="CB1063" s="657"/>
      <c r="CC1063" s="657"/>
      <c r="CD1063" s="657"/>
      <c r="CE1063" s="657"/>
      <c r="CF1063" s="658"/>
      <c r="CG1063" s="657"/>
      <c r="CH1063" s="657"/>
      <c r="CI1063" s="657"/>
      <c r="CJ1063" s="657"/>
      <c r="CK1063" s="427">
        <f>BM1063+BL1063+BK1063+BJ1063+BS1063+BN1063</f>
        <v>547</v>
      </c>
      <c r="CL1063" s="427">
        <f t="shared" si="407"/>
        <v>0</v>
      </c>
      <c r="CM1063" s="427">
        <f t="shared" si="408"/>
        <v>0</v>
      </c>
      <c r="CN1063" s="660"/>
      <c r="CO1063" s="660"/>
      <c r="CP1063" s="660"/>
      <c r="CT1063" s="660"/>
      <c r="CU1063" s="660"/>
      <c r="CV1063" s="660"/>
      <c r="CW1063" s="660"/>
      <c r="CX1063" s="660"/>
    </row>
    <row r="1064" s="424" customFormat="1" ht="31" customHeight="1" spans="1:102">
      <c r="A1064" s="633">
        <v>46014</v>
      </c>
      <c r="B1064" s="497" t="s">
        <v>1669</v>
      </c>
      <c r="C1064" s="635" t="s">
        <v>663</v>
      </c>
      <c r="D1064" s="432">
        <v>4500185221</v>
      </c>
      <c r="E1064" s="635">
        <v>5000002057</v>
      </c>
      <c r="F1064" s="432" t="s">
        <v>5798</v>
      </c>
      <c r="G1064" s="482" t="s">
        <v>3206</v>
      </c>
      <c r="H1064" s="482" t="s">
        <v>4939</v>
      </c>
      <c r="I1064" s="482">
        <v>3900</v>
      </c>
      <c r="J1064" s="482">
        <v>0</v>
      </c>
      <c r="K1064" s="482">
        <v>13</v>
      </c>
      <c r="L1064" s="639">
        <f t="shared" si="411"/>
        <v>300</v>
      </c>
      <c r="M1064" s="644">
        <v>46052</v>
      </c>
      <c r="N1064" s="644">
        <v>46049</v>
      </c>
      <c r="O1064" s="641"/>
      <c r="P1064" s="641"/>
      <c r="Q1064" s="482"/>
      <c r="R1064" s="647" t="s">
        <v>4940</v>
      </c>
      <c r="S1064" s="647" t="s">
        <v>96</v>
      </c>
      <c r="T1064" s="647" t="s">
        <v>1573</v>
      </c>
      <c r="U1064" s="647" t="s">
        <v>5622</v>
      </c>
      <c r="V1064" s="508" t="s">
        <v>5685</v>
      </c>
      <c r="W1064" s="508" t="s">
        <v>1674</v>
      </c>
      <c r="X1064" s="648">
        <v>0.8677</v>
      </c>
      <c r="Y1064" s="651">
        <f t="shared" ref="Y1064:Y1069" si="414">X1064*I1064</f>
        <v>3384.03</v>
      </c>
      <c r="Z1064" s="482"/>
      <c r="AA1064" s="652" t="s">
        <v>5467</v>
      </c>
      <c r="AB1064" s="482" t="s">
        <v>76</v>
      </c>
      <c r="AC1064" s="482"/>
      <c r="AD1064" s="497"/>
      <c r="AE1064" s="497">
        <v>1</v>
      </c>
      <c r="AF1064" s="482">
        <f>3900</f>
        <v>3900</v>
      </c>
      <c r="AG1064" s="482">
        <f t="shared" si="404"/>
        <v>0</v>
      </c>
      <c r="AH1064" s="482"/>
      <c r="AI1064" s="482" t="s">
        <v>2191</v>
      </c>
      <c r="AJ1064" s="482"/>
      <c r="AK1064" s="482"/>
      <c r="AL1064" s="656">
        <f>I1064</f>
        <v>3900</v>
      </c>
      <c r="AM1064" s="432"/>
      <c r="AN1064" s="432"/>
      <c r="AO1064" s="432"/>
      <c r="AP1064" s="432"/>
      <c r="AQ1064" s="432"/>
      <c r="AR1064" s="656"/>
      <c r="AS1064" s="656"/>
      <c r="AT1064" s="660">
        <f>I1064</f>
        <v>3900</v>
      </c>
      <c r="AU1064" s="432">
        <f>I1064</f>
        <v>3900</v>
      </c>
      <c r="AV1064" s="427"/>
      <c r="AW1064" s="427"/>
      <c r="AX1064" s="582">
        <f>I1064/13</f>
        <v>300</v>
      </c>
      <c r="AY1064" s="581"/>
      <c r="AZ1064" s="662"/>
      <c r="BA1064" s="432"/>
      <c r="BB1064" s="432"/>
      <c r="BC1064" s="432"/>
      <c r="BD1064" s="432"/>
      <c r="BE1064" s="432"/>
      <c r="BF1064" s="432"/>
      <c r="BG1064" s="432"/>
      <c r="BH1064" s="432"/>
      <c r="BI1064" s="432">
        <f>I1064/13</f>
        <v>300</v>
      </c>
      <c r="BJ1064" s="432"/>
      <c r="BK1064" s="432"/>
      <c r="BL1064" s="432"/>
      <c r="BM1064" s="432"/>
      <c r="BN1064" s="432"/>
      <c r="BO1064" s="432"/>
      <c r="BP1064" s="432"/>
      <c r="BQ1064" s="432"/>
      <c r="BR1064" s="432"/>
      <c r="BS1064" s="432"/>
      <c r="BT1064" s="660"/>
      <c r="BU1064" s="432"/>
      <c r="BV1064" s="660"/>
      <c r="BW1064" s="432"/>
      <c r="BX1064" s="432"/>
      <c r="BY1064" s="432"/>
      <c r="BZ1064" s="432"/>
      <c r="CA1064" s="432"/>
      <c r="CB1064" s="432"/>
      <c r="CC1064" s="432"/>
      <c r="CD1064" s="432"/>
      <c r="CE1064" s="432"/>
      <c r="CF1064" s="432"/>
      <c r="CG1064" s="432"/>
      <c r="CH1064" s="432"/>
      <c r="CI1064" s="432"/>
      <c r="CJ1064" s="432"/>
      <c r="CK1064" s="432">
        <f t="shared" ref="CK1064:CK1070" si="415">BM1064+BL1064+BK1064+BJ1064+BS1064</f>
        <v>0</v>
      </c>
      <c r="CL1064" s="432">
        <f t="shared" si="407"/>
        <v>0</v>
      </c>
      <c r="CM1064" s="432">
        <f t="shared" si="408"/>
        <v>0</v>
      </c>
      <c r="CN1064" s="665"/>
      <c r="CO1064" s="665"/>
      <c r="CP1064" s="665"/>
      <c r="CQ1064" s="432"/>
      <c r="CR1064" s="432"/>
      <c r="CS1064" s="432"/>
      <c r="CT1064" s="665"/>
      <c r="CU1064" s="665"/>
      <c r="CV1064" s="665"/>
      <c r="CW1064" s="665"/>
      <c r="CX1064" s="665"/>
    </row>
    <row r="1065" s="424" customFormat="1" ht="31" customHeight="1" spans="1:102">
      <c r="A1065" s="633">
        <v>46014</v>
      </c>
      <c r="B1065" s="497" t="s">
        <v>1669</v>
      </c>
      <c r="C1065" s="635" t="s">
        <v>663</v>
      </c>
      <c r="D1065" s="432">
        <v>4500185221</v>
      </c>
      <c r="E1065" s="635">
        <v>5000002057</v>
      </c>
      <c r="F1065" s="432" t="s">
        <v>5799</v>
      </c>
      <c r="G1065" s="482" t="s">
        <v>3206</v>
      </c>
      <c r="H1065" s="482" t="s">
        <v>4939</v>
      </c>
      <c r="I1065" s="482">
        <v>9100</v>
      </c>
      <c r="J1065" s="482">
        <v>0</v>
      </c>
      <c r="K1065" s="482">
        <v>13</v>
      </c>
      <c r="L1065" s="639">
        <f t="shared" si="411"/>
        <v>700</v>
      </c>
      <c r="M1065" s="640">
        <v>46052</v>
      </c>
      <c r="N1065" s="640">
        <v>46049</v>
      </c>
      <c r="O1065" s="641"/>
      <c r="P1065" s="641"/>
      <c r="Q1065" s="482"/>
      <c r="R1065" s="647" t="s">
        <v>4940</v>
      </c>
      <c r="S1065" s="647" t="s">
        <v>96</v>
      </c>
      <c r="T1065" s="647" t="s">
        <v>1573</v>
      </c>
      <c r="U1065" s="647" t="s">
        <v>5622</v>
      </c>
      <c r="V1065" s="508" t="s">
        <v>5685</v>
      </c>
      <c r="W1065" s="508" t="s">
        <v>1674</v>
      </c>
      <c r="X1065" s="648">
        <v>0.8677</v>
      </c>
      <c r="Y1065" s="651">
        <f t="shared" si="414"/>
        <v>7896.07</v>
      </c>
      <c r="Z1065" s="482"/>
      <c r="AA1065" s="652" t="s">
        <v>5467</v>
      </c>
      <c r="AB1065" s="482" t="s">
        <v>76</v>
      </c>
      <c r="AC1065" s="482"/>
      <c r="AD1065" s="497"/>
      <c r="AE1065" s="497">
        <v>1</v>
      </c>
      <c r="AF1065" s="482">
        <v>9100</v>
      </c>
      <c r="AG1065" s="482">
        <f t="shared" si="404"/>
        <v>0</v>
      </c>
      <c r="AH1065" s="482"/>
      <c r="AI1065" s="482" t="s">
        <v>2191</v>
      </c>
      <c r="AJ1065" s="482"/>
      <c r="AK1065" s="482"/>
      <c r="AL1065" s="656">
        <f>I1065</f>
        <v>9100</v>
      </c>
      <c r="AM1065" s="432"/>
      <c r="AN1065" s="432"/>
      <c r="AO1065" s="432"/>
      <c r="AP1065" s="432"/>
      <c r="AQ1065" s="432"/>
      <c r="AR1065" s="656"/>
      <c r="AS1065" s="656"/>
      <c r="AT1065" s="660">
        <f>I1065</f>
        <v>9100</v>
      </c>
      <c r="AU1065" s="432">
        <f>I1065</f>
        <v>9100</v>
      </c>
      <c r="AV1065" s="427"/>
      <c r="AW1065" s="427"/>
      <c r="AX1065" s="582">
        <f>I1065/13</f>
        <v>700</v>
      </c>
      <c r="AY1065" s="581"/>
      <c r="AZ1065" s="662"/>
      <c r="BA1065" s="432"/>
      <c r="BB1065" s="432"/>
      <c r="BC1065" s="432"/>
      <c r="BD1065" s="432"/>
      <c r="BE1065" s="432"/>
      <c r="BF1065" s="432"/>
      <c r="BG1065" s="432"/>
      <c r="BH1065" s="432"/>
      <c r="BI1065" s="432">
        <f>I1065/13</f>
        <v>700</v>
      </c>
      <c r="BJ1065" s="432"/>
      <c r="BK1065" s="432"/>
      <c r="BL1065" s="432"/>
      <c r="BM1065" s="432"/>
      <c r="BN1065" s="432"/>
      <c r="BO1065" s="432"/>
      <c r="BP1065" s="432"/>
      <c r="BQ1065" s="432"/>
      <c r="BR1065" s="432"/>
      <c r="BS1065" s="432"/>
      <c r="BT1065" s="660"/>
      <c r="BU1065" s="432"/>
      <c r="BV1065" s="660"/>
      <c r="BW1065" s="432"/>
      <c r="BX1065" s="432"/>
      <c r="BY1065" s="432"/>
      <c r="BZ1065" s="432"/>
      <c r="CA1065" s="432"/>
      <c r="CB1065" s="432"/>
      <c r="CC1065" s="432"/>
      <c r="CD1065" s="432"/>
      <c r="CE1065" s="432"/>
      <c r="CF1065" s="432"/>
      <c r="CG1065" s="432"/>
      <c r="CH1065" s="432"/>
      <c r="CI1065" s="432"/>
      <c r="CJ1065" s="432"/>
      <c r="CK1065" s="432">
        <f t="shared" si="415"/>
        <v>0</v>
      </c>
      <c r="CL1065" s="432">
        <f t="shared" si="407"/>
        <v>0</v>
      </c>
      <c r="CM1065" s="432">
        <f t="shared" si="408"/>
        <v>0</v>
      </c>
      <c r="CN1065" s="665"/>
      <c r="CO1065" s="665"/>
      <c r="CP1065" s="665"/>
      <c r="CQ1065" s="432"/>
      <c r="CR1065" s="432"/>
      <c r="CS1065" s="432"/>
      <c r="CT1065" s="665"/>
      <c r="CU1065" s="665"/>
      <c r="CV1065" s="665"/>
      <c r="CW1065" s="665"/>
      <c r="CX1065" s="665"/>
    </row>
    <row r="1066" s="424" customFormat="1" ht="31" customHeight="1" spans="1:102">
      <c r="A1066" s="633">
        <v>46017</v>
      </c>
      <c r="B1066" s="497" t="s">
        <v>1669</v>
      </c>
      <c r="C1066" s="635" t="s">
        <v>663</v>
      </c>
      <c r="D1066" s="432">
        <v>4500185221</v>
      </c>
      <c r="E1066" s="635">
        <v>5000002057</v>
      </c>
      <c r="F1066" s="432" t="s">
        <v>5800</v>
      </c>
      <c r="G1066" s="482" t="s">
        <v>3206</v>
      </c>
      <c r="H1066" s="482" t="s">
        <v>4939</v>
      </c>
      <c r="I1066" s="645">
        <v>6500</v>
      </c>
      <c r="J1066" s="482">
        <v>0</v>
      </c>
      <c r="K1066" s="482">
        <v>13</v>
      </c>
      <c r="L1066" s="639">
        <f t="shared" si="411"/>
        <v>500</v>
      </c>
      <c r="M1066" s="640">
        <v>46052</v>
      </c>
      <c r="N1066" s="640">
        <v>46049</v>
      </c>
      <c r="O1066" s="641"/>
      <c r="P1066" s="641"/>
      <c r="Q1066" s="482"/>
      <c r="R1066" s="647" t="s">
        <v>4940</v>
      </c>
      <c r="S1066" s="647" t="s">
        <v>96</v>
      </c>
      <c r="T1066" s="647" t="s">
        <v>1573</v>
      </c>
      <c r="U1066" s="647" t="s">
        <v>5622</v>
      </c>
      <c r="V1066" s="508" t="s">
        <v>5685</v>
      </c>
      <c r="W1066" s="508" t="s">
        <v>1674</v>
      </c>
      <c r="X1066" s="648">
        <v>0.8677</v>
      </c>
      <c r="Y1066" s="651">
        <f t="shared" si="414"/>
        <v>5640.05</v>
      </c>
      <c r="Z1066" s="482"/>
      <c r="AA1066" s="652" t="s">
        <v>5467</v>
      </c>
      <c r="AB1066" s="482" t="s">
        <v>76</v>
      </c>
      <c r="AC1066" s="482"/>
      <c r="AD1066" s="497"/>
      <c r="AE1066" s="497">
        <v>1</v>
      </c>
      <c r="AF1066" s="482">
        <v>6500</v>
      </c>
      <c r="AG1066" s="482">
        <f t="shared" si="404"/>
        <v>0</v>
      </c>
      <c r="AH1066" s="482"/>
      <c r="AI1066" s="482" t="s">
        <v>2191</v>
      </c>
      <c r="AJ1066" s="482"/>
      <c r="AK1066" s="482"/>
      <c r="AL1066" s="656">
        <f>I1066</f>
        <v>6500</v>
      </c>
      <c r="AM1066" s="432"/>
      <c r="AN1066" s="432"/>
      <c r="AO1066" s="432"/>
      <c r="AP1066" s="432"/>
      <c r="AQ1066" s="432"/>
      <c r="AR1066" s="656"/>
      <c r="AS1066" s="656"/>
      <c r="AT1066" s="660">
        <f>I1066</f>
        <v>6500</v>
      </c>
      <c r="AU1066" s="432">
        <f>I1066</f>
        <v>6500</v>
      </c>
      <c r="AV1066" s="427"/>
      <c r="AW1066" s="427"/>
      <c r="AX1066" s="582">
        <f>I1066/13</f>
        <v>500</v>
      </c>
      <c r="AY1066" s="581"/>
      <c r="AZ1066" s="662"/>
      <c r="BA1066" s="432"/>
      <c r="BB1066" s="432"/>
      <c r="BC1066" s="432"/>
      <c r="BD1066" s="432"/>
      <c r="BE1066" s="432"/>
      <c r="BF1066" s="432"/>
      <c r="BG1066" s="432"/>
      <c r="BH1066" s="432"/>
      <c r="BI1066" s="432">
        <f>I1066/13</f>
        <v>500</v>
      </c>
      <c r="BJ1066" s="432"/>
      <c r="BK1066" s="432"/>
      <c r="BL1066" s="432"/>
      <c r="BM1066" s="432"/>
      <c r="BN1066" s="432"/>
      <c r="BO1066" s="432"/>
      <c r="BP1066" s="432"/>
      <c r="BQ1066" s="432"/>
      <c r="BR1066" s="432"/>
      <c r="BS1066" s="432"/>
      <c r="BT1066" s="660"/>
      <c r="BU1066" s="432"/>
      <c r="BV1066" s="660"/>
      <c r="BW1066" s="432"/>
      <c r="BX1066" s="432"/>
      <c r="BY1066" s="432"/>
      <c r="BZ1066" s="432"/>
      <c r="CA1066" s="432"/>
      <c r="CB1066" s="432"/>
      <c r="CC1066" s="432"/>
      <c r="CD1066" s="432"/>
      <c r="CE1066" s="432"/>
      <c r="CF1066" s="432"/>
      <c r="CG1066" s="432"/>
      <c r="CH1066" s="432"/>
      <c r="CI1066" s="432"/>
      <c r="CJ1066" s="432"/>
      <c r="CK1066" s="432">
        <f t="shared" si="415"/>
        <v>0</v>
      </c>
      <c r="CL1066" s="432">
        <f t="shared" si="407"/>
        <v>0</v>
      </c>
      <c r="CM1066" s="432">
        <f t="shared" si="408"/>
        <v>0</v>
      </c>
      <c r="CN1066" s="660"/>
      <c r="CO1066" s="660"/>
      <c r="CP1066" s="660"/>
      <c r="CQ1066" s="432"/>
      <c r="CR1066" s="432"/>
      <c r="CS1066" s="432"/>
      <c r="CT1066" s="660"/>
      <c r="CU1066" s="660"/>
      <c r="CV1066" s="660"/>
      <c r="CW1066" s="660"/>
      <c r="CX1066" s="660"/>
    </row>
    <row r="1067" s="424" customFormat="1" ht="31" customHeight="1" spans="1:102">
      <c r="A1067" s="633">
        <v>46017</v>
      </c>
      <c r="B1067" s="497" t="s">
        <v>1669</v>
      </c>
      <c r="C1067" s="635" t="s">
        <v>663</v>
      </c>
      <c r="D1067" s="432">
        <v>4500185221</v>
      </c>
      <c r="E1067" s="635">
        <v>5000002057</v>
      </c>
      <c r="F1067" s="432" t="s">
        <v>5801</v>
      </c>
      <c r="G1067" s="482" t="s">
        <v>3206</v>
      </c>
      <c r="H1067" s="482" t="s">
        <v>4939</v>
      </c>
      <c r="I1067" s="645">
        <v>13000</v>
      </c>
      <c r="J1067" s="482">
        <v>0</v>
      </c>
      <c r="K1067" s="482">
        <v>13</v>
      </c>
      <c r="L1067" s="639">
        <f t="shared" si="411"/>
        <v>1000</v>
      </c>
      <c r="M1067" s="640">
        <v>46052</v>
      </c>
      <c r="N1067" s="640">
        <v>46049</v>
      </c>
      <c r="O1067" s="641"/>
      <c r="P1067" s="641"/>
      <c r="Q1067" s="482"/>
      <c r="R1067" s="647" t="s">
        <v>4940</v>
      </c>
      <c r="S1067" s="647" t="s">
        <v>96</v>
      </c>
      <c r="T1067" s="647" t="s">
        <v>1573</v>
      </c>
      <c r="U1067" s="647" t="s">
        <v>5622</v>
      </c>
      <c r="V1067" s="508" t="s">
        <v>5685</v>
      </c>
      <c r="W1067" s="508" t="s">
        <v>1674</v>
      </c>
      <c r="X1067" s="648">
        <v>0.8677</v>
      </c>
      <c r="Y1067" s="651">
        <f t="shared" si="414"/>
        <v>11280.1</v>
      </c>
      <c r="Z1067" s="482"/>
      <c r="AA1067" s="652" t="s">
        <v>5467</v>
      </c>
      <c r="AB1067" s="482" t="s">
        <v>76</v>
      </c>
      <c r="AC1067" s="482"/>
      <c r="AD1067" s="497"/>
      <c r="AE1067" s="497">
        <v>1</v>
      </c>
      <c r="AF1067" s="482">
        <v>13000</v>
      </c>
      <c r="AG1067" s="482">
        <f t="shared" si="404"/>
        <v>0</v>
      </c>
      <c r="AH1067" s="482"/>
      <c r="AI1067" s="482" t="s">
        <v>2191</v>
      </c>
      <c r="AJ1067" s="482"/>
      <c r="AK1067" s="482"/>
      <c r="AL1067" s="656">
        <f>I1067</f>
        <v>13000</v>
      </c>
      <c r="AM1067" s="432"/>
      <c r="AN1067" s="432"/>
      <c r="AO1067" s="432"/>
      <c r="AP1067" s="432"/>
      <c r="AQ1067" s="432"/>
      <c r="AR1067" s="656"/>
      <c r="AS1067" s="656"/>
      <c r="AT1067" s="660">
        <f>I1067</f>
        <v>13000</v>
      </c>
      <c r="AU1067" s="432">
        <f>I1067</f>
        <v>13000</v>
      </c>
      <c r="AV1067" s="427"/>
      <c r="AW1067" s="427"/>
      <c r="AX1067" s="582">
        <f>I1067/13</f>
        <v>1000</v>
      </c>
      <c r="AY1067" s="581"/>
      <c r="AZ1067" s="662"/>
      <c r="BA1067" s="432"/>
      <c r="BB1067" s="432"/>
      <c r="BC1067" s="432"/>
      <c r="BD1067" s="432"/>
      <c r="BE1067" s="432"/>
      <c r="BF1067" s="432"/>
      <c r="BG1067" s="432"/>
      <c r="BH1067" s="432"/>
      <c r="BI1067" s="432">
        <f>I1067/13</f>
        <v>1000</v>
      </c>
      <c r="BJ1067" s="432"/>
      <c r="BK1067" s="432"/>
      <c r="BL1067" s="432"/>
      <c r="BM1067" s="432"/>
      <c r="BN1067" s="432"/>
      <c r="BO1067" s="432"/>
      <c r="BP1067" s="432"/>
      <c r="BQ1067" s="432"/>
      <c r="BR1067" s="432"/>
      <c r="BS1067" s="432"/>
      <c r="BT1067" s="660"/>
      <c r="BU1067" s="432"/>
      <c r="BV1067" s="660"/>
      <c r="BW1067" s="432"/>
      <c r="BX1067" s="432"/>
      <c r="BY1067" s="432"/>
      <c r="BZ1067" s="432"/>
      <c r="CA1067" s="432"/>
      <c r="CB1067" s="432"/>
      <c r="CC1067" s="432"/>
      <c r="CD1067" s="432"/>
      <c r="CE1067" s="432"/>
      <c r="CF1067" s="432"/>
      <c r="CG1067" s="432"/>
      <c r="CH1067" s="432"/>
      <c r="CI1067" s="432"/>
      <c r="CJ1067" s="432"/>
      <c r="CK1067" s="432">
        <f t="shared" si="415"/>
        <v>0</v>
      </c>
      <c r="CL1067" s="432">
        <f t="shared" si="407"/>
        <v>0</v>
      </c>
      <c r="CM1067" s="432">
        <f t="shared" si="408"/>
        <v>0</v>
      </c>
      <c r="CN1067" s="660"/>
      <c r="CO1067" s="660"/>
      <c r="CP1067" s="660"/>
      <c r="CQ1067" s="432"/>
      <c r="CR1067" s="432"/>
      <c r="CS1067" s="432"/>
      <c r="CT1067" s="660"/>
      <c r="CU1067" s="660"/>
      <c r="CV1067" s="660"/>
      <c r="CW1067" s="660"/>
      <c r="CX1067" s="660"/>
    </row>
    <row r="1068" s="424" customFormat="1" ht="31" customHeight="1" spans="1:102">
      <c r="A1068" s="633">
        <v>46021</v>
      </c>
      <c r="B1068" s="497" t="s">
        <v>1228</v>
      </c>
      <c r="C1068" s="635" t="s">
        <v>841</v>
      </c>
      <c r="D1068" s="432">
        <v>4500190234</v>
      </c>
      <c r="E1068" s="635"/>
      <c r="F1068" s="432" t="s">
        <v>5802</v>
      </c>
      <c r="G1068" s="482" t="s">
        <v>3378</v>
      </c>
      <c r="H1068" s="482" t="s">
        <v>3379</v>
      </c>
      <c r="I1068" s="482">
        <v>3900</v>
      </c>
      <c r="J1068" s="482">
        <v>0</v>
      </c>
      <c r="K1068" s="482">
        <v>50</v>
      </c>
      <c r="L1068" s="639">
        <f t="shared" si="411"/>
        <v>78</v>
      </c>
      <c r="M1068" s="640">
        <v>46052</v>
      </c>
      <c r="N1068" s="640">
        <v>46048</v>
      </c>
      <c r="O1068" s="641"/>
      <c r="P1068" s="641"/>
      <c r="Q1068" s="482"/>
      <c r="R1068" s="647">
        <v>46021</v>
      </c>
      <c r="S1068" s="647" t="s">
        <v>66</v>
      </c>
      <c r="T1068" s="647" t="s">
        <v>66</v>
      </c>
      <c r="U1068" s="647"/>
      <c r="V1068" s="508" t="s">
        <v>5803</v>
      </c>
      <c r="W1068" s="508" t="s">
        <v>853</v>
      </c>
      <c r="X1068" s="508">
        <v>0.9315</v>
      </c>
      <c r="Y1068" s="651">
        <f t="shared" si="414"/>
        <v>3632.85</v>
      </c>
      <c r="Z1068" s="482"/>
      <c r="AA1068" s="482" t="s">
        <v>3378</v>
      </c>
      <c r="AB1068" s="482" t="s">
        <v>76</v>
      </c>
      <c r="AC1068" s="482"/>
      <c r="AD1068" s="497"/>
      <c r="AE1068" s="497">
        <v>1</v>
      </c>
      <c r="AF1068" s="482">
        <v>3900</v>
      </c>
      <c r="AG1068" s="482">
        <f t="shared" si="404"/>
        <v>0</v>
      </c>
      <c r="AH1068" s="482"/>
      <c r="AI1068" s="482"/>
      <c r="AJ1068" s="482"/>
      <c r="AK1068" s="482"/>
      <c r="AL1068" s="656">
        <f>I1068</f>
        <v>3900</v>
      </c>
      <c r="AM1068" s="432"/>
      <c r="AN1068" s="432"/>
      <c r="AO1068" s="432"/>
      <c r="AP1068" s="432"/>
      <c r="AQ1068" s="432"/>
      <c r="AR1068" s="656"/>
      <c r="AS1068" s="656"/>
      <c r="AT1068" s="660"/>
      <c r="AU1068" s="432"/>
      <c r="AV1068" s="432"/>
      <c r="AW1068" s="432"/>
      <c r="AX1068" s="432"/>
      <c r="AY1068" s="581">
        <f>I1068/24</f>
        <v>162.5</v>
      </c>
      <c r="AZ1068" s="662"/>
      <c r="BA1068" s="432"/>
      <c r="BB1068" s="432"/>
      <c r="BC1068" s="432"/>
      <c r="BD1068" s="432"/>
      <c r="BE1068" s="432"/>
      <c r="BF1068" s="432"/>
      <c r="BG1068" s="432"/>
      <c r="BH1068" s="432"/>
      <c r="BI1068" s="432"/>
      <c r="BJ1068" s="432"/>
      <c r="BK1068" s="432"/>
      <c r="BL1068" s="432"/>
      <c r="BM1068" s="432"/>
      <c r="BN1068" s="432"/>
      <c r="BO1068" s="432"/>
      <c r="BP1068" s="432"/>
      <c r="BQ1068" s="432">
        <f>I1068</f>
        <v>3900</v>
      </c>
      <c r="BR1068" s="432">
        <f>I1068</f>
        <v>3900</v>
      </c>
      <c r="BS1068" s="432">
        <f>I1068/25</f>
        <v>156</v>
      </c>
      <c r="BT1068" s="660"/>
      <c r="BU1068" s="432"/>
      <c r="BV1068" s="660"/>
      <c r="BW1068" s="432"/>
      <c r="BX1068" s="432"/>
      <c r="BY1068" s="432"/>
      <c r="BZ1068" s="432"/>
      <c r="CA1068" s="432"/>
      <c r="CB1068" s="432"/>
      <c r="CC1068" s="432"/>
      <c r="CD1068" s="432"/>
      <c r="CE1068" s="432"/>
      <c r="CF1068" s="432"/>
      <c r="CG1068" s="432"/>
      <c r="CH1068" s="432"/>
      <c r="CI1068" s="432"/>
      <c r="CJ1068" s="432"/>
      <c r="CK1068" s="432">
        <f t="shared" si="415"/>
        <v>156</v>
      </c>
      <c r="CL1068" s="432">
        <f t="shared" si="407"/>
        <v>0</v>
      </c>
      <c r="CM1068" s="432">
        <f t="shared" si="408"/>
        <v>0</v>
      </c>
      <c r="CN1068" s="660"/>
      <c r="CO1068" s="660"/>
      <c r="CP1068" s="660"/>
      <c r="CQ1068" s="432"/>
      <c r="CR1068" s="432"/>
      <c r="CS1068" s="432"/>
      <c r="CT1068" s="660"/>
      <c r="CU1068" s="660"/>
      <c r="CV1068" s="660"/>
      <c r="CW1068" s="660"/>
      <c r="CX1068" s="660"/>
    </row>
    <row r="1069" s="433" customFormat="1" ht="31" customHeight="1" spans="1:102">
      <c r="A1069" s="633">
        <v>46042</v>
      </c>
      <c r="B1069" s="497" t="s">
        <v>754</v>
      </c>
      <c r="C1069" s="635" t="s">
        <v>356</v>
      </c>
      <c r="D1069" s="432">
        <v>4500188053</v>
      </c>
      <c r="E1069" s="635" t="s">
        <v>2688</v>
      </c>
      <c r="F1069" s="432" t="s">
        <v>2736</v>
      </c>
      <c r="G1069" s="482" t="s">
        <v>3436</v>
      </c>
      <c r="H1069" s="482" t="s">
        <v>424</v>
      </c>
      <c r="I1069" s="482">
        <v>24</v>
      </c>
      <c r="J1069" s="482">
        <v>0</v>
      </c>
      <c r="K1069" s="482">
        <v>6</v>
      </c>
      <c r="L1069" s="639">
        <f t="shared" si="411"/>
        <v>4</v>
      </c>
      <c r="M1069" s="640">
        <v>46052</v>
      </c>
      <c r="N1069" s="640">
        <v>46048</v>
      </c>
      <c r="O1069" s="641"/>
      <c r="P1069" s="641"/>
      <c r="Q1069" s="647" t="s">
        <v>2690</v>
      </c>
      <c r="R1069" s="647">
        <v>46009</v>
      </c>
      <c r="S1069" s="647" t="s">
        <v>66</v>
      </c>
      <c r="T1069" s="647" t="s">
        <v>5786</v>
      </c>
      <c r="U1069" s="647"/>
      <c r="V1069" s="649" t="s">
        <v>2732</v>
      </c>
      <c r="W1069" s="508" t="s">
        <v>395</v>
      </c>
      <c r="X1069" s="648">
        <v>6.7112</v>
      </c>
      <c r="Y1069" s="651">
        <f t="shared" si="414"/>
        <v>161.0688</v>
      </c>
      <c r="Z1069" s="482"/>
      <c r="AA1069" s="482" t="s">
        <v>427</v>
      </c>
      <c r="AB1069" s="482" t="s">
        <v>76</v>
      </c>
      <c r="AC1069" s="482"/>
      <c r="AD1069" s="497"/>
      <c r="AE1069" s="497">
        <v>1</v>
      </c>
      <c r="AF1069" s="482">
        <v>24</v>
      </c>
      <c r="AG1069" s="482">
        <f t="shared" si="404"/>
        <v>0</v>
      </c>
      <c r="AH1069" s="482"/>
      <c r="AI1069" s="482"/>
      <c r="AJ1069" s="482"/>
      <c r="AK1069" s="482"/>
      <c r="AL1069" s="656">
        <f>I1069*2</f>
        <v>48</v>
      </c>
      <c r="AM1069" s="432"/>
      <c r="AN1069" s="432"/>
      <c r="AO1069" s="432"/>
      <c r="AP1069" s="432"/>
      <c r="AQ1069" s="432">
        <f>I1069*2</f>
        <v>48</v>
      </c>
      <c r="AR1069" s="432"/>
      <c r="AS1069" s="656">
        <f>I1069*2</f>
        <v>48</v>
      </c>
      <c r="AT1069" s="660"/>
      <c r="AU1069" s="432"/>
      <c r="AV1069" s="432"/>
      <c r="AW1069" s="432"/>
      <c r="AX1069" s="432"/>
      <c r="AY1069" s="663">
        <f>I1069/24*2</f>
        <v>2</v>
      </c>
      <c r="AZ1069" s="662"/>
      <c r="BA1069" s="432"/>
      <c r="BB1069" s="432"/>
      <c r="BC1069" s="432"/>
      <c r="BD1069" s="432"/>
      <c r="BE1069" s="432"/>
      <c r="BF1069" s="432"/>
      <c r="BG1069" s="432"/>
      <c r="BH1069" s="432"/>
      <c r="BI1069" s="432"/>
      <c r="BJ1069" s="432"/>
      <c r="BK1069" s="432"/>
      <c r="BL1069" s="432"/>
      <c r="BM1069" s="432"/>
      <c r="BN1069" s="432"/>
      <c r="BO1069" s="432"/>
      <c r="BP1069" s="432"/>
      <c r="BQ1069" s="432"/>
      <c r="BR1069" s="432"/>
      <c r="BS1069" s="432"/>
      <c r="BT1069" s="660"/>
      <c r="BU1069" s="432">
        <f>I1069</f>
        <v>24</v>
      </c>
      <c r="BV1069" s="660"/>
      <c r="BW1069" s="432"/>
      <c r="BX1069" s="432"/>
      <c r="BY1069" s="432"/>
      <c r="BZ1069" s="432"/>
      <c r="CA1069" s="432"/>
      <c r="CB1069" s="432"/>
      <c r="CC1069" s="432"/>
      <c r="CD1069" s="432"/>
      <c r="CE1069" s="432"/>
      <c r="CF1069" s="432"/>
      <c r="CG1069" s="432"/>
      <c r="CH1069" s="432"/>
      <c r="CI1069" s="432"/>
      <c r="CJ1069" s="432"/>
      <c r="CK1069" s="432">
        <f t="shared" si="415"/>
        <v>0</v>
      </c>
      <c r="CL1069" s="432">
        <f t="shared" si="407"/>
        <v>0</v>
      </c>
      <c r="CM1069" s="432">
        <f t="shared" si="408"/>
        <v>0</v>
      </c>
      <c r="CN1069" s="666"/>
      <c r="CO1069" s="666"/>
      <c r="CP1069" s="666"/>
      <c r="CQ1069" s="427"/>
      <c r="CR1069" s="427"/>
      <c r="CS1069" s="427"/>
      <c r="CT1069" s="666"/>
      <c r="CU1069" s="666"/>
      <c r="CV1069" s="666"/>
      <c r="CW1069" s="666"/>
      <c r="CX1069" s="666"/>
    </row>
    <row r="1070" s="424" customFormat="1" ht="31" customHeight="1" spans="1:102">
      <c r="A1070" s="633">
        <v>46008</v>
      </c>
      <c r="B1070" s="497" t="s">
        <v>932</v>
      </c>
      <c r="C1070" s="635" t="s">
        <v>356</v>
      </c>
      <c r="D1070" s="432">
        <v>4500189267</v>
      </c>
      <c r="E1070" s="635"/>
      <c r="F1070" s="432" t="s">
        <v>5804</v>
      </c>
      <c r="G1070" s="482" t="s">
        <v>3328</v>
      </c>
      <c r="H1070" s="482" t="s">
        <v>3194</v>
      </c>
      <c r="I1070" s="482">
        <v>1020</v>
      </c>
      <c r="J1070" s="482">
        <v>0</v>
      </c>
      <c r="K1070" s="482">
        <v>30</v>
      </c>
      <c r="L1070" s="639">
        <f t="shared" si="411"/>
        <v>34</v>
      </c>
      <c r="M1070" s="640">
        <v>46054</v>
      </c>
      <c r="N1070" s="640">
        <f>M1070-4</f>
        <v>46050</v>
      </c>
      <c r="O1070" s="641"/>
      <c r="P1070" s="641"/>
      <c r="Q1070" s="482"/>
      <c r="R1070" s="647">
        <v>46008</v>
      </c>
      <c r="S1070" s="647" t="s">
        <v>5805</v>
      </c>
      <c r="T1070" s="647" t="s">
        <v>5806</v>
      </c>
      <c r="U1070" s="647"/>
      <c r="V1070" s="508" t="s">
        <v>5807</v>
      </c>
      <c r="W1070" s="508" t="s">
        <v>395</v>
      </c>
      <c r="X1070" s="648">
        <v>41.4795</v>
      </c>
      <c r="Y1070" s="651">
        <f>X1070*L1070</f>
        <v>1410.303</v>
      </c>
      <c r="Z1070" s="482"/>
      <c r="AA1070" s="482" t="s">
        <v>3328</v>
      </c>
      <c r="AB1070" s="482" t="s">
        <v>76</v>
      </c>
      <c r="AC1070" s="482"/>
      <c r="AD1070" s="497"/>
      <c r="AE1070" s="497">
        <v>1</v>
      </c>
      <c r="AF1070" s="482">
        <v>1020</v>
      </c>
      <c r="AG1070" s="482">
        <f t="shared" si="404"/>
        <v>0</v>
      </c>
      <c r="AH1070" s="655"/>
      <c r="AI1070" s="482" t="s">
        <v>2191</v>
      </c>
      <c r="AJ1070" s="482"/>
      <c r="AK1070" s="482"/>
      <c r="AL1070" s="432">
        <f>I1070</f>
        <v>1020</v>
      </c>
      <c r="AM1070" s="657"/>
      <c r="AN1070" s="657"/>
      <c r="AO1070" s="659"/>
      <c r="AP1070" s="657"/>
      <c r="AQ1070" s="432">
        <f>I1070*2</f>
        <v>2040</v>
      </c>
      <c r="AR1070" s="656"/>
      <c r="AS1070" s="656">
        <f>I1070*2</f>
        <v>2040</v>
      </c>
      <c r="AT1070" s="660"/>
      <c r="AU1070" s="657"/>
      <c r="AV1070" s="657"/>
      <c r="AW1070" s="657"/>
      <c r="AX1070" s="657"/>
      <c r="AY1070" s="663">
        <f>I1070/24</f>
        <v>42.5</v>
      </c>
      <c r="AZ1070" s="662"/>
      <c r="BA1070" s="657"/>
      <c r="BB1070" s="657"/>
      <c r="BC1070" s="657"/>
      <c r="BD1070" s="657"/>
      <c r="BE1070" s="657"/>
      <c r="BF1070" s="657"/>
      <c r="BG1070" s="657"/>
      <c r="BH1070" s="657"/>
      <c r="BI1070" s="657"/>
      <c r="BJ1070" s="657"/>
      <c r="BK1070" s="657"/>
      <c r="BL1070" s="657"/>
      <c r="BM1070" s="657"/>
      <c r="BN1070" s="657"/>
      <c r="BO1070" s="657"/>
      <c r="BP1070" s="657"/>
      <c r="BQ1070" s="657"/>
      <c r="BR1070" s="657"/>
      <c r="BS1070" s="657"/>
      <c r="BT1070" s="660"/>
      <c r="BU1070" s="657"/>
      <c r="BV1070" s="660"/>
      <c r="BW1070" s="657"/>
      <c r="BX1070" s="657"/>
      <c r="BY1070" s="657"/>
      <c r="BZ1070" s="657"/>
      <c r="CA1070" s="657"/>
      <c r="CB1070" s="657"/>
      <c r="CC1070" s="657"/>
      <c r="CD1070" s="657"/>
      <c r="CE1070" s="657"/>
      <c r="CF1070" s="432">
        <f>I1070/30</f>
        <v>34</v>
      </c>
      <c r="CG1070" s="657"/>
      <c r="CH1070" s="657"/>
      <c r="CI1070" s="657"/>
      <c r="CJ1070" s="657"/>
      <c r="CK1070" s="432">
        <f t="shared" si="415"/>
        <v>0</v>
      </c>
      <c r="CL1070" s="432">
        <f t="shared" si="407"/>
        <v>34</v>
      </c>
      <c r="CM1070" s="432">
        <f t="shared" si="408"/>
        <v>0</v>
      </c>
      <c r="CN1070" s="665"/>
      <c r="CO1070" s="665"/>
      <c r="CP1070" s="665"/>
      <c r="CT1070" s="665"/>
      <c r="CU1070" s="665"/>
      <c r="CV1070" s="665"/>
      <c r="CW1070" s="665"/>
      <c r="CX1070" s="665"/>
    </row>
    <row r="1071" s="432" customFormat="1" ht="31" customHeight="1" spans="1:102">
      <c r="A1071" s="633">
        <v>45957</v>
      </c>
      <c r="B1071" s="637" t="s">
        <v>2712</v>
      </c>
      <c r="C1071" s="634" t="s">
        <v>90</v>
      </c>
      <c r="D1071" s="432">
        <v>4500183158</v>
      </c>
      <c r="E1071" s="635">
        <v>84006705</v>
      </c>
      <c r="F1071" s="432" t="s">
        <v>5808</v>
      </c>
      <c r="G1071" s="482" t="s">
        <v>4564</v>
      </c>
      <c r="H1071" s="482" t="s">
        <v>3237</v>
      </c>
      <c r="I1071" s="482">
        <v>1200</v>
      </c>
      <c r="J1071" s="482">
        <v>0</v>
      </c>
      <c r="K1071" s="482">
        <v>12</v>
      </c>
      <c r="L1071" s="639">
        <f t="shared" si="411"/>
        <v>100</v>
      </c>
      <c r="M1071" s="644">
        <v>46055</v>
      </c>
      <c r="N1071" s="644">
        <v>46051</v>
      </c>
      <c r="O1071" s="641"/>
      <c r="P1071" s="641"/>
      <c r="Q1071" s="482"/>
      <c r="R1071" s="647">
        <v>45982</v>
      </c>
      <c r="S1071" s="647" t="s">
        <v>66</v>
      </c>
      <c r="T1071" s="647" t="s">
        <v>66</v>
      </c>
      <c r="U1071" s="647"/>
      <c r="V1071" s="508" t="s">
        <v>2714</v>
      </c>
      <c r="W1071" s="650" t="s">
        <v>1178</v>
      </c>
      <c r="X1071" s="508">
        <v>1.3094</v>
      </c>
      <c r="Y1071" s="651">
        <f>X1071*I1071</f>
        <v>1571.28</v>
      </c>
      <c r="Z1071" s="482"/>
      <c r="AA1071" s="482" t="s">
        <v>5650</v>
      </c>
      <c r="AB1071" s="482" t="s">
        <v>76</v>
      </c>
      <c r="AC1071" s="482"/>
      <c r="AD1071" s="482"/>
      <c r="AE1071" s="482">
        <v>1</v>
      </c>
      <c r="AF1071" s="482">
        <v>1200</v>
      </c>
      <c r="AG1071" s="482">
        <f t="shared" si="404"/>
        <v>0</v>
      </c>
      <c r="AH1071" s="655"/>
      <c r="AI1071" s="482"/>
      <c r="AJ1071" s="482"/>
      <c r="AK1071" s="482">
        <f>I1071*2</f>
        <v>2400</v>
      </c>
      <c r="AL1071" s="656"/>
      <c r="AM1071" s="432">
        <f>AK1071</f>
        <v>2400</v>
      </c>
      <c r="AR1071" s="656">
        <f>I1071*2</f>
        <v>2400</v>
      </c>
      <c r="AS1071" s="656"/>
      <c r="AT1071" s="660"/>
      <c r="AU1071" s="656"/>
      <c r="AY1071" s="581">
        <f>I1071/24*2</f>
        <v>100</v>
      </c>
      <c r="AZ1071" s="662"/>
      <c r="BT1071" s="660"/>
      <c r="BV1071" s="660"/>
      <c r="CH1071" s="432">
        <f>I1071</f>
        <v>1200</v>
      </c>
      <c r="CI1071" s="432">
        <f>I1071</f>
        <v>1200</v>
      </c>
      <c r="CJ1071" s="432">
        <f>I1071</f>
        <v>1200</v>
      </c>
      <c r="CK1071" s="432">
        <v>0</v>
      </c>
      <c r="CL1071" s="432">
        <v>0</v>
      </c>
      <c r="CM1071" s="432">
        <v>0</v>
      </c>
      <c r="CN1071" s="660"/>
      <c r="CO1071" s="660"/>
      <c r="CP1071" s="660"/>
      <c r="CT1071" s="660"/>
      <c r="CU1071" s="660"/>
      <c r="CV1071" s="660"/>
      <c r="CW1071" s="660"/>
      <c r="CX1071" s="660"/>
    </row>
    <row r="1072" s="432" customFormat="1" ht="31" customHeight="1" spans="1:102">
      <c r="A1072" s="633">
        <v>45957</v>
      </c>
      <c r="B1072" s="637" t="s">
        <v>2712</v>
      </c>
      <c r="C1072" s="634" t="s">
        <v>90</v>
      </c>
      <c r="D1072" s="432">
        <v>4500183158</v>
      </c>
      <c r="E1072" s="635">
        <v>84006706</v>
      </c>
      <c r="F1072" s="432" t="s">
        <v>5809</v>
      </c>
      <c r="G1072" s="482" t="s">
        <v>4564</v>
      </c>
      <c r="H1072" s="482" t="s">
        <v>3237</v>
      </c>
      <c r="I1072" s="482">
        <v>96</v>
      </c>
      <c r="J1072" s="482">
        <v>0</v>
      </c>
      <c r="K1072" s="482">
        <v>12</v>
      </c>
      <c r="L1072" s="639">
        <f t="shared" si="411"/>
        <v>8</v>
      </c>
      <c r="M1072" s="644">
        <v>46055</v>
      </c>
      <c r="N1072" s="644">
        <v>46051</v>
      </c>
      <c r="O1072" s="641"/>
      <c r="P1072" s="641"/>
      <c r="Q1072" s="482"/>
      <c r="R1072" s="647">
        <v>45982</v>
      </c>
      <c r="S1072" s="647" t="s">
        <v>66</v>
      </c>
      <c r="T1072" s="647" t="s">
        <v>66</v>
      </c>
      <c r="U1072" s="647"/>
      <c r="V1072" s="508" t="s">
        <v>2714</v>
      </c>
      <c r="W1072" s="650" t="s">
        <v>1178</v>
      </c>
      <c r="X1072" s="508">
        <v>1.3094</v>
      </c>
      <c r="Y1072" s="651">
        <f>X1072*I1072</f>
        <v>125.7024</v>
      </c>
      <c r="Z1072" s="482"/>
      <c r="AA1072" s="482" t="s">
        <v>5650</v>
      </c>
      <c r="AB1072" s="482" t="s">
        <v>76</v>
      </c>
      <c r="AC1072" s="482"/>
      <c r="AD1072" s="497"/>
      <c r="AE1072" s="497">
        <v>1</v>
      </c>
      <c r="AF1072" s="482">
        <v>96</v>
      </c>
      <c r="AG1072" s="482">
        <f t="shared" si="404"/>
        <v>0</v>
      </c>
      <c r="AH1072" s="655"/>
      <c r="AI1072" s="482"/>
      <c r="AJ1072" s="482"/>
      <c r="AK1072" s="482">
        <f>I1072*2</f>
        <v>192</v>
      </c>
      <c r="AL1072" s="656"/>
      <c r="AM1072" s="432">
        <f>AK1072</f>
        <v>192</v>
      </c>
      <c r="AR1072" s="656">
        <f>I1072*2</f>
        <v>192</v>
      </c>
      <c r="AS1072" s="656"/>
      <c r="AT1072" s="660"/>
      <c r="AY1072" s="581">
        <f>I1072/24*2</f>
        <v>8</v>
      </c>
      <c r="AZ1072" s="662"/>
      <c r="BT1072" s="660"/>
      <c r="BV1072" s="660"/>
      <c r="CH1072" s="432">
        <f>I1072</f>
        <v>96</v>
      </c>
      <c r="CI1072" s="432">
        <f>I1072</f>
        <v>96</v>
      </c>
      <c r="CJ1072" s="432">
        <f>I1072</f>
        <v>96</v>
      </c>
      <c r="CK1072" s="432">
        <v>0</v>
      </c>
      <c r="CL1072" s="432">
        <v>0</v>
      </c>
      <c r="CM1072" s="432">
        <v>0</v>
      </c>
      <c r="CN1072" s="660"/>
      <c r="CO1072" s="660"/>
      <c r="CP1072" s="660"/>
      <c r="CT1072" s="660"/>
      <c r="CU1072" s="660"/>
      <c r="CV1072" s="660"/>
      <c r="CW1072" s="660"/>
      <c r="CX1072" s="660"/>
    </row>
    <row r="1073" s="432" customFormat="1" ht="31" customHeight="1" spans="1:102">
      <c r="A1073" s="633">
        <v>45985</v>
      </c>
      <c r="B1073" s="637" t="s">
        <v>2489</v>
      </c>
      <c r="C1073" s="634" t="s">
        <v>90</v>
      </c>
      <c r="D1073" s="432">
        <v>4500186609</v>
      </c>
      <c r="E1073" s="635">
        <v>60261219</v>
      </c>
      <c r="F1073" s="432" t="s">
        <v>5810</v>
      </c>
      <c r="G1073" s="482" t="s">
        <v>4564</v>
      </c>
      <c r="H1073" s="482" t="s">
        <v>3237</v>
      </c>
      <c r="I1073" s="482">
        <v>2004</v>
      </c>
      <c r="J1073" s="482">
        <v>0</v>
      </c>
      <c r="K1073" s="482">
        <v>12</v>
      </c>
      <c r="L1073" s="639">
        <f t="shared" si="411"/>
        <v>167</v>
      </c>
      <c r="M1073" s="640">
        <v>46055</v>
      </c>
      <c r="N1073" s="640">
        <v>46051</v>
      </c>
      <c r="O1073" s="641"/>
      <c r="P1073" s="641"/>
      <c r="Q1073" s="482"/>
      <c r="R1073" s="647">
        <v>45985</v>
      </c>
      <c r="S1073" s="647" t="s">
        <v>66</v>
      </c>
      <c r="T1073" s="647" t="s">
        <v>2493</v>
      </c>
      <c r="U1073" s="647"/>
      <c r="V1073" s="508" t="s">
        <v>5677</v>
      </c>
      <c r="W1073" s="650" t="s">
        <v>2441</v>
      </c>
      <c r="X1073" s="508">
        <v>1.2871</v>
      </c>
      <c r="Y1073" s="651">
        <f>X1073*I1073</f>
        <v>2579.3484</v>
      </c>
      <c r="Z1073" s="482"/>
      <c r="AA1073" s="482" t="s">
        <v>5650</v>
      </c>
      <c r="AB1073" s="482" t="s">
        <v>76</v>
      </c>
      <c r="AC1073" s="482"/>
      <c r="AD1073" s="497"/>
      <c r="AE1073" s="497">
        <v>1</v>
      </c>
      <c r="AF1073" s="482">
        <v>2004</v>
      </c>
      <c r="AG1073" s="482">
        <f t="shared" si="404"/>
        <v>0</v>
      </c>
      <c r="AH1073" s="655"/>
      <c r="AI1073" s="482" t="s">
        <v>2191</v>
      </c>
      <c r="AJ1073" s="482"/>
      <c r="AK1073" s="482">
        <f>I1073*2</f>
        <v>4008</v>
      </c>
      <c r="AL1073" s="656"/>
      <c r="AM1073" s="432">
        <f>I1073*2</f>
        <v>4008</v>
      </c>
      <c r="AR1073" s="656">
        <f>I1073*2</f>
        <v>4008</v>
      </c>
      <c r="AS1073" s="656"/>
      <c r="AT1073" s="660"/>
      <c r="AY1073" s="581">
        <f>I1073/24*2</f>
        <v>167</v>
      </c>
      <c r="AZ1073" s="662"/>
      <c r="BT1073" s="660"/>
      <c r="BV1073" s="660"/>
      <c r="CH1073" s="432">
        <f>I1073</f>
        <v>2004</v>
      </c>
      <c r="CI1073" s="432">
        <f>I1073</f>
        <v>2004</v>
      </c>
      <c r="CJ1073" s="432">
        <f>I1073</f>
        <v>2004</v>
      </c>
      <c r="CK1073" s="432">
        <v>0</v>
      </c>
      <c r="CL1073" s="432">
        <v>0</v>
      </c>
      <c r="CM1073" s="432">
        <v>0</v>
      </c>
      <c r="CN1073" s="660"/>
      <c r="CO1073" s="660"/>
      <c r="CP1073" s="660"/>
      <c r="CT1073" s="660"/>
      <c r="CU1073" s="660"/>
      <c r="CV1073" s="660"/>
      <c r="CW1073" s="660"/>
      <c r="CX1073" s="660"/>
    </row>
    <row r="1074" s="434" customFormat="1" ht="31" customHeight="1" spans="1:102">
      <c r="A1074" s="633">
        <v>46016</v>
      </c>
      <c r="B1074" s="497" t="s">
        <v>4728</v>
      </c>
      <c r="C1074" s="635" t="s">
        <v>4004</v>
      </c>
      <c r="D1074" s="432">
        <v>4500189966</v>
      </c>
      <c r="E1074" s="635">
        <v>1417157</v>
      </c>
      <c r="F1074" s="432" t="s">
        <v>5811</v>
      </c>
      <c r="G1074" s="482" t="s">
        <v>4165</v>
      </c>
      <c r="H1074" s="482" t="s">
        <v>3194</v>
      </c>
      <c r="I1074" s="482">
        <v>9030</v>
      </c>
      <c r="J1074" s="482">
        <v>0</v>
      </c>
      <c r="K1074" s="482">
        <v>30</v>
      </c>
      <c r="L1074" s="639">
        <f t="shared" si="411"/>
        <v>301</v>
      </c>
      <c r="M1074" s="640">
        <v>46055</v>
      </c>
      <c r="N1074" s="640">
        <f>M1074-4</f>
        <v>46051</v>
      </c>
      <c r="O1074" s="641"/>
      <c r="P1074" s="641"/>
      <c r="Q1074" s="482"/>
      <c r="R1074" s="647">
        <v>46016</v>
      </c>
      <c r="S1074" s="647" t="s">
        <v>66</v>
      </c>
      <c r="T1074" s="647" t="s">
        <v>66</v>
      </c>
      <c r="U1074" s="647"/>
      <c r="V1074" s="508" t="s">
        <v>5812</v>
      </c>
      <c r="W1074" s="508" t="s">
        <v>1055</v>
      </c>
      <c r="X1074" s="648">
        <v>34.5684</v>
      </c>
      <c r="Y1074" s="651">
        <f>X1074*L1074</f>
        <v>10405.0884</v>
      </c>
      <c r="Z1074" s="482"/>
      <c r="AA1074" s="482" t="s">
        <v>4165</v>
      </c>
      <c r="AB1074" s="482" t="s">
        <v>76</v>
      </c>
      <c r="AC1074" s="482"/>
      <c r="AD1074" s="482"/>
      <c r="AE1074" s="482">
        <v>1</v>
      </c>
      <c r="AF1074" s="482">
        <v>9030</v>
      </c>
      <c r="AG1074" s="482">
        <f t="shared" si="404"/>
        <v>0</v>
      </c>
      <c r="AH1074" s="655"/>
      <c r="AI1074" s="482"/>
      <c r="AJ1074" s="482"/>
      <c r="AK1074" s="482">
        <f>I1074</f>
        <v>9030</v>
      </c>
      <c r="AL1074" s="656"/>
      <c r="AM1074" s="658"/>
      <c r="AN1074" s="658"/>
      <c r="AO1074" s="661"/>
      <c r="AP1074" s="432">
        <f>I1074</f>
        <v>9030</v>
      </c>
      <c r="AQ1074" s="432"/>
      <c r="AR1074" s="432">
        <f>I1074</f>
        <v>9030</v>
      </c>
      <c r="AS1074" s="656"/>
      <c r="AT1074" s="660"/>
      <c r="AU1074" s="658"/>
      <c r="AV1074" s="658"/>
      <c r="AW1074" s="658"/>
      <c r="AX1074" s="658"/>
      <c r="AY1074" s="581">
        <f>I1074/24</f>
        <v>376.25</v>
      </c>
      <c r="AZ1074" s="662"/>
      <c r="BA1074" s="658"/>
      <c r="BB1074" s="658"/>
      <c r="BC1074" s="658"/>
      <c r="BD1074" s="658"/>
      <c r="BE1074" s="658"/>
      <c r="BF1074" s="658"/>
      <c r="BG1074" s="658"/>
      <c r="BH1074" s="658"/>
      <c r="BI1074" s="658"/>
      <c r="BJ1074" s="658"/>
      <c r="BK1074" s="658"/>
      <c r="BL1074" s="658"/>
      <c r="BM1074" s="658"/>
      <c r="BN1074" s="658"/>
      <c r="BO1074" s="658"/>
      <c r="BP1074" s="658"/>
      <c r="BQ1074" s="658"/>
      <c r="BR1074" s="658"/>
      <c r="BS1074" s="658"/>
      <c r="BT1074" s="660"/>
      <c r="BU1074" s="658"/>
      <c r="BV1074" s="660"/>
      <c r="BW1074" s="658"/>
      <c r="BX1074" s="658"/>
      <c r="BY1074" s="658"/>
      <c r="BZ1074" s="658"/>
      <c r="CA1074" s="658"/>
      <c r="CB1074" s="658"/>
      <c r="CC1074" s="658"/>
      <c r="CD1074" s="658"/>
      <c r="CE1074" s="432">
        <f>I1074/30</f>
        <v>301</v>
      </c>
      <c r="CF1074" s="658"/>
      <c r="CG1074" s="658"/>
      <c r="CH1074" s="658"/>
      <c r="CI1074" s="658"/>
      <c r="CJ1074" s="658"/>
      <c r="CK1074" s="432">
        <f>BM1074+BL1074+BK1074+BJ1074+BS1074</f>
        <v>0</v>
      </c>
      <c r="CL1074" s="432">
        <f>CA1074+CB1074+CC1074+CD1074+CE1074+CG1074+CF1074</f>
        <v>301</v>
      </c>
      <c r="CM1074" s="432">
        <f>BY1074+BZ1074</f>
        <v>0</v>
      </c>
      <c r="CN1074" s="660"/>
      <c r="CO1074" s="660"/>
      <c r="CP1074" s="660"/>
      <c r="CT1074" s="660"/>
      <c r="CU1074" s="660"/>
      <c r="CV1074" s="660"/>
      <c r="CW1074" s="660"/>
      <c r="CX1074" s="660"/>
    </row>
    <row r="1075" s="424" customFormat="1" ht="31" customHeight="1" spans="1:102">
      <c r="A1075" s="633">
        <v>46016</v>
      </c>
      <c r="B1075" s="497" t="s">
        <v>4728</v>
      </c>
      <c r="C1075" s="635" t="s">
        <v>153</v>
      </c>
      <c r="D1075" s="432">
        <v>4500189973</v>
      </c>
      <c r="E1075" s="893" t="s">
        <v>5813</v>
      </c>
      <c r="F1075" s="432" t="s">
        <v>5814</v>
      </c>
      <c r="G1075" s="482" t="s">
        <v>3272</v>
      </c>
      <c r="H1075" s="482" t="s">
        <v>3207</v>
      </c>
      <c r="I1075" s="646">
        <v>4329</v>
      </c>
      <c r="J1075" s="482">
        <v>0</v>
      </c>
      <c r="K1075" s="482">
        <v>13</v>
      </c>
      <c r="L1075" s="639">
        <f t="shared" ref="L1072:L1105" si="416">I1075/K1075</f>
        <v>333</v>
      </c>
      <c r="M1075" s="640">
        <v>46056</v>
      </c>
      <c r="N1075" s="640">
        <v>46052</v>
      </c>
      <c r="O1075" s="641"/>
      <c r="P1075" s="641"/>
      <c r="Q1075" s="482"/>
      <c r="R1075" s="647">
        <v>46016</v>
      </c>
      <c r="S1075" s="647" t="s">
        <v>66</v>
      </c>
      <c r="T1075" s="647" t="s">
        <v>66</v>
      </c>
      <c r="U1075" s="647"/>
      <c r="V1075" s="508" t="s">
        <v>5812</v>
      </c>
      <c r="W1075" s="508" t="s">
        <v>1055</v>
      </c>
      <c r="X1075" s="648">
        <v>0.9213</v>
      </c>
      <c r="Y1075" s="651">
        <f t="shared" ref="Y1073:Y1082" si="417">X1075*I1075</f>
        <v>3988.3077</v>
      </c>
      <c r="Z1075" s="482"/>
      <c r="AA1075" s="482" t="s">
        <v>3272</v>
      </c>
      <c r="AB1075" s="482" t="s">
        <v>76</v>
      </c>
      <c r="AC1075" s="482"/>
      <c r="AD1075" s="497"/>
      <c r="AE1075" s="497">
        <v>1</v>
      </c>
      <c r="AF1075" s="482">
        <v>4329</v>
      </c>
      <c r="AG1075" s="482">
        <f t="shared" ref="AG1072:AG1082" si="418">AF1075-I1075</f>
        <v>0</v>
      </c>
      <c r="AH1075" s="655"/>
      <c r="AI1075" s="482"/>
      <c r="AJ1075" s="482"/>
      <c r="AK1075" s="482">
        <f>I1075</f>
        <v>4329</v>
      </c>
      <c r="AL1075" s="656"/>
      <c r="AM1075" s="658"/>
      <c r="AN1075" s="658"/>
      <c r="AO1075" s="661"/>
      <c r="AP1075" s="432">
        <f>I1075</f>
        <v>4329</v>
      </c>
      <c r="AQ1075" s="432"/>
      <c r="AR1075" s="432">
        <f>I1075</f>
        <v>4329</v>
      </c>
      <c r="AS1075" s="656"/>
      <c r="AT1075" s="660"/>
      <c r="AU1075" s="658"/>
      <c r="AV1075" s="658"/>
      <c r="AW1075" s="658"/>
      <c r="AX1075" s="658"/>
      <c r="AY1075" s="581">
        <f>I1075/24</f>
        <v>180.375</v>
      </c>
      <c r="AZ1075" s="662"/>
      <c r="BA1075" s="657"/>
      <c r="BB1075" s="657"/>
      <c r="BC1075" s="657"/>
      <c r="BD1075" s="657"/>
      <c r="BE1075" s="657"/>
      <c r="BF1075" s="657"/>
      <c r="BG1075" s="657"/>
      <c r="BH1075" s="432">
        <f>I1075/13</f>
        <v>333</v>
      </c>
      <c r="BI1075" s="657"/>
      <c r="BJ1075" s="657"/>
      <c r="BK1075" s="657"/>
      <c r="BL1075" s="657"/>
      <c r="BM1075" s="657"/>
      <c r="BN1075" s="657"/>
      <c r="BO1075" s="657"/>
      <c r="BP1075" s="657"/>
      <c r="BQ1075" s="657"/>
      <c r="BR1075" s="657"/>
      <c r="BS1075" s="657"/>
      <c r="BT1075" s="660"/>
      <c r="BU1075" s="657"/>
      <c r="BV1075" s="660"/>
      <c r="BW1075" s="657"/>
      <c r="BX1075" s="657"/>
      <c r="BY1075" s="657"/>
      <c r="BZ1075" s="657"/>
      <c r="CA1075" s="657"/>
      <c r="CB1075" s="657"/>
      <c r="CC1075" s="657"/>
      <c r="CD1075" s="657"/>
      <c r="CE1075" s="657"/>
      <c r="CF1075" s="657"/>
      <c r="CG1075" s="657"/>
      <c r="CH1075" s="657"/>
      <c r="CI1075" s="657"/>
      <c r="CJ1075" s="657"/>
      <c r="CK1075" s="432">
        <f t="shared" ref="CK1072:CK1083" si="419">BM1075+BL1075+BK1075+BJ1075+BS1075</f>
        <v>0</v>
      </c>
      <c r="CL1075" s="432">
        <f t="shared" ref="CL1072:CL1083" si="420">CA1075+CB1075+CC1075+CD1075+CE1075+CG1075+CF1075</f>
        <v>0</v>
      </c>
      <c r="CM1075" s="432">
        <f t="shared" ref="CM1072:CM1083" si="421">BY1075+BZ1075</f>
        <v>0</v>
      </c>
      <c r="CN1075" s="665"/>
      <c r="CO1075" s="665"/>
      <c r="CP1075" s="665"/>
      <c r="CT1075" s="665"/>
      <c r="CU1075" s="665"/>
      <c r="CV1075" s="665"/>
      <c r="CW1075" s="665"/>
      <c r="CX1075" s="665"/>
    </row>
    <row r="1076" s="424" customFormat="1" ht="31" customHeight="1" spans="1:102">
      <c r="A1076" s="633">
        <v>46016</v>
      </c>
      <c r="B1076" s="497" t="s">
        <v>4728</v>
      </c>
      <c r="C1076" s="635" t="s">
        <v>153</v>
      </c>
      <c r="D1076" s="432">
        <v>4500189971</v>
      </c>
      <c r="E1076" s="893" t="s">
        <v>5815</v>
      </c>
      <c r="F1076" s="432" t="s">
        <v>5816</v>
      </c>
      <c r="G1076" s="482" t="s">
        <v>3272</v>
      </c>
      <c r="H1076" s="482" t="s">
        <v>3207</v>
      </c>
      <c r="I1076" s="646">
        <v>2015</v>
      </c>
      <c r="J1076" s="482">
        <v>0</v>
      </c>
      <c r="K1076" s="482">
        <v>13</v>
      </c>
      <c r="L1076" s="639">
        <f t="shared" si="416"/>
        <v>155</v>
      </c>
      <c r="M1076" s="640">
        <v>46056</v>
      </c>
      <c r="N1076" s="640">
        <v>46052</v>
      </c>
      <c r="O1076" s="641"/>
      <c r="P1076" s="641"/>
      <c r="Q1076" s="482"/>
      <c r="R1076" s="647">
        <v>46016</v>
      </c>
      <c r="S1076" s="647" t="s">
        <v>66</v>
      </c>
      <c r="T1076" s="647" t="s">
        <v>66</v>
      </c>
      <c r="U1076" s="647"/>
      <c r="V1076" s="508" t="s">
        <v>5812</v>
      </c>
      <c r="W1076" s="508" t="s">
        <v>1055</v>
      </c>
      <c r="X1076" s="648">
        <v>0.9213</v>
      </c>
      <c r="Y1076" s="651">
        <f t="shared" si="417"/>
        <v>1856.4195</v>
      </c>
      <c r="Z1076" s="482"/>
      <c r="AA1076" s="482" t="s">
        <v>3272</v>
      </c>
      <c r="AB1076" s="482" t="s">
        <v>76</v>
      </c>
      <c r="AC1076" s="482"/>
      <c r="AD1076" s="497"/>
      <c r="AE1076" s="497">
        <v>1</v>
      </c>
      <c r="AF1076" s="482">
        <v>2015</v>
      </c>
      <c r="AG1076" s="482">
        <f t="shared" si="418"/>
        <v>0</v>
      </c>
      <c r="AH1076" s="655"/>
      <c r="AI1076" s="482"/>
      <c r="AJ1076" s="482"/>
      <c r="AK1076" s="482">
        <f>I1076</f>
        <v>2015</v>
      </c>
      <c r="AL1076" s="656"/>
      <c r="AM1076" s="658"/>
      <c r="AN1076" s="658"/>
      <c r="AO1076" s="661"/>
      <c r="AP1076" s="432">
        <f>I1076</f>
        <v>2015</v>
      </c>
      <c r="AQ1076" s="432"/>
      <c r="AR1076" s="432">
        <f>I1076</f>
        <v>2015</v>
      </c>
      <c r="AS1076" s="656"/>
      <c r="AT1076" s="660"/>
      <c r="AU1076" s="658"/>
      <c r="AV1076" s="658"/>
      <c r="AW1076" s="658"/>
      <c r="AX1076" s="658"/>
      <c r="AY1076" s="581">
        <f>I1076/24</f>
        <v>83.9583333333333</v>
      </c>
      <c r="AZ1076" s="662"/>
      <c r="BA1076" s="657"/>
      <c r="BB1076" s="657"/>
      <c r="BC1076" s="657"/>
      <c r="BD1076" s="657"/>
      <c r="BE1076" s="657"/>
      <c r="BF1076" s="657"/>
      <c r="BG1076" s="657"/>
      <c r="BH1076" s="432">
        <f>I1076/13</f>
        <v>155</v>
      </c>
      <c r="BI1076" s="657"/>
      <c r="BJ1076" s="657"/>
      <c r="BK1076" s="657"/>
      <c r="BL1076" s="657"/>
      <c r="BM1076" s="657"/>
      <c r="BN1076" s="657"/>
      <c r="BO1076" s="657"/>
      <c r="BP1076" s="657"/>
      <c r="BQ1076" s="657"/>
      <c r="BR1076" s="657"/>
      <c r="BS1076" s="657"/>
      <c r="BT1076" s="660"/>
      <c r="BU1076" s="657"/>
      <c r="BV1076" s="660"/>
      <c r="BW1076" s="657"/>
      <c r="BX1076" s="657"/>
      <c r="BY1076" s="657"/>
      <c r="BZ1076" s="657"/>
      <c r="CA1076" s="657"/>
      <c r="CB1076" s="657"/>
      <c r="CC1076" s="657"/>
      <c r="CD1076" s="657"/>
      <c r="CE1076" s="657"/>
      <c r="CF1076" s="657"/>
      <c r="CG1076" s="657"/>
      <c r="CH1076" s="657"/>
      <c r="CI1076" s="657"/>
      <c r="CJ1076" s="657"/>
      <c r="CK1076" s="432">
        <f t="shared" si="419"/>
        <v>0</v>
      </c>
      <c r="CL1076" s="432">
        <f t="shared" si="420"/>
        <v>0</v>
      </c>
      <c r="CM1076" s="432">
        <f t="shared" si="421"/>
        <v>0</v>
      </c>
      <c r="CN1076" s="665"/>
      <c r="CO1076" s="665"/>
      <c r="CP1076" s="665"/>
      <c r="CT1076" s="665"/>
      <c r="CU1076" s="665"/>
      <c r="CV1076" s="665"/>
      <c r="CW1076" s="665"/>
      <c r="CX1076" s="665"/>
    </row>
    <row r="1077" s="424" customFormat="1" ht="31" customHeight="1" spans="1:102">
      <c r="A1077" s="633">
        <v>46010</v>
      </c>
      <c r="B1077" s="497" t="s">
        <v>1669</v>
      </c>
      <c r="C1077" s="635" t="s">
        <v>663</v>
      </c>
      <c r="D1077" s="432">
        <v>4500188895</v>
      </c>
      <c r="E1077" s="635">
        <v>5000002083</v>
      </c>
      <c r="F1077" s="432" t="s">
        <v>2745</v>
      </c>
      <c r="G1077" s="482" t="s">
        <v>3436</v>
      </c>
      <c r="H1077" s="482" t="s">
        <v>424</v>
      </c>
      <c r="I1077" s="482">
        <v>1200</v>
      </c>
      <c r="J1077" s="482">
        <v>0</v>
      </c>
      <c r="K1077" s="482">
        <v>6</v>
      </c>
      <c r="L1077" s="639">
        <f t="shared" si="416"/>
        <v>200</v>
      </c>
      <c r="M1077" s="644">
        <v>46056</v>
      </c>
      <c r="N1077" s="644">
        <v>46051</v>
      </c>
      <c r="O1077" s="641"/>
      <c r="P1077" s="641"/>
      <c r="Q1077" s="482"/>
      <c r="R1077" s="647" t="s">
        <v>5817</v>
      </c>
      <c r="S1077" s="647" t="s">
        <v>96</v>
      </c>
      <c r="T1077" s="647" t="s">
        <v>5818</v>
      </c>
      <c r="U1077" s="647"/>
      <c r="V1077" s="508" t="s">
        <v>5819</v>
      </c>
      <c r="W1077" s="651" t="s">
        <v>1674</v>
      </c>
      <c r="X1077" s="648">
        <v>6.7154</v>
      </c>
      <c r="Y1077" s="651">
        <f t="shared" si="417"/>
        <v>8058.48</v>
      </c>
      <c r="Z1077" s="482"/>
      <c r="AA1077" s="653" t="s">
        <v>2069</v>
      </c>
      <c r="AB1077" s="654" t="s">
        <v>76</v>
      </c>
      <c r="AC1077" s="482"/>
      <c r="AD1077" s="497"/>
      <c r="AE1077" s="497">
        <v>1</v>
      </c>
      <c r="AF1077" s="482">
        <v>1200</v>
      </c>
      <c r="AG1077" s="482">
        <f t="shared" si="418"/>
        <v>0</v>
      </c>
      <c r="AH1077" s="482"/>
      <c r="AI1077" s="482" t="s">
        <v>2191</v>
      </c>
      <c r="AJ1077" s="482"/>
      <c r="AK1077" s="482"/>
      <c r="AL1077" s="656">
        <f>I1077*2</f>
        <v>2400</v>
      </c>
      <c r="AM1077" s="657"/>
      <c r="AN1077" s="657"/>
      <c r="AO1077" s="659"/>
      <c r="AP1077" s="657"/>
      <c r="AQ1077" s="432">
        <f>I1077</f>
        <v>1200</v>
      </c>
      <c r="AR1077" s="657"/>
      <c r="AS1077" s="656"/>
      <c r="AT1077" s="660"/>
      <c r="AU1077" s="432">
        <f>I1077*2</f>
        <v>2400</v>
      </c>
      <c r="AV1077" s="657"/>
      <c r="AW1077" s="657"/>
      <c r="AX1077" s="664">
        <f>I1077/24*2</f>
        <v>100</v>
      </c>
      <c r="AY1077" s="581"/>
      <c r="AZ1077" s="662"/>
      <c r="BA1077" s="657"/>
      <c r="BB1077" s="657"/>
      <c r="BC1077" s="657"/>
      <c r="BD1077" s="657"/>
      <c r="BE1077" s="657"/>
      <c r="BF1077" s="657"/>
      <c r="BG1077" s="657"/>
      <c r="BH1077" s="657"/>
      <c r="BI1077" s="657"/>
      <c r="BJ1077" s="657"/>
      <c r="BK1077" s="657"/>
      <c r="BL1077" s="657"/>
      <c r="BM1077" s="657"/>
      <c r="BN1077" s="657"/>
      <c r="BO1077" s="657"/>
      <c r="BP1077" s="657"/>
      <c r="BQ1077" s="657"/>
      <c r="BR1077" s="657"/>
      <c r="BS1077" s="657"/>
      <c r="BT1077" s="660"/>
      <c r="BU1077" s="432">
        <f>I1077</f>
        <v>1200</v>
      </c>
      <c r="BV1077" s="660"/>
      <c r="BW1077" s="657"/>
      <c r="BX1077" s="657"/>
      <c r="BY1077" s="657"/>
      <c r="BZ1077" s="657"/>
      <c r="CA1077" s="657"/>
      <c r="CB1077" s="657"/>
      <c r="CC1077" s="657"/>
      <c r="CD1077" s="657"/>
      <c r="CE1077" s="657"/>
      <c r="CF1077" s="657"/>
      <c r="CG1077" s="657"/>
      <c r="CH1077" s="657"/>
      <c r="CI1077" s="657"/>
      <c r="CJ1077" s="657"/>
      <c r="CK1077" s="432">
        <f t="shared" si="419"/>
        <v>0</v>
      </c>
      <c r="CL1077" s="432">
        <f t="shared" si="420"/>
        <v>0</v>
      </c>
      <c r="CM1077" s="432">
        <f t="shared" si="421"/>
        <v>0</v>
      </c>
      <c r="CN1077" s="660"/>
      <c r="CO1077" s="660"/>
      <c r="CP1077" s="660"/>
      <c r="CQ1077" s="427"/>
      <c r="CR1077" s="427"/>
      <c r="CS1077" s="427"/>
      <c r="CT1077" s="660"/>
      <c r="CU1077" s="660"/>
      <c r="CV1077" s="660"/>
      <c r="CW1077" s="660"/>
      <c r="CX1077" s="660"/>
    </row>
    <row r="1078" s="424" customFormat="1" ht="31" customHeight="1" spans="1:102">
      <c r="A1078" s="633">
        <v>46015</v>
      </c>
      <c r="B1078" s="497" t="s">
        <v>1669</v>
      </c>
      <c r="C1078" s="635" t="s">
        <v>663</v>
      </c>
      <c r="D1078" s="432">
        <v>4500188895</v>
      </c>
      <c r="E1078" s="635">
        <v>5000002083</v>
      </c>
      <c r="F1078" s="432" t="s">
        <v>2748</v>
      </c>
      <c r="G1078" s="482" t="s">
        <v>3436</v>
      </c>
      <c r="H1078" s="482" t="s">
        <v>424</v>
      </c>
      <c r="I1078" s="482">
        <v>3000</v>
      </c>
      <c r="J1078" s="482">
        <v>0</v>
      </c>
      <c r="K1078" s="482">
        <v>6</v>
      </c>
      <c r="L1078" s="639">
        <f t="shared" si="416"/>
        <v>500</v>
      </c>
      <c r="M1078" s="644">
        <v>46056</v>
      </c>
      <c r="N1078" s="644">
        <v>46051</v>
      </c>
      <c r="O1078" s="641"/>
      <c r="P1078" s="641"/>
      <c r="Q1078" s="482"/>
      <c r="R1078" s="647" t="s">
        <v>443</v>
      </c>
      <c r="S1078" s="647" t="s">
        <v>96</v>
      </c>
      <c r="T1078" s="647" t="s">
        <v>2067</v>
      </c>
      <c r="U1078" s="647"/>
      <c r="V1078" s="508" t="s">
        <v>2747</v>
      </c>
      <c r="W1078" s="508" t="s">
        <v>1674</v>
      </c>
      <c r="X1078" s="648">
        <v>6.4053</v>
      </c>
      <c r="Y1078" s="651">
        <f t="shared" si="417"/>
        <v>19215.9</v>
      </c>
      <c r="Z1078" s="482"/>
      <c r="AA1078" s="653" t="s">
        <v>2069</v>
      </c>
      <c r="AB1078" s="482" t="s">
        <v>76</v>
      </c>
      <c r="AC1078" s="482"/>
      <c r="AD1078" s="497"/>
      <c r="AE1078" s="497">
        <v>1</v>
      </c>
      <c r="AF1078" s="482">
        <v>3000</v>
      </c>
      <c r="AG1078" s="482">
        <f t="shared" si="418"/>
        <v>0</v>
      </c>
      <c r="AH1078" s="482"/>
      <c r="AI1078" s="482" t="s">
        <v>403</v>
      </c>
      <c r="AJ1078" s="482"/>
      <c r="AK1078" s="482"/>
      <c r="AL1078" s="656">
        <f t="shared" ref="AL1078:AL1080" si="422">I1078*2</f>
        <v>6000</v>
      </c>
      <c r="AM1078" s="658"/>
      <c r="AN1078" s="658"/>
      <c r="AO1078" s="661"/>
      <c r="AP1078" s="658"/>
      <c r="AQ1078" s="432">
        <f>I1078</f>
        <v>3000</v>
      </c>
      <c r="AR1078" s="657"/>
      <c r="AS1078" s="656"/>
      <c r="AT1078" s="660"/>
      <c r="AU1078" s="432">
        <f>I1078*2</f>
        <v>6000</v>
      </c>
      <c r="AV1078" s="658"/>
      <c r="AW1078" s="658"/>
      <c r="AX1078" s="664">
        <f>I1078/24*2</f>
        <v>250</v>
      </c>
      <c r="AY1078" s="581"/>
      <c r="AZ1078" s="662"/>
      <c r="BA1078" s="657"/>
      <c r="BB1078" s="657"/>
      <c r="BC1078" s="657"/>
      <c r="BD1078" s="657"/>
      <c r="BE1078" s="657"/>
      <c r="BF1078" s="657"/>
      <c r="BG1078" s="657"/>
      <c r="BH1078" s="657"/>
      <c r="BI1078" s="657"/>
      <c r="BJ1078" s="657"/>
      <c r="BK1078" s="657"/>
      <c r="BL1078" s="657"/>
      <c r="BM1078" s="657"/>
      <c r="BN1078" s="657"/>
      <c r="BO1078" s="657"/>
      <c r="BP1078" s="657"/>
      <c r="BQ1078" s="657"/>
      <c r="BR1078" s="657"/>
      <c r="BS1078" s="657"/>
      <c r="BT1078" s="660"/>
      <c r="BU1078" s="432">
        <f>I1078</f>
        <v>3000</v>
      </c>
      <c r="BV1078" s="660"/>
      <c r="BW1078" s="657"/>
      <c r="BX1078" s="657"/>
      <c r="BY1078" s="657"/>
      <c r="BZ1078" s="657"/>
      <c r="CA1078" s="657"/>
      <c r="CB1078" s="657"/>
      <c r="CC1078" s="657"/>
      <c r="CD1078" s="657"/>
      <c r="CE1078" s="657"/>
      <c r="CF1078" s="657"/>
      <c r="CG1078" s="657"/>
      <c r="CH1078" s="657"/>
      <c r="CI1078" s="657"/>
      <c r="CJ1078" s="657"/>
      <c r="CK1078" s="432">
        <f t="shared" si="419"/>
        <v>0</v>
      </c>
      <c r="CL1078" s="432">
        <f t="shared" si="420"/>
        <v>0</v>
      </c>
      <c r="CM1078" s="432">
        <f t="shared" si="421"/>
        <v>0</v>
      </c>
      <c r="CN1078" s="665"/>
      <c r="CO1078" s="665"/>
      <c r="CP1078" s="665"/>
      <c r="CQ1078" s="427"/>
      <c r="CR1078" s="427"/>
      <c r="CS1078" s="427"/>
      <c r="CT1078" s="665"/>
      <c r="CU1078" s="665"/>
      <c r="CV1078" s="665"/>
      <c r="CW1078" s="665"/>
      <c r="CX1078" s="665"/>
    </row>
    <row r="1079" s="424" customFormat="1" ht="31" customHeight="1" spans="1:102">
      <c r="A1079" s="633">
        <v>46015</v>
      </c>
      <c r="B1079" s="497" t="s">
        <v>1669</v>
      </c>
      <c r="C1079" s="635" t="s">
        <v>663</v>
      </c>
      <c r="D1079" s="432">
        <v>4500188895</v>
      </c>
      <c r="E1079" s="635">
        <v>5000002083</v>
      </c>
      <c r="F1079" s="432" t="s">
        <v>2750</v>
      </c>
      <c r="G1079" s="482" t="s">
        <v>3436</v>
      </c>
      <c r="H1079" s="482" t="s">
        <v>424</v>
      </c>
      <c r="I1079" s="482">
        <v>7800</v>
      </c>
      <c r="J1079" s="482">
        <v>0</v>
      </c>
      <c r="K1079" s="482">
        <v>6</v>
      </c>
      <c r="L1079" s="639">
        <f t="shared" si="416"/>
        <v>1300</v>
      </c>
      <c r="M1079" s="644">
        <v>46056</v>
      </c>
      <c r="N1079" s="644">
        <v>46051</v>
      </c>
      <c r="O1079" s="641"/>
      <c r="P1079" s="641"/>
      <c r="Q1079" s="482"/>
      <c r="R1079" s="647" t="s">
        <v>443</v>
      </c>
      <c r="S1079" s="647" t="s">
        <v>96</v>
      </c>
      <c r="T1079" s="647" t="s">
        <v>2067</v>
      </c>
      <c r="U1079" s="647"/>
      <c r="V1079" s="508" t="s">
        <v>2747</v>
      </c>
      <c r="W1079" s="508" t="s">
        <v>1674</v>
      </c>
      <c r="X1079" s="648">
        <v>6.4053</v>
      </c>
      <c r="Y1079" s="651">
        <f t="shared" si="417"/>
        <v>49961.34</v>
      </c>
      <c r="Z1079" s="482"/>
      <c r="AA1079" s="653" t="s">
        <v>2069</v>
      </c>
      <c r="AB1079" s="482" t="s">
        <v>76</v>
      </c>
      <c r="AC1079" s="482"/>
      <c r="AD1079" s="497"/>
      <c r="AE1079" s="497">
        <v>1</v>
      </c>
      <c r="AF1079" s="482">
        <v>7800</v>
      </c>
      <c r="AG1079" s="482">
        <f t="shared" si="418"/>
        <v>0</v>
      </c>
      <c r="AH1079" s="482"/>
      <c r="AI1079" s="482" t="s">
        <v>403</v>
      </c>
      <c r="AJ1079" s="482"/>
      <c r="AK1079" s="482"/>
      <c r="AL1079" s="656">
        <f t="shared" si="422"/>
        <v>15600</v>
      </c>
      <c r="AM1079" s="658"/>
      <c r="AN1079" s="658"/>
      <c r="AO1079" s="661"/>
      <c r="AP1079" s="658"/>
      <c r="AQ1079" s="432">
        <f>I1079</f>
        <v>7800</v>
      </c>
      <c r="AR1079" s="657"/>
      <c r="AS1079" s="656"/>
      <c r="AT1079" s="660"/>
      <c r="AU1079" s="432">
        <f>I1079*2</f>
        <v>15600</v>
      </c>
      <c r="AV1079" s="658"/>
      <c r="AW1079" s="658"/>
      <c r="AX1079" s="664">
        <f>I1079/24*2</f>
        <v>650</v>
      </c>
      <c r="AY1079" s="581"/>
      <c r="AZ1079" s="662"/>
      <c r="BA1079" s="657"/>
      <c r="BB1079" s="657"/>
      <c r="BC1079" s="657"/>
      <c r="BD1079" s="657"/>
      <c r="BE1079" s="657"/>
      <c r="BF1079" s="657"/>
      <c r="BG1079" s="657"/>
      <c r="BH1079" s="657"/>
      <c r="BI1079" s="657"/>
      <c r="BJ1079" s="657"/>
      <c r="BK1079" s="657"/>
      <c r="BL1079" s="657"/>
      <c r="BM1079" s="657"/>
      <c r="BN1079" s="657"/>
      <c r="BO1079" s="657"/>
      <c r="BP1079" s="657"/>
      <c r="BQ1079" s="657"/>
      <c r="BR1079" s="657"/>
      <c r="BS1079" s="657"/>
      <c r="BT1079" s="660"/>
      <c r="BU1079" s="432">
        <f>I1079</f>
        <v>7800</v>
      </c>
      <c r="BV1079" s="660"/>
      <c r="BW1079" s="657"/>
      <c r="BX1079" s="657"/>
      <c r="BY1079" s="657"/>
      <c r="BZ1079" s="657"/>
      <c r="CA1079" s="657"/>
      <c r="CB1079" s="657"/>
      <c r="CC1079" s="657"/>
      <c r="CD1079" s="657"/>
      <c r="CE1079" s="657"/>
      <c r="CF1079" s="657"/>
      <c r="CG1079" s="657"/>
      <c r="CH1079" s="657"/>
      <c r="CI1079" s="657"/>
      <c r="CJ1079" s="657"/>
      <c r="CK1079" s="432">
        <f t="shared" si="419"/>
        <v>0</v>
      </c>
      <c r="CL1079" s="432">
        <f t="shared" si="420"/>
        <v>0</v>
      </c>
      <c r="CM1079" s="432">
        <f t="shared" si="421"/>
        <v>0</v>
      </c>
      <c r="CN1079" s="660"/>
      <c r="CO1079" s="660"/>
      <c r="CP1079" s="660"/>
      <c r="CQ1079" s="427"/>
      <c r="CR1079" s="427"/>
      <c r="CS1079" s="427"/>
      <c r="CT1079" s="660"/>
      <c r="CU1079" s="660"/>
      <c r="CV1079" s="660"/>
      <c r="CW1079" s="660"/>
      <c r="CX1079" s="660"/>
    </row>
    <row r="1080" s="424" customFormat="1" ht="31" customHeight="1" spans="1:102">
      <c r="A1080" s="633">
        <v>46015</v>
      </c>
      <c r="B1080" s="497" t="s">
        <v>1669</v>
      </c>
      <c r="C1080" s="635" t="s">
        <v>663</v>
      </c>
      <c r="D1080" s="432">
        <v>4500188895</v>
      </c>
      <c r="E1080" s="635">
        <v>5000002083</v>
      </c>
      <c r="F1080" s="432" t="s">
        <v>2751</v>
      </c>
      <c r="G1080" s="482" t="s">
        <v>3436</v>
      </c>
      <c r="H1080" s="482" t="s">
        <v>424</v>
      </c>
      <c r="I1080" s="482">
        <v>7200</v>
      </c>
      <c r="J1080" s="482">
        <v>0</v>
      </c>
      <c r="K1080" s="482">
        <v>6</v>
      </c>
      <c r="L1080" s="639">
        <f t="shared" si="416"/>
        <v>1200</v>
      </c>
      <c r="M1080" s="644">
        <v>46056</v>
      </c>
      <c r="N1080" s="644">
        <v>46051</v>
      </c>
      <c r="O1080" s="641"/>
      <c r="P1080" s="641"/>
      <c r="Q1080" s="482"/>
      <c r="R1080" s="647" t="s">
        <v>443</v>
      </c>
      <c r="S1080" s="647" t="s">
        <v>96</v>
      </c>
      <c r="T1080" s="647" t="s">
        <v>2067</v>
      </c>
      <c r="U1080" s="647"/>
      <c r="V1080" s="508" t="s">
        <v>2747</v>
      </c>
      <c r="W1080" s="508" t="s">
        <v>1674</v>
      </c>
      <c r="X1080" s="648">
        <v>6.4053</v>
      </c>
      <c r="Y1080" s="651">
        <f t="shared" si="417"/>
        <v>46118.16</v>
      </c>
      <c r="Z1080" s="482"/>
      <c r="AA1080" s="653" t="s">
        <v>2069</v>
      </c>
      <c r="AB1080" s="482" t="s">
        <v>76</v>
      </c>
      <c r="AC1080" s="482"/>
      <c r="AD1080" s="497"/>
      <c r="AE1080" s="497">
        <v>1</v>
      </c>
      <c r="AF1080" s="482">
        <f>6972+228</f>
        <v>7200</v>
      </c>
      <c r="AG1080" s="482">
        <f t="shared" si="418"/>
        <v>0</v>
      </c>
      <c r="AH1080" s="482"/>
      <c r="AI1080" s="482" t="s">
        <v>403</v>
      </c>
      <c r="AJ1080" s="482"/>
      <c r="AK1080" s="482"/>
      <c r="AL1080" s="656">
        <f t="shared" si="422"/>
        <v>14400</v>
      </c>
      <c r="AM1080" s="658"/>
      <c r="AN1080" s="658"/>
      <c r="AO1080" s="661"/>
      <c r="AP1080" s="658"/>
      <c r="AQ1080" s="432">
        <f>I1080</f>
        <v>7200</v>
      </c>
      <c r="AR1080" s="657"/>
      <c r="AS1080" s="656"/>
      <c r="AT1080" s="660"/>
      <c r="AU1080" s="432">
        <f>I1080*2</f>
        <v>14400</v>
      </c>
      <c r="AV1080" s="658"/>
      <c r="AW1080" s="658"/>
      <c r="AX1080" s="664">
        <f>I1080/24*2</f>
        <v>600</v>
      </c>
      <c r="AY1080" s="581"/>
      <c r="AZ1080" s="662"/>
      <c r="BA1080" s="657"/>
      <c r="BB1080" s="657"/>
      <c r="BC1080" s="657"/>
      <c r="BD1080" s="657"/>
      <c r="BE1080" s="657"/>
      <c r="BF1080" s="657"/>
      <c r="BG1080" s="657"/>
      <c r="BH1080" s="657"/>
      <c r="BI1080" s="657"/>
      <c r="BJ1080" s="657"/>
      <c r="BK1080" s="657"/>
      <c r="BL1080" s="657"/>
      <c r="BM1080" s="657"/>
      <c r="BN1080" s="657"/>
      <c r="BO1080" s="657"/>
      <c r="BP1080" s="657"/>
      <c r="BQ1080" s="657"/>
      <c r="BR1080" s="657"/>
      <c r="BS1080" s="657"/>
      <c r="BT1080" s="660"/>
      <c r="BU1080" s="432">
        <f>I1080</f>
        <v>7200</v>
      </c>
      <c r="BV1080" s="660"/>
      <c r="BW1080" s="657"/>
      <c r="BX1080" s="657"/>
      <c r="BY1080" s="657"/>
      <c r="BZ1080" s="657"/>
      <c r="CA1080" s="657"/>
      <c r="CB1080" s="657"/>
      <c r="CC1080" s="657"/>
      <c r="CD1080" s="657"/>
      <c r="CE1080" s="657"/>
      <c r="CF1080" s="657"/>
      <c r="CG1080" s="657"/>
      <c r="CH1080" s="657"/>
      <c r="CI1080" s="657"/>
      <c r="CJ1080" s="657"/>
      <c r="CK1080" s="432">
        <f t="shared" si="419"/>
        <v>0</v>
      </c>
      <c r="CL1080" s="432">
        <f t="shared" si="420"/>
        <v>0</v>
      </c>
      <c r="CM1080" s="432">
        <f t="shared" si="421"/>
        <v>0</v>
      </c>
      <c r="CN1080" s="660"/>
      <c r="CO1080" s="660"/>
      <c r="CP1080" s="660"/>
      <c r="CQ1080" s="427"/>
      <c r="CR1080" s="427"/>
      <c r="CS1080" s="427"/>
      <c r="CT1080" s="660"/>
      <c r="CU1080" s="660"/>
      <c r="CV1080" s="660"/>
      <c r="CW1080" s="660"/>
      <c r="CX1080" s="660"/>
    </row>
    <row r="1081" s="424" customFormat="1" ht="31" customHeight="1" spans="1:102">
      <c r="A1081" s="633">
        <v>46021</v>
      </c>
      <c r="B1081" s="497" t="s">
        <v>1294</v>
      </c>
      <c r="C1081" s="634" t="s">
        <v>468</v>
      </c>
      <c r="D1081" s="432">
        <v>4500190045</v>
      </c>
      <c r="E1081" s="635"/>
      <c r="F1081" s="432" t="s">
        <v>5820</v>
      </c>
      <c r="G1081" s="482" t="s">
        <v>3161</v>
      </c>
      <c r="H1081" s="482" t="s">
        <v>3221</v>
      </c>
      <c r="I1081" s="645">
        <v>5000</v>
      </c>
      <c r="J1081" s="482">
        <v>0</v>
      </c>
      <c r="K1081" s="482">
        <v>50</v>
      </c>
      <c r="L1081" s="639">
        <f t="shared" si="416"/>
        <v>100</v>
      </c>
      <c r="M1081" s="640">
        <v>46057</v>
      </c>
      <c r="N1081" s="640">
        <f>M1081-4</f>
        <v>46053</v>
      </c>
      <c r="O1081" s="641"/>
      <c r="P1081" s="641"/>
      <c r="Q1081" s="482"/>
      <c r="R1081" s="647">
        <v>46021</v>
      </c>
      <c r="S1081" s="647" t="s">
        <v>66</v>
      </c>
      <c r="T1081" s="647" t="s">
        <v>5412</v>
      </c>
      <c r="U1081" s="647"/>
      <c r="V1081" s="508" t="s">
        <v>5821</v>
      </c>
      <c r="W1081" s="508" t="s">
        <v>304</v>
      </c>
      <c r="X1081" s="648">
        <v>0.9358</v>
      </c>
      <c r="Y1081" s="651">
        <f t="shared" si="417"/>
        <v>4679</v>
      </c>
      <c r="Z1081" s="482"/>
      <c r="AA1081" s="497" t="s">
        <v>3161</v>
      </c>
      <c r="AB1081" s="482" t="s">
        <v>76</v>
      </c>
      <c r="AC1081" s="482"/>
      <c r="AD1081" s="497"/>
      <c r="AE1081" s="497">
        <v>1</v>
      </c>
      <c r="AF1081" s="482">
        <v>5000</v>
      </c>
      <c r="AG1081" s="482">
        <f t="shared" si="418"/>
        <v>0</v>
      </c>
      <c r="AH1081" s="655"/>
      <c r="AI1081" s="482" t="s">
        <v>2191</v>
      </c>
      <c r="AJ1081" s="482"/>
      <c r="AK1081" s="482"/>
      <c r="AL1081" s="656">
        <f>I1081</f>
        <v>5000</v>
      </c>
      <c r="AM1081" s="432"/>
      <c r="AN1081" s="432"/>
      <c r="AO1081" s="432"/>
      <c r="AP1081" s="432"/>
      <c r="AQ1081" s="432">
        <f>I1081</f>
        <v>5000</v>
      </c>
      <c r="AR1081" s="432"/>
      <c r="AS1081" s="656">
        <f>I1081</f>
        <v>5000</v>
      </c>
      <c r="AT1081" s="660"/>
      <c r="AU1081" s="657"/>
      <c r="AV1081" s="657"/>
      <c r="AW1081" s="657"/>
      <c r="AX1081" s="657"/>
      <c r="AY1081" s="581">
        <f>I1081/24</f>
        <v>208.333333333333</v>
      </c>
      <c r="AZ1081" s="662"/>
      <c r="BA1081" s="432"/>
      <c r="BB1081" s="432"/>
      <c r="BC1081" s="432"/>
      <c r="BD1081" s="432"/>
      <c r="BE1081" s="432"/>
      <c r="BF1081" s="432"/>
      <c r="BG1081" s="432"/>
      <c r="BH1081" s="432"/>
      <c r="BI1081" s="432"/>
      <c r="BJ1081" s="432"/>
      <c r="BK1081" s="432"/>
      <c r="BL1081" s="432">
        <f>I1081/25</f>
        <v>200</v>
      </c>
      <c r="BM1081" s="658"/>
      <c r="BN1081" s="658"/>
      <c r="BO1081" s="658"/>
      <c r="BP1081" s="658"/>
      <c r="BQ1081" s="658"/>
      <c r="BR1081" s="658"/>
      <c r="BS1081" s="658"/>
      <c r="BT1081" s="660"/>
      <c r="BU1081" s="658"/>
      <c r="BV1081" s="660"/>
      <c r="BW1081" s="658"/>
      <c r="BX1081" s="658"/>
      <c r="BY1081" s="658"/>
      <c r="BZ1081" s="658"/>
      <c r="CA1081" s="658"/>
      <c r="CB1081" s="658"/>
      <c r="CC1081" s="658"/>
      <c r="CD1081" s="658"/>
      <c r="CE1081" s="658"/>
      <c r="CF1081" s="658"/>
      <c r="CG1081" s="658"/>
      <c r="CH1081" s="658"/>
      <c r="CI1081" s="658"/>
      <c r="CJ1081" s="658"/>
      <c r="CK1081" s="432">
        <f t="shared" si="419"/>
        <v>200</v>
      </c>
      <c r="CL1081" s="432">
        <f t="shared" si="420"/>
        <v>0</v>
      </c>
      <c r="CM1081" s="432">
        <f t="shared" si="421"/>
        <v>0</v>
      </c>
      <c r="CN1081" s="665"/>
      <c r="CO1081" s="665"/>
      <c r="CP1081" s="665"/>
      <c r="CT1081" s="665"/>
      <c r="CU1081" s="665"/>
      <c r="CV1081" s="665"/>
      <c r="CW1081" s="665"/>
      <c r="CX1081" s="665"/>
    </row>
    <row r="1082" s="432" customFormat="1" ht="31" customHeight="1" spans="1:102">
      <c r="A1082" s="633">
        <v>45999</v>
      </c>
      <c r="B1082" s="637" t="s">
        <v>2754</v>
      </c>
      <c r="C1082" s="634" t="s">
        <v>356</v>
      </c>
      <c r="D1082" s="432">
        <v>4500188370</v>
      </c>
      <c r="E1082" s="638">
        <v>5510062987</v>
      </c>
      <c r="F1082" s="432" t="s">
        <v>2755</v>
      </c>
      <c r="G1082" s="482" t="s">
        <v>743</v>
      </c>
      <c r="H1082" s="482" t="s">
        <v>744</v>
      </c>
      <c r="I1082" s="642">
        <v>1800</v>
      </c>
      <c r="J1082" s="482">
        <v>0</v>
      </c>
      <c r="K1082" s="482">
        <v>75</v>
      </c>
      <c r="L1082" s="639">
        <f t="shared" si="416"/>
        <v>24</v>
      </c>
      <c r="M1082" s="640">
        <v>46058</v>
      </c>
      <c r="N1082" s="640">
        <v>46055</v>
      </c>
      <c r="O1082" s="641"/>
      <c r="P1082" s="641" t="s">
        <v>5822</v>
      </c>
      <c r="Q1082" s="482"/>
      <c r="R1082" s="647">
        <v>46000</v>
      </c>
      <c r="S1082" s="647" t="s">
        <v>66</v>
      </c>
      <c r="T1082" s="647" t="s">
        <v>66</v>
      </c>
      <c r="U1082" s="647"/>
      <c r="V1082" s="571" t="s">
        <v>5823</v>
      </c>
      <c r="W1082" s="650" t="s">
        <v>1424</v>
      </c>
      <c r="X1082" s="508">
        <v>615.3431</v>
      </c>
      <c r="Y1082" s="651">
        <f>X1082*L1082</f>
        <v>14768.2344</v>
      </c>
      <c r="Z1082" s="482"/>
      <c r="AA1082" s="482" t="s">
        <v>743</v>
      </c>
      <c r="AB1082" s="482" t="s">
        <v>76</v>
      </c>
      <c r="AC1082" s="482"/>
      <c r="AD1082" s="497"/>
      <c r="AE1082" s="497" t="s">
        <v>2757</v>
      </c>
      <c r="AF1082" s="482">
        <v>1800</v>
      </c>
      <c r="AG1082" s="482">
        <f>I1082</f>
        <v>1800</v>
      </c>
      <c r="AH1082" s="655"/>
      <c r="AI1082" s="482"/>
      <c r="AJ1082" s="482"/>
      <c r="AK1082" s="482"/>
      <c r="AL1082" s="656">
        <f>I1082*3</f>
        <v>5400</v>
      </c>
      <c r="AS1082" s="656"/>
      <c r="AT1082" s="660"/>
      <c r="AY1082" s="581"/>
      <c r="AZ1082" s="662"/>
      <c r="BC1082" s="432">
        <f>I1082*3</f>
        <v>5400</v>
      </c>
      <c r="BD1082" s="432">
        <f>BC1082</f>
        <v>5400</v>
      </c>
      <c r="BE1082" s="432">
        <f>I1082</f>
        <v>1800</v>
      </c>
      <c r="BF1082" s="432">
        <f>I1082/5</f>
        <v>360</v>
      </c>
      <c r="BT1082" s="660"/>
      <c r="BV1082" s="660"/>
      <c r="CK1082" s="432">
        <f t="shared" si="419"/>
        <v>0</v>
      </c>
      <c r="CL1082" s="432">
        <f t="shared" si="420"/>
        <v>0</v>
      </c>
      <c r="CM1082" s="432">
        <f t="shared" si="421"/>
        <v>0</v>
      </c>
      <c r="CN1082" s="660"/>
      <c r="CO1082" s="660"/>
      <c r="CP1082" s="660"/>
      <c r="CT1082" s="660"/>
      <c r="CU1082" s="660"/>
      <c r="CV1082" s="660"/>
      <c r="CW1082" s="660"/>
      <c r="CX1082" s="660"/>
    </row>
    <row r="1083" s="424" customFormat="1" ht="31" customHeight="1" spans="1:102">
      <c r="A1083" s="633">
        <v>46015</v>
      </c>
      <c r="B1083" s="497" t="s">
        <v>5201</v>
      </c>
      <c r="C1083" s="635" t="s">
        <v>90</v>
      </c>
      <c r="D1083" s="432">
        <v>4500189851</v>
      </c>
      <c r="E1083" s="635">
        <v>951857</v>
      </c>
      <c r="F1083" s="432" t="s">
        <v>5824</v>
      </c>
      <c r="G1083" s="482" t="s">
        <v>4564</v>
      </c>
      <c r="H1083" s="482" t="s">
        <v>3237</v>
      </c>
      <c r="I1083" s="645">
        <v>1200</v>
      </c>
      <c r="J1083" s="482">
        <v>0</v>
      </c>
      <c r="K1083" s="482">
        <v>12</v>
      </c>
      <c r="L1083" s="639">
        <f t="shared" si="416"/>
        <v>100</v>
      </c>
      <c r="M1083" s="640">
        <v>46058</v>
      </c>
      <c r="N1083" s="640">
        <v>46055</v>
      </c>
      <c r="O1083" s="641"/>
      <c r="P1083" s="641"/>
      <c r="Q1083" s="482"/>
      <c r="R1083" s="647">
        <v>46015</v>
      </c>
      <c r="S1083" s="647" t="s">
        <v>66</v>
      </c>
      <c r="T1083" s="647" t="s">
        <v>5825</v>
      </c>
      <c r="U1083" s="647"/>
      <c r="V1083" s="508" t="s">
        <v>5826</v>
      </c>
      <c r="W1083" s="508" t="s">
        <v>2340</v>
      </c>
      <c r="X1083" s="508">
        <v>1.3094</v>
      </c>
      <c r="Y1083" s="651">
        <f>X1083*I1083</f>
        <v>1571.28</v>
      </c>
      <c r="Z1083" s="482"/>
      <c r="AA1083" s="482" t="s">
        <v>5650</v>
      </c>
      <c r="AB1083" s="482" t="s">
        <v>76</v>
      </c>
      <c r="AC1083" s="482"/>
      <c r="AD1083" s="482"/>
      <c r="AE1083" s="482">
        <v>1</v>
      </c>
      <c r="AF1083" s="482">
        <v>1200</v>
      </c>
      <c r="AG1083" s="482">
        <f>AF1083-I1083</f>
        <v>0</v>
      </c>
      <c r="AH1083" s="655"/>
      <c r="AI1083" s="482" t="s">
        <v>2191</v>
      </c>
      <c r="AJ1083" s="482"/>
      <c r="AK1083" s="482">
        <f>I1083*2</f>
        <v>2400</v>
      </c>
      <c r="AL1083" s="656"/>
      <c r="AM1083" s="432">
        <f>I1083*2</f>
        <v>2400</v>
      </c>
      <c r="AN1083" s="657"/>
      <c r="AO1083" s="659"/>
      <c r="AP1083" s="657"/>
      <c r="AQ1083" s="658"/>
      <c r="AR1083" s="656">
        <f>I1083*2</f>
        <v>2400</v>
      </c>
      <c r="AS1083" s="656"/>
      <c r="AT1083" s="660"/>
      <c r="AU1083" s="657"/>
      <c r="AV1083" s="657"/>
      <c r="AW1083" s="657"/>
      <c r="AX1083" s="657"/>
      <c r="AY1083" s="581">
        <f>I1083/24*2</f>
        <v>100</v>
      </c>
      <c r="AZ1083" s="662"/>
      <c r="BA1083" s="657"/>
      <c r="BB1083" s="657"/>
      <c r="BC1083" s="657"/>
      <c r="BD1083" s="657"/>
      <c r="BE1083" s="657"/>
      <c r="BF1083" s="657"/>
      <c r="BG1083" s="657"/>
      <c r="BH1083" s="657"/>
      <c r="BI1083" s="657"/>
      <c r="BJ1083" s="657"/>
      <c r="BK1083" s="657"/>
      <c r="BL1083" s="657"/>
      <c r="BM1083" s="657"/>
      <c r="BN1083" s="657"/>
      <c r="BO1083" s="657"/>
      <c r="BP1083" s="658"/>
      <c r="BQ1083" s="657"/>
      <c r="BR1083" s="657"/>
      <c r="BS1083" s="657"/>
      <c r="BT1083" s="660"/>
      <c r="BU1083" s="657"/>
      <c r="BV1083" s="660"/>
      <c r="BW1083" s="657"/>
      <c r="BX1083" s="657"/>
      <c r="BY1083" s="657"/>
      <c r="BZ1083" s="657"/>
      <c r="CA1083" s="657"/>
      <c r="CB1083" s="657"/>
      <c r="CC1083" s="657"/>
      <c r="CD1083" s="657"/>
      <c r="CE1083" s="657"/>
      <c r="CF1083" s="657"/>
      <c r="CG1083" s="657"/>
      <c r="CH1083" s="432">
        <f>I1083</f>
        <v>1200</v>
      </c>
      <c r="CI1083" s="432">
        <f>I1083</f>
        <v>1200</v>
      </c>
      <c r="CJ1083" s="432">
        <f>I1083</f>
        <v>1200</v>
      </c>
      <c r="CK1083" s="432">
        <v>0</v>
      </c>
      <c r="CL1083" s="432">
        <v>0</v>
      </c>
      <c r="CM1083" s="432">
        <v>0</v>
      </c>
      <c r="CN1083" s="660"/>
      <c r="CO1083" s="660"/>
      <c r="CP1083" s="660"/>
      <c r="CT1083" s="660"/>
      <c r="CU1083" s="660"/>
      <c r="CV1083" s="660"/>
      <c r="CW1083" s="660"/>
      <c r="CX1083" s="660"/>
    </row>
    <row r="1084" s="424" customFormat="1" ht="31" customHeight="1" spans="1:102">
      <c r="A1084" s="633">
        <v>46015</v>
      </c>
      <c r="B1084" s="497" t="s">
        <v>5201</v>
      </c>
      <c r="C1084" s="635" t="s">
        <v>90</v>
      </c>
      <c r="D1084" s="432">
        <v>4500189850</v>
      </c>
      <c r="E1084" s="635">
        <v>951854</v>
      </c>
      <c r="F1084" s="432" t="s">
        <v>5827</v>
      </c>
      <c r="G1084" s="482" t="s">
        <v>4564</v>
      </c>
      <c r="H1084" s="482" t="s">
        <v>3237</v>
      </c>
      <c r="I1084" s="645">
        <v>996</v>
      </c>
      <c r="J1084" s="482">
        <v>0</v>
      </c>
      <c r="K1084" s="482">
        <v>12</v>
      </c>
      <c r="L1084" s="639">
        <f t="shared" si="416"/>
        <v>83</v>
      </c>
      <c r="M1084" s="640">
        <v>46058</v>
      </c>
      <c r="N1084" s="640">
        <v>46055</v>
      </c>
      <c r="O1084" s="641"/>
      <c r="P1084" s="641"/>
      <c r="Q1084" s="482"/>
      <c r="R1084" s="647">
        <v>46015</v>
      </c>
      <c r="S1084" s="647" t="s">
        <v>66</v>
      </c>
      <c r="T1084" s="647" t="s">
        <v>5825</v>
      </c>
      <c r="U1084" s="647"/>
      <c r="V1084" s="508" t="s">
        <v>5828</v>
      </c>
      <c r="W1084" s="508" t="s">
        <v>2340</v>
      </c>
      <c r="X1084" s="508">
        <v>1.3094</v>
      </c>
      <c r="Y1084" s="651">
        <f>X1084*I1084</f>
        <v>1304.1624</v>
      </c>
      <c r="Z1084" s="482"/>
      <c r="AA1084" s="482" t="s">
        <v>5650</v>
      </c>
      <c r="AB1084" s="482" t="s">
        <v>76</v>
      </c>
      <c r="AC1084" s="482"/>
      <c r="AD1084" s="482"/>
      <c r="AE1084" s="482">
        <v>1</v>
      </c>
      <c r="AF1084" s="482">
        <v>996</v>
      </c>
      <c r="AG1084" s="482">
        <f>AF1084-I1084</f>
        <v>0</v>
      </c>
      <c r="AH1084" s="655"/>
      <c r="AI1084" s="482" t="s">
        <v>2191</v>
      </c>
      <c r="AJ1084" s="482"/>
      <c r="AK1084" s="482">
        <f>I1084*2</f>
        <v>1992</v>
      </c>
      <c r="AL1084" s="656"/>
      <c r="AM1084" s="432">
        <f>I1084*2</f>
        <v>1992</v>
      </c>
      <c r="AN1084" s="657"/>
      <c r="AO1084" s="659"/>
      <c r="AP1084" s="657"/>
      <c r="AQ1084" s="658"/>
      <c r="AR1084" s="656">
        <f>I1084*2</f>
        <v>1992</v>
      </c>
      <c r="AS1084" s="656"/>
      <c r="AT1084" s="660"/>
      <c r="AU1084" s="657"/>
      <c r="AV1084" s="657"/>
      <c r="AW1084" s="657"/>
      <c r="AX1084" s="657"/>
      <c r="AY1084" s="581">
        <f>I1084/24*2</f>
        <v>83</v>
      </c>
      <c r="AZ1084" s="662"/>
      <c r="BA1084" s="657"/>
      <c r="BB1084" s="657"/>
      <c r="BC1084" s="657"/>
      <c r="BD1084" s="657"/>
      <c r="BE1084" s="657"/>
      <c r="BF1084" s="657"/>
      <c r="BG1084" s="657"/>
      <c r="BH1084" s="657"/>
      <c r="BI1084" s="657"/>
      <c r="BJ1084" s="657"/>
      <c r="BK1084" s="657"/>
      <c r="BL1084" s="657"/>
      <c r="BM1084" s="657"/>
      <c r="BN1084" s="657"/>
      <c r="BO1084" s="657"/>
      <c r="BP1084" s="658"/>
      <c r="BQ1084" s="657"/>
      <c r="BR1084" s="657"/>
      <c r="BS1084" s="657"/>
      <c r="BT1084" s="660"/>
      <c r="BU1084" s="657"/>
      <c r="BV1084" s="660"/>
      <c r="BW1084" s="657"/>
      <c r="BX1084" s="657"/>
      <c r="BY1084" s="657"/>
      <c r="BZ1084" s="657"/>
      <c r="CA1084" s="657"/>
      <c r="CB1084" s="657"/>
      <c r="CC1084" s="657"/>
      <c r="CD1084" s="657"/>
      <c r="CE1084" s="657"/>
      <c r="CF1084" s="657"/>
      <c r="CG1084" s="657"/>
      <c r="CH1084" s="432">
        <f>I1084</f>
        <v>996</v>
      </c>
      <c r="CI1084" s="432">
        <f>I1084</f>
        <v>996</v>
      </c>
      <c r="CJ1084" s="432">
        <f>I1084</f>
        <v>996</v>
      </c>
      <c r="CK1084" s="432">
        <v>0</v>
      </c>
      <c r="CL1084" s="432">
        <v>0</v>
      </c>
      <c r="CM1084" s="432">
        <v>0</v>
      </c>
      <c r="CN1084" s="660"/>
      <c r="CO1084" s="660"/>
      <c r="CP1084" s="660"/>
      <c r="CT1084" s="660"/>
      <c r="CU1084" s="660"/>
      <c r="CV1084" s="660"/>
      <c r="CW1084" s="660"/>
      <c r="CX1084" s="660"/>
    </row>
    <row r="1085" s="424" customFormat="1" ht="32" customHeight="1" spans="1:102">
      <c r="A1085" s="633">
        <v>46027</v>
      </c>
      <c r="B1085" s="497" t="s">
        <v>1411</v>
      </c>
      <c r="C1085" s="635" t="s">
        <v>468</v>
      </c>
      <c r="D1085" s="432">
        <v>4500190462</v>
      </c>
      <c r="E1085" s="635"/>
      <c r="F1085" s="432" t="s">
        <v>5829</v>
      </c>
      <c r="G1085" s="482" t="s">
        <v>3161</v>
      </c>
      <c r="H1085" s="482" t="s">
        <v>3221</v>
      </c>
      <c r="I1085" s="482">
        <v>8000</v>
      </c>
      <c r="J1085" s="482">
        <v>0</v>
      </c>
      <c r="K1085" s="482">
        <v>50</v>
      </c>
      <c r="L1085" s="639">
        <f t="shared" si="416"/>
        <v>160</v>
      </c>
      <c r="M1085" s="640">
        <v>46058</v>
      </c>
      <c r="N1085" s="640">
        <v>46055</v>
      </c>
      <c r="O1085" s="641"/>
      <c r="P1085" s="641"/>
      <c r="Q1085" s="482"/>
      <c r="R1085" s="647" t="s">
        <v>403</v>
      </c>
      <c r="S1085" s="647" t="s">
        <v>66</v>
      </c>
      <c r="T1085" s="647" t="s">
        <v>5830</v>
      </c>
      <c r="U1085" s="647"/>
      <c r="V1085" s="508" t="s">
        <v>5831</v>
      </c>
      <c r="W1085" s="508" t="s">
        <v>853</v>
      </c>
      <c r="X1085" s="508">
        <v>0.9358</v>
      </c>
      <c r="Y1085" s="651">
        <f>X1085*I1085</f>
        <v>7486.4</v>
      </c>
      <c r="Z1085" s="482"/>
      <c r="AA1085" s="497" t="s">
        <v>3161</v>
      </c>
      <c r="AB1085" s="482" t="s">
        <v>76</v>
      </c>
      <c r="AC1085" s="482"/>
      <c r="AD1085" s="497"/>
      <c r="AE1085" s="497">
        <v>1</v>
      </c>
      <c r="AF1085" s="482">
        <v>8000</v>
      </c>
      <c r="AG1085" s="482">
        <f>AF1085-I1085</f>
        <v>0</v>
      </c>
      <c r="AH1085" s="655"/>
      <c r="AI1085" s="482" t="s">
        <v>2191</v>
      </c>
      <c r="AJ1085" s="482"/>
      <c r="AK1085" s="482"/>
      <c r="AL1085" s="656">
        <f>I1085</f>
        <v>8000</v>
      </c>
      <c r="AM1085" s="432"/>
      <c r="AN1085" s="432"/>
      <c r="AO1085" s="432"/>
      <c r="AP1085" s="432"/>
      <c r="AQ1085" s="432">
        <f>I1085</f>
        <v>8000</v>
      </c>
      <c r="AR1085" s="432"/>
      <c r="AS1085" s="656">
        <f>I1085</f>
        <v>8000</v>
      </c>
      <c r="AT1085" s="660"/>
      <c r="AU1085" s="657"/>
      <c r="AV1085" s="657"/>
      <c r="AW1085" s="657"/>
      <c r="AX1085" s="657"/>
      <c r="AY1085" s="581">
        <f>I1085/24</f>
        <v>333.333333333333</v>
      </c>
      <c r="AZ1085" s="662"/>
      <c r="BA1085" s="432"/>
      <c r="BB1085" s="432"/>
      <c r="BC1085" s="432"/>
      <c r="BD1085" s="432"/>
      <c r="BE1085" s="432"/>
      <c r="BF1085" s="432"/>
      <c r="BG1085" s="432"/>
      <c r="BH1085" s="432"/>
      <c r="BI1085" s="432"/>
      <c r="BJ1085" s="432"/>
      <c r="BK1085" s="432"/>
      <c r="BL1085" s="432">
        <f>I1085/25</f>
        <v>320</v>
      </c>
      <c r="BM1085" s="657"/>
      <c r="BN1085" s="657"/>
      <c r="BO1085" s="657"/>
      <c r="BP1085" s="657"/>
      <c r="BQ1085" s="657"/>
      <c r="BR1085" s="657"/>
      <c r="BS1085" s="657"/>
      <c r="BT1085" s="660"/>
      <c r="BU1085" s="657"/>
      <c r="BV1085" s="660"/>
      <c r="BW1085" s="657"/>
      <c r="BX1085" s="657"/>
      <c r="BY1085" s="657"/>
      <c r="BZ1085" s="657"/>
      <c r="CA1085" s="657"/>
      <c r="CB1085" s="657"/>
      <c r="CC1085" s="657"/>
      <c r="CD1085" s="657"/>
      <c r="CE1085" s="657"/>
      <c r="CF1085" s="657"/>
      <c r="CG1085" s="657"/>
      <c r="CH1085" s="657"/>
      <c r="CI1085" s="657"/>
      <c r="CJ1085" s="657"/>
      <c r="CK1085" s="432">
        <f t="shared" ref="CK1085:CK1090" si="423">BM1085+BL1085+BK1085+BJ1085+BS1085</f>
        <v>320</v>
      </c>
      <c r="CL1085" s="432">
        <f t="shared" ref="CL1085:CL1090" si="424">CA1085+CB1085+CC1085+CD1085+CE1085+CG1085+CF1085</f>
        <v>0</v>
      </c>
      <c r="CM1085" s="432">
        <f t="shared" ref="CM1085:CM1090" si="425">BY1085+BZ1085</f>
        <v>0</v>
      </c>
      <c r="CN1085" s="660"/>
      <c r="CO1085" s="660"/>
      <c r="CP1085" s="660"/>
      <c r="CT1085" s="660"/>
      <c r="CU1085" s="660"/>
      <c r="CV1085" s="660"/>
      <c r="CW1085" s="660"/>
      <c r="CX1085" s="660"/>
    </row>
    <row r="1086" s="432" customFormat="1" ht="31" customHeight="1" spans="1:102">
      <c r="A1086" s="633">
        <v>45995</v>
      </c>
      <c r="B1086" s="637" t="s">
        <v>2553</v>
      </c>
      <c r="C1086" s="634" t="s">
        <v>90</v>
      </c>
      <c r="D1086" s="432">
        <v>4500187941</v>
      </c>
      <c r="E1086" s="635">
        <v>70079708</v>
      </c>
      <c r="F1086" s="432" t="s">
        <v>2773</v>
      </c>
      <c r="G1086" s="482" t="s">
        <v>5627</v>
      </c>
      <c r="H1086" s="482" t="s">
        <v>5628</v>
      </c>
      <c r="I1086" s="482">
        <v>1200</v>
      </c>
      <c r="J1086" s="482">
        <v>0</v>
      </c>
      <c r="K1086" s="482">
        <v>8</v>
      </c>
      <c r="L1086" s="639">
        <f t="shared" si="416"/>
        <v>150</v>
      </c>
      <c r="M1086" s="640">
        <v>46063</v>
      </c>
      <c r="N1086" s="640">
        <v>46059</v>
      </c>
      <c r="O1086" s="641"/>
      <c r="P1086" s="641"/>
      <c r="Q1086" s="482"/>
      <c r="R1086" s="647">
        <v>45995</v>
      </c>
      <c r="S1086" s="647" t="s">
        <v>66</v>
      </c>
      <c r="T1086" s="647" t="s">
        <v>5629</v>
      </c>
      <c r="U1086" s="647"/>
      <c r="V1086" s="571" t="s">
        <v>5832</v>
      </c>
      <c r="W1086" s="650" t="s">
        <v>2775</v>
      </c>
      <c r="X1086" s="508">
        <v>4.0996</v>
      </c>
      <c r="Y1086" s="651">
        <f t="shared" ref="Y1086:Y1094" si="426">X1086*I1086</f>
        <v>4919.52</v>
      </c>
      <c r="Z1086" s="482"/>
      <c r="AA1086" s="482" t="s">
        <v>2495</v>
      </c>
      <c r="AB1086" s="482" t="s">
        <v>76</v>
      </c>
      <c r="AC1086" s="482"/>
      <c r="AD1086" s="497"/>
      <c r="AE1086" s="497">
        <v>1</v>
      </c>
      <c r="AF1086" s="482">
        <v>1200</v>
      </c>
      <c r="AG1086" s="482">
        <f t="shared" ref="AG1086:AG1127" si="427">AF1086-I1086</f>
        <v>0</v>
      </c>
      <c r="AH1086" s="655"/>
      <c r="AI1086" s="482"/>
      <c r="AJ1086" s="482"/>
      <c r="AK1086" s="482">
        <f>I1086*2</f>
        <v>2400</v>
      </c>
      <c r="AL1086" s="656"/>
      <c r="AM1086" s="432">
        <f>I1086*2</f>
        <v>2400</v>
      </c>
      <c r="AR1086" s="432">
        <f>I1086</f>
        <v>1200</v>
      </c>
      <c r="AS1086" s="656"/>
      <c r="AT1086" s="660"/>
      <c r="AY1086" s="663">
        <f>I1086/24*2</f>
        <v>100</v>
      </c>
      <c r="AZ1086" s="662"/>
      <c r="BT1086" s="660"/>
      <c r="BV1086" s="660">
        <f>I1086</f>
        <v>1200</v>
      </c>
      <c r="CK1086" s="432">
        <f t="shared" si="423"/>
        <v>0</v>
      </c>
      <c r="CL1086" s="432">
        <f t="shared" si="424"/>
        <v>0</v>
      </c>
      <c r="CM1086" s="432">
        <f t="shared" si="425"/>
        <v>0</v>
      </c>
      <c r="CN1086" s="660"/>
      <c r="CO1086" s="660"/>
      <c r="CP1086" s="660"/>
      <c r="CT1086" s="660"/>
      <c r="CU1086" s="660"/>
      <c r="CV1086" s="660"/>
      <c r="CW1086" s="660"/>
      <c r="CX1086" s="660"/>
    </row>
    <row r="1087" s="424" customFormat="1" ht="31" customHeight="1" spans="1:102">
      <c r="A1087" s="633">
        <v>46015</v>
      </c>
      <c r="B1087" s="497" t="s">
        <v>5833</v>
      </c>
      <c r="C1087" s="635" t="s">
        <v>216</v>
      </c>
      <c r="D1087" s="432">
        <v>4500189777</v>
      </c>
      <c r="E1087" s="635">
        <v>32756367</v>
      </c>
      <c r="F1087" s="432" t="s">
        <v>5834</v>
      </c>
      <c r="G1087" s="482" t="s">
        <v>3165</v>
      </c>
      <c r="H1087" s="482" t="s">
        <v>3303</v>
      </c>
      <c r="I1087" s="645">
        <v>1500</v>
      </c>
      <c r="J1087" s="482">
        <v>0</v>
      </c>
      <c r="K1087" s="482">
        <v>25</v>
      </c>
      <c r="L1087" s="639">
        <f t="shared" si="416"/>
        <v>60</v>
      </c>
      <c r="M1087" s="640">
        <v>46067</v>
      </c>
      <c r="N1087" s="640">
        <v>46063</v>
      </c>
      <c r="O1087" s="641"/>
      <c r="P1087" s="641"/>
      <c r="Q1087" s="482"/>
      <c r="R1087" s="647">
        <v>46015</v>
      </c>
      <c r="S1087" s="647" t="s">
        <v>66</v>
      </c>
      <c r="T1087" s="647" t="s">
        <v>4824</v>
      </c>
      <c r="U1087" s="647"/>
      <c r="V1087" s="508" t="s">
        <v>5835</v>
      </c>
      <c r="W1087" s="508" t="s">
        <v>269</v>
      </c>
      <c r="X1087" s="648">
        <v>0.9551</v>
      </c>
      <c r="Y1087" s="651">
        <f t="shared" si="426"/>
        <v>1432.65</v>
      </c>
      <c r="Z1087" s="482"/>
      <c r="AA1087" s="482" t="s">
        <v>3165</v>
      </c>
      <c r="AB1087" s="482" t="s">
        <v>76</v>
      </c>
      <c r="AC1087" s="482"/>
      <c r="AD1087" s="482"/>
      <c r="AE1087" s="482">
        <v>1</v>
      </c>
      <c r="AF1087" s="482">
        <v>1500</v>
      </c>
      <c r="AG1087" s="482">
        <f t="shared" si="427"/>
        <v>0</v>
      </c>
      <c r="AH1087" s="655"/>
      <c r="AI1087" s="482" t="s">
        <v>2191</v>
      </c>
      <c r="AJ1087" s="482"/>
      <c r="AK1087" s="482"/>
      <c r="AL1087" s="656">
        <f>I1087</f>
        <v>1500</v>
      </c>
      <c r="AM1087" s="657"/>
      <c r="AN1087" s="657"/>
      <c r="AO1087" s="659"/>
      <c r="AP1087" s="657"/>
      <c r="AQ1087" s="432">
        <f>I1087</f>
        <v>1500</v>
      </c>
      <c r="AR1087" s="432"/>
      <c r="AS1087" s="656">
        <f>I1087</f>
        <v>1500</v>
      </c>
      <c r="AT1087" s="660"/>
      <c r="AU1087" s="657"/>
      <c r="AV1087" s="657"/>
      <c r="AW1087" s="657"/>
      <c r="AX1087" s="657"/>
      <c r="AY1087" s="581">
        <f>I1087/24*2</f>
        <v>125</v>
      </c>
      <c r="AZ1087" s="662"/>
      <c r="BA1087" s="657"/>
      <c r="BB1087" s="657"/>
      <c r="BC1087" s="657"/>
      <c r="BD1087" s="657"/>
      <c r="BE1087" s="657"/>
      <c r="BF1087" s="657"/>
      <c r="BG1087" s="657"/>
      <c r="BH1087" s="657"/>
      <c r="BI1087" s="657"/>
      <c r="BJ1087" s="657"/>
      <c r="BK1087" s="657"/>
      <c r="BL1087" s="432">
        <f>I1087/25</f>
        <v>60</v>
      </c>
      <c r="BM1087" s="657"/>
      <c r="BN1087" s="657"/>
      <c r="BO1087" s="657"/>
      <c r="BP1087" s="658"/>
      <c r="BQ1087" s="657"/>
      <c r="BR1087" s="657"/>
      <c r="BS1087" s="657"/>
      <c r="BT1087" s="660"/>
      <c r="BU1087" s="657"/>
      <c r="BV1087" s="660"/>
      <c r="BW1087" s="657"/>
      <c r="BX1087" s="657"/>
      <c r="BY1087" s="657"/>
      <c r="BZ1087" s="657"/>
      <c r="CA1087" s="657"/>
      <c r="CB1087" s="657"/>
      <c r="CC1087" s="657"/>
      <c r="CD1087" s="657"/>
      <c r="CE1087" s="657"/>
      <c r="CF1087" s="657"/>
      <c r="CG1087" s="657"/>
      <c r="CH1087" s="657"/>
      <c r="CI1087" s="657"/>
      <c r="CJ1087" s="657"/>
      <c r="CK1087" s="432">
        <f t="shared" si="423"/>
        <v>60</v>
      </c>
      <c r="CL1087" s="432">
        <f t="shared" si="424"/>
        <v>0</v>
      </c>
      <c r="CM1087" s="432">
        <f t="shared" si="425"/>
        <v>0</v>
      </c>
      <c r="CN1087" s="660"/>
      <c r="CO1087" s="660"/>
      <c r="CP1087" s="660"/>
      <c r="CT1087" s="660"/>
      <c r="CU1087" s="660"/>
      <c r="CV1087" s="660"/>
      <c r="CW1087" s="660"/>
      <c r="CX1087" s="660"/>
    </row>
    <row r="1088" s="424" customFormat="1" ht="28" customHeight="1" spans="1:102">
      <c r="A1088" s="633">
        <v>46007</v>
      </c>
      <c r="B1088" s="497" t="s">
        <v>3210</v>
      </c>
      <c r="C1088" s="634" t="s">
        <v>116</v>
      </c>
      <c r="D1088" s="432">
        <v>4500189161</v>
      </c>
      <c r="E1088" s="635">
        <v>48453051</v>
      </c>
      <c r="F1088" s="432" t="s">
        <v>5836</v>
      </c>
      <c r="G1088" s="482" t="s">
        <v>3213</v>
      </c>
      <c r="H1088" s="482" t="s">
        <v>3214</v>
      </c>
      <c r="I1088" s="482">
        <v>750</v>
      </c>
      <c r="J1088" s="482">
        <v>0</v>
      </c>
      <c r="K1088" s="482">
        <v>6</v>
      </c>
      <c r="L1088" s="639">
        <f t="shared" si="416"/>
        <v>125</v>
      </c>
      <c r="M1088" s="640">
        <v>46077</v>
      </c>
      <c r="N1088" s="640">
        <v>46073</v>
      </c>
      <c r="O1088" s="641"/>
      <c r="P1088" s="641"/>
      <c r="Q1088" s="482"/>
      <c r="R1088" s="647" t="s">
        <v>5837</v>
      </c>
      <c r="S1088" s="647" t="s">
        <v>66</v>
      </c>
      <c r="T1088" s="647" t="s">
        <v>5838</v>
      </c>
      <c r="U1088" s="647"/>
      <c r="V1088" s="508" t="s">
        <v>4599</v>
      </c>
      <c r="W1088" s="508" t="s">
        <v>1602</v>
      </c>
      <c r="X1088" s="508">
        <v>1.0058</v>
      </c>
      <c r="Y1088" s="651">
        <f t="shared" si="426"/>
        <v>754.35</v>
      </c>
      <c r="Z1088" s="482"/>
      <c r="AA1088" s="482" t="s">
        <v>3213</v>
      </c>
      <c r="AB1088" s="482" t="s">
        <v>76</v>
      </c>
      <c r="AC1088" s="482"/>
      <c r="AD1088" s="482"/>
      <c r="AE1088" s="482">
        <v>1</v>
      </c>
      <c r="AF1088" s="482">
        <v>750</v>
      </c>
      <c r="AG1088" s="482">
        <f t="shared" si="427"/>
        <v>0</v>
      </c>
      <c r="AH1088" s="655"/>
      <c r="AI1088" s="482" t="s">
        <v>2191</v>
      </c>
      <c r="AJ1088" s="482"/>
      <c r="AK1088" s="482"/>
      <c r="AL1088" s="656">
        <f>I1088</f>
        <v>750</v>
      </c>
      <c r="AM1088" s="657"/>
      <c r="AN1088" s="657"/>
      <c r="AO1088" s="659"/>
      <c r="AP1088" s="657"/>
      <c r="AQ1088" s="432">
        <f>I1088</f>
        <v>750</v>
      </c>
      <c r="AR1088" s="657"/>
      <c r="AS1088" s="656">
        <f>I1088</f>
        <v>750</v>
      </c>
      <c r="AT1088" s="660"/>
      <c r="AU1088" s="657"/>
      <c r="AV1088" s="657"/>
      <c r="AW1088" s="657"/>
      <c r="AX1088" s="657"/>
      <c r="AY1088" s="581">
        <f>I1088/24</f>
        <v>31.25</v>
      </c>
      <c r="AZ1088" s="662"/>
      <c r="BA1088" s="657"/>
      <c r="BB1088" s="657"/>
      <c r="BC1088" s="657"/>
      <c r="BD1088" s="657"/>
      <c r="BE1088" s="657"/>
      <c r="BF1088" s="657"/>
      <c r="BG1088" s="657"/>
      <c r="BH1088" s="657"/>
      <c r="BI1088" s="657"/>
      <c r="BJ1088" s="657"/>
      <c r="BK1088" s="657"/>
      <c r="BL1088" s="657"/>
      <c r="BM1088" s="657"/>
      <c r="BN1088" s="657"/>
      <c r="BO1088" s="657"/>
      <c r="BP1088" s="432">
        <f>I1088/6</f>
        <v>125</v>
      </c>
      <c r="BQ1088" s="657"/>
      <c r="BR1088" s="657"/>
      <c r="BS1088" s="657"/>
      <c r="BT1088" s="660"/>
      <c r="BU1088" s="657"/>
      <c r="BV1088" s="660"/>
      <c r="BW1088" s="657"/>
      <c r="BX1088" s="657"/>
      <c r="BY1088" s="657"/>
      <c r="BZ1088" s="657"/>
      <c r="CA1088" s="657"/>
      <c r="CB1088" s="657"/>
      <c r="CC1088" s="657"/>
      <c r="CD1088" s="657"/>
      <c r="CE1088" s="657"/>
      <c r="CF1088" s="657"/>
      <c r="CG1088" s="657"/>
      <c r="CH1088" s="657"/>
      <c r="CI1088" s="657"/>
      <c r="CJ1088" s="657"/>
      <c r="CK1088" s="432">
        <f t="shared" si="423"/>
        <v>0</v>
      </c>
      <c r="CL1088" s="432">
        <f t="shared" si="424"/>
        <v>0</v>
      </c>
      <c r="CM1088" s="432">
        <f t="shared" si="425"/>
        <v>0</v>
      </c>
      <c r="CN1088" s="660"/>
      <c r="CO1088" s="660"/>
      <c r="CP1088" s="660"/>
      <c r="CT1088" s="660"/>
      <c r="CU1088" s="660"/>
      <c r="CV1088" s="660"/>
      <c r="CW1088" s="660"/>
      <c r="CX1088" s="660"/>
    </row>
    <row r="1089" s="424" customFormat="1" ht="31" customHeight="1" spans="1:102">
      <c r="A1089" s="633">
        <v>46007</v>
      </c>
      <c r="B1089" s="497" t="s">
        <v>3210</v>
      </c>
      <c r="C1089" s="634" t="s">
        <v>116</v>
      </c>
      <c r="D1089" s="432">
        <v>4500189161</v>
      </c>
      <c r="E1089" s="635">
        <v>48515803</v>
      </c>
      <c r="F1089" s="432" t="s">
        <v>5839</v>
      </c>
      <c r="G1089" s="482" t="s">
        <v>3213</v>
      </c>
      <c r="H1089" s="482" t="s">
        <v>3214</v>
      </c>
      <c r="I1089" s="482">
        <v>750</v>
      </c>
      <c r="J1089" s="482">
        <v>0</v>
      </c>
      <c r="K1089" s="482">
        <v>6</v>
      </c>
      <c r="L1089" s="639">
        <f t="shared" si="416"/>
        <v>125</v>
      </c>
      <c r="M1089" s="640">
        <v>46077</v>
      </c>
      <c r="N1089" s="640">
        <v>46073</v>
      </c>
      <c r="O1089" s="641"/>
      <c r="P1089" s="641"/>
      <c r="Q1089" s="482"/>
      <c r="R1089" s="647" t="s">
        <v>5837</v>
      </c>
      <c r="S1089" s="647" t="s">
        <v>66</v>
      </c>
      <c r="T1089" s="647" t="s">
        <v>5838</v>
      </c>
      <c r="U1089" s="647"/>
      <c r="V1089" s="508" t="s">
        <v>4599</v>
      </c>
      <c r="W1089" s="508" t="s">
        <v>1602</v>
      </c>
      <c r="X1089" s="508">
        <v>1.0058</v>
      </c>
      <c r="Y1089" s="651">
        <f t="shared" si="426"/>
        <v>754.35</v>
      </c>
      <c r="Z1089" s="482"/>
      <c r="AA1089" s="482" t="s">
        <v>3213</v>
      </c>
      <c r="AB1089" s="482" t="s">
        <v>76</v>
      </c>
      <c r="AC1089" s="482"/>
      <c r="AD1089" s="482"/>
      <c r="AE1089" s="482">
        <v>1</v>
      </c>
      <c r="AF1089" s="482">
        <v>750</v>
      </c>
      <c r="AG1089" s="482">
        <f t="shared" si="427"/>
        <v>0</v>
      </c>
      <c r="AH1089" s="655"/>
      <c r="AI1089" s="482" t="s">
        <v>2191</v>
      </c>
      <c r="AJ1089" s="482"/>
      <c r="AK1089" s="482"/>
      <c r="AL1089" s="656">
        <f>I1089</f>
        <v>750</v>
      </c>
      <c r="AM1089" s="657"/>
      <c r="AN1089" s="657"/>
      <c r="AO1089" s="659"/>
      <c r="AP1089" s="657"/>
      <c r="AQ1089" s="432">
        <f>I1089</f>
        <v>750</v>
      </c>
      <c r="AR1089" s="657"/>
      <c r="AS1089" s="656">
        <f>I1089</f>
        <v>750</v>
      </c>
      <c r="AT1089" s="660"/>
      <c r="AU1089" s="657"/>
      <c r="AV1089" s="657"/>
      <c r="AW1089" s="657"/>
      <c r="AX1089" s="657"/>
      <c r="AY1089" s="581">
        <f>I1089/24</f>
        <v>31.25</v>
      </c>
      <c r="AZ1089" s="662"/>
      <c r="BA1089" s="657"/>
      <c r="BB1089" s="657"/>
      <c r="BC1089" s="657"/>
      <c r="BD1089" s="657"/>
      <c r="BE1089" s="657"/>
      <c r="BF1089" s="657"/>
      <c r="BG1089" s="657"/>
      <c r="BH1089" s="657"/>
      <c r="BI1089" s="657"/>
      <c r="BJ1089" s="657"/>
      <c r="BK1089" s="657"/>
      <c r="BL1089" s="657"/>
      <c r="BM1089" s="657"/>
      <c r="BN1089" s="657"/>
      <c r="BO1089" s="657"/>
      <c r="BP1089" s="432">
        <f>I1089/6</f>
        <v>125</v>
      </c>
      <c r="BQ1089" s="657"/>
      <c r="BR1089" s="657"/>
      <c r="BS1089" s="657"/>
      <c r="BT1089" s="660"/>
      <c r="BU1089" s="657"/>
      <c r="BV1089" s="660"/>
      <c r="BW1089" s="657"/>
      <c r="BX1089" s="657"/>
      <c r="BY1089" s="657"/>
      <c r="BZ1089" s="657"/>
      <c r="CA1089" s="657"/>
      <c r="CB1089" s="657"/>
      <c r="CC1089" s="657"/>
      <c r="CD1089" s="657"/>
      <c r="CE1089" s="657"/>
      <c r="CF1089" s="657"/>
      <c r="CG1089" s="657"/>
      <c r="CH1089" s="657"/>
      <c r="CI1089" s="657"/>
      <c r="CJ1089" s="657"/>
      <c r="CK1089" s="432">
        <f t="shared" si="423"/>
        <v>0</v>
      </c>
      <c r="CL1089" s="432">
        <f t="shared" si="424"/>
        <v>0</v>
      </c>
      <c r="CM1089" s="432">
        <f t="shared" si="425"/>
        <v>0</v>
      </c>
      <c r="CN1089" s="660"/>
      <c r="CO1089" s="660"/>
      <c r="CP1089" s="660"/>
      <c r="CT1089" s="660"/>
      <c r="CU1089" s="660"/>
      <c r="CV1089" s="660"/>
      <c r="CW1089" s="660"/>
      <c r="CX1089" s="660"/>
    </row>
    <row r="1090" s="424" customFormat="1" ht="31" customHeight="1" spans="1:102">
      <c r="A1090" s="633">
        <v>46007</v>
      </c>
      <c r="B1090" s="497" t="s">
        <v>3210</v>
      </c>
      <c r="C1090" s="634" t="s">
        <v>116</v>
      </c>
      <c r="D1090" s="432">
        <v>4500189161</v>
      </c>
      <c r="E1090" s="635">
        <v>48533931</v>
      </c>
      <c r="F1090" s="432" t="s">
        <v>5840</v>
      </c>
      <c r="G1090" s="482" t="s">
        <v>3213</v>
      </c>
      <c r="H1090" s="482" t="s">
        <v>3214</v>
      </c>
      <c r="I1090" s="482">
        <v>1500</v>
      </c>
      <c r="J1090" s="482">
        <v>0</v>
      </c>
      <c r="K1090" s="482">
        <v>6</v>
      </c>
      <c r="L1090" s="639">
        <f t="shared" si="416"/>
        <v>250</v>
      </c>
      <c r="M1090" s="640">
        <v>46077</v>
      </c>
      <c r="N1090" s="640">
        <v>46073</v>
      </c>
      <c r="O1090" s="641"/>
      <c r="P1090" s="641"/>
      <c r="Q1090" s="482"/>
      <c r="R1090" s="647" t="s">
        <v>5837</v>
      </c>
      <c r="S1090" s="647" t="s">
        <v>66</v>
      </c>
      <c r="T1090" s="647" t="s">
        <v>5838</v>
      </c>
      <c r="U1090" s="647"/>
      <c r="V1090" s="508" t="s">
        <v>4599</v>
      </c>
      <c r="W1090" s="508" t="s">
        <v>1602</v>
      </c>
      <c r="X1090" s="508">
        <v>1.0006</v>
      </c>
      <c r="Y1090" s="651">
        <f t="shared" si="426"/>
        <v>1500.9</v>
      </c>
      <c r="Z1090" s="482"/>
      <c r="AA1090" s="482" t="s">
        <v>3213</v>
      </c>
      <c r="AB1090" s="482" t="s">
        <v>76</v>
      </c>
      <c r="AC1090" s="482"/>
      <c r="AD1090" s="482"/>
      <c r="AE1090" s="482">
        <v>1</v>
      </c>
      <c r="AF1090" s="482">
        <v>1500</v>
      </c>
      <c r="AG1090" s="482">
        <f t="shared" si="427"/>
        <v>0</v>
      </c>
      <c r="AH1090" s="655"/>
      <c r="AI1090" s="482" t="s">
        <v>2191</v>
      </c>
      <c r="AJ1090" s="482"/>
      <c r="AK1090" s="482"/>
      <c r="AL1090" s="656">
        <f>I1090</f>
        <v>1500</v>
      </c>
      <c r="AM1090" s="657"/>
      <c r="AN1090" s="657"/>
      <c r="AO1090" s="659"/>
      <c r="AP1090" s="657"/>
      <c r="AQ1090" s="432">
        <f>I1090</f>
        <v>1500</v>
      </c>
      <c r="AR1090" s="657"/>
      <c r="AS1090" s="656">
        <f>I1090</f>
        <v>1500</v>
      </c>
      <c r="AT1090" s="660"/>
      <c r="AU1090" s="657"/>
      <c r="AV1090" s="657"/>
      <c r="AW1090" s="657"/>
      <c r="AX1090" s="657"/>
      <c r="AY1090" s="581">
        <f>I1090/24</f>
        <v>62.5</v>
      </c>
      <c r="AZ1090" s="662"/>
      <c r="BA1090" s="657"/>
      <c r="BB1090" s="657"/>
      <c r="BC1090" s="657"/>
      <c r="BD1090" s="657"/>
      <c r="BE1090" s="657"/>
      <c r="BF1090" s="657"/>
      <c r="BG1090" s="657"/>
      <c r="BH1090" s="657"/>
      <c r="BI1090" s="657"/>
      <c r="BJ1090" s="657"/>
      <c r="BK1090" s="657"/>
      <c r="BL1090" s="657"/>
      <c r="BM1090" s="657"/>
      <c r="BN1090" s="657"/>
      <c r="BO1090" s="657"/>
      <c r="BP1090" s="432">
        <f>I1090/6</f>
        <v>250</v>
      </c>
      <c r="BQ1090" s="657"/>
      <c r="BR1090" s="657"/>
      <c r="BS1090" s="657"/>
      <c r="BT1090" s="660"/>
      <c r="BU1090" s="657"/>
      <c r="BV1090" s="660"/>
      <c r="BW1090" s="657"/>
      <c r="BX1090" s="657"/>
      <c r="BY1090" s="657"/>
      <c r="BZ1090" s="657"/>
      <c r="CA1090" s="657"/>
      <c r="CB1090" s="657"/>
      <c r="CC1090" s="657"/>
      <c r="CD1090" s="657"/>
      <c r="CE1090" s="657"/>
      <c r="CF1090" s="657"/>
      <c r="CG1090" s="657"/>
      <c r="CH1090" s="657"/>
      <c r="CI1090" s="657"/>
      <c r="CJ1090" s="657"/>
      <c r="CK1090" s="432">
        <f t="shared" si="423"/>
        <v>0</v>
      </c>
      <c r="CL1090" s="432">
        <f t="shared" si="424"/>
        <v>0</v>
      </c>
      <c r="CM1090" s="432">
        <f t="shared" si="425"/>
        <v>0</v>
      </c>
      <c r="CN1090" s="660"/>
      <c r="CO1090" s="660"/>
      <c r="CP1090" s="660"/>
      <c r="CT1090" s="660"/>
      <c r="CU1090" s="660"/>
      <c r="CV1090" s="660"/>
      <c r="CW1090" s="660"/>
      <c r="CX1090" s="660"/>
    </row>
    <row r="1091" s="432" customFormat="1" ht="31" customHeight="1" spans="1:102">
      <c r="A1091" s="633">
        <v>45985</v>
      </c>
      <c r="B1091" s="637" t="s">
        <v>2489</v>
      </c>
      <c r="C1091" s="634" t="s">
        <v>90</v>
      </c>
      <c r="D1091" s="432">
        <v>4500186623</v>
      </c>
      <c r="E1091" s="635">
        <v>60261230</v>
      </c>
      <c r="F1091" s="432" t="s">
        <v>5841</v>
      </c>
      <c r="G1091" s="482" t="s">
        <v>4564</v>
      </c>
      <c r="H1091" s="482" t="s">
        <v>3237</v>
      </c>
      <c r="I1091" s="482">
        <v>2004</v>
      </c>
      <c r="J1091" s="482">
        <v>0</v>
      </c>
      <c r="K1091" s="482">
        <v>12</v>
      </c>
      <c r="L1091" s="639">
        <f t="shared" si="416"/>
        <v>167</v>
      </c>
      <c r="M1091" s="644">
        <v>46078</v>
      </c>
      <c r="N1091" s="644">
        <v>46074</v>
      </c>
      <c r="O1091" s="641"/>
      <c r="P1091" s="641"/>
      <c r="Q1091" s="482"/>
      <c r="R1091" s="647">
        <v>45985</v>
      </c>
      <c r="S1091" s="647" t="s">
        <v>66</v>
      </c>
      <c r="T1091" s="647" t="s">
        <v>2493</v>
      </c>
      <c r="U1091" s="647"/>
      <c r="V1091" s="508" t="s">
        <v>5842</v>
      </c>
      <c r="W1091" s="650" t="s">
        <v>2441</v>
      </c>
      <c r="X1091" s="508">
        <v>1.2871</v>
      </c>
      <c r="Y1091" s="651">
        <f t="shared" si="426"/>
        <v>2579.3484</v>
      </c>
      <c r="Z1091" s="482"/>
      <c r="AA1091" s="482" t="s">
        <v>5650</v>
      </c>
      <c r="AB1091" s="482" t="s">
        <v>76</v>
      </c>
      <c r="AC1091" s="482"/>
      <c r="AD1091" s="497"/>
      <c r="AE1091" s="497">
        <v>1</v>
      </c>
      <c r="AF1091" s="482">
        <v>2004</v>
      </c>
      <c r="AG1091" s="482">
        <f t="shared" si="427"/>
        <v>0</v>
      </c>
      <c r="AH1091" s="655"/>
      <c r="AI1091" s="482" t="s">
        <v>2191</v>
      </c>
      <c r="AJ1091" s="482"/>
      <c r="AK1091" s="482">
        <f>I1091*2</f>
        <v>4008</v>
      </c>
      <c r="AL1091" s="656"/>
      <c r="AM1091" s="432">
        <f>I1091*2</f>
        <v>4008</v>
      </c>
      <c r="AR1091" s="656">
        <f>I1091*2</f>
        <v>4008</v>
      </c>
      <c r="AS1091" s="656"/>
      <c r="AT1091" s="660"/>
      <c r="AY1091" s="581">
        <f>I1091/24*2</f>
        <v>167</v>
      </c>
      <c r="AZ1091" s="662"/>
      <c r="BT1091" s="660"/>
      <c r="BV1091" s="660"/>
      <c r="CH1091" s="432">
        <f>I1091</f>
        <v>2004</v>
      </c>
      <c r="CI1091" s="432">
        <f>I1091</f>
        <v>2004</v>
      </c>
      <c r="CJ1091" s="432">
        <f>I1091</f>
        <v>2004</v>
      </c>
      <c r="CK1091" s="432">
        <v>0</v>
      </c>
      <c r="CL1091" s="432">
        <v>0</v>
      </c>
      <c r="CM1091" s="432">
        <v>0</v>
      </c>
      <c r="CN1091" s="660"/>
      <c r="CO1091" s="660"/>
      <c r="CP1091" s="660"/>
      <c r="CT1091" s="660"/>
      <c r="CU1091" s="660"/>
      <c r="CV1091" s="660"/>
      <c r="CW1091" s="660"/>
      <c r="CX1091" s="660"/>
    </row>
    <row r="1092" s="432" customFormat="1" ht="31" customHeight="1" spans="1:102">
      <c r="A1092" s="633">
        <v>45985</v>
      </c>
      <c r="B1092" s="637" t="s">
        <v>2489</v>
      </c>
      <c r="C1092" s="634" t="s">
        <v>90</v>
      </c>
      <c r="D1092" s="432">
        <v>4500186623</v>
      </c>
      <c r="E1092" s="635">
        <v>60261230</v>
      </c>
      <c r="F1092" s="432" t="s">
        <v>2797</v>
      </c>
      <c r="G1092" s="482" t="s">
        <v>5627</v>
      </c>
      <c r="H1092" s="482" t="s">
        <v>5628</v>
      </c>
      <c r="I1092" s="482">
        <v>3000</v>
      </c>
      <c r="J1092" s="482">
        <v>0</v>
      </c>
      <c r="K1092" s="482">
        <v>8</v>
      </c>
      <c r="L1092" s="639">
        <f t="shared" si="416"/>
        <v>375</v>
      </c>
      <c r="M1092" s="644">
        <v>46078</v>
      </c>
      <c r="N1092" s="644">
        <v>46074</v>
      </c>
      <c r="O1092" s="641"/>
      <c r="P1092" s="641"/>
      <c r="Q1092" s="482"/>
      <c r="R1092" s="647">
        <v>45985</v>
      </c>
      <c r="S1092" s="647" t="s">
        <v>66</v>
      </c>
      <c r="T1092" s="647" t="s">
        <v>5629</v>
      </c>
      <c r="U1092" s="647"/>
      <c r="V1092" s="571" t="s">
        <v>5843</v>
      </c>
      <c r="W1092" s="650" t="s">
        <v>2441</v>
      </c>
      <c r="X1092" s="508">
        <v>3.9826</v>
      </c>
      <c r="Y1092" s="651">
        <f t="shared" si="426"/>
        <v>11947.8</v>
      </c>
      <c r="Z1092" s="482"/>
      <c r="AA1092" s="482" t="s">
        <v>5844</v>
      </c>
      <c r="AB1092" s="482" t="s">
        <v>76</v>
      </c>
      <c r="AC1092" s="482"/>
      <c r="AD1092" s="497"/>
      <c r="AE1092" s="497">
        <v>1</v>
      </c>
      <c r="AF1092" s="482">
        <v>3000</v>
      </c>
      <c r="AG1092" s="482">
        <f t="shared" si="427"/>
        <v>0</v>
      </c>
      <c r="AH1092" s="655"/>
      <c r="AI1092" s="482" t="s">
        <v>2191</v>
      </c>
      <c r="AJ1092" s="482"/>
      <c r="AK1092" s="482">
        <f>I1092*2</f>
        <v>6000</v>
      </c>
      <c r="AL1092" s="656"/>
      <c r="AM1092" s="432">
        <f>I1092*2</f>
        <v>6000</v>
      </c>
      <c r="AR1092" s="432">
        <f>I1092</f>
        <v>3000</v>
      </c>
      <c r="AS1092" s="656"/>
      <c r="AT1092" s="660"/>
      <c r="AY1092" s="663">
        <f>I1092/24*2</f>
        <v>250</v>
      </c>
      <c r="AZ1092" s="662"/>
      <c r="BT1092" s="660"/>
      <c r="BV1092" s="660">
        <f>I1092</f>
        <v>3000</v>
      </c>
      <c r="CK1092" s="432">
        <f>BM1092+BL1092+BK1092+BJ1092+BS1092</f>
        <v>0</v>
      </c>
      <c r="CL1092" s="432">
        <f>CA1092+CB1092+CC1092+CD1092+CE1092+CG1092+CF1092</f>
        <v>0</v>
      </c>
      <c r="CM1092" s="432">
        <f>BY1092+BZ1092</f>
        <v>0</v>
      </c>
      <c r="CN1092" s="660"/>
      <c r="CO1092" s="660"/>
      <c r="CP1092" s="660"/>
      <c r="CT1092" s="660"/>
      <c r="CU1092" s="660"/>
      <c r="CV1092" s="660"/>
      <c r="CW1092" s="660"/>
      <c r="CX1092" s="660"/>
    </row>
    <row r="1093" s="432" customFormat="1" ht="31" customHeight="1" spans="1:102">
      <c r="A1093" s="633">
        <v>45985</v>
      </c>
      <c r="B1093" s="637" t="s">
        <v>2553</v>
      </c>
      <c r="C1093" s="634" t="s">
        <v>90</v>
      </c>
      <c r="D1093" s="432">
        <v>4500186630</v>
      </c>
      <c r="E1093" s="635">
        <v>70079732</v>
      </c>
      <c r="F1093" s="432" t="s">
        <v>5845</v>
      </c>
      <c r="G1093" s="482" t="s">
        <v>4564</v>
      </c>
      <c r="H1093" s="482" t="s">
        <v>3237</v>
      </c>
      <c r="I1093" s="482">
        <v>804</v>
      </c>
      <c r="J1093" s="482">
        <v>0</v>
      </c>
      <c r="K1093" s="482">
        <v>12</v>
      </c>
      <c r="L1093" s="639">
        <f t="shared" si="416"/>
        <v>67</v>
      </c>
      <c r="M1093" s="644">
        <v>46078</v>
      </c>
      <c r="N1093" s="644">
        <v>46074</v>
      </c>
      <c r="O1093" s="641"/>
      <c r="P1093" s="641"/>
      <c r="Q1093" s="482"/>
      <c r="R1093" s="647">
        <v>45985</v>
      </c>
      <c r="S1093" s="647" t="s">
        <v>66</v>
      </c>
      <c r="T1093" s="647" t="s">
        <v>2493</v>
      </c>
      <c r="U1093" s="647"/>
      <c r="V1093" s="508" t="s">
        <v>5677</v>
      </c>
      <c r="W1093" s="650" t="s">
        <v>2775</v>
      </c>
      <c r="X1093" s="508">
        <v>1.2871</v>
      </c>
      <c r="Y1093" s="651">
        <f t="shared" si="426"/>
        <v>1034.8284</v>
      </c>
      <c r="Z1093" s="482"/>
      <c r="AA1093" s="482" t="s">
        <v>5650</v>
      </c>
      <c r="AB1093" s="482" t="s">
        <v>76</v>
      </c>
      <c r="AC1093" s="482"/>
      <c r="AD1093" s="497"/>
      <c r="AE1093" s="497">
        <v>1</v>
      </c>
      <c r="AF1093" s="482">
        <v>804</v>
      </c>
      <c r="AG1093" s="482">
        <f t="shared" si="427"/>
        <v>0</v>
      </c>
      <c r="AH1093" s="655"/>
      <c r="AI1093" s="482" t="s">
        <v>2191</v>
      </c>
      <c r="AJ1093" s="482"/>
      <c r="AK1093" s="482">
        <f>I1093*2</f>
        <v>1608</v>
      </c>
      <c r="AL1093" s="656"/>
      <c r="AM1093" s="432">
        <f>I1093*2</f>
        <v>1608</v>
      </c>
      <c r="AR1093" s="656">
        <f>I1093*2</f>
        <v>1608</v>
      </c>
      <c r="AS1093" s="656"/>
      <c r="AT1093" s="660"/>
      <c r="AY1093" s="581">
        <f>I1093/24*2</f>
        <v>67</v>
      </c>
      <c r="AZ1093" s="662"/>
      <c r="BT1093" s="660"/>
      <c r="BV1093" s="660"/>
      <c r="CH1093" s="432">
        <f>I1093</f>
        <v>804</v>
      </c>
      <c r="CI1093" s="432">
        <f>I1093</f>
        <v>804</v>
      </c>
      <c r="CJ1093" s="432">
        <f>I1093</f>
        <v>804</v>
      </c>
      <c r="CK1093" s="432">
        <v>0</v>
      </c>
      <c r="CL1093" s="432">
        <v>0</v>
      </c>
      <c r="CM1093" s="432">
        <v>0</v>
      </c>
      <c r="CN1093" s="660"/>
      <c r="CO1093" s="660"/>
      <c r="CP1093" s="660"/>
      <c r="CT1093" s="660"/>
      <c r="CU1093" s="660"/>
      <c r="CV1093" s="660"/>
      <c r="CW1093" s="660"/>
      <c r="CX1093" s="660"/>
    </row>
    <row r="1094" s="424" customFormat="1" ht="31" customHeight="1" spans="1:102">
      <c r="A1094" s="633">
        <v>46015</v>
      </c>
      <c r="B1094" s="497" t="s">
        <v>4799</v>
      </c>
      <c r="C1094" s="635" t="s">
        <v>249</v>
      </c>
      <c r="D1094" s="432">
        <v>4500189797</v>
      </c>
      <c r="E1094" s="635">
        <v>14990125</v>
      </c>
      <c r="F1094" s="432" t="s">
        <v>5846</v>
      </c>
      <c r="G1094" s="482" t="s">
        <v>3245</v>
      </c>
      <c r="H1094" s="482" t="s">
        <v>3246</v>
      </c>
      <c r="I1094" s="645">
        <v>1040</v>
      </c>
      <c r="J1094" s="482">
        <v>13</v>
      </c>
      <c r="K1094" s="482">
        <f>J1094*8</f>
        <v>104</v>
      </c>
      <c r="L1094" s="639">
        <f t="shared" si="416"/>
        <v>10</v>
      </c>
      <c r="M1094" s="640">
        <v>46078</v>
      </c>
      <c r="N1094" s="640">
        <f>M1094-4</f>
        <v>46074</v>
      </c>
      <c r="O1094" s="641"/>
      <c r="P1094" s="641"/>
      <c r="Q1094" s="482"/>
      <c r="R1094" s="647">
        <v>46029</v>
      </c>
      <c r="S1094" s="647" t="s">
        <v>66</v>
      </c>
      <c r="T1094" s="647" t="s">
        <v>66</v>
      </c>
      <c r="U1094" s="647"/>
      <c r="V1094" s="571" t="s">
        <v>5847</v>
      </c>
      <c r="W1094" s="508" t="s">
        <v>1424</v>
      </c>
      <c r="X1094" s="648">
        <v>0.9268</v>
      </c>
      <c r="Y1094" s="651">
        <f t="shared" si="426"/>
        <v>963.872</v>
      </c>
      <c r="Z1094" s="482"/>
      <c r="AA1094" s="482" t="s">
        <v>3245</v>
      </c>
      <c r="AB1094" s="482" t="s">
        <v>76</v>
      </c>
      <c r="AC1094" s="482"/>
      <c r="AD1094" s="482"/>
      <c r="AE1094" s="482">
        <v>1</v>
      </c>
      <c r="AF1094" s="482">
        <v>1040</v>
      </c>
      <c r="AG1094" s="482">
        <f t="shared" si="427"/>
        <v>0</v>
      </c>
      <c r="AH1094" s="655"/>
      <c r="AI1094" s="482"/>
      <c r="AJ1094" s="482"/>
      <c r="AK1094" s="482"/>
      <c r="AL1094" s="656">
        <f>I1094</f>
        <v>1040</v>
      </c>
      <c r="AM1094" s="657"/>
      <c r="AN1094" s="657"/>
      <c r="AO1094" s="659"/>
      <c r="AP1094" s="657"/>
      <c r="AQ1094" s="432">
        <f>I1094</f>
        <v>1040</v>
      </c>
      <c r="AR1094" s="656"/>
      <c r="AS1094" s="432">
        <f>I1094</f>
        <v>1040</v>
      </c>
      <c r="AT1094" s="660"/>
      <c r="AU1094" s="657"/>
      <c r="AV1094" s="657"/>
      <c r="AW1094" s="657"/>
      <c r="AX1094" s="657"/>
      <c r="AY1094" s="581">
        <f>I1094/24</f>
        <v>43.3333333333333</v>
      </c>
      <c r="AZ1094" s="662"/>
      <c r="BA1094" s="657"/>
      <c r="BB1094" s="657"/>
      <c r="BC1094" s="657"/>
      <c r="BD1094" s="657"/>
      <c r="BE1094" s="657"/>
      <c r="BF1094" s="657"/>
      <c r="BG1094" s="657"/>
      <c r="BH1094" s="657"/>
      <c r="BI1094" s="432">
        <f>I1094/13</f>
        <v>80</v>
      </c>
      <c r="BJ1094" s="657"/>
      <c r="BK1094" s="657"/>
      <c r="BL1094" s="657"/>
      <c r="BM1094" s="657"/>
      <c r="BN1094" s="657"/>
      <c r="BO1094" s="657"/>
      <c r="BP1094" s="658"/>
      <c r="BQ1094" s="657"/>
      <c r="BR1094" s="657"/>
      <c r="BS1094" s="657"/>
      <c r="BT1094" s="660"/>
      <c r="BU1094" s="657"/>
      <c r="BV1094" s="660"/>
      <c r="BW1094" s="657"/>
      <c r="BX1094" s="657"/>
      <c r="BY1094" s="657"/>
      <c r="BZ1094" s="657"/>
      <c r="CA1094" s="657"/>
      <c r="CB1094" s="657"/>
      <c r="CC1094" s="657"/>
      <c r="CD1094" s="657"/>
      <c r="CE1094" s="657"/>
      <c r="CF1094" s="657"/>
      <c r="CG1094" s="657"/>
      <c r="CH1094" s="657"/>
      <c r="CI1094" s="657"/>
      <c r="CJ1094" s="657"/>
      <c r="CK1094" s="428">
        <f>BM1094+BL1094+BK1094+BJ1094+BS1094</f>
        <v>0</v>
      </c>
      <c r="CL1094" s="428">
        <f t="shared" ref="CL1094:CL1123" si="428">CA1094+CB1094+CC1094+CD1094+CE1094+CG1094+CF1094</f>
        <v>0</v>
      </c>
      <c r="CM1094" s="428">
        <f t="shared" ref="CM1094:CM1123" si="429">BY1094+BZ1094</f>
        <v>0</v>
      </c>
      <c r="CN1094" s="660"/>
      <c r="CO1094" s="660"/>
      <c r="CP1094" s="660"/>
      <c r="CT1094" s="660"/>
      <c r="CU1094" s="660"/>
      <c r="CV1094" s="660"/>
      <c r="CW1094" s="660"/>
      <c r="CX1094" s="660"/>
    </row>
    <row r="1095" s="432" customFormat="1" ht="31" customHeight="1" spans="1:102">
      <c r="A1095" s="633">
        <v>45994</v>
      </c>
      <c r="B1095" s="497" t="s">
        <v>360</v>
      </c>
      <c r="C1095" s="634" t="s">
        <v>249</v>
      </c>
      <c r="D1095" s="432">
        <v>4500187827</v>
      </c>
      <c r="E1095" s="635">
        <v>196107</v>
      </c>
      <c r="F1095" s="432" t="s">
        <v>5848</v>
      </c>
      <c r="G1095" s="482" t="s">
        <v>3143</v>
      </c>
      <c r="H1095" s="482" t="s">
        <v>3144</v>
      </c>
      <c r="I1095" s="482">
        <v>1008</v>
      </c>
      <c r="J1095" s="482">
        <v>0</v>
      </c>
      <c r="K1095" s="482">
        <v>24</v>
      </c>
      <c r="L1095" s="639">
        <f t="shared" si="416"/>
        <v>42</v>
      </c>
      <c r="M1095" s="644">
        <v>46078</v>
      </c>
      <c r="N1095" s="644">
        <v>46074</v>
      </c>
      <c r="O1095" s="641"/>
      <c r="P1095" s="641"/>
      <c r="Q1095" s="482"/>
      <c r="R1095" s="647">
        <v>45994</v>
      </c>
      <c r="S1095" s="647" t="s">
        <v>66</v>
      </c>
      <c r="T1095" s="647" t="s">
        <v>2291</v>
      </c>
      <c r="U1095" s="647"/>
      <c r="V1095" s="508" t="s">
        <v>5849</v>
      </c>
      <c r="W1095" s="508" t="s">
        <v>451</v>
      </c>
      <c r="X1095" s="508">
        <v>0.8656</v>
      </c>
      <c r="Y1095" s="651">
        <f t="shared" ref="Y1091:Y1103" si="430">X1095*I1095</f>
        <v>872.5248</v>
      </c>
      <c r="Z1095" s="482"/>
      <c r="AA1095" s="482" t="s">
        <v>3143</v>
      </c>
      <c r="AB1095" s="482" t="s">
        <v>76</v>
      </c>
      <c r="AC1095" s="482"/>
      <c r="AD1095" s="482"/>
      <c r="AE1095" s="482">
        <v>1</v>
      </c>
      <c r="AF1095" s="482">
        <v>1008</v>
      </c>
      <c r="AG1095" s="482">
        <f t="shared" si="427"/>
        <v>0</v>
      </c>
      <c r="AH1095" s="655"/>
      <c r="AI1095" s="482" t="s">
        <v>403</v>
      </c>
      <c r="AJ1095" s="482"/>
      <c r="AK1095" s="482"/>
      <c r="AL1095" s="662">
        <f>I1095</f>
        <v>1008</v>
      </c>
      <c r="AQ1095" s="432">
        <f>I1095</f>
        <v>1008</v>
      </c>
      <c r="AS1095" s="432">
        <f>I1095</f>
        <v>1008</v>
      </c>
      <c r="AT1095" s="660"/>
      <c r="AY1095" s="432">
        <f>I1095/24</f>
        <v>42</v>
      </c>
      <c r="AZ1095" s="662"/>
      <c r="BT1095" s="660"/>
      <c r="BV1095" s="660"/>
      <c r="CK1095" s="432">
        <f>BM1095+BL1095+BK1095+BJ1095+BS1095</f>
        <v>0</v>
      </c>
      <c r="CL1095" s="432">
        <f t="shared" si="428"/>
        <v>0</v>
      </c>
      <c r="CM1095" s="432">
        <f t="shared" si="429"/>
        <v>0</v>
      </c>
      <c r="CN1095" s="660"/>
      <c r="CO1095" s="660"/>
      <c r="CP1095" s="660"/>
      <c r="CT1095" s="660"/>
      <c r="CU1095" s="660"/>
      <c r="CV1095" s="660"/>
      <c r="CW1095" s="660"/>
      <c r="CX1095" s="660"/>
    </row>
    <row r="1096" s="424" customFormat="1" ht="31" customHeight="1" spans="1:102">
      <c r="A1096" s="667">
        <v>46009</v>
      </c>
      <c r="B1096" s="511" t="s">
        <v>128</v>
      </c>
      <c r="C1096" s="668" t="s">
        <v>90</v>
      </c>
      <c r="D1096" s="669">
        <v>4500189333</v>
      </c>
      <c r="E1096" s="670">
        <v>966920061</v>
      </c>
      <c r="F1096" s="669" t="s">
        <v>5850</v>
      </c>
      <c r="G1096" s="654" t="s">
        <v>3180</v>
      </c>
      <c r="H1096" s="654" t="s">
        <v>3181</v>
      </c>
      <c r="I1096" s="654">
        <v>4800</v>
      </c>
      <c r="J1096" s="654">
        <v>0</v>
      </c>
      <c r="K1096" s="654">
        <v>16</v>
      </c>
      <c r="L1096" s="676">
        <f t="shared" si="416"/>
        <v>300</v>
      </c>
      <c r="M1096" s="677">
        <v>46078</v>
      </c>
      <c r="N1096" s="677">
        <v>46074</v>
      </c>
      <c r="O1096" s="678" t="s">
        <v>5851</v>
      </c>
      <c r="P1096" s="678"/>
      <c r="Q1096" s="654"/>
      <c r="R1096" s="681" t="s">
        <v>443</v>
      </c>
      <c r="S1096" s="647" t="s">
        <v>66</v>
      </c>
      <c r="T1096" s="681" t="s">
        <v>5852</v>
      </c>
      <c r="U1096" s="681"/>
      <c r="V1096" s="682" t="s">
        <v>4195</v>
      </c>
      <c r="W1096" s="682" t="s">
        <v>98</v>
      </c>
      <c r="X1096" s="682">
        <v>0.5783</v>
      </c>
      <c r="Y1096" s="686">
        <f t="shared" si="430"/>
        <v>2775.84</v>
      </c>
      <c r="Z1096" s="654"/>
      <c r="AA1096" s="482" t="s">
        <v>3180</v>
      </c>
      <c r="AB1096" s="654" t="s">
        <v>76</v>
      </c>
      <c r="AC1096" s="654"/>
      <c r="AD1096" s="654"/>
      <c r="AE1096" s="654">
        <v>1</v>
      </c>
      <c r="AF1096" s="654">
        <v>4800</v>
      </c>
      <c r="AG1096" s="482">
        <f t="shared" si="427"/>
        <v>0</v>
      </c>
      <c r="AH1096" s="690"/>
      <c r="AI1096" s="654" t="s">
        <v>2191</v>
      </c>
      <c r="AJ1096" s="654"/>
      <c r="AK1096" s="654">
        <f>I1096</f>
        <v>4800</v>
      </c>
      <c r="AL1096" s="691"/>
      <c r="AM1096" s="432">
        <f>I1096</f>
        <v>4800</v>
      </c>
      <c r="AN1096" s="657"/>
      <c r="AO1096" s="659"/>
      <c r="AP1096" s="657"/>
      <c r="AQ1096" s="657"/>
      <c r="AR1096" s="432">
        <f>I1096</f>
        <v>4800</v>
      </c>
      <c r="AS1096" s="657"/>
      <c r="AT1096" s="692"/>
      <c r="AU1096" s="657"/>
      <c r="AV1096" s="657"/>
      <c r="AW1096" s="657"/>
      <c r="AX1096" s="657"/>
      <c r="AY1096" s="581">
        <f>I1096/24</f>
        <v>200</v>
      </c>
      <c r="AZ1096" s="691"/>
      <c r="BA1096" s="657"/>
      <c r="BB1096" s="657"/>
      <c r="BC1096" s="657"/>
      <c r="BD1096" s="657"/>
      <c r="BE1096" s="657"/>
      <c r="BF1096" s="657"/>
      <c r="BG1096" s="657"/>
      <c r="BH1096" s="657"/>
      <c r="BI1096" s="657"/>
      <c r="BJ1096" s="657"/>
      <c r="BK1096" s="657"/>
      <c r="BL1096" s="657"/>
      <c r="BM1096" s="432">
        <f>I1096/16</f>
        <v>300</v>
      </c>
      <c r="BN1096" s="657"/>
      <c r="BO1096" s="657"/>
      <c r="BP1096" s="657"/>
      <c r="BQ1096" s="657"/>
      <c r="BR1096" s="657"/>
      <c r="BS1096" s="657"/>
      <c r="BT1096" s="692"/>
      <c r="BU1096" s="657"/>
      <c r="BV1096" s="692"/>
      <c r="BW1096" s="657"/>
      <c r="BX1096" s="657"/>
      <c r="BY1096" s="657"/>
      <c r="BZ1096" s="657"/>
      <c r="CA1096" s="657"/>
      <c r="CB1096" s="657"/>
      <c r="CC1096" s="657"/>
      <c r="CD1096" s="657"/>
      <c r="CE1096" s="657"/>
      <c r="CF1096" s="657"/>
      <c r="CG1096" s="657"/>
      <c r="CH1096" s="657"/>
      <c r="CI1096" s="657"/>
      <c r="CJ1096" s="657"/>
      <c r="CK1096" s="432">
        <f>BM1096+BL1096+BK1096+BJ1096+BS1096+BN1096</f>
        <v>300</v>
      </c>
      <c r="CL1096" s="432">
        <f t="shared" si="428"/>
        <v>0</v>
      </c>
      <c r="CM1096" s="432">
        <f t="shared" si="429"/>
        <v>0</v>
      </c>
      <c r="CN1096" s="692"/>
      <c r="CO1096" s="692"/>
      <c r="CP1096" s="692"/>
      <c r="CT1096" s="692"/>
      <c r="CU1096" s="692"/>
      <c r="CV1096" s="692"/>
      <c r="CW1096" s="692"/>
      <c r="CX1096" s="692"/>
    </row>
    <row r="1097" s="424" customFormat="1" ht="31" customHeight="1" spans="1:102">
      <c r="A1097" s="667">
        <v>46009</v>
      </c>
      <c r="B1097" s="511" t="s">
        <v>128</v>
      </c>
      <c r="C1097" s="668" t="s">
        <v>90</v>
      </c>
      <c r="D1097" s="669">
        <v>4500189333</v>
      </c>
      <c r="E1097" s="670">
        <v>966920079</v>
      </c>
      <c r="F1097" s="669" t="s">
        <v>5853</v>
      </c>
      <c r="G1097" s="654" t="s">
        <v>3180</v>
      </c>
      <c r="H1097" s="654" t="s">
        <v>3181</v>
      </c>
      <c r="I1097" s="654">
        <v>42240</v>
      </c>
      <c r="J1097" s="654">
        <v>0</v>
      </c>
      <c r="K1097" s="654">
        <v>16</v>
      </c>
      <c r="L1097" s="676">
        <f t="shared" si="416"/>
        <v>2640</v>
      </c>
      <c r="M1097" s="677">
        <v>46078</v>
      </c>
      <c r="N1097" s="677">
        <v>46074</v>
      </c>
      <c r="O1097" s="678" t="s">
        <v>5851</v>
      </c>
      <c r="P1097" s="678"/>
      <c r="Q1097" s="654"/>
      <c r="R1097" s="681" t="s">
        <v>443</v>
      </c>
      <c r="S1097" s="647" t="s">
        <v>66</v>
      </c>
      <c r="T1097" s="681" t="s">
        <v>5852</v>
      </c>
      <c r="U1097" s="681"/>
      <c r="V1097" s="682" t="s">
        <v>4195</v>
      </c>
      <c r="W1097" s="682" t="s">
        <v>98</v>
      </c>
      <c r="X1097" s="682">
        <v>0.5783</v>
      </c>
      <c r="Y1097" s="686">
        <f t="shared" si="430"/>
        <v>24427.392</v>
      </c>
      <c r="Z1097" s="654"/>
      <c r="AA1097" s="482" t="s">
        <v>3180</v>
      </c>
      <c r="AB1097" s="654" t="s">
        <v>76</v>
      </c>
      <c r="AC1097" s="654"/>
      <c r="AD1097" s="654"/>
      <c r="AE1097" s="654">
        <v>1</v>
      </c>
      <c r="AF1097" s="654">
        <f>8448+19008+14784</f>
        <v>42240</v>
      </c>
      <c r="AG1097" s="482">
        <f t="shared" si="427"/>
        <v>0</v>
      </c>
      <c r="AH1097" s="690"/>
      <c r="AI1097" s="654" t="s">
        <v>2191</v>
      </c>
      <c r="AJ1097" s="654"/>
      <c r="AK1097" s="654">
        <f>I1097</f>
        <v>42240</v>
      </c>
      <c r="AL1097" s="691"/>
      <c r="AM1097" s="432">
        <f>I1097</f>
        <v>42240</v>
      </c>
      <c r="AN1097" s="657"/>
      <c r="AO1097" s="659"/>
      <c r="AP1097" s="657"/>
      <c r="AQ1097" s="657"/>
      <c r="AR1097" s="432">
        <f>I1097</f>
        <v>42240</v>
      </c>
      <c r="AS1097" s="657"/>
      <c r="AT1097" s="692"/>
      <c r="AU1097" s="657"/>
      <c r="AV1097" s="657"/>
      <c r="AW1097" s="657"/>
      <c r="AX1097" s="657"/>
      <c r="AY1097" s="581">
        <f>I1097/24</f>
        <v>1760</v>
      </c>
      <c r="AZ1097" s="691"/>
      <c r="BA1097" s="657"/>
      <c r="BB1097" s="657"/>
      <c r="BC1097" s="657"/>
      <c r="BD1097" s="657"/>
      <c r="BE1097" s="657"/>
      <c r="BF1097" s="657"/>
      <c r="BG1097" s="657"/>
      <c r="BH1097" s="657"/>
      <c r="BI1097" s="657"/>
      <c r="BJ1097" s="657"/>
      <c r="BK1097" s="657"/>
      <c r="BL1097" s="657"/>
      <c r="BM1097" s="432">
        <f>I1097/16</f>
        <v>2640</v>
      </c>
      <c r="BN1097" s="657"/>
      <c r="BO1097" s="657"/>
      <c r="BP1097" s="657"/>
      <c r="BQ1097" s="657"/>
      <c r="BR1097" s="657"/>
      <c r="BS1097" s="657"/>
      <c r="BT1097" s="692"/>
      <c r="BU1097" s="657"/>
      <c r="BV1097" s="692"/>
      <c r="BW1097" s="657"/>
      <c r="BX1097" s="657"/>
      <c r="BY1097" s="657"/>
      <c r="BZ1097" s="657"/>
      <c r="CA1097" s="657"/>
      <c r="CB1097" s="657"/>
      <c r="CC1097" s="657"/>
      <c r="CD1097" s="657"/>
      <c r="CE1097" s="657"/>
      <c r="CF1097" s="657"/>
      <c r="CG1097" s="657"/>
      <c r="CH1097" s="657"/>
      <c r="CI1097" s="657"/>
      <c r="CJ1097" s="657"/>
      <c r="CK1097" s="432">
        <f>BM1097+BL1097+BK1097+BJ1097+BS1097+BN1097</f>
        <v>2640</v>
      </c>
      <c r="CL1097" s="432">
        <f t="shared" si="428"/>
        <v>0</v>
      </c>
      <c r="CM1097" s="432">
        <f t="shared" si="429"/>
        <v>0</v>
      </c>
      <c r="CN1097" s="692"/>
      <c r="CO1097" s="692"/>
      <c r="CP1097" s="692"/>
      <c r="CT1097" s="692"/>
      <c r="CU1097" s="692"/>
      <c r="CV1097" s="692"/>
      <c r="CW1097" s="692"/>
      <c r="CX1097" s="692"/>
    </row>
    <row r="1098" s="424" customFormat="1" ht="31" customHeight="1" spans="1:102">
      <c r="A1098" s="667">
        <v>46009</v>
      </c>
      <c r="B1098" s="511" t="s">
        <v>128</v>
      </c>
      <c r="C1098" s="668" t="s">
        <v>90</v>
      </c>
      <c r="D1098" s="669">
        <v>4500189333</v>
      </c>
      <c r="E1098" s="670">
        <v>966920081</v>
      </c>
      <c r="F1098" s="669" t="s">
        <v>5854</v>
      </c>
      <c r="G1098" s="654" t="s">
        <v>3180</v>
      </c>
      <c r="H1098" s="654" t="s">
        <v>3181</v>
      </c>
      <c r="I1098" s="654">
        <v>50880</v>
      </c>
      <c r="J1098" s="654">
        <v>0</v>
      </c>
      <c r="K1098" s="654">
        <v>16</v>
      </c>
      <c r="L1098" s="676">
        <f t="shared" si="416"/>
        <v>3180</v>
      </c>
      <c r="M1098" s="677">
        <v>46078</v>
      </c>
      <c r="N1098" s="677">
        <v>46074</v>
      </c>
      <c r="O1098" s="678" t="s">
        <v>5851</v>
      </c>
      <c r="P1098" s="678"/>
      <c r="Q1098" s="654"/>
      <c r="R1098" s="681" t="s">
        <v>443</v>
      </c>
      <c r="S1098" s="647" t="s">
        <v>66</v>
      </c>
      <c r="T1098" s="681" t="s">
        <v>5852</v>
      </c>
      <c r="U1098" s="681"/>
      <c r="V1098" s="682" t="s">
        <v>4195</v>
      </c>
      <c r="W1098" s="682" t="s">
        <v>98</v>
      </c>
      <c r="X1098" s="682">
        <v>0.5783</v>
      </c>
      <c r="Y1098" s="686">
        <f t="shared" si="430"/>
        <v>29423.904</v>
      </c>
      <c r="Z1098" s="654"/>
      <c r="AA1098" s="482" t="s">
        <v>3180</v>
      </c>
      <c r="AB1098" s="654" t="s">
        <v>76</v>
      </c>
      <c r="AC1098" s="654"/>
      <c r="AD1098" s="654"/>
      <c r="AE1098" s="654">
        <v>1</v>
      </c>
      <c r="AF1098" s="654">
        <v>50880</v>
      </c>
      <c r="AG1098" s="482">
        <f t="shared" si="427"/>
        <v>0</v>
      </c>
      <c r="AH1098" s="690"/>
      <c r="AI1098" s="654" t="s">
        <v>2191</v>
      </c>
      <c r="AJ1098" s="654"/>
      <c r="AK1098" s="654">
        <f>I1098</f>
        <v>50880</v>
      </c>
      <c r="AL1098" s="691"/>
      <c r="AM1098" s="432">
        <f>I1098</f>
        <v>50880</v>
      </c>
      <c r="AN1098" s="657"/>
      <c r="AO1098" s="659"/>
      <c r="AP1098" s="657"/>
      <c r="AQ1098" s="657"/>
      <c r="AR1098" s="432">
        <f>I1098</f>
        <v>50880</v>
      </c>
      <c r="AS1098" s="657"/>
      <c r="AT1098" s="692"/>
      <c r="AU1098" s="657"/>
      <c r="AV1098" s="657"/>
      <c r="AW1098" s="657"/>
      <c r="AX1098" s="657"/>
      <c r="AY1098" s="581">
        <f>I1098/24</f>
        <v>2120</v>
      </c>
      <c r="AZ1098" s="691"/>
      <c r="BA1098" s="657"/>
      <c r="BB1098" s="657"/>
      <c r="BC1098" s="657"/>
      <c r="BD1098" s="657"/>
      <c r="BE1098" s="657"/>
      <c r="BF1098" s="657"/>
      <c r="BG1098" s="657"/>
      <c r="BH1098" s="657"/>
      <c r="BI1098" s="657"/>
      <c r="BJ1098" s="657"/>
      <c r="BK1098" s="657"/>
      <c r="BL1098" s="657"/>
      <c r="BM1098" s="432">
        <f>I1098/16</f>
        <v>3180</v>
      </c>
      <c r="BN1098" s="657"/>
      <c r="BO1098" s="657"/>
      <c r="BP1098" s="657"/>
      <c r="BQ1098" s="657"/>
      <c r="BR1098" s="657"/>
      <c r="BS1098" s="657"/>
      <c r="BT1098" s="692"/>
      <c r="BU1098" s="657"/>
      <c r="BV1098" s="692"/>
      <c r="BW1098" s="657"/>
      <c r="BX1098" s="657"/>
      <c r="BY1098" s="657"/>
      <c r="BZ1098" s="657"/>
      <c r="CA1098" s="657"/>
      <c r="CB1098" s="657"/>
      <c r="CC1098" s="657"/>
      <c r="CD1098" s="657"/>
      <c r="CE1098" s="657"/>
      <c r="CF1098" s="657"/>
      <c r="CG1098" s="657"/>
      <c r="CH1098" s="657"/>
      <c r="CI1098" s="657"/>
      <c r="CJ1098" s="657"/>
      <c r="CK1098" s="432">
        <f>BM1098+BL1098+BK1098+BJ1098+BS1098+BN1098</f>
        <v>3180</v>
      </c>
      <c r="CL1098" s="432">
        <f t="shared" si="428"/>
        <v>0</v>
      </c>
      <c r="CM1098" s="432">
        <f t="shared" si="429"/>
        <v>0</v>
      </c>
      <c r="CN1098" s="692"/>
      <c r="CO1098" s="692"/>
      <c r="CP1098" s="692"/>
      <c r="CT1098" s="692"/>
      <c r="CU1098" s="692"/>
      <c r="CV1098" s="692"/>
      <c r="CW1098" s="692"/>
      <c r="CX1098" s="692"/>
    </row>
    <row r="1099" s="432" customFormat="1" ht="31" customHeight="1" spans="1:102">
      <c r="A1099" s="633">
        <v>45988</v>
      </c>
      <c r="B1099" s="497" t="s">
        <v>489</v>
      </c>
      <c r="C1099" s="634" t="s">
        <v>249</v>
      </c>
      <c r="D1099" s="432">
        <v>4500187223</v>
      </c>
      <c r="E1099" s="635" t="s">
        <v>2799</v>
      </c>
      <c r="F1099" s="432" t="s">
        <v>2800</v>
      </c>
      <c r="G1099" s="482" t="s">
        <v>3436</v>
      </c>
      <c r="H1099" s="482" t="s">
        <v>424</v>
      </c>
      <c r="I1099" s="482">
        <v>504</v>
      </c>
      <c r="J1099" s="482">
        <v>0</v>
      </c>
      <c r="K1099" s="482">
        <v>6</v>
      </c>
      <c r="L1099" s="639">
        <f t="shared" si="416"/>
        <v>84</v>
      </c>
      <c r="M1099" s="640">
        <v>46079</v>
      </c>
      <c r="N1099" s="640">
        <v>46076</v>
      </c>
      <c r="O1099" s="641"/>
      <c r="P1099" s="641"/>
      <c r="Q1099" s="482"/>
      <c r="R1099" s="647" t="s">
        <v>411</v>
      </c>
      <c r="S1099" s="647" t="s">
        <v>96</v>
      </c>
      <c r="T1099" s="647">
        <v>46361</v>
      </c>
      <c r="U1099" s="647"/>
      <c r="V1099" s="508" t="s">
        <v>2801</v>
      </c>
      <c r="W1099" s="650" t="s">
        <v>414</v>
      </c>
      <c r="X1099" s="648">
        <v>7.1628</v>
      </c>
      <c r="Y1099" s="651">
        <f t="shared" si="430"/>
        <v>3610.0512</v>
      </c>
      <c r="Z1099" s="482"/>
      <c r="AA1099" s="497" t="s">
        <v>427</v>
      </c>
      <c r="AB1099" s="482" t="s">
        <v>76</v>
      </c>
      <c r="AC1099" s="482"/>
      <c r="AD1099" s="497"/>
      <c r="AE1099" s="497">
        <v>1</v>
      </c>
      <c r="AF1099" s="482">
        <v>504</v>
      </c>
      <c r="AG1099" s="482">
        <f t="shared" si="427"/>
        <v>0</v>
      </c>
      <c r="AH1099" s="655"/>
      <c r="AI1099" s="482" t="s">
        <v>2191</v>
      </c>
      <c r="AJ1099" s="482"/>
      <c r="AK1099" s="482"/>
      <c r="AL1099" s="656">
        <f>I1099*2</f>
        <v>1008</v>
      </c>
      <c r="AQ1099" s="432">
        <f t="shared" ref="AQ1099:AQ1104" si="431">I1099*2</f>
        <v>1008</v>
      </c>
      <c r="AS1099" s="656">
        <f t="shared" ref="AS1099:AS1104" si="432">I1099*2</f>
        <v>1008</v>
      </c>
      <c r="AT1099" s="660"/>
      <c r="AY1099" s="663">
        <f>I1099/24*2</f>
        <v>42</v>
      </c>
      <c r="AZ1099" s="662"/>
      <c r="BT1099" s="660"/>
      <c r="BU1099" s="432">
        <f>I1099</f>
        <v>504</v>
      </c>
      <c r="BV1099" s="660"/>
      <c r="CK1099" s="432">
        <f t="shared" ref="CK1099:CK1123" si="433">BM1099+BL1099+BK1099+BJ1099+BS1099</f>
        <v>0</v>
      </c>
      <c r="CL1099" s="432">
        <f t="shared" si="428"/>
        <v>0</v>
      </c>
      <c r="CM1099" s="432">
        <f t="shared" si="429"/>
        <v>0</v>
      </c>
      <c r="CN1099" s="660"/>
      <c r="CO1099" s="660"/>
      <c r="CP1099" s="660"/>
      <c r="CQ1099" s="427"/>
      <c r="CR1099" s="427"/>
      <c r="CS1099" s="427"/>
      <c r="CT1099" s="660"/>
      <c r="CU1099" s="660"/>
      <c r="CV1099" s="660"/>
      <c r="CW1099" s="660"/>
      <c r="CX1099" s="660"/>
    </row>
    <row r="1100" s="432" customFormat="1" ht="31" customHeight="1" spans="1:102">
      <c r="A1100" s="633">
        <v>45988</v>
      </c>
      <c r="B1100" s="497" t="s">
        <v>489</v>
      </c>
      <c r="C1100" s="634" t="s">
        <v>139</v>
      </c>
      <c r="D1100" s="432">
        <v>4500187223</v>
      </c>
      <c r="E1100" s="635" t="s">
        <v>2802</v>
      </c>
      <c r="F1100" s="432" t="s">
        <v>2803</v>
      </c>
      <c r="G1100" s="482" t="s">
        <v>3436</v>
      </c>
      <c r="H1100" s="482" t="s">
        <v>424</v>
      </c>
      <c r="I1100" s="482">
        <v>2430</v>
      </c>
      <c r="J1100" s="482">
        <v>0</v>
      </c>
      <c r="K1100" s="482">
        <v>6</v>
      </c>
      <c r="L1100" s="639">
        <f t="shared" si="416"/>
        <v>405</v>
      </c>
      <c r="M1100" s="640">
        <v>46079</v>
      </c>
      <c r="N1100" s="640">
        <v>46076</v>
      </c>
      <c r="O1100" s="641"/>
      <c r="P1100" s="641"/>
      <c r="Q1100" s="482"/>
      <c r="R1100" s="647" t="s">
        <v>411</v>
      </c>
      <c r="S1100" s="647" t="s">
        <v>96</v>
      </c>
      <c r="T1100" s="647">
        <v>46361</v>
      </c>
      <c r="U1100" s="647"/>
      <c r="V1100" s="508" t="s">
        <v>2801</v>
      </c>
      <c r="W1100" s="650" t="s">
        <v>414</v>
      </c>
      <c r="X1100" s="648">
        <v>6.8284</v>
      </c>
      <c r="Y1100" s="651">
        <f t="shared" si="430"/>
        <v>16593.012</v>
      </c>
      <c r="Z1100" s="482"/>
      <c r="AA1100" s="497" t="s">
        <v>427</v>
      </c>
      <c r="AB1100" s="482" t="s">
        <v>76</v>
      </c>
      <c r="AC1100" s="482"/>
      <c r="AD1100" s="497"/>
      <c r="AE1100" s="497">
        <v>1</v>
      </c>
      <c r="AF1100" s="482">
        <f>1296+1134</f>
        <v>2430</v>
      </c>
      <c r="AG1100" s="482">
        <f t="shared" si="427"/>
        <v>0</v>
      </c>
      <c r="AH1100" s="655"/>
      <c r="AI1100" s="482" t="s">
        <v>2191</v>
      </c>
      <c r="AJ1100" s="482"/>
      <c r="AK1100" s="482"/>
      <c r="AL1100" s="656">
        <f>I1100*2</f>
        <v>4860</v>
      </c>
      <c r="AQ1100" s="432">
        <f t="shared" si="431"/>
        <v>4860</v>
      </c>
      <c r="AS1100" s="656">
        <f t="shared" si="432"/>
        <v>4860</v>
      </c>
      <c r="AT1100" s="660"/>
      <c r="AY1100" s="663">
        <f>I1100/24*2</f>
        <v>202.5</v>
      </c>
      <c r="AZ1100" s="662"/>
      <c r="BT1100" s="660"/>
      <c r="BU1100" s="432">
        <f>I1100</f>
        <v>2430</v>
      </c>
      <c r="BV1100" s="660"/>
      <c r="CK1100" s="432">
        <f t="shared" si="433"/>
        <v>0</v>
      </c>
      <c r="CL1100" s="432">
        <f t="shared" si="428"/>
        <v>0</v>
      </c>
      <c r="CM1100" s="432">
        <f t="shared" si="429"/>
        <v>0</v>
      </c>
      <c r="CN1100" s="660"/>
      <c r="CO1100" s="660"/>
      <c r="CP1100" s="660"/>
      <c r="CQ1100" s="427"/>
      <c r="CR1100" s="427"/>
      <c r="CS1100" s="427"/>
      <c r="CT1100" s="660"/>
      <c r="CU1100" s="660"/>
      <c r="CV1100" s="660"/>
      <c r="CW1100" s="660"/>
      <c r="CX1100" s="660"/>
    </row>
    <row r="1101" s="424" customFormat="1" ht="31" customHeight="1" spans="1:102">
      <c r="A1101" s="667">
        <v>46009</v>
      </c>
      <c r="B1101" s="511" t="s">
        <v>1782</v>
      </c>
      <c r="C1101" s="670" t="s">
        <v>356</v>
      </c>
      <c r="D1101" s="669">
        <v>4500189248</v>
      </c>
      <c r="E1101" s="670" t="s">
        <v>5855</v>
      </c>
      <c r="F1101" s="669" t="s">
        <v>5856</v>
      </c>
      <c r="G1101" s="654" t="s">
        <v>4962</v>
      </c>
      <c r="H1101" s="654" t="s">
        <v>3237</v>
      </c>
      <c r="I1101" s="654">
        <v>6648</v>
      </c>
      <c r="J1101" s="654">
        <v>0</v>
      </c>
      <c r="K1101" s="654">
        <v>12</v>
      </c>
      <c r="L1101" s="676">
        <f t="shared" si="416"/>
        <v>554</v>
      </c>
      <c r="M1101" s="677">
        <v>46079</v>
      </c>
      <c r="N1101" s="677">
        <v>46076</v>
      </c>
      <c r="O1101" s="678"/>
      <c r="P1101" s="678"/>
      <c r="Q1101" s="654"/>
      <c r="R1101" s="681" t="s">
        <v>5857</v>
      </c>
      <c r="S1101" s="681" t="s">
        <v>1841</v>
      </c>
      <c r="T1101" s="681" t="s">
        <v>5858</v>
      </c>
      <c r="U1101" s="681"/>
      <c r="V1101" s="682" t="s">
        <v>5859</v>
      </c>
      <c r="W1101" s="682" t="s">
        <v>381</v>
      </c>
      <c r="X1101" s="682">
        <v>2.1422</v>
      </c>
      <c r="Y1101" s="686">
        <f t="shared" si="430"/>
        <v>14241.3456</v>
      </c>
      <c r="Z1101" s="654"/>
      <c r="AA1101" s="482" t="s">
        <v>3464</v>
      </c>
      <c r="AB1101" s="654" t="s">
        <v>76</v>
      </c>
      <c r="AC1101" s="654"/>
      <c r="AD1101" s="654"/>
      <c r="AE1101" s="654">
        <v>1</v>
      </c>
      <c r="AF1101" s="654">
        <v>6648</v>
      </c>
      <c r="AG1101" s="482">
        <f t="shared" si="427"/>
        <v>0</v>
      </c>
      <c r="AH1101" s="690"/>
      <c r="AI1101" s="654" t="s">
        <v>2191</v>
      </c>
      <c r="AJ1101" s="654"/>
      <c r="AK1101" s="654"/>
      <c r="AL1101" s="669">
        <f>I1101*2</f>
        <v>13296</v>
      </c>
      <c r="AM1101" s="657"/>
      <c r="AN1101" s="657"/>
      <c r="AO1101" s="659"/>
      <c r="AP1101" s="657"/>
      <c r="AQ1101" s="432">
        <f t="shared" si="431"/>
        <v>13296</v>
      </c>
      <c r="AR1101" s="657"/>
      <c r="AS1101" s="656">
        <f t="shared" si="432"/>
        <v>13296</v>
      </c>
      <c r="AT1101" s="692"/>
      <c r="AU1101" s="657"/>
      <c r="AV1101" s="657"/>
      <c r="AW1101" s="657"/>
      <c r="AX1101" s="657"/>
      <c r="AY1101" s="663">
        <f>I1101/24*2</f>
        <v>554</v>
      </c>
      <c r="AZ1101" s="691"/>
      <c r="BA1101" s="657"/>
      <c r="BB1101" s="657"/>
      <c r="BC1101" s="657"/>
      <c r="BD1101" s="657"/>
      <c r="BE1101" s="657"/>
      <c r="BF1101" s="657"/>
      <c r="BG1101" s="657"/>
      <c r="BH1101" s="657"/>
      <c r="BI1101" s="657"/>
      <c r="BJ1101" s="657"/>
      <c r="BK1101" s="657"/>
      <c r="BL1101" s="657"/>
      <c r="BM1101" s="657"/>
      <c r="BN1101" s="657"/>
      <c r="BO1101" s="657"/>
      <c r="BP1101" s="657"/>
      <c r="BQ1101" s="657"/>
      <c r="BR1101" s="657"/>
      <c r="BS1101" s="657"/>
      <c r="BT1101" s="692"/>
      <c r="BU1101" s="657"/>
      <c r="BV1101" s="692"/>
      <c r="BW1101" s="657"/>
      <c r="BX1101" s="657"/>
      <c r="BY1101" s="657"/>
      <c r="BZ1101" s="657"/>
      <c r="CA1101" s="657"/>
      <c r="CB1101" s="657"/>
      <c r="CC1101" s="657"/>
      <c r="CD1101" s="657"/>
      <c r="CE1101" s="657"/>
      <c r="CF1101" s="657"/>
      <c r="CG1101" s="657"/>
      <c r="CH1101" s="432">
        <f>I1101</f>
        <v>6648</v>
      </c>
      <c r="CI1101" s="432">
        <f>I1101</f>
        <v>6648</v>
      </c>
      <c r="CJ1101" s="432">
        <f>I1101</f>
        <v>6648</v>
      </c>
      <c r="CK1101" s="432">
        <f t="shared" si="433"/>
        <v>0</v>
      </c>
      <c r="CL1101" s="432">
        <f t="shared" si="428"/>
        <v>0</v>
      </c>
      <c r="CM1101" s="432">
        <f t="shared" si="429"/>
        <v>0</v>
      </c>
      <c r="CN1101" s="692"/>
      <c r="CO1101" s="692"/>
      <c r="CP1101" s="692"/>
      <c r="CT1101" s="692"/>
      <c r="CU1101" s="692"/>
      <c r="CV1101" s="692"/>
      <c r="CW1101" s="692"/>
      <c r="CX1101" s="692"/>
    </row>
    <row r="1102" s="424" customFormat="1" ht="31" customHeight="1" spans="1:102">
      <c r="A1102" s="667">
        <v>46009</v>
      </c>
      <c r="B1102" s="511" t="s">
        <v>1782</v>
      </c>
      <c r="C1102" s="670" t="s">
        <v>356</v>
      </c>
      <c r="D1102" s="669">
        <v>4500189248</v>
      </c>
      <c r="E1102" s="670" t="s">
        <v>5860</v>
      </c>
      <c r="F1102" s="669" t="s">
        <v>5861</v>
      </c>
      <c r="G1102" s="654" t="s">
        <v>4962</v>
      </c>
      <c r="H1102" s="654" t="s">
        <v>3237</v>
      </c>
      <c r="I1102" s="654">
        <v>1992</v>
      </c>
      <c r="J1102" s="654">
        <v>0</v>
      </c>
      <c r="K1102" s="654">
        <v>12</v>
      </c>
      <c r="L1102" s="676">
        <f t="shared" si="416"/>
        <v>166</v>
      </c>
      <c r="M1102" s="677">
        <v>46079</v>
      </c>
      <c r="N1102" s="677">
        <v>46076</v>
      </c>
      <c r="O1102" s="678"/>
      <c r="P1102" s="678"/>
      <c r="Q1102" s="654"/>
      <c r="R1102" s="681" t="s">
        <v>5857</v>
      </c>
      <c r="S1102" s="681" t="s">
        <v>1841</v>
      </c>
      <c r="T1102" s="681" t="s">
        <v>5858</v>
      </c>
      <c r="U1102" s="681"/>
      <c r="V1102" s="682" t="s">
        <v>5859</v>
      </c>
      <c r="W1102" s="682" t="s">
        <v>381</v>
      </c>
      <c r="X1102" s="682">
        <v>2.1629</v>
      </c>
      <c r="Y1102" s="686">
        <f t="shared" si="430"/>
        <v>4308.4968</v>
      </c>
      <c r="Z1102" s="654"/>
      <c r="AA1102" s="482" t="s">
        <v>3464</v>
      </c>
      <c r="AB1102" s="654" t="s">
        <v>76</v>
      </c>
      <c r="AC1102" s="654"/>
      <c r="AD1102" s="654"/>
      <c r="AE1102" s="654">
        <v>1</v>
      </c>
      <c r="AF1102" s="654">
        <v>1992</v>
      </c>
      <c r="AG1102" s="482">
        <f t="shared" si="427"/>
        <v>0</v>
      </c>
      <c r="AH1102" s="690"/>
      <c r="AI1102" s="654" t="s">
        <v>2191</v>
      </c>
      <c r="AJ1102" s="654"/>
      <c r="AK1102" s="654"/>
      <c r="AL1102" s="669">
        <f>I1102*2</f>
        <v>3984</v>
      </c>
      <c r="AM1102" s="657"/>
      <c r="AN1102" s="657"/>
      <c r="AO1102" s="659"/>
      <c r="AP1102" s="657"/>
      <c r="AQ1102" s="432">
        <f t="shared" si="431"/>
        <v>3984</v>
      </c>
      <c r="AR1102" s="657"/>
      <c r="AS1102" s="656">
        <f t="shared" si="432"/>
        <v>3984</v>
      </c>
      <c r="AT1102" s="692"/>
      <c r="AU1102" s="657"/>
      <c r="AV1102" s="657"/>
      <c r="AW1102" s="657"/>
      <c r="AX1102" s="657"/>
      <c r="AY1102" s="663">
        <f>I1102/24*2</f>
        <v>166</v>
      </c>
      <c r="AZ1102" s="691"/>
      <c r="BA1102" s="657"/>
      <c r="BB1102" s="657"/>
      <c r="BC1102" s="657"/>
      <c r="BD1102" s="657"/>
      <c r="BE1102" s="657"/>
      <c r="BF1102" s="657"/>
      <c r="BG1102" s="657"/>
      <c r="BH1102" s="657"/>
      <c r="BI1102" s="657"/>
      <c r="BJ1102" s="657"/>
      <c r="BK1102" s="657"/>
      <c r="BL1102" s="657"/>
      <c r="BM1102" s="657"/>
      <c r="BN1102" s="657"/>
      <c r="BO1102" s="657"/>
      <c r="BP1102" s="657"/>
      <c r="BQ1102" s="657"/>
      <c r="BR1102" s="657"/>
      <c r="BS1102" s="657"/>
      <c r="BT1102" s="692"/>
      <c r="BU1102" s="657"/>
      <c r="BV1102" s="692"/>
      <c r="BW1102" s="657"/>
      <c r="BX1102" s="657"/>
      <c r="BY1102" s="657"/>
      <c r="BZ1102" s="657"/>
      <c r="CA1102" s="657"/>
      <c r="CB1102" s="657"/>
      <c r="CC1102" s="657"/>
      <c r="CD1102" s="657"/>
      <c r="CE1102" s="657"/>
      <c r="CF1102" s="657"/>
      <c r="CG1102" s="657"/>
      <c r="CH1102" s="432">
        <f>I1102</f>
        <v>1992</v>
      </c>
      <c r="CI1102" s="432">
        <f>I1102</f>
        <v>1992</v>
      </c>
      <c r="CJ1102" s="432">
        <f>I1102</f>
        <v>1992</v>
      </c>
      <c r="CK1102" s="432">
        <f t="shared" si="433"/>
        <v>0</v>
      </c>
      <c r="CL1102" s="432">
        <f t="shared" si="428"/>
        <v>0</v>
      </c>
      <c r="CM1102" s="432">
        <f t="shared" si="429"/>
        <v>0</v>
      </c>
      <c r="CN1102" s="692"/>
      <c r="CO1102" s="692"/>
      <c r="CP1102" s="692"/>
      <c r="CT1102" s="692"/>
      <c r="CU1102" s="692"/>
      <c r="CV1102" s="692"/>
      <c r="CW1102" s="692"/>
      <c r="CX1102" s="692"/>
    </row>
    <row r="1103" s="424" customFormat="1" ht="31" customHeight="1" spans="1:102">
      <c r="A1103" s="633">
        <v>46028</v>
      </c>
      <c r="B1103" s="497" t="s">
        <v>398</v>
      </c>
      <c r="C1103" s="635" t="s">
        <v>356</v>
      </c>
      <c r="D1103" s="432">
        <v>4500190678</v>
      </c>
      <c r="E1103" s="635"/>
      <c r="F1103" s="432" t="s">
        <v>5862</v>
      </c>
      <c r="G1103" s="482" t="s">
        <v>3206</v>
      </c>
      <c r="H1103" s="482" t="s">
        <v>4939</v>
      </c>
      <c r="I1103" s="645">
        <v>2405</v>
      </c>
      <c r="J1103" s="482">
        <v>0</v>
      </c>
      <c r="K1103" s="482">
        <v>13</v>
      </c>
      <c r="L1103" s="639">
        <f t="shared" si="416"/>
        <v>185</v>
      </c>
      <c r="M1103" s="679">
        <v>46080</v>
      </c>
      <c r="N1103" s="679">
        <v>46076</v>
      </c>
      <c r="O1103" s="641"/>
      <c r="P1103" s="641"/>
      <c r="Q1103" s="482"/>
      <c r="R1103" s="647">
        <v>46030</v>
      </c>
      <c r="S1103" s="647" t="s">
        <v>66</v>
      </c>
      <c r="T1103" s="647" t="s">
        <v>5863</v>
      </c>
      <c r="U1103" s="647"/>
      <c r="V1103" s="508" t="s">
        <v>5864</v>
      </c>
      <c r="W1103" s="651" t="s">
        <v>395</v>
      </c>
      <c r="X1103" s="648">
        <v>0.8947</v>
      </c>
      <c r="Y1103" s="651">
        <f t="shared" si="430"/>
        <v>2151.7535</v>
      </c>
      <c r="Z1103" s="482"/>
      <c r="AA1103" s="482" t="s">
        <v>3206</v>
      </c>
      <c r="AB1103" s="482" t="s">
        <v>76</v>
      </c>
      <c r="AC1103" s="482"/>
      <c r="AD1103" s="482"/>
      <c r="AE1103" s="482">
        <v>1</v>
      </c>
      <c r="AF1103" s="482">
        <v>2405</v>
      </c>
      <c r="AG1103" s="482">
        <f t="shared" si="427"/>
        <v>0</v>
      </c>
      <c r="AH1103" s="655"/>
      <c r="AI1103" s="482" t="s">
        <v>2191</v>
      </c>
      <c r="AJ1103" s="482"/>
      <c r="AK1103" s="482"/>
      <c r="AL1103" s="656">
        <f>I1103</f>
        <v>2405</v>
      </c>
      <c r="AM1103" s="658"/>
      <c r="AN1103" s="658"/>
      <c r="AO1103" s="661"/>
      <c r="AP1103" s="658"/>
      <c r="AQ1103" s="432">
        <f t="shared" si="431"/>
        <v>4810</v>
      </c>
      <c r="AR1103" s="657"/>
      <c r="AS1103" s="656">
        <f t="shared" si="432"/>
        <v>4810</v>
      </c>
      <c r="AT1103" s="660"/>
      <c r="AU1103" s="658"/>
      <c r="AV1103" s="658"/>
      <c r="AW1103" s="658"/>
      <c r="AX1103" s="658"/>
      <c r="AY1103" s="581">
        <f>I1103/24</f>
        <v>100.208333333333</v>
      </c>
      <c r="AZ1103" s="662"/>
      <c r="BA1103" s="658"/>
      <c r="BB1103" s="658"/>
      <c r="BC1103" s="658"/>
      <c r="BD1103" s="658"/>
      <c r="BE1103" s="658"/>
      <c r="BF1103" s="658"/>
      <c r="BG1103" s="658"/>
      <c r="BH1103" s="658"/>
      <c r="BI1103" s="432">
        <f>I1103/13</f>
        <v>185</v>
      </c>
      <c r="BJ1103" s="658"/>
      <c r="BK1103" s="658"/>
      <c r="BL1103" s="658"/>
      <c r="BM1103" s="658"/>
      <c r="BN1103" s="658"/>
      <c r="BO1103" s="658"/>
      <c r="BP1103" s="658"/>
      <c r="BQ1103" s="658"/>
      <c r="BR1103" s="658"/>
      <c r="BS1103" s="658"/>
      <c r="BT1103" s="660"/>
      <c r="BU1103" s="658"/>
      <c r="BV1103" s="660"/>
      <c r="BW1103" s="658"/>
      <c r="BX1103" s="658"/>
      <c r="BY1103" s="658"/>
      <c r="BZ1103" s="658"/>
      <c r="CA1103" s="658"/>
      <c r="CB1103" s="658"/>
      <c r="CC1103" s="658"/>
      <c r="CD1103" s="658"/>
      <c r="CE1103" s="658"/>
      <c r="CF1103" s="658"/>
      <c r="CG1103" s="658"/>
      <c r="CH1103" s="432"/>
      <c r="CI1103" s="432"/>
      <c r="CJ1103" s="432"/>
      <c r="CK1103" s="432">
        <f t="shared" si="433"/>
        <v>0</v>
      </c>
      <c r="CL1103" s="432">
        <f t="shared" si="428"/>
        <v>0</v>
      </c>
      <c r="CM1103" s="432">
        <f t="shared" si="429"/>
        <v>0</v>
      </c>
      <c r="CN1103" s="660"/>
      <c r="CO1103" s="660"/>
      <c r="CP1103" s="660"/>
      <c r="CT1103" s="660"/>
      <c r="CU1103" s="660"/>
      <c r="CV1103" s="660"/>
      <c r="CW1103" s="660"/>
      <c r="CX1103" s="660"/>
    </row>
    <row r="1104" s="424" customFormat="1" ht="31" customHeight="1" spans="1:102">
      <c r="A1104" s="633">
        <v>46028</v>
      </c>
      <c r="B1104" s="497" t="s">
        <v>398</v>
      </c>
      <c r="C1104" s="635" t="s">
        <v>356</v>
      </c>
      <c r="D1104" s="432">
        <v>4500190678</v>
      </c>
      <c r="E1104" s="635"/>
      <c r="F1104" s="432" t="s">
        <v>5865</v>
      </c>
      <c r="G1104" s="482" t="s">
        <v>3328</v>
      </c>
      <c r="H1104" s="482" t="s">
        <v>3194</v>
      </c>
      <c r="I1104" s="482">
        <v>2790</v>
      </c>
      <c r="J1104" s="482">
        <v>0</v>
      </c>
      <c r="K1104" s="482">
        <v>30</v>
      </c>
      <c r="L1104" s="639">
        <f t="shared" si="416"/>
        <v>93</v>
      </c>
      <c r="M1104" s="640">
        <v>46080</v>
      </c>
      <c r="N1104" s="640">
        <v>46076</v>
      </c>
      <c r="O1104" s="641"/>
      <c r="P1104" s="641"/>
      <c r="Q1104" s="482"/>
      <c r="R1104" s="647">
        <v>46030</v>
      </c>
      <c r="S1104" s="647" t="s">
        <v>66</v>
      </c>
      <c r="T1104" s="647" t="s">
        <v>5866</v>
      </c>
      <c r="U1104" s="647"/>
      <c r="V1104" s="508" t="s">
        <v>5867</v>
      </c>
      <c r="W1104" s="508" t="s">
        <v>395</v>
      </c>
      <c r="X1104" s="648">
        <v>40.6757</v>
      </c>
      <c r="Y1104" s="651">
        <f>X1104*L1104</f>
        <v>3782.8401</v>
      </c>
      <c r="Z1104" s="482"/>
      <c r="AA1104" s="482" t="s">
        <v>3328</v>
      </c>
      <c r="AB1104" s="482" t="s">
        <v>76</v>
      </c>
      <c r="AC1104" s="482"/>
      <c r="AD1104" s="497"/>
      <c r="AE1104" s="497"/>
      <c r="AF1104" s="482">
        <v>2790</v>
      </c>
      <c r="AG1104" s="482">
        <f t="shared" si="427"/>
        <v>0</v>
      </c>
      <c r="AH1104" s="655"/>
      <c r="AI1104" s="482" t="s">
        <v>2191</v>
      </c>
      <c r="AJ1104" s="482"/>
      <c r="AK1104" s="482"/>
      <c r="AL1104" s="432">
        <f>I1104</f>
        <v>2790</v>
      </c>
      <c r="AM1104" s="658"/>
      <c r="AN1104" s="658"/>
      <c r="AO1104" s="661"/>
      <c r="AP1104" s="658"/>
      <c r="AQ1104" s="432">
        <f t="shared" si="431"/>
        <v>5580</v>
      </c>
      <c r="AR1104" s="656"/>
      <c r="AS1104" s="656">
        <f t="shared" si="432"/>
        <v>5580</v>
      </c>
      <c r="AT1104" s="660"/>
      <c r="AU1104" s="658"/>
      <c r="AV1104" s="658"/>
      <c r="AW1104" s="658"/>
      <c r="AX1104" s="658"/>
      <c r="AY1104" s="663">
        <f>I1104/24</f>
        <v>116.25</v>
      </c>
      <c r="AZ1104" s="662"/>
      <c r="BA1104" s="658"/>
      <c r="BB1104" s="658"/>
      <c r="BC1104" s="658"/>
      <c r="BD1104" s="658"/>
      <c r="BE1104" s="658"/>
      <c r="BF1104" s="658"/>
      <c r="BG1104" s="658"/>
      <c r="BH1104" s="658"/>
      <c r="BI1104" s="658"/>
      <c r="BJ1104" s="658"/>
      <c r="BK1104" s="658"/>
      <c r="BL1104" s="658"/>
      <c r="BM1104" s="658"/>
      <c r="BN1104" s="658"/>
      <c r="BO1104" s="658"/>
      <c r="BP1104" s="658"/>
      <c r="BQ1104" s="658"/>
      <c r="BR1104" s="658"/>
      <c r="BS1104" s="658"/>
      <c r="BT1104" s="660"/>
      <c r="BU1104" s="658"/>
      <c r="BV1104" s="660"/>
      <c r="BW1104" s="658"/>
      <c r="BX1104" s="658"/>
      <c r="BY1104" s="658"/>
      <c r="BZ1104" s="658"/>
      <c r="CA1104" s="658"/>
      <c r="CB1104" s="658"/>
      <c r="CC1104" s="658"/>
      <c r="CD1104" s="658"/>
      <c r="CE1104" s="658"/>
      <c r="CF1104" s="432">
        <f>I1104/30</f>
        <v>93</v>
      </c>
      <c r="CG1104" s="658"/>
      <c r="CH1104" s="658"/>
      <c r="CI1104" s="658"/>
      <c r="CJ1104" s="658"/>
      <c r="CK1104" s="432">
        <f t="shared" si="433"/>
        <v>0</v>
      </c>
      <c r="CL1104" s="432">
        <f t="shared" si="428"/>
        <v>93</v>
      </c>
      <c r="CM1104" s="432">
        <f t="shared" si="429"/>
        <v>0</v>
      </c>
      <c r="CN1104" s="660"/>
      <c r="CO1104" s="660"/>
      <c r="CP1104" s="660"/>
      <c r="CT1104" s="660"/>
      <c r="CU1104" s="660"/>
      <c r="CV1104" s="660"/>
      <c r="CW1104" s="660"/>
      <c r="CX1104" s="660"/>
    </row>
    <row r="1105" s="424" customFormat="1" ht="31" customHeight="1" spans="1:102">
      <c r="A1105" s="633">
        <v>46015</v>
      </c>
      <c r="B1105" s="497" t="s">
        <v>1724</v>
      </c>
      <c r="C1105" s="635" t="s">
        <v>1725</v>
      </c>
      <c r="D1105" s="432">
        <v>4500189773</v>
      </c>
      <c r="E1105" s="635" t="s">
        <v>2894</v>
      </c>
      <c r="F1105" s="432" t="s">
        <v>5868</v>
      </c>
      <c r="G1105" s="482" t="s">
        <v>3161</v>
      </c>
      <c r="H1105" s="482" t="s">
        <v>3221</v>
      </c>
      <c r="I1105" s="645">
        <v>2500</v>
      </c>
      <c r="J1105" s="482">
        <v>0</v>
      </c>
      <c r="K1105" s="482">
        <v>50</v>
      </c>
      <c r="L1105" s="639">
        <f t="shared" si="416"/>
        <v>50</v>
      </c>
      <c r="M1105" s="644">
        <v>46080</v>
      </c>
      <c r="N1105" s="644">
        <f>M1105-4</f>
        <v>46076</v>
      </c>
      <c r="O1105" s="641"/>
      <c r="P1105" s="641"/>
      <c r="Q1105" s="482"/>
      <c r="R1105" s="647">
        <v>46026</v>
      </c>
      <c r="S1105" s="647" t="s">
        <v>66</v>
      </c>
      <c r="T1105" s="647">
        <v>46035</v>
      </c>
      <c r="U1105" s="647"/>
      <c r="V1105" s="508" t="s">
        <v>2898</v>
      </c>
      <c r="W1105" s="508" t="s">
        <v>473</v>
      </c>
      <c r="X1105" s="648">
        <v>0.941</v>
      </c>
      <c r="Y1105" s="651">
        <f>X1105*I1105</f>
        <v>2352.5</v>
      </c>
      <c r="Z1105" s="482"/>
      <c r="AA1105" s="497" t="s">
        <v>3161</v>
      </c>
      <c r="AB1105" s="482" t="s">
        <v>76</v>
      </c>
      <c r="AC1105" s="482"/>
      <c r="AD1105" s="482"/>
      <c r="AE1105" s="482">
        <v>1</v>
      </c>
      <c r="AF1105" s="482">
        <v>2500</v>
      </c>
      <c r="AG1105" s="482">
        <f t="shared" si="427"/>
        <v>0</v>
      </c>
      <c r="AH1105" s="655"/>
      <c r="AI1105" s="482" t="s">
        <v>2191</v>
      </c>
      <c r="AJ1105" s="482"/>
      <c r="AK1105" s="482"/>
      <c r="AL1105" s="656">
        <f>I1105</f>
        <v>2500</v>
      </c>
      <c r="AM1105" s="432"/>
      <c r="AN1105" s="432"/>
      <c r="AO1105" s="432"/>
      <c r="AP1105" s="432"/>
      <c r="AQ1105" s="432">
        <f>I1105</f>
        <v>2500</v>
      </c>
      <c r="AR1105" s="432"/>
      <c r="AS1105" s="656">
        <f>I1105</f>
        <v>2500</v>
      </c>
      <c r="AT1105" s="660"/>
      <c r="AU1105" s="657"/>
      <c r="AV1105" s="657"/>
      <c r="AW1105" s="657"/>
      <c r="AX1105" s="657"/>
      <c r="AY1105" s="581">
        <f>I1105/24</f>
        <v>104.166666666667</v>
      </c>
      <c r="AZ1105" s="662"/>
      <c r="BA1105" s="432"/>
      <c r="BB1105" s="432"/>
      <c r="BC1105" s="432"/>
      <c r="BD1105" s="432"/>
      <c r="BE1105" s="432"/>
      <c r="BF1105" s="432"/>
      <c r="BG1105" s="432"/>
      <c r="BH1105" s="432"/>
      <c r="BI1105" s="432"/>
      <c r="BJ1105" s="432"/>
      <c r="BK1105" s="432"/>
      <c r="BL1105" s="432">
        <f>I1105/25</f>
        <v>100</v>
      </c>
      <c r="BM1105" s="657"/>
      <c r="BN1105" s="657"/>
      <c r="BO1105" s="657"/>
      <c r="BP1105" s="658"/>
      <c r="BQ1105" s="657"/>
      <c r="BR1105" s="657"/>
      <c r="BS1105" s="657"/>
      <c r="BT1105" s="660"/>
      <c r="BU1105" s="657"/>
      <c r="BV1105" s="660"/>
      <c r="BW1105" s="657"/>
      <c r="BX1105" s="657"/>
      <c r="BY1105" s="657"/>
      <c r="BZ1105" s="657"/>
      <c r="CA1105" s="657"/>
      <c r="CB1105" s="657"/>
      <c r="CC1105" s="657"/>
      <c r="CD1105" s="657"/>
      <c r="CE1105" s="657"/>
      <c r="CF1105" s="657"/>
      <c r="CG1105" s="657"/>
      <c r="CH1105" s="657"/>
      <c r="CI1105" s="657"/>
      <c r="CJ1105" s="657"/>
      <c r="CK1105" s="432">
        <f t="shared" si="433"/>
        <v>100</v>
      </c>
      <c r="CL1105" s="432">
        <f t="shared" si="428"/>
        <v>0</v>
      </c>
      <c r="CM1105" s="432">
        <f t="shared" si="429"/>
        <v>0</v>
      </c>
      <c r="CN1105" s="660"/>
      <c r="CO1105" s="660"/>
      <c r="CP1105" s="660"/>
      <c r="CT1105" s="660"/>
      <c r="CU1105" s="660"/>
      <c r="CV1105" s="660"/>
      <c r="CW1105" s="660"/>
      <c r="CX1105" s="660"/>
    </row>
    <row r="1106" s="432" customFormat="1" ht="31" customHeight="1" spans="1:102">
      <c r="A1106" s="633">
        <v>45978</v>
      </c>
      <c r="B1106" s="497" t="s">
        <v>1372</v>
      </c>
      <c r="C1106" s="634" t="s">
        <v>90</v>
      </c>
      <c r="D1106" s="432">
        <v>4500185935</v>
      </c>
      <c r="E1106" s="894" t="s">
        <v>2809</v>
      </c>
      <c r="F1106" s="432" t="s">
        <v>2810</v>
      </c>
      <c r="G1106" s="482" t="s">
        <v>5575</v>
      </c>
      <c r="H1106" s="482" t="s">
        <v>744</v>
      </c>
      <c r="I1106" s="482">
        <v>5400</v>
      </c>
      <c r="J1106" s="482">
        <v>0</v>
      </c>
      <c r="K1106" s="482">
        <v>75</v>
      </c>
      <c r="L1106" s="639">
        <f t="shared" ref="L1087:L1128" si="434">I1106/K1106</f>
        <v>72</v>
      </c>
      <c r="M1106" s="644">
        <v>46081</v>
      </c>
      <c r="N1106" s="644">
        <v>46077</v>
      </c>
      <c r="O1106" s="641"/>
      <c r="P1106" s="641"/>
      <c r="Q1106" s="482"/>
      <c r="R1106" s="647" t="s">
        <v>2432</v>
      </c>
      <c r="S1106" s="647" t="s">
        <v>66</v>
      </c>
      <c r="T1106" s="647" t="s">
        <v>66</v>
      </c>
      <c r="U1106" s="647"/>
      <c r="V1106" s="508" t="s">
        <v>2565</v>
      </c>
      <c r="W1106" s="650" t="s">
        <v>821</v>
      </c>
      <c r="X1106" s="508">
        <v>359.3436</v>
      </c>
      <c r="Y1106" s="651">
        <f>X1106*L1106</f>
        <v>25872.7392</v>
      </c>
      <c r="Z1106" s="482"/>
      <c r="AA1106" s="497" t="s">
        <v>1378</v>
      </c>
      <c r="AB1106" s="482" t="s">
        <v>76</v>
      </c>
      <c r="AC1106" s="482"/>
      <c r="AD1106" s="497"/>
      <c r="AE1106" s="497"/>
      <c r="AF1106" s="482">
        <v>5400</v>
      </c>
      <c r="AG1106" s="482">
        <f t="shared" si="427"/>
        <v>0</v>
      </c>
      <c r="AH1106" s="655"/>
      <c r="AI1106" s="482"/>
      <c r="AJ1106" s="482"/>
      <c r="AK1106" s="549">
        <f>I1106*3</f>
        <v>16200</v>
      </c>
      <c r="AL1106" s="656"/>
      <c r="AR1106" s="656"/>
      <c r="AS1106" s="656"/>
      <c r="AT1106" s="660"/>
      <c r="AY1106" s="581">
        <f>I1106/24*3</f>
        <v>675</v>
      </c>
      <c r="AZ1106" s="662"/>
      <c r="BC1106" s="432">
        <f>AK1106</f>
        <v>16200</v>
      </c>
      <c r="BD1106" s="432">
        <f>AK1106</f>
        <v>16200</v>
      </c>
      <c r="BE1106" s="432">
        <f>I1106</f>
        <v>5400</v>
      </c>
      <c r="BF1106" s="432">
        <f>I1106/5</f>
        <v>1080</v>
      </c>
      <c r="BT1106" s="660"/>
      <c r="BV1106" s="660"/>
      <c r="CK1106" s="428">
        <f t="shared" si="433"/>
        <v>0</v>
      </c>
      <c r="CL1106" s="428">
        <f t="shared" si="428"/>
        <v>0</v>
      </c>
      <c r="CM1106" s="428">
        <f t="shared" si="429"/>
        <v>0</v>
      </c>
      <c r="CN1106" s="660"/>
      <c r="CO1106" s="660"/>
      <c r="CP1106" s="660"/>
      <c r="CT1106" s="660"/>
      <c r="CU1106" s="660"/>
      <c r="CV1106" s="660"/>
      <c r="CW1106" s="660"/>
      <c r="CX1106" s="660"/>
    </row>
    <row r="1107" s="432" customFormat="1" ht="31" customHeight="1" spans="1:102">
      <c r="A1107" s="633">
        <v>45978</v>
      </c>
      <c r="B1107" s="497" t="s">
        <v>1372</v>
      </c>
      <c r="C1107" s="634" t="s">
        <v>90</v>
      </c>
      <c r="D1107" s="432">
        <v>4500185936</v>
      </c>
      <c r="E1107" s="894" t="s">
        <v>2811</v>
      </c>
      <c r="F1107" s="432" t="s">
        <v>2812</v>
      </c>
      <c r="G1107" s="482" t="s">
        <v>5575</v>
      </c>
      <c r="H1107" s="482" t="s">
        <v>744</v>
      </c>
      <c r="I1107" s="482">
        <v>5400</v>
      </c>
      <c r="J1107" s="482">
        <v>0</v>
      </c>
      <c r="K1107" s="482">
        <v>75</v>
      </c>
      <c r="L1107" s="639">
        <f t="shared" si="434"/>
        <v>72</v>
      </c>
      <c r="M1107" s="644">
        <v>46081</v>
      </c>
      <c r="N1107" s="644">
        <v>46077</v>
      </c>
      <c r="O1107" s="641"/>
      <c r="P1107" s="641"/>
      <c r="Q1107" s="482"/>
      <c r="R1107" s="647" t="s">
        <v>2432</v>
      </c>
      <c r="S1107" s="647" t="s">
        <v>66</v>
      </c>
      <c r="T1107" s="647" t="s">
        <v>66</v>
      </c>
      <c r="U1107" s="647"/>
      <c r="V1107" s="508" t="s">
        <v>2565</v>
      </c>
      <c r="W1107" s="650" t="s">
        <v>821</v>
      </c>
      <c r="X1107" s="508">
        <v>359.3436</v>
      </c>
      <c r="Y1107" s="651">
        <f>X1107*L1107</f>
        <v>25872.7392</v>
      </c>
      <c r="Z1107" s="482"/>
      <c r="AA1107" s="497" t="s">
        <v>1378</v>
      </c>
      <c r="AB1107" s="482" t="s">
        <v>76</v>
      </c>
      <c r="AC1107" s="482"/>
      <c r="AD1107" s="497"/>
      <c r="AE1107" s="497"/>
      <c r="AF1107" s="482">
        <f>760+3960+680</f>
        <v>5400</v>
      </c>
      <c r="AG1107" s="482">
        <f t="shared" si="427"/>
        <v>0</v>
      </c>
      <c r="AH1107" s="655"/>
      <c r="AI1107" s="482"/>
      <c r="AJ1107" s="482"/>
      <c r="AK1107" s="549">
        <f>I1107*3</f>
        <v>16200</v>
      </c>
      <c r="AL1107" s="656"/>
      <c r="AR1107" s="656"/>
      <c r="AS1107" s="656"/>
      <c r="AT1107" s="660"/>
      <c r="AY1107" s="581">
        <f>I1107/24*3</f>
        <v>675</v>
      </c>
      <c r="AZ1107" s="662"/>
      <c r="BC1107" s="432">
        <f>AK1107</f>
        <v>16200</v>
      </c>
      <c r="BD1107" s="432">
        <f>AK1107</f>
        <v>16200</v>
      </c>
      <c r="BE1107" s="432">
        <f>I1107</f>
        <v>5400</v>
      </c>
      <c r="BF1107" s="432">
        <f>I1107/5</f>
        <v>1080</v>
      </c>
      <c r="BT1107" s="660"/>
      <c r="BV1107" s="660"/>
      <c r="CK1107" s="428">
        <f t="shared" si="433"/>
        <v>0</v>
      </c>
      <c r="CL1107" s="428">
        <f t="shared" si="428"/>
        <v>0</v>
      </c>
      <c r="CM1107" s="428">
        <f t="shared" si="429"/>
        <v>0</v>
      </c>
      <c r="CN1107" s="660"/>
      <c r="CO1107" s="660"/>
      <c r="CP1107" s="660"/>
      <c r="CT1107" s="660"/>
      <c r="CU1107" s="660"/>
      <c r="CV1107" s="660"/>
      <c r="CW1107" s="660"/>
      <c r="CX1107" s="660"/>
    </row>
    <row r="1108" s="432" customFormat="1" ht="32" customHeight="1" spans="1:102">
      <c r="A1108" s="633">
        <v>45980</v>
      </c>
      <c r="B1108" s="497" t="s">
        <v>2813</v>
      </c>
      <c r="C1108" s="635" t="s">
        <v>468</v>
      </c>
      <c r="D1108" s="671">
        <v>4500186204</v>
      </c>
      <c r="E1108" s="635"/>
      <c r="F1108" s="432" t="s">
        <v>5869</v>
      </c>
      <c r="G1108" s="482" t="s">
        <v>3161</v>
      </c>
      <c r="H1108" s="482" t="s">
        <v>3221</v>
      </c>
      <c r="I1108" s="482">
        <v>3000</v>
      </c>
      <c r="J1108" s="482">
        <v>0</v>
      </c>
      <c r="K1108" s="482">
        <v>50</v>
      </c>
      <c r="L1108" s="639">
        <f t="shared" si="434"/>
        <v>60</v>
      </c>
      <c r="M1108" s="640">
        <v>46082</v>
      </c>
      <c r="N1108" s="640">
        <v>46082</v>
      </c>
      <c r="O1108" s="641" t="s">
        <v>5870</v>
      </c>
      <c r="P1108" s="641"/>
      <c r="Q1108" s="482"/>
      <c r="R1108" s="647" t="s">
        <v>5871</v>
      </c>
      <c r="S1108" s="647" t="s">
        <v>96</v>
      </c>
      <c r="T1108" s="647" t="s">
        <v>5872</v>
      </c>
      <c r="U1108" s="647"/>
      <c r="V1108" s="508" t="s">
        <v>5873</v>
      </c>
      <c r="W1108" s="508" t="s">
        <v>853</v>
      </c>
      <c r="X1108" s="508">
        <v>0.924</v>
      </c>
      <c r="Y1108" s="651">
        <f>X1108*I1108</f>
        <v>2772</v>
      </c>
      <c r="Z1108" s="482"/>
      <c r="AA1108" s="497" t="s">
        <v>3161</v>
      </c>
      <c r="AB1108" s="482" t="s">
        <v>76</v>
      </c>
      <c r="AC1108" s="482"/>
      <c r="AD1108" s="497"/>
      <c r="AE1108" s="497"/>
      <c r="AF1108" s="482">
        <v>3000</v>
      </c>
      <c r="AG1108" s="482">
        <f t="shared" si="427"/>
        <v>0</v>
      </c>
      <c r="AH1108" s="655"/>
      <c r="AI1108" s="482" t="s">
        <v>2191</v>
      </c>
      <c r="AJ1108" s="482"/>
      <c r="AK1108" s="482"/>
      <c r="AL1108" s="656">
        <f>I1108</f>
        <v>3000</v>
      </c>
      <c r="AQ1108" s="432">
        <f>I1108</f>
        <v>3000</v>
      </c>
      <c r="AS1108" s="656">
        <f>I1108</f>
        <v>3000</v>
      </c>
      <c r="AT1108" s="660"/>
      <c r="AU1108" s="657"/>
      <c r="AV1108" s="657"/>
      <c r="AW1108" s="657"/>
      <c r="AX1108" s="657"/>
      <c r="AY1108" s="581">
        <f>I1108/24</f>
        <v>125</v>
      </c>
      <c r="AZ1108" s="662"/>
      <c r="BL1108" s="432">
        <f>I1108/25</f>
        <v>120</v>
      </c>
      <c r="BT1108" s="660"/>
      <c r="BV1108" s="660"/>
      <c r="CK1108" s="432">
        <f t="shared" si="433"/>
        <v>120</v>
      </c>
      <c r="CL1108" s="432">
        <f t="shared" si="428"/>
        <v>0</v>
      </c>
      <c r="CM1108" s="432">
        <f t="shared" si="429"/>
        <v>0</v>
      </c>
      <c r="CN1108" s="660"/>
      <c r="CO1108" s="660"/>
      <c r="CP1108" s="660"/>
      <c r="CT1108" s="660"/>
      <c r="CU1108" s="660"/>
      <c r="CV1108" s="660"/>
      <c r="CW1108" s="660"/>
      <c r="CX1108" s="660"/>
    </row>
    <row r="1109" s="433" customFormat="1" ht="31" customHeight="1" spans="1:102">
      <c r="A1109" s="633">
        <v>46035</v>
      </c>
      <c r="B1109" s="497" t="s">
        <v>2829</v>
      </c>
      <c r="C1109" s="634" t="s">
        <v>90</v>
      </c>
      <c r="D1109" s="432">
        <v>4500191213</v>
      </c>
      <c r="E1109" s="638">
        <v>33826</v>
      </c>
      <c r="F1109" s="432" t="s">
        <v>5874</v>
      </c>
      <c r="G1109" s="482" t="s">
        <v>3198</v>
      </c>
      <c r="H1109" s="482" t="s">
        <v>3303</v>
      </c>
      <c r="I1109" s="645">
        <v>1875</v>
      </c>
      <c r="J1109" s="482">
        <v>0</v>
      </c>
      <c r="K1109" s="482">
        <v>25</v>
      </c>
      <c r="L1109" s="639">
        <f t="shared" si="434"/>
        <v>75</v>
      </c>
      <c r="M1109" s="640">
        <v>46083</v>
      </c>
      <c r="N1109" s="640">
        <f>M1109-4</f>
        <v>46079</v>
      </c>
      <c r="O1109" s="641"/>
      <c r="P1109" s="641"/>
      <c r="Q1109" s="482"/>
      <c r="R1109" s="647" t="s">
        <v>5871</v>
      </c>
      <c r="S1109" s="647" t="s">
        <v>66</v>
      </c>
      <c r="T1109" s="647" t="s">
        <v>66</v>
      </c>
      <c r="U1109" s="647"/>
      <c r="V1109" s="508" t="s">
        <v>2833</v>
      </c>
      <c r="W1109" s="508" t="s">
        <v>1652</v>
      </c>
      <c r="X1109" s="508">
        <v>0.5605</v>
      </c>
      <c r="Y1109" s="651">
        <f>X1109*I1109</f>
        <v>1050.9375</v>
      </c>
      <c r="Z1109" s="482"/>
      <c r="AA1109" s="482" t="s">
        <v>3198</v>
      </c>
      <c r="AB1109" s="482" t="s">
        <v>76</v>
      </c>
      <c r="AC1109" s="482"/>
      <c r="AD1109" s="497"/>
      <c r="AE1109" s="497"/>
      <c r="AF1109" s="482">
        <v>1875</v>
      </c>
      <c r="AG1109" s="482">
        <f t="shared" si="427"/>
        <v>0</v>
      </c>
      <c r="AH1109" s="655"/>
      <c r="AI1109" s="482"/>
      <c r="AJ1109" s="482"/>
      <c r="AK1109" s="482">
        <f>I1109</f>
        <v>1875</v>
      </c>
      <c r="AL1109" s="656"/>
      <c r="AM1109" s="432">
        <f>I1109</f>
        <v>1875</v>
      </c>
      <c r="AN1109" s="658"/>
      <c r="AO1109" s="661"/>
      <c r="AP1109" s="432"/>
      <c r="AQ1109" s="432"/>
      <c r="AR1109" s="432">
        <f>I1109</f>
        <v>1875</v>
      </c>
      <c r="AS1109" s="656"/>
      <c r="AT1109" s="660"/>
      <c r="AU1109" s="658"/>
      <c r="AV1109" s="658"/>
      <c r="AW1109" s="658"/>
      <c r="AX1109" s="658"/>
      <c r="AY1109" s="581">
        <f>I1109/24</f>
        <v>78.125</v>
      </c>
      <c r="AZ1109" s="662"/>
      <c r="BA1109" s="658"/>
      <c r="BB1109" s="658"/>
      <c r="BC1109" s="658"/>
      <c r="BD1109" s="658"/>
      <c r="BE1109" s="658"/>
      <c r="BF1109" s="658"/>
      <c r="BG1109" s="658"/>
      <c r="BH1109" s="432"/>
      <c r="BI1109" s="658"/>
      <c r="BJ1109" s="432">
        <f>I1109/25</f>
        <v>75</v>
      </c>
      <c r="BK1109" s="656"/>
      <c r="BL1109" s="658"/>
      <c r="BM1109" s="658"/>
      <c r="BN1109" s="658"/>
      <c r="BO1109" s="658"/>
      <c r="BP1109" s="658"/>
      <c r="BQ1109" s="658"/>
      <c r="BR1109" s="658"/>
      <c r="BS1109" s="658"/>
      <c r="BT1109" s="660"/>
      <c r="BU1109" s="658"/>
      <c r="BV1109" s="660"/>
      <c r="BW1109" s="658"/>
      <c r="BX1109" s="658"/>
      <c r="BY1109" s="658"/>
      <c r="BZ1109" s="658"/>
      <c r="CA1109" s="658"/>
      <c r="CB1109" s="658"/>
      <c r="CC1109" s="658"/>
      <c r="CD1109" s="658"/>
      <c r="CE1109" s="658"/>
      <c r="CF1109" s="658"/>
      <c r="CG1109" s="658"/>
      <c r="CH1109" s="658"/>
      <c r="CI1109" s="658"/>
      <c r="CJ1109" s="658"/>
      <c r="CK1109" s="432">
        <f t="shared" si="433"/>
        <v>75</v>
      </c>
      <c r="CL1109" s="432">
        <f t="shared" si="428"/>
        <v>0</v>
      </c>
      <c r="CM1109" s="432">
        <f t="shared" si="429"/>
        <v>0</v>
      </c>
      <c r="CN1109" s="666"/>
      <c r="CO1109" s="666"/>
      <c r="CP1109" s="666"/>
      <c r="CT1109" s="666"/>
      <c r="CU1109" s="666"/>
      <c r="CV1109" s="666"/>
      <c r="CW1109" s="666"/>
      <c r="CX1109" s="666"/>
    </row>
    <row r="1110" s="424" customFormat="1" ht="31" customHeight="1" spans="1:102">
      <c r="A1110" s="633">
        <v>46387</v>
      </c>
      <c r="B1110" s="497" t="s">
        <v>1760</v>
      </c>
      <c r="C1110" s="635" t="s">
        <v>356</v>
      </c>
      <c r="D1110" s="432">
        <v>4500190510</v>
      </c>
      <c r="E1110" s="635"/>
      <c r="F1110" s="432" t="s">
        <v>5875</v>
      </c>
      <c r="G1110" s="482" t="s">
        <v>3158</v>
      </c>
      <c r="H1110" s="482" t="s">
        <v>3159</v>
      </c>
      <c r="I1110" s="645">
        <v>2444</v>
      </c>
      <c r="J1110" s="482">
        <v>0</v>
      </c>
      <c r="K1110" s="482">
        <v>52</v>
      </c>
      <c r="L1110" s="639">
        <f t="shared" si="434"/>
        <v>47</v>
      </c>
      <c r="M1110" s="680">
        <v>46084</v>
      </c>
      <c r="N1110" s="680">
        <v>46081</v>
      </c>
      <c r="O1110" s="641"/>
      <c r="P1110" s="641"/>
      <c r="Q1110" s="482"/>
      <c r="R1110" s="647" t="s">
        <v>5871</v>
      </c>
      <c r="S1110" s="647" t="s">
        <v>66</v>
      </c>
      <c r="T1110" s="647" t="s">
        <v>5876</v>
      </c>
      <c r="U1110" s="647"/>
      <c r="V1110" s="508" t="s">
        <v>5877</v>
      </c>
      <c r="W1110" s="508" t="s">
        <v>395</v>
      </c>
      <c r="X1110" s="648">
        <v>0.9129</v>
      </c>
      <c r="Y1110" s="651">
        <f>X1110*I1110</f>
        <v>2231.1276</v>
      </c>
      <c r="Z1110" s="482"/>
      <c r="AA1110" s="482" t="s">
        <v>3158</v>
      </c>
      <c r="AB1110" s="482" t="s">
        <v>76</v>
      </c>
      <c r="AC1110" s="482"/>
      <c r="AD1110" s="482"/>
      <c r="AE1110" s="482"/>
      <c r="AF1110" s="482"/>
      <c r="AG1110" s="482">
        <f t="shared" si="427"/>
        <v>-2444</v>
      </c>
      <c r="AH1110" s="655"/>
      <c r="AI1110" s="482" t="s">
        <v>2191</v>
      </c>
      <c r="AJ1110" s="482"/>
      <c r="AK1110" s="482"/>
      <c r="AL1110" s="656">
        <f>I1110</f>
        <v>2444</v>
      </c>
      <c r="AM1110" s="432"/>
      <c r="AN1110" s="658"/>
      <c r="AO1110" s="661"/>
      <c r="AP1110" s="658"/>
      <c r="AQ1110" s="432">
        <f>I1110</f>
        <v>2444</v>
      </c>
      <c r="AR1110" s="432"/>
      <c r="AS1110" s="656">
        <f>I1110</f>
        <v>2444</v>
      </c>
      <c r="AT1110" s="660"/>
      <c r="AU1110" s="658"/>
      <c r="AV1110" s="658"/>
      <c r="AW1110" s="658"/>
      <c r="AX1110" s="658"/>
      <c r="AY1110" s="581">
        <f>I1110/24</f>
        <v>101.833333333333</v>
      </c>
      <c r="AZ1110" s="662"/>
      <c r="BA1110" s="658"/>
      <c r="BB1110" s="658"/>
      <c r="BC1110" s="658"/>
      <c r="BD1110" s="658"/>
      <c r="BE1110" s="658"/>
      <c r="BF1110" s="658"/>
      <c r="BG1110" s="658"/>
      <c r="BH1110" s="658"/>
      <c r="BI1110" s="432">
        <f>I1110/13</f>
        <v>188</v>
      </c>
      <c r="BJ1110" s="658"/>
      <c r="BK1110" s="658"/>
      <c r="BL1110" s="658"/>
      <c r="BM1110" s="658"/>
      <c r="BN1110" s="658"/>
      <c r="BO1110" s="658"/>
      <c r="BP1110" s="658"/>
      <c r="BQ1110" s="658"/>
      <c r="BR1110" s="658"/>
      <c r="BS1110" s="658"/>
      <c r="BT1110" s="660"/>
      <c r="BU1110" s="658"/>
      <c r="BV1110" s="660"/>
      <c r="BW1110" s="658"/>
      <c r="BX1110" s="658"/>
      <c r="BY1110" s="658"/>
      <c r="BZ1110" s="658"/>
      <c r="CA1110" s="658"/>
      <c r="CB1110" s="658"/>
      <c r="CC1110" s="658"/>
      <c r="CD1110" s="658"/>
      <c r="CE1110" s="658"/>
      <c r="CF1110" s="658"/>
      <c r="CG1110" s="658"/>
      <c r="CH1110" s="432"/>
      <c r="CI1110" s="432"/>
      <c r="CJ1110" s="432"/>
      <c r="CK1110" s="432">
        <f t="shared" si="433"/>
        <v>0</v>
      </c>
      <c r="CL1110" s="432">
        <f t="shared" si="428"/>
        <v>0</v>
      </c>
      <c r="CM1110" s="432">
        <f t="shared" si="429"/>
        <v>0</v>
      </c>
      <c r="CN1110" s="660"/>
      <c r="CO1110" s="660"/>
      <c r="CP1110" s="660"/>
      <c r="CT1110" s="660"/>
      <c r="CU1110" s="660"/>
      <c r="CV1110" s="660"/>
      <c r="CW1110" s="660"/>
      <c r="CX1110" s="660"/>
    </row>
    <row r="1111" s="432" customFormat="1" ht="31" customHeight="1" spans="1:102">
      <c r="A1111" s="633">
        <v>45978</v>
      </c>
      <c r="B1111" s="497" t="s">
        <v>1372</v>
      </c>
      <c r="C1111" s="634" t="s">
        <v>90</v>
      </c>
      <c r="D1111" s="432">
        <v>4500185938</v>
      </c>
      <c r="E1111" s="894" t="s">
        <v>2838</v>
      </c>
      <c r="F1111" s="432" t="s">
        <v>2839</v>
      </c>
      <c r="G1111" s="482" t="s">
        <v>5575</v>
      </c>
      <c r="H1111" s="482" t="s">
        <v>744</v>
      </c>
      <c r="I1111" s="482">
        <v>5400</v>
      </c>
      <c r="J1111" s="482">
        <v>0</v>
      </c>
      <c r="K1111" s="482">
        <v>75</v>
      </c>
      <c r="L1111" s="639">
        <f t="shared" si="434"/>
        <v>72</v>
      </c>
      <c r="M1111" s="644">
        <v>46087</v>
      </c>
      <c r="N1111" s="644">
        <v>46083</v>
      </c>
      <c r="O1111" s="641"/>
      <c r="P1111" s="641"/>
      <c r="Q1111" s="482"/>
      <c r="R1111" s="647" t="s">
        <v>2432</v>
      </c>
      <c r="S1111" s="647" t="s">
        <v>66</v>
      </c>
      <c r="T1111" s="647" t="s">
        <v>66</v>
      </c>
      <c r="U1111" s="647"/>
      <c r="V1111" s="508" t="s">
        <v>2565</v>
      </c>
      <c r="W1111" s="650" t="s">
        <v>821</v>
      </c>
      <c r="X1111" s="508">
        <v>359.3436</v>
      </c>
      <c r="Y1111" s="651">
        <f>X1111*L1111</f>
        <v>25872.7392</v>
      </c>
      <c r="Z1111" s="482"/>
      <c r="AA1111" s="497" t="s">
        <v>1378</v>
      </c>
      <c r="AB1111" s="482" t="s">
        <v>76</v>
      </c>
      <c r="AC1111" s="482"/>
      <c r="AD1111" s="497"/>
      <c r="AE1111" s="497"/>
      <c r="AF1111" s="482"/>
      <c r="AG1111" s="482">
        <f t="shared" si="427"/>
        <v>-5400</v>
      </c>
      <c r="AH1111" s="655"/>
      <c r="AI1111" s="482"/>
      <c r="AJ1111" s="482"/>
      <c r="AK1111" s="549">
        <f>I1111*3</f>
        <v>16200</v>
      </c>
      <c r="AL1111" s="656"/>
      <c r="AR1111" s="656"/>
      <c r="AS1111" s="656"/>
      <c r="AT1111" s="660"/>
      <c r="AY1111" s="581">
        <f>I1111/24*3</f>
        <v>675</v>
      </c>
      <c r="AZ1111" s="662"/>
      <c r="BC1111" s="432">
        <f>AK1111</f>
        <v>16200</v>
      </c>
      <c r="BD1111" s="432">
        <f>AK1111</f>
        <v>16200</v>
      </c>
      <c r="BE1111" s="432">
        <f>I1111</f>
        <v>5400</v>
      </c>
      <c r="BF1111" s="432">
        <f>I1111/5</f>
        <v>1080</v>
      </c>
      <c r="BT1111" s="660"/>
      <c r="BV1111" s="660"/>
      <c r="CK1111" s="428">
        <f t="shared" si="433"/>
        <v>0</v>
      </c>
      <c r="CL1111" s="428">
        <f t="shared" si="428"/>
        <v>0</v>
      </c>
      <c r="CM1111" s="428">
        <f t="shared" si="429"/>
        <v>0</v>
      </c>
      <c r="CN1111" s="660"/>
      <c r="CO1111" s="660"/>
      <c r="CP1111" s="660"/>
      <c r="CT1111" s="660"/>
      <c r="CU1111" s="660"/>
      <c r="CV1111" s="660"/>
      <c r="CW1111" s="660"/>
      <c r="CX1111" s="660"/>
    </row>
    <row r="1112" s="424" customFormat="1" ht="31" customHeight="1" spans="1:102">
      <c r="A1112" s="633">
        <v>46013</v>
      </c>
      <c r="B1112" s="497" t="s">
        <v>2247</v>
      </c>
      <c r="C1112" s="635" t="s">
        <v>216</v>
      </c>
      <c r="D1112" s="432">
        <v>4500189585</v>
      </c>
      <c r="E1112" s="635">
        <v>20148</v>
      </c>
      <c r="F1112" s="432" t="s">
        <v>5878</v>
      </c>
      <c r="G1112" s="482" t="s">
        <v>3165</v>
      </c>
      <c r="H1112" s="482" t="s">
        <v>3303</v>
      </c>
      <c r="I1112" s="482">
        <v>1000</v>
      </c>
      <c r="J1112" s="482">
        <v>0</v>
      </c>
      <c r="K1112" s="482">
        <v>25</v>
      </c>
      <c r="L1112" s="639">
        <f t="shared" si="434"/>
        <v>40</v>
      </c>
      <c r="M1112" s="640">
        <v>46087</v>
      </c>
      <c r="N1112" s="640">
        <v>46083</v>
      </c>
      <c r="O1112" s="641"/>
      <c r="P1112" s="641"/>
      <c r="Q1112" s="482"/>
      <c r="R1112" s="647">
        <v>46013</v>
      </c>
      <c r="S1112" s="647" t="s">
        <v>66</v>
      </c>
      <c r="T1112" s="647" t="s">
        <v>2249</v>
      </c>
      <c r="U1112" s="647"/>
      <c r="V1112" s="508" t="s">
        <v>5879</v>
      </c>
      <c r="W1112" s="651" t="s">
        <v>269</v>
      </c>
      <c r="X1112" s="508">
        <v>0.9417</v>
      </c>
      <c r="Y1112" s="651">
        <f t="shared" ref="Y1112:Y1117" si="435">X1112*I1112</f>
        <v>941.7</v>
      </c>
      <c r="Z1112" s="482"/>
      <c r="AA1112" s="482" t="s">
        <v>3165</v>
      </c>
      <c r="AB1112" s="482" t="s">
        <v>76</v>
      </c>
      <c r="AC1112" s="482"/>
      <c r="AD1112" s="497"/>
      <c r="AE1112" s="497">
        <v>1</v>
      </c>
      <c r="AF1112" s="482"/>
      <c r="AG1112" s="482">
        <f t="shared" si="427"/>
        <v>-1000</v>
      </c>
      <c r="AH1112" s="655"/>
      <c r="AI1112" s="482" t="s">
        <v>2191</v>
      </c>
      <c r="AJ1112" s="482"/>
      <c r="AK1112" s="482"/>
      <c r="AL1112" s="656">
        <f>I1112</f>
        <v>1000</v>
      </c>
      <c r="AM1112" s="657"/>
      <c r="AN1112" s="657"/>
      <c r="AO1112" s="661"/>
      <c r="AP1112" s="657"/>
      <c r="AQ1112" s="432">
        <f>I1112</f>
        <v>1000</v>
      </c>
      <c r="AR1112" s="432"/>
      <c r="AS1112" s="656">
        <f>I1112</f>
        <v>1000</v>
      </c>
      <c r="AT1112" s="660"/>
      <c r="AU1112" s="657"/>
      <c r="AV1112" s="657"/>
      <c r="AW1112" s="657"/>
      <c r="AX1112" s="657"/>
      <c r="AY1112" s="581">
        <f>I1112/24*2</f>
        <v>83.3333333333333</v>
      </c>
      <c r="AZ1112" s="662"/>
      <c r="BA1112" s="657"/>
      <c r="BB1112" s="657"/>
      <c r="BC1112" s="657"/>
      <c r="BD1112" s="657"/>
      <c r="BE1112" s="657"/>
      <c r="BF1112" s="657"/>
      <c r="BG1112" s="657"/>
      <c r="BH1112" s="657"/>
      <c r="BI1112" s="657"/>
      <c r="BJ1112" s="657"/>
      <c r="BK1112" s="657"/>
      <c r="BL1112" s="432">
        <f>I1112/25</f>
        <v>40</v>
      </c>
      <c r="BM1112" s="657"/>
      <c r="BN1112" s="657"/>
      <c r="BO1112" s="657"/>
      <c r="BP1112" s="657"/>
      <c r="BQ1112" s="657"/>
      <c r="BR1112" s="657"/>
      <c r="BS1112" s="657"/>
      <c r="BT1112" s="660"/>
      <c r="BU1112" s="657"/>
      <c r="BV1112" s="660"/>
      <c r="BW1112" s="657"/>
      <c r="BX1112" s="657"/>
      <c r="BY1112" s="657"/>
      <c r="BZ1112" s="657"/>
      <c r="CA1112" s="657"/>
      <c r="CB1112" s="657"/>
      <c r="CC1112" s="657"/>
      <c r="CD1112" s="657"/>
      <c r="CE1112" s="657"/>
      <c r="CF1112" s="657"/>
      <c r="CG1112" s="657"/>
      <c r="CH1112" s="657"/>
      <c r="CI1112" s="657"/>
      <c r="CJ1112" s="657"/>
      <c r="CK1112" s="432">
        <f t="shared" si="433"/>
        <v>40</v>
      </c>
      <c r="CL1112" s="432">
        <f t="shared" si="428"/>
        <v>0</v>
      </c>
      <c r="CM1112" s="432">
        <f t="shared" si="429"/>
        <v>0</v>
      </c>
      <c r="CN1112" s="660"/>
      <c r="CO1112" s="660"/>
      <c r="CP1112" s="660"/>
      <c r="CT1112" s="660"/>
      <c r="CU1112" s="660"/>
      <c r="CV1112" s="660"/>
      <c r="CW1112" s="660"/>
      <c r="CX1112" s="660"/>
    </row>
    <row r="1113" s="424" customFormat="1" ht="31" customHeight="1" spans="1:102">
      <c r="A1113" s="633">
        <v>46020</v>
      </c>
      <c r="B1113" s="497" t="s">
        <v>202</v>
      </c>
      <c r="C1113" s="635" t="s">
        <v>203</v>
      </c>
      <c r="D1113" s="432">
        <v>4500190283</v>
      </c>
      <c r="E1113" s="635" t="s">
        <v>2842</v>
      </c>
      <c r="F1113" s="432" t="s">
        <v>5880</v>
      </c>
      <c r="G1113" s="482" t="s">
        <v>3158</v>
      </c>
      <c r="H1113" s="482" t="s">
        <v>3159</v>
      </c>
      <c r="I1113" s="645">
        <v>20800</v>
      </c>
      <c r="J1113" s="482">
        <v>0</v>
      </c>
      <c r="K1113" s="482">
        <v>52</v>
      </c>
      <c r="L1113" s="639">
        <f t="shared" si="434"/>
        <v>400</v>
      </c>
      <c r="M1113" s="644">
        <v>46087</v>
      </c>
      <c r="N1113" s="644">
        <f>M1113-4</f>
        <v>46083</v>
      </c>
      <c r="O1113" s="657"/>
      <c r="P1113" s="641"/>
      <c r="Q1113" s="482"/>
      <c r="R1113" s="647">
        <v>46020</v>
      </c>
      <c r="S1113" s="647" t="s">
        <v>66</v>
      </c>
      <c r="T1113" s="647" t="s">
        <v>2844</v>
      </c>
      <c r="U1113" s="647"/>
      <c r="V1113" s="571" t="s">
        <v>5881</v>
      </c>
      <c r="W1113" s="508" t="s">
        <v>207</v>
      </c>
      <c r="X1113" s="648">
        <v>0.8902</v>
      </c>
      <c r="Y1113" s="651">
        <f t="shared" si="435"/>
        <v>18516.16</v>
      </c>
      <c r="Z1113" s="482"/>
      <c r="AA1113" s="482" t="s">
        <v>3158</v>
      </c>
      <c r="AB1113" s="482" t="s">
        <v>76</v>
      </c>
      <c r="AC1113" s="482"/>
      <c r="AD1113" s="497"/>
      <c r="AE1113" s="497"/>
      <c r="AF1113" s="482"/>
      <c r="AG1113" s="482">
        <f t="shared" si="427"/>
        <v>-20800</v>
      </c>
      <c r="AH1113" s="655"/>
      <c r="AI1113" s="482" t="s">
        <v>2191</v>
      </c>
      <c r="AJ1113" s="482"/>
      <c r="AK1113" s="482"/>
      <c r="AL1113" s="656">
        <f>I1113</f>
        <v>20800</v>
      </c>
      <c r="AM1113" s="657"/>
      <c r="AN1113" s="657"/>
      <c r="AO1113" s="659"/>
      <c r="AP1113" s="657"/>
      <c r="AQ1113" s="432">
        <f>I1113</f>
        <v>20800</v>
      </c>
      <c r="AR1113" s="657"/>
      <c r="AS1113" s="656">
        <f>I1113</f>
        <v>20800</v>
      </c>
      <c r="AT1113" s="660"/>
      <c r="AU1113" s="657"/>
      <c r="AV1113" s="657"/>
      <c r="AW1113" s="657"/>
      <c r="AX1113" s="657"/>
      <c r="AY1113" s="581">
        <f>I1113/24</f>
        <v>866.666666666667</v>
      </c>
      <c r="AZ1113" s="662"/>
      <c r="BA1113" s="657"/>
      <c r="BB1113" s="657"/>
      <c r="BC1113" s="657"/>
      <c r="BD1113" s="657"/>
      <c r="BE1113" s="657"/>
      <c r="BF1113" s="657"/>
      <c r="BG1113" s="657"/>
      <c r="BH1113" s="657"/>
      <c r="BI1113" s="432">
        <f>I1113/13</f>
        <v>1600</v>
      </c>
      <c r="BJ1113" s="657"/>
      <c r="BK1113" s="657"/>
      <c r="BL1113" s="657"/>
      <c r="BM1113" s="657"/>
      <c r="BN1113" s="657"/>
      <c r="BO1113" s="657"/>
      <c r="BP1113" s="657"/>
      <c r="BQ1113" s="657"/>
      <c r="BR1113" s="657"/>
      <c r="BS1113" s="657"/>
      <c r="BT1113" s="660"/>
      <c r="BU1113" s="657"/>
      <c r="BV1113" s="660"/>
      <c r="BW1113" s="657"/>
      <c r="BX1113" s="657"/>
      <c r="BY1113" s="657"/>
      <c r="BZ1113" s="657"/>
      <c r="CA1113" s="657"/>
      <c r="CB1113" s="657"/>
      <c r="CC1113" s="657"/>
      <c r="CD1113" s="657"/>
      <c r="CE1113" s="657"/>
      <c r="CF1113" s="657"/>
      <c r="CG1113" s="657"/>
      <c r="CH1113" s="657"/>
      <c r="CI1113" s="657"/>
      <c r="CJ1113" s="657"/>
      <c r="CK1113" s="432">
        <f t="shared" si="433"/>
        <v>0</v>
      </c>
      <c r="CL1113" s="432">
        <f t="shared" si="428"/>
        <v>0</v>
      </c>
      <c r="CM1113" s="432">
        <f t="shared" si="429"/>
        <v>0</v>
      </c>
      <c r="CN1113" s="660"/>
      <c r="CO1113" s="660"/>
      <c r="CP1113" s="660"/>
      <c r="CT1113" s="660"/>
      <c r="CU1113" s="660"/>
      <c r="CV1113" s="660"/>
      <c r="CW1113" s="660"/>
      <c r="CX1113" s="660"/>
    </row>
    <row r="1114" s="424" customFormat="1" ht="31" customHeight="1" spans="1:102">
      <c r="A1114" s="633">
        <v>46014</v>
      </c>
      <c r="B1114" s="497" t="s">
        <v>220</v>
      </c>
      <c r="C1114" s="635" t="s">
        <v>90</v>
      </c>
      <c r="D1114" s="432">
        <v>4500189636</v>
      </c>
      <c r="E1114" s="635" t="s">
        <v>2846</v>
      </c>
      <c r="F1114" s="432" t="s">
        <v>5882</v>
      </c>
      <c r="G1114" s="482" t="s">
        <v>3198</v>
      </c>
      <c r="H1114" s="482" t="s">
        <v>3303</v>
      </c>
      <c r="I1114" s="645">
        <v>63000</v>
      </c>
      <c r="J1114" s="482">
        <v>0</v>
      </c>
      <c r="K1114" s="482">
        <v>25</v>
      </c>
      <c r="L1114" s="639">
        <f t="shared" si="434"/>
        <v>2520</v>
      </c>
      <c r="M1114" s="644">
        <v>46087</v>
      </c>
      <c r="N1114" s="644">
        <v>46083</v>
      </c>
      <c r="O1114" s="641"/>
      <c r="P1114" s="641"/>
      <c r="Q1114" s="482"/>
      <c r="R1114" s="647">
        <v>46021</v>
      </c>
      <c r="S1114" s="647" t="s">
        <v>96</v>
      </c>
      <c r="T1114" s="647" t="s">
        <v>5883</v>
      </c>
      <c r="U1114" s="647"/>
      <c r="V1114" s="571" t="s">
        <v>5884</v>
      </c>
      <c r="W1114" s="650" t="s">
        <v>226</v>
      </c>
      <c r="X1114" s="508">
        <v>0.5455</v>
      </c>
      <c r="Y1114" s="651">
        <f t="shared" si="435"/>
        <v>34366.5</v>
      </c>
      <c r="Z1114" s="482"/>
      <c r="AA1114" s="482" t="s">
        <v>3198</v>
      </c>
      <c r="AB1114" s="482" t="s">
        <v>76</v>
      </c>
      <c r="AC1114" s="482"/>
      <c r="AD1114" s="497"/>
      <c r="AE1114" s="497"/>
      <c r="AF1114" s="482">
        <v>63000</v>
      </c>
      <c r="AG1114" s="482">
        <f t="shared" si="427"/>
        <v>0</v>
      </c>
      <c r="AH1114" s="655"/>
      <c r="AI1114" s="482"/>
      <c r="AJ1114" s="482"/>
      <c r="AK1114" s="482">
        <f>I1114</f>
        <v>63000</v>
      </c>
      <c r="AL1114" s="656"/>
      <c r="AM1114" s="432">
        <f>I1114</f>
        <v>63000</v>
      </c>
      <c r="AN1114" s="432"/>
      <c r="AO1114" s="432"/>
      <c r="AP1114" s="432"/>
      <c r="AQ1114" s="432"/>
      <c r="AR1114" s="432">
        <f>I1114</f>
        <v>63000</v>
      </c>
      <c r="AS1114" s="656"/>
      <c r="AT1114" s="660"/>
      <c r="AU1114" s="657"/>
      <c r="AV1114" s="657"/>
      <c r="AW1114" s="657"/>
      <c r="AX1114" s="657"/>
      <c r="AY1114" s="581">
        <f>I1114/24</f>
        <v>2625</v>
      </c>
      <c r="AZ1114" s="662"/>
      <c r="BA1114" s="657"/>
      <c r="BB1114" s="657"/>
      <c r="BC1114" s="657"/>
      <c r="BD1114" s="657"/>
      <c r="BE1114" s="657"/>
      <c r="BF1114" s="657"/>
      <c r="BG1114" s="657"/>
      <c r="BH1114" s="657"/>
      <c r="BI1114" s="657"/>
      <c r="BJ1114" s="432">
        <f>I1114/25</f>
        <v>2520</v>
      </c>
      <c r="BK1114" s="693"/>
      <c r="BL1114" s="657"/>
      <c r="BM1114" s="657"/>
      <c r="BN1114" s="657"/>
      <c r="BO1114" s="657"/>
      <c r="BP1114" s="657"/>
      <c r="BQ1114" s="657"/>
      <c r="BR1114" s="657"/>
      <c r="BS1114" s="657"/>
      <c r="BT1114" s="660"/>
      <c r="BU1114" s="657"/>
      <c r="BV1114" s="660"/>
      <c r="BW1114" s="657"/>
      <c r="BX1114" s="657"/>
      <c r="BY1114" s="657"/>
      <c r="BZ1114" s="657"/>
      <c r="CA1114" s="657"/>
      <c r="CB1114" s="657"/>
      <c r="CC1114" s="657"/>
      <c r="CD1114" s="657"/>
      <c r="CE1114" s="657"/>
      <c r="CF1114" s="658"/>
      <c r="CG1114" s="657"/>
      <c r="CH1114" s="657"/>
      <c r="CI1114" s="657"/>
      <c r="CJ1114" s="657"/>
      <c r="CK1114" s="432">
        <f t="shared" si="433"/>
        <v>2520</v>
      </c>
      <c r="CL1114" s="432">
        <f t="shared" si="428"/>
        <v>0</v>
      </c>
      <c r="CM1114" s="432">
        <f t="shared" si="429"/>
        <v>0</v>
      </c>
      <c r="CN1114" s="660"/>
      <c r="CO1114" s="660"/>
      <c r="CP1114" s="660"/>
      <c r="CT1114" s="660"/>
      <c r="CU1114" s="660"/>
      <c r="CV1114" s="660"/>
      <c r="CW1114" s="660"/>
      <c r="CX1114" s="660"/>
    </row>
    <row r="1115" s="433" customFormat="1" ht="31" customHeight="1" spans="1:102">
      <c r="A1115" s="633">
        <v>46031</v>
      </c>
      <c r="B1115" s="497" t="s">
        <v>2818</v>
      </c>
      <c r="C1115" s="635" t="s">
        <v>759</v>
      </c>
      <c r="D1115" s="432">
        <v>4500191102</v>
      </c>
      <c r="E1115" s="635">
        <v>5200008661</v>
      </c>
      <c r="F1115" s="432" t="s">
        <v>5885</v>
      </c>
      <c r="G1115" s="482" t="s">
        <v>3231</v>
      </c>
      <c r="H1115" s="482" t="s">
        <v>3207</v>
      </c>
      <c r="I1115" s="645">
        <v>2509</v>
      </c>
      <c r="J1115" s="482">
        <v>0</v>
      </c>
      <c r="K1115" s="482">
        <v>13</v>
      </c>
      <c r="L1115" s="639">
        <f t="shared" si="434"/>
        <v>193</v>
      </c>
      <c r="M1115" s="679">
        <v>46087</v>
      </c>
      <c r="N1115" s="679">
        <v>46083</v>
      </c>
      <c r="O1115" s="641"/>
      <c r="P1115" s="641"/>
      <c r="Q1115" s="482"/>
      <c r="R1115" s="647">
        <v>46034</v>
      </c>
      <c r="S1115" s="647" t="s">
        <v>66</v>
      </c>
      <c r="T1115" s="683" t="s">
        <v>5886</v>
      </c>
      <c r="U1115" s="683"/>
      <c r="V1115" s="683" t="s">
        <v>5887</v>
      </c>
      <c r="W1115" s="651" t="s">
        <v>1140</v>
      </c>
      <c r="X1115" s="648">
        <v>0.8947</v>
      </c>
      <c r="Y1115" s="651">
        <f t="shared" si="435"/>
        <v>2244.8023</v>
      </c>
      <c r="Z1115" s="687"/>
      <c r="AA1115" s="688" t="s">
        <v>3206</v>
      </c>
      <c r="AB1115" s="482" t="s">
        <v>76</v>
      </c>
      <c r="AC1115" s="656"/>
      <c r="AD1115" s="635"/>
      <c r="AE1115" s="482"/>
      <c r="AF1115" s="482"/>
      <c r="AG1115" s="482">
        <f t="shared" si="427"/>
        <v>-2509</v>
      </c>
      <c r="AH1115" s="482"/>
      <c r="AI1115" s="482" t="s">
        <v>2191</v>
      </c>
      <c r="AJ1115" s="482"/>
      <c r="AK1115" s="482"/>
      <c r="AL1115" s="656">
        <f>I1115</f>
        <v>2509</v>
      </c>
      <c r="AM1115" s="658"/>
      <c r="AN1115" s="656"/>
      <c r="AO1115" s="656"/>
      <c r="AP1115" s="432"/>
      <c r="AQ1115" s="432">
        <f>I1115*2</f>
        <v>5018</v>
      </c>
      <c r="AR1115" s="656"/>
      <c r="AS1115" s="656">
        <f>I1115*2</f>
        <v>5018</v>
      </c>
      <c r="AT1115" s="656"/>
      <c r="AU1115" s="656"/>
      <c r="AV1115" s="662"/>
      <c r="AW1115" s="432"/>
      <c r="AX1115" s="432"/>
      <c r="AY1115" s="581">
        <f>I1115/24</f>
        <v>104.541666666667</v>
      </c>
      <c r="AZ1115" s="432"/>
      <c r="BA1115" s="656"/>
      <c r="BB1115" s="656"/>
      <c r="BC1115" s="432"/>
      <c r="BD1115" s="432"/>
      <c r="BE1115" s="656"/>
      <c r="BF1115" s="656"/>
      <c r="BG1115" s="432"/>
      <c r="BH1115" s="656"/>
      <c r="BI1115" s="432">
        <f>I1115/13</f>
        <v>193</v>
      </c>
      <c r="BJ1115" s="432"/>
      <c r="BK1115" s="432"/>
      <c r="BL1115" s="432"/>
      <c r="BM1115" s="432"/>
      <c r="BN1115" s="432"/>
      <c r="BO1115" s="432"/>
      <c r="BP1115" s="432"/>
      <c r="BQ1115" s="432"/>
      <c r="BR1115" s="432"/>
      <c r="BS1115" s="432"/>
      <c r="BT1115" s="432"/>
      <c r="BU1115" s="432"/>
      <c r="BV1115" s="432"/>
      <c r="BW1115" s="432"/>
      <c r="BX1115" s="432"/>
      <c r="BY1115" s="432"/>
      <c r="BZ1115" s="432"/>
      <c r="CA1115" s="432"/>
      <c r="CB1115" s="432"/>
      <c r="CC1115" s="432"/>
      <c r="CD1115" s="432"/>
      <c r="CE1115" s="432"/>
      <c r="CF1115" s="432"/>
      <c r="CG1115" s="660"/>
      <c r="CH1115" s="660"/>
      <c r="CI1115" s="660"/>
      <c r="CJ1115" s="660"/>
      <c r="CK1115" s="432">
        <f t="shared" si="433"/>
        <v>0</v>
      </c>
      <c r="CL1115" s="432">
        <f t="shared" si="428"/>
        <v>0</v>
      </c>
      <c r="CM1115" s="432">
        <f t="shared" si="429"/>
        <v>0</v>
      </c>
      <c r="CN1115" s="671"/>
      <c r="CO1115" s="694"/>
      <c r="CP1115" s="694"/>
      <c r="CQ1115" s="694"/>
      <c r="CR1115" s="694"/>
      <c r="CS1115" s="694"/>
      <c r="CT1115" s="694"/>
      <c r="CU1115" s="695"/>
      <c r="CV1115" s="695"/>
      <c r="CW1115" s="695"/>
      <c r="CX1115" s="695"/>
    </row>
    <row r="1116" s="433" customFormat="1" ht="31" customHeight="1" spans="1:102">
      <c r="A1116" s="633">
        <v>46037</v>
      </c>
      <c r="B1116" s="497" t="s">
        <v>125</v>
      </c>
      <c r="C1116" s="635" t="s">
        <v>71</v>
      </c>
      <c r="D1116" s="432">
        <v>4500190618</v>
      </c>
      <c r="E1116" s="635">
        <v>21413467</v>
      </c>
      <c r="F1116" s="432" t="s">
        <v>5888</v>
      </c>
      <c r="G1116" s="482" t="s">
        <v>3206</v>
      </c>
      <c r="H1116" s="482" t="s">
        <v>4939</v>
      </c>
      <c r="I1116" s="645">
        <v>455</v>
      </c>
      <c r="J1116" s="482">
        <v>0</v>
      </c>
      <c r="K1116" s="482">
        <v>13</v>
      </c>
      <c r="L1116" s="639">
        <f t="shared" si="434"/>
        <v>35</v>
      </c>
      <c r="M1116" s="679">
        <v>46087</v>
      </c>
      <c r="N1116" s="679">
        <v>46083</v>
      </c>
      <c r="O1116" s="641"/>
      <c r="P1116" s="641"/>
      <c r="Q1116" s="482"/>
      <c r="R1116" s="647">
        <v>46038</v>
      </c>
      <c r="S1116" s="647" t="s">
        <v>96</v>
      </c>
      <c r="T1116" s="683" t="s">
        <v>5889</v>
      </c>
      <c r="U1116" s="683"/>
      <c r="V1116" s="683" t="s">
        <v>5890</v>
      </c>
      <c r="W1116" s="651" t="s">
        <v>2893</v>
      </c>
      <c r="X1116" s="648">
        <v>0.9526</v>
      </c>
      <c r="Y1116" s="651">
        <f t="shared" si="435"/>
        <v>433.433</v>
      </c>
      <c r="Z1116" s="687"/>
      <c r="AA1116" s="688" t="s">
        <v>3206</v>
      </c>
      <c r="AB1116" s="482" t="s">
        <v>76</v>
      </c>
      <c r="AC1116" s="656"/>
      <c r="AD1116" s="635"/>
      <c r="AE1116" s="482">
        <v>1</v>
      </c>
      <c r="AF1116" s="482"/>
      <c r="AG1116" s="482">
        <f t="shared" si="427"/>
        <v>-455</v>
      </c>
      <c r="AH1116" s="482"/>
      <c r="AI1116" s="482" t="s">
        <v>2191</v>
      </c>
      <c r="AJ1116" s="482"/>
      <c r="AK1116" s="482"/>
      <c r="AL1116" s="656">
        <f>I1116</f>
        <v>455</v>
      </c>
      <c r="AM1116" s="658"/>
      <c r="AN1116" s="656"/>
      <c r="AO1116" s="656"/>
      <c r="AP1116" s="432"/>
      <c r="AQ1116" s="432">
        <f>I1116*2</f>
        <v>910</v>
      </c>
      <c r="AR1116" s="656"/>
      <c r="AS1116" s="656">
        <f>I1116*2</f>
        <v>910</v>
      </c>
      <c r="AT1116" s="656"/>
      <c r="AU1116" s="656"/>
      <c r="AV1116" s="662"/>
      <c r="AW1116" s="432"/>
      <c r="AX1116" s="432"/>
      <c r="AY1116" s="581">
        <f>I1116/24</f>
        <v>18.9583333333333</v>
      </c>
      <c r="AZ1116" s="432"/>
      <c r="BA1116" s="656"/>
      <c r="BB1116" s="656"/>
      <c r="BC1116" s="432"/>
      <c r="BD1116" s="432"/>
      <c r="BE1116" s="656"/>
      <c r="BF1116" s="656"/>
      <c r="BG1116" s="432"/>
      <c r="BH1116" s="656"/>
      <c r="BI1116" s="432">
        <f>I1116/13</f>
        <v>35</v>
      </c>
      <c r="BJ1116" s="432"/>
      <c r="BK1116" s="432"/>
      <c r="BL1116" s="432"/>
      <c r="BM1116" s="432"/>
      <c r="BN1116" s="432"/>
      <c r="BO1116" s="432"/>
      <c r="BP1116" s="432"/>
      <c r="BQ1116" s="432"/>
      <c r="BR1116" s="432"/>
      <c r="BS1116" s="432"/>
      <c r="BT1116" s="432"/>
      <c r="BU1116" s="432"/>
      <c r="BV1116" s="432"/>
      <c r="BW1116" s="432"/>
      <c r="BX1116" s="432"/>
      <c r="BY1116" s="432"/>
      <c r="BZ1116" s="432"/>
      <c r="CA1116" s="432"/>
      <c r="CB1116" s="432"/>
      <c r="CC1116" s="432"/>
      <c r="CD1116" s="432"/>
      <c r="CE1116" s="432"/>
      <c r="CF1116" s="432"/>
      <c r="CG1116" s="660"/>
      <c r="CH1116" s="660"/>
      <c r="CI1116" s="660"/>
      <c r="CJ1116" s="660"/>
      <c r="CK1116" s="432">
        <f t="shared" si="433"/>
        <v>0</v>
      </c>
      <c r="CL1116" s="432">
        <f t="shared" si="428"/>
        <v>0</v>
      </c>
      <c r="CM1116" s="432">
        <f t="shared" si="429"/>
        <v>0</v>
      </c>
      <c r="CN1116" s="671"/>
      <c r="CO1116" s="694"/>
      <c r="CP1116" s="694"/>
      <c r="CQ1116" s="694"/>
      <c r="CR1116" s="694"/>
      <c r="CS1116" s="694"/>
      <c r="CT1116" s="694"/>
      <c r="CU1116" s="695"/>
      <c r="CV1116" s="695"/>
      <c r="CW1116" s="695"/>
      <c r="CX1116" s="695"/>
    </row>
    <row r="1117" s="433" customFormat="1" ht="31" customHeight="1" spans="1:102">
      <c r="A1117" s="633">
        <v>46037</v>
      </c>
      <c r="B1117" s="497" t="s">
        <v>122</v>
      </c>
      <c r="C1117" s="635" t="s">
        <v>116</v>
      </c>
      <c r="D1117" s="432">
        <v>4500190616</v>
      </c>
      <c r="E1117" s="635">
        <v>21413466</v>
      </c>
      <c r="F1117" s="432" t="s">
        <v>5891</v>
      </c>
      <c r="G1117" s="482" t="s">
        <v>3206</v>
      </c>
      <c r="H1117" s="482" t="s">
        <v>4939</v>
      </c>
      <c r="I1117" s="645">
        <v>3939</v>
      </c>
      <c r="J1117" s="482">
        <v>0</v>
      </c>
      <c r="K1117" s="482">
        <v>13</v>
      </c>
      <c r="L1117" s="639">
        <f t="shared" si="434"/>
        <v>303</v>
      </c>
      <c r="M1117" s="679">
        <v>46087</v>
      </c>
      <c r="N1117" s="679">
        <v>46083</v>
      </c>
      <c r="O1117" s="641"/>
      <c r="P1117" s="641"/>
      <c r="Q1117" s="482"/>
      <c r="R1117" s="647">
        <v>46038</v>
      </c>
      <c r="S1117" s="647" t="s">
        <v>96</v>
      </c>
      <c r="T1117" s="683" t="s">
        <v>5889</v>
      </c>
      <c r="U1117" s="683"/>
      <c r="V1117" s="684" t="s">
        <v>5892</v>
      </c>
      <c r="W1117" s="651" t="s">
        <v>2893</v>
      </c>
      <c r="X1117" s="648">
        <v>0.9475</v>
      </c>
      <c r="Y1117" s="651">
        <f t="shared" si="435"/>
        <v>3732.2025</v>
      </c>
      <c r="Z1117" s="687"/>
      <c r="AA1117" s="688" t="s">
        <v>3206</v>
      </c>
      <c r="AB1117" s="482" t="s">
        <v>76</v>
      </c>
      <c r="AC1117" s="656"/>
      <c r="AD1117" s="635"/>
      <c r="AE1117" s="482">
        <v>1</v>
      </c>
      <c r="AF1117" s="482"/>
      <c r="AG1117" s="482">
        <f t="shared" si="427"/>
        <v>-3939</v>
      </c>
      <c r="AH1117" s="482"/>
      <c r="AI1117" s="482" t="s">
        <v>2191</v>
      </c>
      <c r="AJ1117" s="482"/>
      <c r="AK1117" s="482"/>
      <c r="AL1117" s="656">
        <f>I1117</f>
        <v>3939</v>
      </c>
      <c r="AM1117" s="658"/>
      <c r="AN1117" s="656"/>
      <c r="AO1117" s="656"/>
      <c r="AP1117" s="432"/>
      <c r="AQ1117" s="432">
        <f>I1117*2</f>
        <v>7878</v>
      </c>
      <c r="AR1117" s="656"/>
      <c r="AS1117" s="656">
        <f>I1117*2</f>
        <v>7878</v>
      </c>
      <c r="AT1117" s="656"/>
      <c r="AU1117" s="656"/>
      <c r="AV1117" s="662"/>
      <c r="AW1117" s="432"/>
      <c r="AX1117" s="432"/>
      <c r="AY1117" s="581">
        <f>I1117/24</f>
        <v>164.125</v>
      </c>
      <c r="AZ1117" s="432"/>
      <c r="BA1117" s="656"/>
      <c r="BB1117" s="656"/>
      <c r="BC1117" s="432"/>
      <c r="BD1117" s="432"/>
      <c r="BE1117" s="656"/>
      <c r="BF1117" s="656"/>
      <c r="BG1117" s="432"/>
      <c r="BH1117" s="656"/>
      <c r="BI1117" s="432">
        <f>I1117/13</f>
        <v>303</v>
      </c>
      <c r="BJ1117" s="432"/>
      <c r="BK1117" s="432"/>
      <c r="BL1117" s="432"/>
      <c r="BM1117" s="432"/>
      <c r="BN1117" s="432"/>
      <c r="BO1117" s="432"/>
      <c r="BP1117" s="432"/>
      <c r="BQ1117" s="432"/>
      <c r="BR1117" s="432"/>
      <c r="BS1117" s="432"/>
      <c r="BT1117" s="432"/>
      <c r="BU1117" s="432"/>
      <c r="BV1117" s="432"/>
      <c r="BW1117" s="432"/>
      <c r="BX1117" s="432"/>
      <c r="BY1117" s="432"/>
      <c r="BZ1117" s="432"/>
      <c r="CA1117" s="432"/>
      <c r="CB1117" s="432"/>
      <c r="CC1117" s="432"/>
      <c r="CD1117" s="432"/>
      <c r="CE1117" s="432"/>
      <c r="CF1117" s="432"/>
      <c r="CG1117" s="660"/>
      <c r="CH1117" s="660"/>
      <c r="CI1117" s="660"/>
      <c r="CJ1117" s="660"/>
      <c r="CK1117" s="432">
        <f t="shared" si="433"/>
        <v>0</v>
      </c>
      <c r="CL1117" s="432">
        <f t="shared" si="428"/>
        <v>0</v>
      </c>
      <c r="CM1117" s="432">
        <f t="shared" si="429"/>
        <v>0</v>
      </c>
      <c r="CN1117" s="671"/>
      <c r="CO1117" s="694"/>
      <c r="CP1117" s="694"/>
      <c r="CQ1117" s="694"/>
      <c r="CR1117" s="694"/>
      <c r="CS1117" s="694"/>
      <c r="CT1117" s="694"/>
      <c r="CU1117" s="695"/>
      <c r="CV1117" s="695"/>
      <c r="CW1117" s="695"/>
      <c r="CX1117" s="695"/>
    </row>
    <row r="1118" s="432" customFormat="1" ht="31" customHeight="1" spans="1:102">
      <c r="A1118" s="633">
        <v>45978</v>
      </c>
      <c r="B1118" s="497" t="s">
        <v>1372</v>
      </c>
      <c r="C1118" s="634" t="s">
        <v>90</v>
      </c>
      <c r="D1118" s="432">
        <v>4500185940</v>
      </c>
      <c r="E1118" s="894" t="s">
        <v>2850</v>
      </c>
      <c r="F1118" s="432" t="s">
        <v>2851</v>
      </c>
      <c r="G1118" s="482" t="s">
        <v>5575</v>
      </c>
      <c r="H1118" s="482" t="s">
        <v>744</v>
      </c>
      <c r="I1118" s="482">
        <v>5400</v>
      </c>
      <c r="J1118" s="482">
        <v>0</v>
      </c>
      <c r="K1118" s="482">
        <v>75</v>
      </c>
      <c r="L1118" s="639">
        <f t="shared" si="434"/>
        <v>72</v>
      </c>
      <c r="M1118" s="644">
        <v>46088</v>
      </c>
      <c r="N1118" s="644">
        <v>46084</v>
      </c>
      <c r="O1118" s="641"/>
      <c r="P1118" s="641"/>
      <c r="Q1118" s="482"/>
      <c r="R1118" s="647" t="s">
        <v>2432</v>
      </c>
      <c r="S1118" s="647" t="s">
        <v>66</v>
      </c>
      <c r="T1118" s="647" t="s">
        <v>66</v>
      </c>
      <c r="U1118" s="647"/>
      <c r="V1118" s="508" t="s">
        <v>2565</v>
      </c>
      <c r="W1118" s="650" t="s">
        <v>821</v>
      </c>
      <c r="X1118" s="508">
        <v>359.3436</v>
      </c>
      <c r="Y1118" s="651">
        <f>X1118*L1118</f>
        <v>25872.7392</v>
      </c>
      <c r="Z1118" s="482"/>
      <c r="AA1118" s="497" t="s">
        <v>1378</v>
      </c>
      <c r="AB1118" s="482" t="s">
        <v>76</v>
      </c>
      <c r="AC1118" s="482"/>
      <c r="AD1118" s="497"/>
      <c r="AE1118" s="497"/>
      <c r="AF1118" s="482"/>
      <c r="AG1118" s="482">
        <f t="shared" si="427"/>
        <v>-5400</v>
      </c>
      <c r="AH1118" s="655"/>
      <c r="AI1118" s="482"/>
      <c r="AJ1118" s="482"/>
      <c r="AK1118" s="549">
        <f>I1118*3</f>
        <v>16200</v>
      </c>
      <c r="AL1118" s="656"/>
      <c r="AR1118" s="656"/>
      <c r="AS1118" s="656"/>
      <c r="AT1118" s="660"/>
      <c r="AY1118" s="581">
        <f>I1118/24*3</f>
        <v>675</v>
      </c>
      <c r="AZ1118" s="662"/>
      <c r="BC1118" s="432">
        <f>AK1118</f>
        <v>16200</v>
      </c>
      <c r="BD1118" s="432">
        <f>AK1118</f>
        <v>16200</v>
      </c>
      <c r="BE1118" s="432">
        <f>I1118</f>
        <v>5400</v>
      </c>
      <c r="BF1118" s="432">
        <f>I1118/5</f>
        <v>1080</v>
      </c>
      <c r="BT1118" s="660"/>
      <c r="BV1118" s="660"/>
      <c r="CK1118" s="428">
        <f t="shared" si="433"/>
        <v>0</v>
      </c>
      <c r="CL1118" s="428">
        <f t="shared" si="428"/>
        <v>0</v>
      </c>
      <c r="CM1118" s="428">
        <f t="shared" si="429"/>
        <v>0</v>
      </c>
      <c r="CN1118" s="660"/>
      <c r="CO1118" s="660"/>
      <c r="CP1118" s="660"/>
      <c r="CT1118" s="660"/>
      <c r="CU1118" s="660"/>
      <c r="CV1118" s="660"/>
      <c r="CW1118" s="660"/>
      <c r="CX1118" s="660"/>
    </row>
    <row r="1119" s="435" customFormat="1" ht="31" customHeight="1" spans="1:102">
      <c r="A1119" s="633">
        <v>46055</v>
      </c>
      <c r="B1119" s="497" t="s">
        <v>5893</v>
      </c>
      <c r="C1119" s="634" t="s">
        <v>3136</v>
      </c>
      <c r="D1119" s="432" t="s">
        <v>5894</v>
      </c>
      <c r="E1119" s="635"/>
      <c r="F1119" s="432" t="s">
        <v>5895</v>
      </c>
      <c r="G1119" s="482" t="s">
        <v>3138</v>
      </c>
      <c r="H1119" s="482" t="s">
        <v>3139</v>
      </c>
      <c r="I1119" s="482" t="s">
        <v>5522</v>
      </c>
      <c r="J1119" s="482">
        <v>0</v>
      </c>
      <c r="K1119" s="482">
        <v>24</v>
      </c>
      <c r="L1119" s="639" t="e">
        <f t="shared" si="434"/>
        <v>#VALUE!</v>
      </c>
      <c r="M1119" s="640">
        <v>46088</v>
      </c>
      <c r="N1119" s="640">
        <v>46084</v>
      </c>
      <c r="O1119" s="641"/>
      <c r="P1119" s="641"/>
      <c r="Q1119" s="482"/>
      <c r="R1119" s="647" t="s">
        <v>1144</v>
      </c>
      <c r="S1119" s="647" t="s">
        <v>66</v>
      </c>
      <c r="T1119" s="647" t="s">
        <v>66</v>
      </c>
      <c r="U1119" s="647"/>
      <c r="V1119" s="508" t="s">
        <v>5523</v>
      </c>
      <c r="W1119" s="650" t="s">
        <v>5896</v>
      </c>
      <c r="X1119" s="508"/>
      <c r="Y1119" s="651"/>
      <c r="Z1119" s="482"/>
      <c r="AA1119" s="497"/>
      <c r="AB1119" s="482"/>
      <c r="AC1119" s="482"/>
      <c r="AD1119" s="497"/>
      <c r="AE1119" s="689"/>
      <c r="AF1119" s="482"/>
      <c r="AG1119" s="482"/>
      <c r="AH1119" s="655"/>
      <c r="AI1119" s="482"/>
      <c r="AJ1119" s="482"/>
      <c r="AK1119" s="482"/>
      <c r="AL1119" s="656"/>
      <c r="AM1119" s="432"/>
      <c r="AN1119" s="432"/>
      <c r="AO1119" s="432"/>
      <c r="AP1119" s="432"/>
      <c r="AQ1119" s="432"/>
      <c r="AR1119" s="656"/>
      <c r="AS1119" s="656"/>
      <c r="AT1119" s="660"/>
      <c r="AU1119" s="432"/>
      <c r="AV1119" s="432"/>
      <c r="AW1119" s="432"/>
      <c r="AX1119" s="432"/>
      <c r="AY1119" s="581"/>
      <c r="AZ1119" s="662"/>
      <c r="BA1119" s="432"/>
      <c r="BB1119" s="432"/>
      <c r="BC1119" s="432"/>
      <c r="BD1119" s="432"/>
      <c r="BE1119" s="432"/>
      <c r="BF1119" s="432"/>
      <c r="BG1119" s="432"/>
      <c r="BH1119" s="432"/>
      <c r="BI1119" s="432"/>
      <c r="BJ1119" s="432"/>
      <c r="BK1119" s="432"/>
      <c r="BL1119" s="432"/>
      <c r="BM1119" s="432"/>
      <c r="BN1119" s="432"/>
      <c r="BO1119" s="432"/>
      <c r="BP1119" s="432"/>
      <c r="BQ1119" s="432"/>
      <c r="BR1119" s="432"/>
      <c r="BS1119" s="432"/>
      <c r="BT1119" s="660"/>
      <c r="BU1119" s="432"/>
      <c r="BV1119" s="660"/>
      <c r="BW1119" s="432"/>
      <c r="BX1119" s="432"/>
      <c r="BY1119" s="432"/>
      <c r="BZ1119" s="432"/>
      <c r="CA1119" s="432"/>
      <c r="CB1119" s="432"/>
      <c r="CC1119" s="432"/>
      <c r="CD1119" s="432"/>
      <c r="CE1119" s="432"/>
      <c r="CF1119" s="432"/>
      <c r="CG1119" s="432"/>
      <c r="CH1119" s="432"/>
      <c r="CI1119" s="432"/>
      <c r="CJ1119" s="432"/>
      <c r="CK1119" s="432"/>
      <c r="CL1119" s="432"/>
      <c r="CM1119" s="432"/>
      <c r="CN1119" s="694"/>
      <c r="CO1119" s="694"/>
      <c r="CP1119" s="694"/>
      <c r="CT1119" s="694"/>
      <c r="CU1119" s="694"/>
      <c r="CV1119" s="694"/>
      <c r="CW1119" s="694"/>
      <c r="CX1119" s="694"/>
    </row>
    <row r="1120" s="424" customFormat="1" ht="31" customHeight="1" spans="1:102">
      <c r="A1120" s="633">
        <v>46028</v>
      </c>
      <c r="B1120" s="497" t="s">
        <v>2859</v>
      </c>
      <c r="C1120" s="634" t="s">
        <v>90</v>
      </c>
      <c r="D1120" s="432">
        <v>4500190742</v>
      </c>
      <c r="E1120" s="635" t="s">
        <v>2860</v>
      </c>
      <c r="F1120" s="432" t="s">
        <v>5897</v>
      </c>
      <c r="G1120" s="482" t="s">
        <v>3154</v>
      </c>
      <c r="H1120" s="482" t="s">
        <v>3151</v>
      </c>
      <c r="I1120" s="645">
        <v>13750</v>
      </c>
      <c r="J1120" s="482">
        <v>0</v>
      </c>
      <c r="K1120" s="482">
        <v>50</v>
      </c>
      <c r="L1120" s="639">
        <f t="shared" si="434"/>
        <v>275</v>
      </c>
      <c r="M1120" s="644">
        <v>46090</v>
      </c>
      <c r="N1120" s="644">
        <v>46086</v>
      </c>
      <c r="O1120" s="641"/>
      <c r="P1120" s="641"/>
      <c r="Q1120" s="482"/>
      <c r="R1120" s="647">
        <v>46028</v>
      </c>
      <c r="S1120" s="647" t="s">
        <v>66</v>
      </c>
      <c r="T1120" s="647" t="s">
        <v>66</v>
      </c>
      <c r="U1120" s="647"/>
      <c r="V1120" s="508" t="s">
        <v>2862</v>
      </c>
      <c r="W1120" s="508" t="s">
        <v>316</v>
      </c>
      <c r="X1120" s="508">
        <v>0.5642</v>
      </c>
      <c r="Y1120" s="651">
        <f>X1120*I1120</f>
        <v>7757.75</v>
      </c>
      <c r="Z1120" s="482"/>
      <c r="AA1120" s="482" t="s">
        <v>3154</v>
      </c>
      <c r="AB1120" s="482" t="s">
        <v>76</v>
      </c>
      <c r="AC1120" s="482"/>
      <c r="AD1120" s="497"/>
      <c r="AE1120" s="497"/>
      <c r="AF1120" s="482"/>
      <c r="AG1120" s="482">
        <f>AF1120-I1120</f>
        <v>-13750</v>
      </c>
      <c r="AH1120" s="655"/>
      <c r="AI1120" s="482"/>
      <c r="AJ1120" s="482"/>
      <c r="AK1120" s="482">
        <f>I1120</f>
        <v>13750</v>
      </c>
      <c r="AL1120" s="432"/>
      <c r="AM1120" s="432">
        <f>I1120</f>
        <v>13750</v>
      </c>
      <c r="AN1120" s="658"/>
      <c r="AO1120" s="661"/>
      <c r="AP1120" s="658"/>
      <c r="AQ1120" s="432"/>
      <c r="AR1120" s="432">
        <f>I1120</f>
        <v>13750</v>
      </c>
      <c r="AS1120" s="656"/>
      <c r="AT1120" s="660"/>
      <c r="AU1120" s="658"/>
      <c r="AV1120" s="658"/>
      <c r="AW1120" s="658"/>
      <c r="AX1120" s="658"/>
      <c r="AY1120" s="581">
        <f>I1120/24</f>
        <v>572.916666666667</v>
      </c>
      <c r="AZ1120" s="662"/>
      <c r="BA1120" s="658"/>
      <c r="BB1120" s="658"/>
      <c r="BC1120" s="658"/>
      <c r="BD1120" s="658"/>
      <c r="BE1120" s="658"/>
      <c r="BF1120" s="658"/>
      <c r="BG1120" s="658"/>
      <c r="BH1120" s="658"/>
      <c r="BI1120" s="658"/>
      <c r="BJ1120" s="432">
        <f>I1120/25</f>
        <v>550</v>
      </c>
      <c r="BK1120" s="658"/>
      <c r="BL1120" s="658"/>
      <c r="BM1120" s="658"/>
      <c r="BN1120" s="658"/>
      <c r="BO1120" s="658"/>
      <c r="BP1120" s="658"/>
      <c r="BQ1120" s="658"/>
      <c r="BR1120" s="658"/>
      <c r="BS1120" s="658"/>
      <c r="BT1120" s="660"/>
      <c r="BU1120" s="658"/>
      <c r="BV1120" s="660"/>
      <c r="BW1120" s="658"/>
      <c r="BX1120" s="658"/>
      <c r="BY1120" s="658"/>
      <c r="BZ1120" s="658"/>
      <c r="CA1120" s="658"/>
      <c r="CB1120" s="658"/>
      <c r="CC1120" s="658"/>
      <c r="CD1120" s="658"/>
      <c r="CE1120" s="658"/>
      <c r="CF1120" s="432"/>
      <c r="CG1120" s="658"/>
      <c r="CH1120" s="658"/>
      <c r="CI1120" s="658"/>
      <c r="CJ1120" s="658"/>
      <c r="CK1120" s="432">
        <f>BM1120+BL1120+BK1120+BJ1120+BS1120</f>
        <v>550</v>
      </c>
      <c r="CL1120" s="432">
        <f>CA1120+CB1120+CC1120+CD1120+CE1120+CG1120+CF1120</f>
        <v>0</v>
      </c>
      <c r="CM1120" s="432">
        <f>BY1120+BZ1120</f>
        <v>0</v>
      </c>
      <c r="CN1120" s="660"/>
      <c r="CO1120" s="660"/>
      <c r="CP1120" s="660"/>
      <c r="CT1120" s="660"/>
      <c r="CU1120" s="660"/>
      <c r="CV1120" s="660"/>
      <c r="CW1120" s="660"/>
      <c r="CX1120" s="660"/>
    </row>
    <row r="1121" s="432" customFormat="1" ht="31" customHeight="1" spans="1:102">
      <c r="A1121" s="633">
        <v>46000</v>
      </c>
      <c r="B1121" s="637" t="s">
        <v>1643</v>
      </c>
      <c r="C1121" s="634" t="s">
        <v>249</v>
      </c>
      <c r="D1121" s="432">
        <v>4500187028</v>
      </c>
      <c r="E1121" s="635" t="s">
        <v>2856</v>
      </c>
      <c r="F1121" s="432" t="s">
        <v>5898</v>
      </c>
      <c r="G1121" s="482" t="s">
        <v>3419</v>
      </c>
      <c r="H1121" s="482" t="s">
        <v>3221</v>
      </c>
      <c r="I1121" s="482">
        <v>2500</v>
      </c>
      <c r="J1121" s="482">
        <v>25</v>
      </c>
      <c r="K1121" s="482">
        <v>50</v>
      </c>
      <c r="L1121" s="639">
        <f t="shared" si="434"/>
        <v>50</v>
      </c>
      <c r="M1121" s="640">
        <v>46090</v>
      </c>
      <c r="N1121" s="640">
        <v>46086</v>
      </c>
      <c r="O1121" s="641"/>
      <c r="P1121" s="641"/>
      <c r="Q1121" s="482"/>
      <c r="R1121" s="647">
        <v>46000</v>
      </c>
      <c r="S1121" s="647" t="s">
        <v>66</v>
      </c>
      <c r="T1121" s="647" t="s">
        <v>66</v>
      </c>
      <c r="U1121" s="647"/>
      <c r="V1121" s="508" t="s">
        <v>5899</v>
      </c>
      <c r="W1121" s="650" t="s">
        <v>269</v>
      </c>
      <c r="X1121" s="508">
        <v>0.9678</v>
      </c>
      <c r="Y1121" s="651">
        <f>X1121*I1121</f>
        <v>2419.5</v>
      </c>
      <c r="Z1121" s="482"/>
      <c r="AA1121" s="482" t="s">
        <v>3419</v>
      </c>
      <c r="AB1121" s="482" t="s">
        <v>76</v>
      </c>
      <c r="AC1121" s="482"/>
      <c r="AD1121" s="497"/>
      <c r="AE1121" s="497"/>
      <c r="AF1121" s="482"/>
      <c r="AG1121" s="482">
        <f>AF1121-I1121</f>
        <v>-2500</v>
      </c>
      <c r="AH1121" s="655"/>
      <c r="AI1121" s="482" t="s">
        <v>2191</v>
      </c>
      <c r="AJ1121" s="482"/>
      <c r="AK1121" s="482"/>
      <c r="AL1121" s="656">
        <f>I1121</f>
        <v>2500</v>
      </c>
      <c r="AQ1121" s="432">
        <f>I1121</f>
        <v>2500</v>
      </c>
      <c r="AS1121" s="656">
        <f>I1121</f>
        <v>2500</v>
      </c>
      <c r="AT1121" s="660"/>
      <c r="AY1121" s="576">
        <f>I1121/24</f>
        <v>104.166666666667</v>
      </c>
      <c r="AZ1121" s="662"/>
      <c r="BL1121" s="432">
        <f>I1121/25</f>
        <v>100</v>
      </c>
      <c r="BT1121" s="660"/>
      <c r="BV1121" s="660"/>
      <c r="CK1121" s="432">
        <f>BM1121+BL1121+BK1121+BJ1121+BS1121</f>
        <v>100</v>
      </c>
      <c r="CL1121" s="432">
        <f>CA1121+CB1121+CC1121+CD1121+CE1121+CG1121+CF1121</f>
        <v>0</v>
      </c>
      <c r="CM1121" s="432">
        <f>BY1121+BZ1121</f>
        <v>0</v>
      </c>
      <c r="CN1121" s="660"/>
      <c r="CO1121" s="660"/>
      <c r="CP1121" s="660"/>
      <c r="CT1121" s="660"/>
      <c r="CU1121" s="660"/>
      <c r="CV1121" s="660"/>
      <c r="CW1121" s="660"/>
      <c r="CX1121" s="660"/>
    </row>
    <row r="1122" s="424" customFormat="1" ht="31" customHeight="1" spans="1:102">
      <c r="A1122" s="633">
        <v>46031</v>
      </c>
      <c r="B1122" s="497" t="s">
        <v>2863</v>
      </c>
      <c r="C1122" s="634" t="s">
        <v>90</v>
      </c>
      <c r="D1122" s="432">
        <v>4500191055</v>
      </c>
      <c r="E1122" s="635">
        <v>4353960680</v>
      </c>
      <c r="F1122" s="432" t="s">
        <v>5900</v>
      </c>
      <c r="G1122" s="482" t="s">
        <v>3198</v>
      </c>
      <c r="H1122" s="482" t="s">
        <v>3303</v>
      </c>
      <c r="I1122" s="645">
        <v>4675</v>
      </c>
      <c r="J1122" s="482">
        <v>0</v>
      </c>
      <c r="K1122" s="482">
        <v>25</v>
      </c>
      <c r="L1122" s="639">
        <f t="shared" si="434"/>
        <v>187</v>
      </c>
      <c r="M1122" s="640">
        <v>46090</v>
      </c>
      <c r="N1122" s="640">
        <v>46086</v>
      </c>
      <c r="O1122" s="641"/>
      <c r="P1122" s="641"/>
      <c r="Q1122" s="482"/>
      <c r="R1122" s="647">
        <v>46044</v>
      </c>
      <c r="S1122" s="647" t="s">
        <v>66</v>
      </c>
      <c r="T1122" s="647" t="s">
        <v>5901</v>
      </c>
      <c r="U1122" s="647"/>
      <c r="V1122" s="508" t="s">
        <v>5902</v>
      </c>
      <c r="W1122" s="508" t="s">
        <v>2868</v>
      </c>
      <c r="X1122" s="508">
        <v>0.5605</v>
      </c>
      <c r="Y1122" s="651">
        <f>X1122*I1122</f>
        <v>2620.3375</v>
      </c>
      <c r="Z1122" s="482"/>
      <c r="AA1122" s="482" t="s">
        <v>3198</v>
      </c>
      <c r="AB1122" s="482" t="s">
        <v>76</v>
      </c>
      <c r="AC1122" s="482"/>
      <c r="AD1122" s="497"/>
      <c r="AE1122" s="497"/>
      <c r="AF1122" s="482"/>
      <c r="AG1122" s="482">
        <f>AF1122-I1122</f>
        <v>-4675</v>
      </c>
      <c r="AH1122" s="655"/>
      <c r="AI1122" s="482" t="s">
        <v>2191</v>
      </c>
      <c r="AJ1122" s="482"/>
      <c r="AK1122" s="482">
        <f>I1122</f>
        <v>4675</v>
      </c>
      <c r="AL1122" s="432"/>
      <c r="AM1122" s="432">
        <f>I1122</f>
        <v>4675</v>
      </c>
      <c r="AN1122" s="658"/>
      <c r="AO1122" s="661"/>
      <c r="AP1122" s="658"/>
      <c r="AQ1122" s="432"/>
      <c r="AR1122" s="432">
        <f>I1122</f>
        <v>4675</v>
      </c>
      <c r="AS1122" s="656"/>
      <c r="AT1122" s="660"/>
      <c r="AU1122" s="658"/>
      <c r="AV1122" s="658"/>
      <c r="AW1122" s="658"/>
      <c r="AX1122" s="658"/>
      <c r="AY1122" s="581">
        <f>I1122/24</f>
        <v>194.791666666667</v>
      </c>
      <c r="AZ1122" s="662"/>
      <c r="BA1122" s="658"/>
      <c r="BB1122" s="658"/>
      <c r="BC1122" s="658"/>
      <c r="BD1122" s="658"/>
      <c r="BE1122" s="658"/>
      <c r="BF1122" s="658"/>
      <c r="BG1122" s="658"/>
      <c r="BH1122" s="658"/>
      <c r="BI1122" s="658"/>
      <c r="BJ1122" s="432">
        <f>I1122/25</f>
        <v>187</v>
      </c>
      <c r="BK1122" s="656"/>
      <c r="BL1122" s="658"/>
      <c r="BM1122" s="658"/>
      <c r="BN1122" s="658"/>
      <c r="BO1122" s="658"/>
      <c r="BP1122" s="658"/>
      <c r="BQ1122" s="658"/>
      <c r="BR1122" s="658"/>
      <c r="BS1122" s="658"/>
      <c r="BT1122" s="660"/>
      <c r="BU1122" s="658"/>
      <c r="BV1122" s="660"/>
      <c r="BW1122" s="658"/>
      <c r="BX1122" s="658"/>
      <c r="BY1122" s="658"/>
      <c r="BZ1122" s="658"/>
      <c r="CA1122" s="658"/>
      <c r="CB1122" s="658"/>
      <c r="CC1122" s="658"/>
      <c r="CD1122" s="658"/>
      <c r="CE1122" s="658"/>
      <c r="CF1122" s="432"/>
      <c r="CG1122" s="658"/>
      <c r="CH1122" s="658"/>
      <c r="CI1122" s="658"/>
      <c r="CJ1122" s="658"/>
      <c r="CK1122" s="432">
        <f>BM1122+BL1122+BK1122+BJ1122+BS1122</f>
        <v>187</v>
      </c>
      <c r="CL1122" s="432">
        <f>CA1122+CB1122+CC1122+CD1122+CE1122+CG1122+CF1122</f>
        <v>0</v>
      </c>
      <c r="CM1122" s="432">
        <f>BY1122+BZ1122</f>
        <v>0</v>
      </c>
      <c r="CN1122" s="660"/>
      <c r="CO1122" s="660"/>
      <c r="CP1122" s="660"/>
      <c r="CT1122" s="660"/>
      <c r="CU1122" s="660"/>
      <c r="CV1122" s="660"/>
      <c r="CW1122" s="660"/>
      <c r="CX1122" s="660"/>
    </row>
    <row r="1123" s="424" customFormat="1" ht="31" customHeight="1" spans="1:102">
      <c r="A1123" s="633">
        <v>46031</v>
      </c>
      <c r="B1123" s="497" t="s">
        <v>2863</v>
      </c>
      <c r="C1123" s="634" t="s">
        <v>90</v>
      </c>
      <c r="D1123" s="432">
        <v>4500191070</v>
      </c>
      <c r="E1123" s="635">
        <v>4354219568</v>
      </c>
      <c r="F1123" s="432" t="s">
        <v>5903</v>
      </c>
      <c r="G1123" s="482" t="s">
        <v>3198</v>
      </c>
      <c r="H1123" s="482" t="s">
        <v>3303</v>
      </c>
      <c r="I1123" s="645">
        <v>3825</v>
      </c>
      <c r="J1123" s="482">
        <v>0</v>
      </c>
      <c r="K1123" s="482">
        <v>25</v>
      </c>
      <c r="L1123" s="639">
        <f t="shared" si="434"/>
        <v>153</v>
      </c>
      <c r="M1123" s="640">
        <v>46090</v>
      </c>
      <c r="N1123" s="640">
        <v>46086</v>
      </c>
      <c r="O1123" s="641"/>
      <c r="P1123" s="641"/>
      <c r="Q1123" s="482"/>
      <c r="R1123" s="647">
        <v>46044</v>
      </c>
      <c r="S1123" s="647" t="s">
        <v>66</v>
      </c>
      <c r="T1123" s="647" t="s">
        <v>5901</v>
      </c>
      <c r="U1123" s="647"/>
      <c r="V1123" s="508" t="s">
        <v>5902</v>
      </c>
      <c r="W1123" s="508" t="s">
        <v>2868</v>
      </c>
      <c r="X1123" s="508">
        <v>0.5605</v>
      </c>
      <c r="Y1123" s="651">
        <f>X1123*I1123</f>
        <v>2143.9125</v>
      </c>
      <c r="Z1123" s="482"/>
      <c r="AA1123" s="482" t="s">
        <v>3198</v>
      </c>
      <c r="AB1123" s="482" t="s">
        <v>76</v>
      </c>
      <c r="AC1123" s="482"/>
      <c r="AD1123" s="497"/>
      <c r="AE1123" s="497"/>
      <c r="AF1123" s="482"/>
      <c r="AG1123" s="482">
        <f>AF1123-I1123</f>
        <v>-3825</v>
      </c>
      <c r="AH1123" s="655"/>
      <c r="AI1123" s="482" t="s">
        <v>2191</v>
      </c>
      <c r="AJ1123" s="482"/>
      <c r="AK1123" s="482">
        <f>I1123</f>
        <v>3825</v>
      </c>
      <c r="AL1123" s="432"/>
      <c r="AM1123" s="432">
        <f>I1123</f>
        <v>3825</v>
      </c>
      <c r="AN1123" s="658"/>
      <c r="AO1123" s="661"/>
      <c r="AP1123" s="658"/>
      <c r="AQ1123" s="432"/>
      <c r="AR1123" s="432">
        <f>I1123</f>
        <v>3825</v>
      </c>
      <c r="AS1123" s="656"/>
      <c r="AT1123" s="660"/>
      <c r="AU1123" s="658"/>
      <c r="AV1123" s="658"/>
      <c r="AW1123" s="658"/>
      <c r="AX1123" s="658"/>
      <c r="AY1123" s="581">
        <f>I1123/24</f>
        <v>159.375</v>
      </c>
      <c r="AZ1123" s="662"/>
      <c r="BA1123" s="658"/>
      <c r="BB1123" s="658"/>
      <c r="BC1123" s="658"/>
      <c r="BD1123" s="658"/>
      <c r="BE1123" s="658"/>
      <c r="BF1123" s="658"/>
      <c r="BG1123" s="658"/>
      <c r="BH1123" s="658"/>
      <c r="BI1123" s="658"/>
      <c r="BJ1123" s="432">
        <f>I1123/25</f>
        <v>153</v>
      </c>
      <c r="BK1123" s="656"/>
      <c r="BL1123" s="658"/>
      <c r="BM1123" s="658"/>
      <c r="BN1123" s="658"/>
      <c r="BO1123" s="658"/>
      <c r="BP1123" s="658"/>
      <c r="BQ1123" s="658"/>
      <c r="BR1123" s="658"/>
      <c r="BS1123" s="658"/>
      <c r="BT1123" s="660"/>
      <c r="BU1123" s="658"/>
      <c r="BV1123" s="660"/>
      <c r="BW1123" s="658"/>
      <c r="BX1123" s="658"/>
      <c r="BY1123" s="658"/>
      <c r="BZ1123" s="658"/>
      <c r="CA1123" s="658"/>
      <c r="CB1123" s="658"/>
      <c r="CC1123" s="658"/>
      <c r="CD1123" s="658"/>
      <c r="CE1123" s="658"/>
      <c r="CF1123" s="432"/>
      <c r="CG1123" s="658"/>
      <c r="CH1123" s="658"/>
      <c r="CI1123" s="658"/>
      <c r="CJ1123" s="658"/>
      <c r="CK1123" s="432">
        <f>BM1123+BL1123+BK1123+BJ1123+BS1123</f>
        <v>153</v>
      </c>
      <c r="CL1123" s="432">
        <f>CA1123+CB1123+CC1123+CD1123+CE1123+CG1123+CF1123</f>
        <v>0</v>
      </c>
      <c r="CM1123" s="432">
        <f>BY1123+BZ1123</f>
        <v>0</v>
      </c>
      <c r="CN1123" s="660"/>
      <c r="CO1123" s="660"/>
      <c r="CP1123" s="660"/>
      <c r="CT1123" s="660"/>
      <c r="CU1123" s="660"/>
      <c r="CV1123" s="660"/>
      <c r="CW1123" s="660"/>
      <c r="CX1123" s="660"/>
    </row>
    <row r="1124" s="433" customFormat="1" ht="31" customHeight="1" spans="1:102">
      <c r="A1124" s="633">
        <v>46058</v>
      </c>
      <c r="B1124" s="497" t="s">
        <v>5893</v>
      </c>
      <c r="C1124" s="634" t="s">
        <v>3136</v>
      </c>
      <c r="D1124" s="432" t="s">
        <v>5904</v>
      </c>
      <c r="E1124" s="635"/>
      <c r="F1124" s="432" t="s">
        <v>5905</v>
      </c>
      <c r="G1124" s="482" t="s">
        <v>3143</v>
      </c>
      <c r="H1124" s="482" t="s">
        <v>3144</v>
      </c>
      <c r="I1124" s="482" t="s">
        <v>3170</v>
      </c>
      <c r="J1124" s="482">
        <v>0</v>
      </c>
      <c r="K1124" s="482">
        <v>24</v>
      </c>
      <c r="L1124" s="639" t="e">
        <f t="shared" si="434"/>
        <v>#VALUE!</v>
      </c>
      <c r="M1124" s="640">
        <v>46091</v>
      </c>
      <c r="N1124" s="640">
        <v>46087</v>
      </c>
      <c r="O1124" s="641"/>
      <c r="P1124" s="641"/>
      <c r="Q1124" s="482"/>
      <c r="R1124" s="647" t="s">
        <v>1144</v>
      </c>
      <c r="S1124" s="647" t="s">
        <v>66</v>
      </c>
      <c r="T1124" s="647" t="s">
        <v>66</v>
      </c>
      <c r="U1124" s="647"/>
      <c r="V1124" s="508" t="s">
        <v>88</v>
      </c>
      <c r="W1124" s="508" t="s">
        <v>5896</v>
      </c>
      <c r="X1124" s="508"/>
      <c r="Y1124" s="651"/>
      <c r="Z1124" s="482"/>
      <c r="AA1124" s="482"/>
      <c r="AB1124" s="482"/>
      <c r="AC1124" s="482"/>
      <c r="AD1124" s="497"/>
      <c r="AE1124" s="497"/>
      <c r="AF1124" s="482"/>
      <c r="AG1124" s="482"/>
      <c r="AH1124" s="655"/>
      <c r="AI1124" s="482"/>
      <c r="AJ1124" s="482"/>
      <c r="AK1124" s="482"/>
      <c r="AL1124" s="662"/>
      <c r="AM1124" s="432"/>
      <c r="AN1124" s="658"/>
      <c r="AO1124" s="661"/>
      <c r="AP1124" s="658"/>
      <c r="AQ1124" s="432"/>
      <c r="AR1124" s="432"/>
      <c r="AS1124" s="656"/>
      <c r="AT1124" s="660"/>
      <c r="AU1124" s="658"/>
      <c r="AV1124" s="658"/>
      <c r="AW1124" s="658"/>
      <c r="AX1124" s="658"/>
      <c r="AY1124" s="581"/>
      <c r="AZ1124" s="662"/>
      <c r="BA1124" s="658"/>
      <c r="BB1124" s="658"/>
      <c r="BC1124" s="658"/>
      <c r="BD1124" s="658"/>
      <c r="BE1124" s="658"/>
      <c r="BF1124" s="658"/>
      <c r="BG1124" s="658"/>
      <c r="BH1124" s="658"/>
      <c r="BI1124" s="658"/>
      <c r="BJ1124" s="432"/>
      <c r="BK1124" s="656"/>
      <c r="BL1124" s="658"/>
      <c r="BM1124" s="658"/>
      <c r="BN1124" s="658"/>
      <c r="BO1124" s="658"/>
      <c r="BP1124" s="658"/>
      <c r="BQ1124" s="658"/>
      <c r="BR1124" s="658"/>
      <c r="BS1124" s="658"/>
      <c r="BT1124" s="660"/>
      <c r="BU1124" s="658"/>
      <c r="BV1124" s="660"/>
      <c r="BW1124" s="658"/>
      <c r="BX1124" s="658"/>
      <c r="BY1124" s="658"/>
      <c r="BZ1124" s="658"/>
      <c r="CA1124" s="658"/>
      <c r="CB1124" s="658"/>
      <c r="CC1124" s="658"/>
      <c r="CD1124" s="658"/>
      <c r="CE1124" s="658"/>
      <c r="CF1124" s="432"/>
      <c r="CG1124" s="658"/>
      <c r="CH1124" s="658"/>
      <c r="CI1124" s="658"/>
      <c r="CJ1124" s="658"/>
      <c r="CK1124" s="432"/>
      <c r="CL1124" s="432"/>
      <c r="CM1124" s="432"/>
      <c r="CN1124" s="694"/>
      <c r="CO1124" s="694"/>
      <c r="CP1124" s="694"/>
      <c r="CT1124" s="694"/>
      <c r="CU1124" s="694"/>
      <c r="CV1124" s="694"/>
      <c r="CW1124" s="694"/>
      <c r="CX1124" s="694"/>
    </row>
    <row r="1125" s="432" customFormat="1" ht="31" customHeight="1" spans="1:102">
      <c r="A1125" s="633">
        <v>45995</v>
      </c>
      <c r="B1125" s="497" t="s">
        <v>2489</v>
      </c>
      <c r="C1125" s="634" t="s">
        <v>90</v>
      </c>
      <c r="D1125" s="432">
        <v>4500184338</v>
      </c>
      <c r="E1125" s="635">
        <v>60260737</v>
      </c>
      <c r="F1125" s="432" t="s">
        <v>5906</v>
      </c>
      <c r="G1125" s="482" t="s">
        <v>4564</v>
      </c>
      <c r="H1125" s="482" t="s">
        <v>3237</v>
      </c>
      <c r="I1125" s="482">
        <v>2004</v>
      </c>
      <c r="J1125" s="482">
        <v>0</v>
      </c>
      <c r="K1125" s="482">
        <v>12</v>
      </c>
      <c r="L1125" s="639">
        <f t="shared" si="434"/>
        <v>167</v>
      </c>
      <c r="M1125" s="640">
        <v>46093</v>
      </c>
      <c r="N1125" s="640">
        <v>46090</v>
      </c>
      <c r="O1125" s="641"/>
      <c r="P1125" s="641"/>
      <c r="Q1125" s="482"/>
      <c r="R1125" s="647">
        <v>45995</v>
      </c>
      <c r="S1125" s="647" t="s">
        <v>66</v>
      </c>
      <c r="T1125" s="647" t="s">
        <v>2493</v>
      </c>
      <c r="U1125" s="647"/>
      <c r="V1125" s="508" t="s">
        <v>5907</v>
      </c>
      <c r="W1125" s="650" t="s">
        <v>2441</v>
      </c>
      <c r="X1125" s="508">
        <v>1.2871</v>
      </c>
      <c r="Y1125" s="651">
        <f>X1125*I1125</f>
        <v>2579.3484</v>
      </c>
      <c r="Z1125" s="482"/>
      <c r="AA1125" s="482" t="s">
        <v>5650</v>
      </c>
      <c r="AB1125" s="482" t="s">
        <v>76</v>
      </c>
      <c r="AC1125" s="482"/>
      <c r="AD1125" s="497"/>
      <c r="AE1125" s="497">
        <v>1</v>
      </c>
      <c r="AF1125" s="482"/>
      <c r="AG1125" s="482">
        <f>AF1125-I1125</f>
        <v>-2004</v>
      </c>
      <c r="AH1125" s="655"/>
      <c r="AI1125" s="482" t="s">
        <v>2191</v>
      </c>
      <c r="AJ1125" s="482"/>
      <c r="AK1125" s="482">
        <f>I1125*2</f>
        <v>4008</v>
      </c>
      <c r="AL1125" s="656"/>
      <c r="AM1125" s="432">
        <f>I1125*2</f>
        <v>4008</v>
      </c>
      <c r="AR1125" s="656">
        <f>I1125*2</f>
        <v>4008</v>
      </c>
      <c r="AS1125" s="656"/>
      <c r="AT1125" s="660"/>
      <c r="AY1125" s="581">
        <f>I1125/24*2</f>
        <v>167</v>
      </c>
      <c r="AZ1125" s="662"/>
      <c r="BT1125" s="660"/>
      <c r="BV1125" s="660"/>
      <c r="CH1125" s="432">
        <f>I1125</f>
        <v>2004</v>
      </c>
      <c r="CI1125" s="432">
        <f>I1125</f>
        <v>2004</v>
      </c>
      <c r="CJ1125" s="432">
        <f>I1125</f>
        <v>2004</v>
      </c>
      <c r="CK1125" s="432">
        <v>0</v>
      </c>
      <c r="CL1125" s="432">
        <v>0</v>
      </c>
      <c r="CM1125" s="432">
        <v>0</v>
      </c>
      <c r="CN1125" s="660"/>
      <c r="CO1125" s="660"/>
      <c r="CP1125" s="660"/>
      <c r="CT1125" s="660"/>
      <c r="CU1125" s="660"/>
      <c r="CV1125" s="660"/>
      <c r="CW1125" s="660"/>
      <c r="CX1125" s="660"/>
    </row>
    <row r="1126" s="432" customFormat="1" ht="31" customHeight="1" spans="1:102">
      <c r="A1126" s="633">
        <v>45995</v>
      </c>
      <c r="B1126" s="497" t="s">
        <v>2489</v>
      </c>
      <c r="C1126" s="634" t="s">
        <v>90</v>
      </c>
      <c r="D1126" s="432">
        <v>4500184338</v>
      </c>
      <c r="E1126" s="635">
        <v>60260737</v>
      </c>
      <c r="F1126" s="432" t="s">
        <v>2873</v>
      </c>
      <c r="G1126" s="482" t="s">
        <v>5627</v>
      </c>
      <c r="H1126" s="482" t="s">
        <v>5628</v>
      </c>
      <c r="I1126" s="482">
        <v>2000</v>
      </c>
      <c r="J1126" s="482">
        <v>0</v>
      </c>
      <c r="K1126" s="482">
        <v>8</v>
      </c>
      <c r="L1126" s="639">
        <f t="shared" si="434"/>
        <v>250</v>
      </c>
      <c r="M1126" s="640">
        <v>46093</v>
      </c>
      <c r="N1126" s="640">
        <v>46090</v>
      </c>
      <c r="O1126" s="641"/>
      <c r="P1126" s="641"/>
      <c r="Q1126" s="482"/>
      <c r="R1126" s="647">
        <v>45995</v>
      </c>
      <c r="S1126" s="647" t="s">
        <v>66</v>
      </c>
      <c r="T1126" s="647" t="s">
        <v>5629</v>
      </c>
      <c r="U1126" s="647"/>
      <c r="V1126" s="571" t="s">
        <v>2874</v>
      </c>
      <c r="W1126" s="650" t="s">
        <v>2441</v>
      </c>
      <c r="X1126" s="508">
        <v>4.097</v>
      </c>
      <c r="Y1126" s="651">
        <f>X1126*I1126</f>
        <v>8194</v>
      </c>
      <c r="Z1126" s="482"/>
      <c r="AA1126" s="482" t="s">
        <v>2495</v>
      </c>
      <c r="AB1126" s="482" t="s">
        <v>76</v>
      </c>
      <c r="AC1126" s="482"/>
      <c r="AD1126" s="497"/>
      <c r="AE1126" s="497"/>
      <c r="AF1126" s="482"/>
      <c r="AG1126" s="482">
        <f>AF1126-I1126</f>
        <v>-2000</v>
      </c>
      <c r="AH1126" s="655"/>
      <c r="AI1126" s="482" t="s">
        <v>2191</v>
      </c>
      <c r="AJ1126" s="482"/>
      <c r="AK1126" s="482">
        <f>I1126*2</f>
        <v>4000</v>
      </c>
      <c r="AL1126" s="656"/>
      <c r="AM1126" s="432">
        <f>I1126*2</f>
        <v>4000</v>
      </c>
      <c r="AR1126" s="432">
        <f>I1126</f>
        <v>2000</v>
      </c>
      <c r="AS1126" s="656"/>
      <c r="AT1126" s="660"/>
      <c r="AY1126" s="663">
        <f>I1126/24*2</f>
        <v>166.666666666667</v>
      </c>
      <c r="AZ1126" s="662"/>
      <c r="BT1126" s="660"/>
      <c r="BV1126" s="660">
        <f>I1126</f>
        <v>2000</v>
      </c>
      <c r="CK1126" s="432">
        <f t="shared" ref="CK1126:CK1139" si="436">BM1126+BL1126+BK1126+BJ1126+BS1126</f>
        <v>0</v>
      </c>
      <c r="CL1126" s="432">
        <f t="shared" ref="CL1126:CL1139" si="437">CA1126+CB1126+CC1126+CD1126+CE1126+CG1126+CF1126</f>
        <v>0</v>
      </c>
      <c r="CM1126" s="432">
        <f t="shared" ref="CM1126:CM1133" si="438">BY1126+BZ1126</f>
        <v>0</v>
      </c>
      <c r="CN1126" s="660"/>
      <c r="CO1126" s="660"/>
      <c r="CP1126" s="660"/>
      <c r="CT1126" s="660"/>
      <c r="CU1126" s="660"/>
      <c r="CV1126" s="660"/>
      <c r="CW1126" s="660"/>
      <c r="CX1126" s="660"/>
    </row>
    <row r="1127" s="424" customFormat="1" ht="31" customHeight="1" spans="1:102">
      <c r="A1127" s="633">
        <v>46030</v>
      </c>
      <c r="B1127" s="637" t="s">
        <v>2754</v>
      </c>
      <c r="C1127" s="634" t="s">
        <v>356</v>
      </c>
      <c r="D1127" s="432">
        <v>4500190902</v>
      </c>
      <c r="E1127" s="635">
        <v>5510064828</v>
      </c>
      <c r="F1127" s="432" t="s">
        <v>2875</v>
      </c>
      <c r="G1127" s="482" t="s">
        <v>743</v>
      </c>
      <c r="H1127" s="482" t="s">
        <v>744</v>
      </c>
      <c r="I1127" s="482">
        <v>1800</v>
      </c>
      <c r="J1127" s="482">
        <v>0</v>
      </c>
      <c r="K1127" s="482">
        <v>75</v>
      </c>
      <c r="L1127" s="639">
        <f t="shared" si="434"/>
        <v>24</v>
      </c>
      <c r="M1127" s="640">
        <v>46093</v>
      </c>
      <c r="N1127" s="640">
        <v>46090</v>
      </c>
      <c r="O1127" s="641"/>
      <c r="P1127" s="641"/>
      <c r="Q1127" s="482"/>
      <c r="R1127" s="647">
        <v>46030</v>
      </c>
      <c r="S1127" s="647" t="s">
        <v>66</v>
      </c>
      <c r="T1127" s="647" t="s">
        <v>66</v>
      </c>
      <c r="U1127" s="647"/>
      <c r="V1127" s="508" t="s">
        <v>2876</v>
      </c>
      <c r="W1127" s="650" t="s">
        <v>1424</v>
      </c>
      <c r="X1127" s="508">
        <v>623.8856</v>
      </c>
      <c r="Y1127" s="651">
        <f>X1127*L1127</f>
        <v>14973.2544</v>
      </c>
      <c r="Z1127" s="482"/>
      <c r="AA1127" s="482" t="s">
        <v>743</v>
      </c>
      <c r="AB1127" s="482" t="s">
        <v>76</v>
      </c>
      <c r="AC1127" s="482"/>
      <c r="AD1127" s="497"/>
      <c r="AE1127" s="497"/>
      <c r="AF1127" s="482"/>
      <c r="AG1127" s="482">
        <f>AF1127-I1127</f>
        <v>-1800</v>
      </c>
      <c r="AH1127" s="655"/>
      <c r="AI1127" s="482"/>
      <c r="AJ1127" s="482"/>
      <c r="AK1127" s="482"/>
      <c r="AL1127" s="656">
        <f>I1127*3</f>
        <v>5400</v>
      </c>
      <c r="AM1127" s="657"/>
      <c r="AN1127" s="657"/>
      <c r="AO1127" s="659"/>
      <c r="AP1127" s="657"/>
      <c r="AQ1127" s="657"/>
      <c r="AR1127" s="657"/>
      <c r="AS1127" s="656"/>
      <c r="AT1127" s="660"/>
      <c r="AU1127" s="657"/>
      <c r="AV1127" s="657"/>
      <c r="AW1127" s="657"/>
      <c r="AX1127" s="657"/>
      <c r="AY1127" s="581"/>
      <c r="AZ1127" s="662"/>
      <c r="BA1127" s="657"/>
      <c r="BB1127" s="657"/>
      <c r="BC1127" s="432">
        <f>I1127*3</f>
        <v>5400</v>
      </c>
      <c r="BD1127" s="432">
        <f>BC1127</f>
        <v>5400</v>
      </c>
      <c r="BE1127" s="432">
        <f>I1127</f>
        <v>1800</v>
      </c>
      <c r="BF1127" s="432">
        <f>I1127/5</f>
        <v>360</v>
      </c>
      <c r="BG1127" s="657"/>
      <c r="BH1127" s="657"/>
      <c r="BI1127" s="657"/>
      <c r="BJ1127" s="657"/>
      <c r="BK1127" s="657"/>
      <c r="BL1127" s="657"/>
      <c r="BM1127" s="657"/>
      <c r="BN1127" s="657"/>
      <c r="BO1127" s="657"/>
      <c r="BP1127" s="657"/>
      <c r="BQ1127" s="657"/>
      <c r="BR1127" s="657"/>
      <c r="BS1127" s="657"/>
      <c r="BT1127" s="660"/>
      <c r="BU1127" s="657"/>
      <c r="BV1127" s="660"/>
      <c r="BW1127" s="657"/>
      <c r="BX1127" s="657"/>
      <c r="BY1127" s="657"/>
      <c r="BZ1127" s="657"/>
      <c r="CA1127" s="657"/>
      <c r="CB1127" s="657"/>
      <c r="CC1127" s="657"/>
      <c r="CD1127" s="657"/>
      <c r="CE1127" s="657"/>
      <c r="CF1127" s="657"/>
      <c r="CG1127" s="657"/>
      <c r="CH1127" s="657"/>
      <c r="CI1127" s="657"/>
      <c r="CJ1127" s="657"/>
      <c r="CK1127" s="432">
        <f t="shared" si="436"/>
        <v>0</v>
      </c>
      <c r="CL1127" s="432">
        <f t="shared" si="437"/>
        <v>0</v>
      </c>
      <c r="CM1127" s="432">
        <f t="shared" si="438"/>
        <v>0</v>
      </c>
      <c r="CN1127" s="660"/>
      <c r="CO1127" s="660"/>
      <c r="CP1127" s="660"/>
      <c r="CT1127" s="660"/>
      <c r="CU1127" s="660"/>
      <c r="CV1127" s="660"/>
      <c r="CW1127" s="660"/>
      <c r="CX1127" s="660"/>
    </row>
    <row r="1128" s="433" customFormat="1" ht="32" customHeight="1" spans="1:102">
      <c r="A1128" s="633">
        <v>46034</v>
      </c>
      <c r="B1128" s="497" t="s">
        <v>2877</v>
      </c>
      <c r="C1128" s="635" t="s">
        <v>249</v>
      </c>
      <c r="D1128" s="432">
        <v>4500190991</v>
      </c>
      <c r="E1128" s="635" t="s">
        <v>2878</v>
      </c>
      <c r="F1128" s="432" t="s">
        <v>5908</v>
      </c>
      <c r="G1128" s="482" t="s">
        <v>3161</v>
      </c>
      <c r="H1128" s="482" t="s">
        <v>3221</v>
      </c>
      <c r="I1128" s="482">
        <v>3750</v>
      </c>
      <c r="J1128" s="482">
        <v>0</v>
      </c>
      <c r="K1128" s="482">
        <v>50</v>
      </c>
      <c r="L1128" s="639">
        <f t="shared" si="434"/>
        <v>75</v>
      </c>
      <c r="M1128" s="640">
        <v>46093</v>
      </c>
      <c r="N1128" s="640">
        <v>46090</v>
      </c>
      <c r="O1128" s="641"/>
      <c r="P1128" s="641"/>
      <c r="Q1128" s="482"/>
      <c r="R1128" s="647">
        <v>46037</v>
      </c>
      <c r="S1128" s="647" t="s">
        <v>66</v>
      </c>
      <c r="T1128" s="647" t="s">
        <v>5909</v>
      </c>
      <c r="U1128" s="647"/>
      <c r="V1128" s="508" t="s">
        <v>5910</v>
      </c>
      <c r="W1128" s="508" t="s">
        <v>269</v>
      </c>
      <c r="X1128" s="508">
        <v>0.941</v>
      </c>
      <c r="Y1128" s="651">
        <f>X1128*I1128</f>
        <v>3528.75</v>
      </c>
      <c r="Z1128" s="482"/>
      <c r="AA1128" s="497" t="s">
        <v>3161</v>
      </c>
      <c r="AB1128" s="482" t="s">
        <v>76</v>
      </c>
      <c r="AC1128" s="482"/>
      <c r="AD1128" s="497"/>
      <c r="AF1128" s="482"/>
      <c r="AG1128" s="482">
        <f>AF1128-I1128</f>
        <v>-3750</v>
      </c>
      <c r="AH1128" s="655"/>
      <c r="AI1128" s="482" t="s">
        <v>2191</v>
      </c>
      <c r="AJ1128" s="482"/>
      <c r="AK1128" s="482"/>
      <c r="AL1128" s="656">
        <f>I1128</f>
        <v>3750</v>
      </c>
      <c r="AM1128" s="432"/>
      <c r="AN1128" s="432"/>
      <c r="AO1128" s="432"/>
      <c r="AP1128" s="432"/>
      <c r="AQ1128" s="432">
        <f>I1128</f>
        <v>3750</v>
      </c>
      <c r="AR1128" s="432"/>
      <c r="AS1128" s="656">
        <f>I1128</f>
        <v>3750</v>
      </c>
      <c r="AT1128" s="660"/>
      <c r="AU1128" s="657"/>
      <c r="AV1128" s="657"/>
      <c r="AW1128" s="657"/>
      <c r="AX1128" s="657"/>
      <c r="AY1128" s="581">
        <f>I1128/24</f>
        <v>156.25</v>
      </c>
      <c r="AZ1128" s="662"/>
      <c r="BA1128" s="432"/>
      <c r="BB1128" s="432"/>
      <c r="BC1128" s="432"/>
      <c r="BD1128" s="432"/>
      <c r="BE1128" s="432"/>
      <c r="BF1128" s="432"/>
      <c r="BG1128" s="432"/>
      <c r="BH1128" s="432"/>
      <c r="BI1128" s="432"/>
      <c r="BJ1128" s="432"/>
      <c r="BK1128" s="432"/>
      <c r="BL1128" s="657"/>
      <c r="BM1128" s="657"/>
      <c r="BN1128" s="657"/>
      <c r="BO1128" s="657"/>
      <c r="BP1128" s="657"/>
      <c r="BQ1128" s="657"/>
      <c r="BR1128" s="657"/>
      <c r="BS1128" s="657"/>
      <c r="BT1128" s="660"/>
      <c r="BU1128" s="657"/>
      <c r="BV1128" s="660"/>
      <c r="BW1128" s="657"/>
      <c r="BX1128" s="657"/>
      <c r="BY1128" s="657"/>
      <c r="BZ1128" s="657"/>
      <c r="CA1128" s="657"/>
      <c r="CB1128" s="657"/>
      <c r="CC1128" s="657"/>
      <c r="CD1128" s="657"/>
      <c r="CE1128" s="657"/>
      <c r="CF1128" s="657"/>
      <c r="CG1128" s="657"/>
      <c r="CH1128" s="657"/>
      <c r="CI1128" s="657"/>
      <c r="CJ1128" s="657"/>
      <c r="CK1128" s="432">
        <f t="shared" si="436"/>
        <v>0</v>
      </c>
      <c r="CL1128" s="432">
        <f t="shared" si="437"/>
        <v>0</v>
      </c>
      <c r="CM1128" s="432">
        <f t="shared" si="438"/>
        <v>0</v>
      </c>
      <c r="CN1128" s="694"/>
      <c r="CO1128" s="694"/>
      <c r="CP1128" s="694"/>
      <c r="CT1128" s="694"/>
      <c r="CU1128" s="694"/>
      <c r="CV1128" s="694"/>
      <c r="CW1128" s="694"/>
      <c r="CX1128" s="694"/>
    </row>
    <row r="1129" s="433" customFormat="1" ht="31" customHeight="1" spans="1:102">
      <c r="A1129" s="633">
        <v>46041</v>
      </c>
      <c r="B1129" s="497" t="s">
        <v>122</v>
      </c>
      <c r="C1129" s="635" t="s">
        <v>116</v>
      </c>
      <c r="D1129" s="432">
        <v>4500190370</v>
      </c>
      <c r="E1129" s="635">
        <v>21503983</v>
      </c>
      <c r="F1129" s="482" t="s">
        <v>5911</v>
      </c>
      <c r="G1129" s="482" t="s">
        <v>3206</v>
      </c>
      <c r="H1129" s="482" t="s">
        <v>4939</v>
      </c>
      <c r="I1129" s="645">
        <v>4485</v>
      </c>
      <c r="J1129" s="482">
        <v>0</v>
      </c>
      <c r="K1129" s="482">
        <v>13</v>
      </c>
      <c r="L1129" s="639">
        <f t="shared" ref="L1129:L1192" si="439">I1129/K1129</f>
        <v>345</v>
      </c>
      <c r="M1129" s="679">
        <v>46093</v>
      </c>
      <c r="N1129" s="679">
        <v>46090</v>
      </c>
      <c r="O1129" s="641"/>
      <c r="P1129" s="641"/>
      <c r="Q1129" s="482"/>
      <c r="R1129" s="647">
        <v>46041</v>
      </c>
      <c r="S1129" s="647" t="s">
        <v>96</v>
      </c>
      <c r="T1129" s="683" t="s">
        <v>5912</v>
      </c>
      <c r="U1129" s="683"/>
      <c r="V1129" s="683" t="s">
        <v>5913</v>
      </c>
      <c r="W1129" s="651" t="s">
        <v>2893</v>
      </c>
      <c r="X1129" s="648">
        <v>0.9475</v>
      </c>
      <c r="Y1129" s="651">
        <f>X1129*I1129</f>
        <v>4249.5375</v>
      </c>
      <c r="Z1129" s="687"/>
      <c r="AA1129" s="688" t="s">
        <v>3206</v>
      </c>
      <c r="AB1129" s="482" t="s">
        <v>76</v>
      </c>
      <c r="AC1129" s="656"/>
      <c r="AD1129" s="635"/>
      <c r="AE1129" s="482">
        <v>1</v>
      </c>
      <c r="AF1129" s="482"/>
      <c r="AG1129" s="482">
        <f t="shared" ref="AG1129:AG1143" si="440">AF1129-I1129</f>
        <v>-4485</v>
      </c>
      <c r="AH1129" s="482"/>
      <c r="AI1129" s="482" t="s">
        <v>2191</v>
      </c>
      <c r="AJ1129" s="482"/>
      <c r="AK1129" s="482"/>
      <c r="AL1129" s="656">
        <f>I1129</f>
        <v>4485</v>
      </c>
      <c r="AM1129" s="658"/>
      <c r="AN1129" s="656"/>
      <c r="AO1129" s="656"/>
      <c r="AP1129" s="432"/>
      <c r="AQ1129" s="432">
        <f>I1129*2</f>
        <v>8970</v>
      </c>
      <c r="AR1129" s="656"/>
      <c r="AS1129" s="656">
        <f>I1129*2</f>
        <v>8970</v>
      </c>
      <c r="AT1129" s="656"/>
      <c r="AU1129" s="656"/>
      <c r="AV1129" s="662"/>
      <c r="AW1129" s="432"/>
      <c r="AX1129" s="432"/>
      <c r="AY1129" s="581">
        <f>I1129/24</f>
        <v>186.875</v>
      </c>
      <c r="AZ1129" s="432"/>
      <c r="BA1129" s="656"/>
      <c r="BB1129" s="656"/>
      <c r="BC1129" s="432"/>
      <c r="BD1129" s="432"/>
      <c r="BE1129" s="656"/>
      <c r="BF1129" s="656"/>
      <c r="BG1129" s="432"/>
      <c r="BH1129" s="656"/>
      <c r="BI1129" s="432">
        <f>I1129/13</f>
        <v>345</v>
      </c>
      <c r="BJ1129" s="432"/>
      <c r="BK1129" s="432"/>
      <c r="BL1129" s="432"/>
      <c r="BM1129" s="432"/>
      <c r="BN1129" s="432"/>
      <c r="BO1129" s="432"/>
      <c r="BP1129" s="432"/>
      <c r="BQ1129" s="432"/>
      <c r="BR1129" s="432"/>
      <c r="BS1129" s="432"/>
      <c r="BT1129" s="432"/>
      <c r="BU1129" s="432"/>
      <c r="BV1129" s="432"/>
      <c r="BW1129" s="432"/>
      <c r="BX1129" s="432"/>
      <c r="BY1129" s="432"/>
      <c r="BZ1129" s="432"/>
      <c r="CA1129" s="432"/>
      <c r="CB1129" s="432"/>
      <c r="CC1129" s="432"/>
      <c r="CD1129" s="432"/>
      <c r="CE1129" s="432"/>
      <c r="CF1129" s="432"/>
      <c r="CG1129" s="660"/>
      <c r="CH1129" s="660"/>
      <c r="CI1129" s="660"/>
      <c r="CJ1129" s="660"/>
      <c r="CK1129" s="432">
        <f t="shared" si="436"/>
        <v>0</v>
      </c>
      <c r="CL1129" s="432">
        <f t="shared" si="437"/>
        <v>0</v>
      </c>
      <c r="CM1129" s="432">
        <f t="shared" si="438"/>
        <v>0</v>
      </c>
      <c r="CN1129" s="671"/>
      <c r="CO1129" s="694"/>
      <c r="CP1129" s="694"/>
      <c r="CQ1129" s="694"/>
      <c r="CR1129" s="694"/>
      <c r="CS1129" s="694"/>
      <c r="CT1129" s="694"/>
      <c r="CU1129" s="695"/>
      <c r="CV1129" s="695"/>
      <c r="CW1129" s="695"/>
      <c r="CX1129" s="695"/>
    </row>
    <row r="1130" s="433" customFormat="1" ht="31" customHeight="1" spans="1:102">
      <c r="A1130" s="633">
        <v>46041</v>
      </c>
      <c r="B1130" s="497" t="s">
        <v>125</v>
      </c>
      <c r="C1130" s="635" t="s">
        <v>71</v>
      </c>
      <c r="D1130" s="432">
        <v>4500190371</v>
      </c>
      <c r="E1130" s="635">
        <v>21503986</v>
      </c>
      <c r="F1130" s="482" t="s">
        <v>5914</v>
      </c>
      <c r="G1130" s="482" t="s">
        <v>3206</v>
      </c>
      <c r="H1130" s="482" t="s">
        <v>4939</v>
      </c>
      <c r="I1130" s="645">
        <v>455</v>
      </c>
      <c r="J1130" s="482">
        <v>0</v>
      </c>
      <c r="K1130" s="482">
        <v>13</v>
      </c>
      <c r="L1130" s="639">
        <f t="shared" si="439"/>
        <v>35</v>
      </c>
      <c r="M1130" s="679">
        <v>46093</v>
      </c>
      <c r="N1130" s="679">
        <v>46090</v>
      </c>
      <c r="O1130" s="641"/>
      <c r="P1130" s="641"/>
      <c r="Q1130" s="482"/>
      <c r="R1130" s="647">
        <v>46041</v>
      </c>
      <c r="S1130" s="647" t="s">
        <v>96</v>
      </c>
      <c r="T1130" s="683" t="s">
        <v>5912</v>
      </c>
      <c r="U1130" s="683"/>
      <c r="V1130" s="683" t="s">
        <v>5915</v>
      </c>
      <c r="W1130" s="651" t="s">
        <v>2893</v>
      </c>
      <c r="X1130" s="648">
        <v>0.9526</v>
      </c>
      <c r="Y1130" s="651">
        <f>X1130*I1130</f>
        <v>433.433</v>
      </c>
      <c r="Z1130" s="687"/>
      <c r="AA1130" s="688" t="s">
        <v>3206</v>
      </c>
      <c r="AB1130" s="482" t="s">
        <v>76</v>
      </c>
      <c r="AC1130" s="656"/>
      <c r="AD1130" s="635"/>
      <c r="AE1130" s="482">
        <v>1</v>
      </c>
      <c r="AF1130" s="482"/>
      <c r="AG1130" s="482">
        <f t="shared" si="440"/>
        <v>-455</v>
      </c>
      <c r="AH1130" s="482"/>
      <c r="AI1130" s="482" t="s">
        <v>2191</v>
      </c>
      <c r="AJ1130" s="482"/>
      <c r="AK1130" s="482"/>
      <c r="AL1130" s="656">
        <f>I1130</f>
        <v>455</v>
      </c>
      <c r="AM1130" s="658"/>
      <c r="AN1130" s="656"/>
      <c r="AO1130" s="656"/>
      <c r="AP1130" s="432"/>
      <c r="AQ1130" s="432">
        <f>I1130*2</f>
        <v>910</v>
      </c>
      <c r="AR1130" s="656"/>
      <c r="AS1130" s="656">
        <f>I1130*2</f>
        <v>910</v>
      </c>
      <c r="AT1130" s="656"/>
      <c r="AU1130" s="656"/>
      <c r="AV1130" s="662"/>
      <c r="AW1130" s="432"/>
      <c r="AX1130" s="432"/>
      <c r="AY1130" s="581">
        <f>I1130/24</f>
        <v>18.9583333333333</v>
      </c>
      <c r="AZ1130" s="432"/>
      <c r="BA1130" s="656"/>
      <c r="BB1130" s="656"/>
      <c r="BC1130" s="432"/>
      <c r="BD1130" s="432"/>
      <c r="BE1130" s="656"/>
      <c r="BF1130" s="656"/>
      <c r="BG1130" s="432"/>
      <c r="BH1130" s="656"/>
      <c r="BI1130" s="432">
        <f>I1130/13</f>
        <v>35</v>
      </c>
      <c r="BJ1130" s="432"/>
      <c r="BK1130" s="432"/>
      <c r="BL1130" s="432"/>
      <c r="BM1130" s="432"/>
      <c r="BN1130" s="432"/>
      <c r="BO1130" s="432"/>
      <c r="BP1130" s="432"/>
      <c r="BQ1130" s="432"/>
      <c r="BR1130" s="432"/>
      <c r="BS1130" s="432"/>
      <c r="BT1130" s="432"/>
      <c r="BU1130" s="432"/>
      <c r="BV1130" s="432"/>
      <c r="BW1130" s="432"/>
      <c r="BX1130" s="432"/>
      <c r="BY1130" s="432"/>
      <c r="BZ1130" s="432"/>
      <c r="CA1130" s="432"/>
      <c r="CB1130" s="432"/>
      <c r="CC1130" s="432"/>
      <c r="CD1130" s="432"/>
      <c r="CE1130" s="432"/>
      <c r="CF1130" s="432"/>
      <c r="CG1130" s="660"/>
      <c r="CH1130" s="660"/>
      <c r="CI1130" s="660"/>
      <c r="CJ1130" s="660"/>
      <c r="CK1130" s="432">
        <f t="shared" si="436"/>
        <v>0</v>
      </c>
      <c r="CL1130" s="432">
        <f t="shared" si="437"/>
        <v>0</v>
      </c>
      <c r="CM1130" s="432">
        <f t="shared" si="438"/>
        <v>0</v>
      </c>
      <c r="CN1130" s="671"/>
      <c r="CO1130" s="694"/>
      <c r="CP1130" s="694"/>
      <c r="CQ1130" s="694"/>
      <c r="CR1130" s="694"/>
      <c r="CS1130" s="694"/>
      <c r="CT1130" s="694"/>
      <c r="CU1130" s="695"/>
      <c r="CV1130" s="695"/>
      <c r="CW1130" s="695"/>
      <c r="CX1130" s="695"/>
    </row>
    <row r="1131" s="432" customFormat="1" ht="31" customHeight="1" spans="1:102">
      <c r="A1131" s="633">
        <v>45978</v>
      </c>
      <c r="B1131" s="497" t="s">
        <v>1372</v>
      </c>
      <c r="C1131" s="634" t="s">
        <v>90</v>
      </c>
      <c r="D1131" s="432">
        <v>4500185942</v>
      </c>
      <c r="E1131" s="894" t="s">
        <v>2882</v>
      </c>
      <c r="F1131" s="432" t="s">
        <v>2883</v>
      </c>
      <c r="G1131" s="482" t="s">
        <v>5575</v>
      </c>
      <c r="H1131" s="482" t="s">
        <v>744</v>
      </c>
      <c r="I1131" s="482">
        <v>5400</v>
      </c>
      <c r="J1131" s="482">
        <v>0</v>
      </c>
      <c r="K1131" s="482">
        <v>75</v>
      </c>
      <c r="L1131" s="639">
        <f t="shared" si="439"/>
        <v>72</v>
      </c>
      <c r="M1131" s="644">
        <v>46094</v>
      </c>
      <c r="N1131" s="644">
        <v>46090</v>
      </c>
      <c r="O1131" s="641"/>
      <c r="P1131" s="641"/>
      <c r="Q1131" s="482"/>
      <c r="R1131" s="647" t="s">
        <v>2432</v>
      </c>
      <c r="S1131" s="647" t="s">
        <v>66</v>
      </c>
      <c r="T1131" s="647" t="s">
        <v>66</v>
      </c>
      <c r="U1131" s="647"/>
      <c r="V1131" s="508" t="s">
        <v>2565</v>
      </c>
      <c r="W1131" s="650" t="s">
        <v>821</v>
      </c>
      <c r="X1131" s="508">
        <v>359.3436</v>
      </c>
      <c r="Y1131" s="651">
        <f>X1131*L1131</f>
        <v>25872.7392</v>
      </c>
      <c r="Z1131" s="482"/>
      <c r="AA1131" s="497" t="s">
        <v>1378</v>
      </c>
      <c r="AB1131" s="482" t="s">
        <v>76</v>
      </c>
      <c r="AC1131" s="482"/>
      <c r="AD1131" s="497"/>
      <c r="AE1131" s="497"/>
      <c r="AF1131" s="482"/>
      <c r="AG1131" s="482">
        <f t="shared" si="440"/>
        <v>-5400</v>
      </c>
      <c r="AH1131" s="655"/>
      <c r="AI1131" s="482"/>
      <c r="AJ1131" s="482"/>
      <c r="AK1131" s="549">
        <f>I1131*3</f>
        <v>16200</v>
      </c>
      <c r="AL1131" s="656"/>
      <c r="AR1131" s="656"/>
      <c r="AS1131" s="656"/>
      <c r="AT1131" s="660"/>
      <c r="AY1131" s="581">
        <f>I1131/24*3</f>
        <v>675</v>
      </c>
      <c r="AZ1131" s="662"/>
      <c r="BC1131" s="432">
        <f>AK1131</f>
        <v>16200</v>
      </c>
      <c r="BD1131" s="432">
        <f>AK1131</f>
        <v>16200</v>
      </c>
      <c r="BE1131" s="432">
        <f>I1131</f>
        <v>5400</v>
      </c>
      <c r="BF1131" s="432">
        <f>I1131/5</f>
        <v>1080</v>
      </c>
      <c r="BT1131" s="660"/>
      <c r="BV1131" s="660"/>
      <c r="CK1131" s="428">
        <f t="shared" si="436"/>
        <v>0</v>
      </c>
      <c r="CL1131" s="428">
        <f t="shared" si="437"/>
        <v>0</v>
      </c>
      <c r="CM1131" s="428">
        <f t="shared" si="438"/>
        <v>0</v>
      </c>
      <c r="CN1131" s="660"/>
      <c r="CO1131" s="660"/>
      <c r="CP1131" s="660"/>
      <c r="CT1131" s="660"/>
      <c r="CU1131" s="660"/>
      <c r="CV1131" s="660"/>
      <c r="CW1131" s="660"/>
      <c r="CX1131" s="660"/>
    </row>
    <row r="1132" s="432" customFormat="1" ht="31" customHeight="1" spans="1:102">
      <c r="A1132" s="633">
        <v>45978</v>
      </c>
      <c r="B1132" s="497" t="s">
        <v>1372</v>
      </c>
      <c r="C1132" s="634" t="s">
        <v>90</v>
      </c>
      <c r="D1132" s="432">
        <v>4500185943</v>
      </c>
      <c r="E1132" s="894" t="s">
        <v>2884</v>
      </c>
      <c r="F1132" s="432" t="s">
        <v>2885</v>
      </c>
      <c r="G1132" s="482" t="s">
        <v>5575</v>
      </c>
      <c r="H1132" s="482" t="s">
        <v>744</v>
      </c>
      <c r="I1132" s="482">
        <v>5400</v>
      </c>
      <c r="J1132" s="482">
        <v>0</v>
      </c>
      <c r="K1132" s="482">
        <v>75</v>
      </c>
      <c r="L1132" s="639">
        <f t="shared" si="439"/>
        <v>72</v>
      </c>
      <c r="M1132" s="644">
        <v>46094</v>
      </c>
      <c r="N1132" s="644">
        <v>46090</v>
      </c>
      <c r="O1132" s="641"/>
      <c r="P1132" s="641"/>
      <c r="Q1132" s="482"/>
      <c r="R1132" s="647" t="s">
        <v>2432</v>
      </c>
      <c r="S1132" s="647" t="s">
        <v>66</v>
      </c>
      <c r="T1132" s="647" t="s">
        <v>66</v>
      </c>
      <c r="U1132" s="647"/>
      <c r="V1132" s="508" t="s">
        <v>2565</v>
      </c>
      <c r="W1132" s="650" t="s">
        <v>821</v>
      </c>
      <c r="X1132" s="508">
        <v>359.3436</v>
      </c>
      <c r="Y1132" s="651">
        <f>X1132*L1132</f>
        <v>25872.7392</v>
      </c>
      <c r="Z1132" s="482"/>
      <c r="AA1132" s="497" t="s">
        <v>1378</v>
      </c>
      <c r="AB1132" s="482" t="s">
        <v>76</v>
      </c>
      <c r="AC1132" s="482"/>
      <c r="AD1132" s="497"/>
      <c r="AE1132" s="497"/>
      <c r="AF1132" s="482"/>
      <c r="AG1132" s="482">
        <f t="shared" si="440"/>
        <v>-5400</v>
      </c>
      <c r="AH1132" s="655"/>
      <c r="AI1132" s="482"/>
      <c r="AJ1132" s="482"/>
      <c r="AK1132" s="549">
        <f>I1132*3</f>
        <v>16200</v>
      </c>
      <c r="AL1132" s="656"/>
      <c r="AR1132" s="656"/>
      <c r="AS1132" s="656"/>
      <c r="AT1132" s="660"/>
      <c r="AY1132" s="581">
        <f>I1132/24*3</f>
        <v>675</v>
      </c>
      <c r="AZ1132" s="662"/>
      <c r="BC1132" s="432">
        <f>AK1132</f>
        <v>16200</v>
      </c>
      <c r="BD1132" s="432">
        <f>AK1132</f>
        <v>16200</v>
      </c>
      <c r="BE1132" s="432">
        <f>I1132</f>
        <v>5400</v>
      </c>
      <c r="BF1132" s="432">
        <f>I1132/5</f>
        <v>1080</v>
      </c>
      <c r="BT1132" s="660"/>
      <c r="BV1132" s="660"/>
      <c r="CK1132" s="428">
        <f t="shared" si="436"/>
        <v>0</v>
      </c>
      <c r="CL1132" s="428">
        <f t="shared" si="437"/>
        <v>0</v>
      </c>
      <c r="CM1132" s="428">
        <f t="shared" si="438"/>
        <v>0</v>
      </c>
      <c r="CN1132" s="660"/>
      <c r="CO1132" s="660"/>
      <c r="CP1132" s="660"/>
      <c r="CT1132" s="660"/>
      <c r="CU1132" s="660"/>
      <c r="CV1132" s="660"/>
      <c r="CW1132" s="660"/>
      <c r="CX1132" s="660"/>
    </row>
    <row r="1133" s="424" customFormat="1" ht="32" customHeight="1" spans="1:102">
      <c r="A1133" s="633">
        <v>46027</v>
      </c>
      <c r="B1133" s="497" t="s">
        <v>1724</v>
      </c>
      <c r="C1133" s="635" t="s">
        <v>1725</v>
      </c>
      <c r="D1133" s="432">
        <v>4500190606</v>
      </c>
      <c r="E1133" s="635" t="s">
        <v>2894</v>
      </c>
      <c r="F1133" s="432" t="s">
        <v>5916</v>
      </c>
      <c r="G1133" s="482" t="s">
        <v>3161</v>
      </c>
      <c r="H1133" s="482" t="s">
        <v>3221</v>
      </c>
      <c r="I1133" s="482">
        <v>2500</v>
      </c>
      <c r="J1133" s="482">
        <v>0</v>
      </c>
      <c r="K1133" s="482">
        <v>50</v>
      </c>
      <c r="L1133" s="639">
        <f t="shared" si="439"/>
        <v>50</v>
      </c>
      <c r="M1133" s="640">
        <v>46097</v>
      </c>
      <c r="N1133" s="640">
        <v>46093</v>
      </c>
      <c r="O1133" s="641"/>
      <c r="P1133" s="641"/>
      <c r="Q1133" s="482"/>
      <c r="R1133" s="647">
        <v>46029</v>
      </c>
      <c r="S1133" s="647" t="s">
        <v>66</v>
      </c>
      <c r="T1133" s="647" t="s">
        <v>5917</v>
      </c>
      <c r="U1133" s="647"/>
      <c r="V1133" s="571" t="s">
        <v>5918</v>
      </c>
      <c r="W1133" s="508" t="s">
        <v>473</v>
      </c>
      <c r="X1133" s="508">
        <v>0.941</v>
      </c>
      <c r="Y1133" s="651">
        <f t="shared" ref="Y1133:Y1140" si="441">X1133*I1133</f>
        <v>2352.5</v>
      </c>
      <c r="Z1133" s="482"/>
      <c r="AA1133" s="497" t="s">
        <v>3161</v>
      </c>
      <c r="AB1133" s="482" t="s">
        <v>76</v>
      </c>
      <c r="AC1133" s="482"/>
      <c r="AD1133" s="497"/>
      <c r="AE1133" s="482"/>
      <c r="AF1133" s="482"/>
      <c r="AG1133" s="482">
        <f t="shared" si="440"/>
        <v>-2500</v>
      </c>
      <c r="AH1133" s="655"/>
      <c r="AI1133" s="482" t="s">
        <v>2191</v>
      </c>
      <c r="AJ1133" s="482"/>
      <c r="AK1133" s="482"/>
      <c r="AL1133" s="656">
        <f>I1133</f>
        <v>2500</v>
      </c>
      <c r="AM1133" s="432"/>
      <c r="AN1133" s="432"/>
      <c r="AO1133" s="432"/>
      <c r="AP1133" s="432"/>
      <c r="AQ1133" s="432">
        <f>I1133</f>
        <v>2500</v>
      </c>
      <c r="AR1133" s="432"/>
      <c r="AS1133" s="656">
        <f t="shared" ref="AS1133:AS1136" si="442">I1133</f>
        <v>2500</v>
      </c>
      <c r="AT1133" s="660"/>
      <c r="AU1133" s="657"/>
      <c r="AV1133" s="657"/>
      <c r="AW1133" s="657"/>
      <c r="AX1133" s="657"/>
      <c r="AY1133" s="581">
        <f>I1133/24</f>
        <v>104.166666666667</v>
      </c>
      <c r="AZ1133" s="662"/>
      <c r="BA1133" s="432"/>
      <c r="BB1133" s="432"/>
      <c r="BC1133" s="432"/>
      <c r="BD1133" s="432"/>
      <c r="BE1133" s="432"/>
      <c r="BF1133" s="432"/>
      <c r="BG1133" s="432"/>
      <c r="BH1133" s="432"/>
      <c r="BI1133" s="432"/>
      <c r="BJ1133" s="432"/>
      <c r="BK1133" s="432"/>
      <c r="BL1133" s="432">
        <f>I1133/25</f>
        <v>100</v>
      </c>
      <c r="BM1133" s="657"/>
      <c r="BN1133" s="657"/>
      <c r="BO1133" s="657"/>
      <c r="BP1133" s="657"/>
      <c r="BQ1133" s="657"/>
      <c r="BR1133" s="657"/>
      <c r="BS1133" s="657"/>
      <c r="BT1133" s="660"/>
      <c r="BU1133" s="657"/>
      <c r="BV1133" s="660"/>
      <c r="BW1133" s="657"/>
      <c r="BX1133" s="657"/>
      <c r="BY1133" s="657"/>
      <c r="BZ1133" s="657"/>
      <c r="CA1133" s="657"/>
      <c r="CB1133" s="657"/>
      <c r="CC1133" s="657"/>
      <c r="CD1133" s="657"/>
      <c r="CE1133" s="657"/>
      <c r="CF1133" s="657"/>
      <c r="CG1133" s="657"/>
      <c r="CH1133" s="657"/>
      <c r="CI1133" s="657"/>
      <c r="CJ1133" s="657"/>
      <c r="CK1133" s="432">
        <f t="shared" si="436"/>
        <v>100</v>
      </c>
      <c r="CL1133" s="432">
        <f t="shared" si="437"/>
        <v>0</v>
      </c>
      <c r="CM1133" s="432">
        <f t="shared" si="438"/>
        <v>0</v>
      </c>
      <c r="CN1133" s="660"/>
      <c r="CO1133" s="660"/>
      <c r="CP1133" s="660"/>
      <c r="CT1133" s="660"/>
      <c r="CU1133" s="660"/>
      <c r="CV1133" s="660"/>
      <c r="CW1133" s="660"/>
      <c r="CX1133" s="660"/>
    </row>
    <row r="1134" s="433" customFormat="1" ht="31" customHeight="1" spans="1:102">
      <c r="A1134" s="633">
        <v>46036</v>
      </c>
      <c r="B1134" s="497" t="s">
        <v>1294</v>
      </c>
      <c r="C1134" s="635" t="s">
        <v>468</v>
      </c>
      <c r="D1134" s="432">
        <v>4500191234</v>
      </c>
      <c r="E1134" s="635"/>
      <c r="F1134" s="432" t="s">
        <v>5919</v>
      </c>
      <c r="G1134" s="482" t="s">
        <v>4962</v>
      </c>
      <c r="H1134" s="482" t="s">
        <v>3237</v>
      </c>
      <c r="I1134" s="482">
        <v>5004</v>
      </c>
      <c r="J1134" s="482">
        <v>0</v>
      </c>
      <c r="K1134" s="482">
        <v>12</v>
      </c>
      <c r="L1134" s="639">
        <f t="shared" si="439"/>
        <v>417</v>
      </c>
      <c r="M1134" s="640">
        <v>46097</v>
      </c>
      <c r="N1134" s="640">
        <v>46093</v>
      </c>
      <c r="O1134" s="641"/>
      <c r="P1134" s="641"/>
      <c r="Q1134" s="482"/>
      <c r="R1134" s="647">
        <v>46038</v>
      </c>
      <c r="S1134" s="647" t="s">
        <v>66</v>
      </c>
      <c r="T1134" s="647" t="s">
        <v>5920</v>
      </c>
      <c r="U1134" s="647"/>
      <c r="V1134" s="508" t="s">
        <v>5921</v>
      </c>
      <c r="W1134" s="508" t="s">
        <v>304</v>
      </c>
      <c r="X1134" s="508">
        <v>2.1422</v>
      </c>
      <c r="Y1134" s="651">
        <f t="shared" si="441"/>
        <v>10719.5688</v>
      </c>
      <c r="Z1134" s="482"/>
      <c r="AA1134" s="482" t="s">
        <v>3464</v>
      </c>
      <c r="AB1134" s="482" t="s">
        <v>76</v>
      </c>
      <c r="AC1134" s="482"/>
      <c r="AD1134" s="482"/>
      <c r="AE1134" s="497"/>
      <c r="AF1134" s="482"/>
      <c r="AG1134" s="482">
        <f t="shared" si="440"/>
        <v>-5004</v>
      </c>
      <c r="AH1134" s="655"/>
      <c r="AI1134" s="482" t="s">
        <v>2191</v>
      </c>
      <c r="AJ1134" s="482"/>
      <c r="AK1134" s="482"/>
      <c r="AL1134" s="432">
        <f>I1134*2</f>
        <v>10008</v>
      </c>
      <c r="AM1134" s="658"/>
      <c r="AN1134" s="658"/>
      <c r="AO1134" s="661"/>
      <c r="AP1134" s="658"/>
      <c r="AQ1134" s="432">
        <f>I1134*2</f>
        <v>10008</v>
      </c>
      <c r="AR1134" s="657"/>
      <c r="AS1134" s="656">
        <f>I1134*2</f>
        <v>10008</v>
      </c>
      <c r="AT1134" s="692"/>
      <c r="AU1134" s="657"/>
      <c r="AV1134" s="657"/>
      <c r="AW1134" s="657"/>
      <c r="AX1134" s="657"/>
      <c r="AY1134" s="663">
        <f>I1134/24*2</f>
        <v>417</v>
      </c>
      <c r="AZ1134" s="691"/>
      <c r="BA1134" s="657"/>
      <c r="BB1134" s="657"/>
      <c r="BC1134" s="657"/>
      <c r="BD1134" s="657"/>
      <c r="BE1134" s="657"/>
      <c r="BF1134" s="657"/>
      <c r="BG1134" s="657"/>
      <c r="BH1134" s="657"/>
      <c r="BI1134" s="657"/>
      <c r="BJ1134" s="657"/>
      <c r="BK1134" s="657"/>
      <c r="BL1134" s="657"/>
      <c r="BM1134" s="657"/>
      <c r="BN1134" s="657"/>
      <c r="BO1134" s="657"/>
      <c r="BP1134" s="657"/>
      <c r="BQ1134" s="657"/>
      <c r="BR1134" s="657"/>
      <c r="BS1134" s="657"/>
      <c r="BT1134" s="692"/>
      <c r="BU1134" s="657"/>
      <c r="BV1134" s="692"/>
      <c r="BW1134" s="657"/>
      <c r="BX1134" s="657"/>
      <c r="BY1134" s="657"/>
      <c r="BZ1134" s="657"/>
      <c r="CA1134" s="657"/>
      <c r="CB1134" s="657"/>
      <c r="CC1134" s="657"/>
      <c r="CD1134" s="657"/>
      <c r="CE1134" s="657"/>
      <c r="CF1134" s="657"/>
      <c r="CG1134" s="657"/>
      <c r="CH1134" s="432">
        <f>I1134</f>
        <v>5004</v>
      </c>
      <c r="CI1134" s="432">
        <f>I1134</f>
        <v>5004</v>
      </c>
      <c r="CJ1134" s="432">
        <f>I1134</f>
        <v>5004</v>
      </c>
      <c r="CK1134" s="432">
        <f t="shared" si="436"/>
        <v>0</v>
      </c>
      <c r="CL1134" s="432">
        <f t="shared" si="437"/>
        <v>0</v>
      </c>
      <c r="CM1134" s="432"/>
      <c r="CN1134" s="694"/>
      <c r="CO1134" s="694"/>
      <c r="CP1134" s="694"/>
      <c r="CT1134" s="694"/>
      <c r="CU1134" s="694"/>
      <c r="CV1134" s="694"/>
      <c r="CW1134" s="694"/>
      <c r="CX1134" s="694"/>
    </row>
    <row r="1135" s="435" customFormat="1" ht="32" customHeight="1" spans="1:102">
      <c r="A1135" s="633">
        <v>46042</v>
      </c>
      <c r="B1135" s="497" t="s">
        <v>70</v>
      </c>
      <c r="C1135" s="635" t="s">
        <v>71</v>
      </c>
      <c r="D1135" s="432">
        <v>4500191819</v>
      </c>
      <c r="E1135" s="635">
        <v>29394401</v>
      </c>
      <c r="F1135" s="432" t="s">
        <v>5922</v>
      </c>
      <c r="G1135" s="482" t="s">
        <v>3161</v>
      </c>
      <c r="H1135" s="482" t="s">
        <v>3221</v>
      </c>
      <c r="I1135" s="482">
        <v>3150</v>
      </c>
      <c r="J1135" s="482">
        <v>0</v>
      </c>
      <c r="K1135" s="482">
        <v>50</v>
      </c>
      <c r="L1135" s="639">
        <f t="shared" si="439"/>
        <v>63</v>
      </c>
      <c r="M1135" s="640">
        <v>46097</v>
      </c>
      <c r="N1135" s="640">
        <v>46093</v>
      </c>
      <c r="O1135" s="641"/>
      <c r="P1135" s="641"/>
      <c r="Q1135" s="482"/>
      <c r="R1135" s="647">
        <v>46042</v>
      </c>
      <c r="S1135" s="647" t="s">
        <v>66</v>
      </c>
      <c r="T1135" s="685" t="s">
        <v>5923</v>
      </c>
      <c r="U1135" s="647"/>
      <c r="V1135" s="571" t="s">
        <v>5924</v>
      </c>
      <c r="W1135" s="508" t="s">
        <v>1602</v>
      </c>
      <c r="X1135" s="508">
        <v>0.924</v>
      </c>
      <c r="Y1135" s="651">
        <f t="shared" si="441"/>
        <v>2910.6</v>
      </c>
      <c r="Z1135" s="482"/>
      <c r="AA1135" s="497" t="s">
        <v>4470</v>
      </c>
      <c r="AB1135" s="482" t="s">
        <v>76</v>
      </c>
      <c r="AC1135" s="482"/>
      <c r="AD1135" s="497"/>
      <c r="AE1135" s="497"/>
      <c r="AF1135" s="482"/>
      <c r="AG1135" s="482">
        <f t="shared" si="440"/>
        <v>-3150</v>
      </c>
      <c r="AH1135" s="655"/>
      <c r="AI1135" s="482" t="s">
        <v>2191</v>
      </c>
      <c r="AJ1135" s="482"/>
      <c r="AK1135" s="482"/>
      <c r="AL1135" s="656">
        <f>I1135</f>
        <v>3150</v>
      </c>
      <c r="AM1135" s="432"/>
      <c r="AN1135" s="432"/>
      <c r="AO1135" s="660"/>
      <c r="AP1135" s="432"/>
      <c r="AQ1135" s="432">
        <f>I1135</f>
        <v>3150</v>
      </c>
      <c r="AR1135" s="432"/>
      <c r="AS1135" s="432">
        <f t="shared" si="442"/>
        <v>3150</v>
      </c>
      <c r="AT1135" s="660"/>
      <c r="AU1135" s="658"/>
      <c r="AV1135" s="658"/>
      <c r="AW1135" s="658"/>
      <c r="AX1135" s="658"/>
      <c r="AY1135" s="581">
        <f>I1135/24</f>
        <v>131.25</v>
      </c>
      <c r="AZ1135" s="662"/>
      <c r="BA1135" s="432"/>
      <c r="BB1135" s="432"/>
      <c r="BC1135" s="432"/>
      <c r="BD1135" s="432"/>
      <c r="BE1135" s="432"/>
      <c r="BF1135" s="432"/>
      <c r="BG1135" s="432"/>
      <c r="BH1135" s="432"/>
      <c r="BI1135" s="432"/>
      <c r="BJ1135" s="432">
        <f>I1135/25</f>
        <v>126</v>
      </c>
      <c r="BK1135" s="432"/>
      <c r="BL1135" s="432"/>
      <c r="BM1135" s="658"/>
      <c r="BN1135" s="658"/>
      <c r="BO1135" s="658"/>
      <c r="BP1135" s="658"/>
      <c r="BQ1135" s="658"/>
      <c r="BR1135" s="658"/>
      <c r="BS1135" s="658"/>
      <c r="BT1135" s="660"/>
      <c r="BU1135" s="658"/>
      <c r="BV1135" s="660"/>
      <c r="BW1135" s="658"/>
      <c r="BX1135" s="658"/>
      <c r="BY1135" s="658"/>
      <c r="BZ1135" s="658"/>
      <c r="CA1135" s="658"/>
      <c r="CB1135" s="658"/>
      <c r="CC1135" s="658"/>
      <c r="CD1135" s="658"/>
      <c r="CE1135" s="658"/>
      <c r="CF1135" s="658"/>
      <c r="CG1135" s="658"/>
      <c r="CH1135" s="658"/>
      <c r="CI1135" s="658"/>
      <c r="CJ1135" s="658"/>
      <c r="CK1135" s="432">
        <f t="shared" si="436"/>
        <v>126</v>
      </c>
      <c r="CL1135" s="432">
        <f t="shared" si="437"/>
        <v>0</v>
      </c>
      <c r="CM1135" s="432">
        <f>BY1135+BZ1135</f>
        <v>0</v>
      </c>
      <c r="CN1135" s="694"/>
      <c r="CO1135" s="694"/>
      <c r="CP1135" s="694"/>
      <c r="CT1135" s="694"/>
      <c r="CU1135" s="694"/>
      <c r="CV1135" s="694"/>
      <c r="CW1135" s="694"/>
      <c r="CX1135" s="694"/>
    </row>
    <row r="1136" s="435" customFormat="1" ht="32" customHeight="1" spans="1:102">
      <c r="A1136" s="633">
        <v>46042</v>
      </c>
      <c r="B1136" s="497" t="s">
        <v>70</v>
      </c>
      <c r="C1136" s="635" t="s">
        <v>71</v>
      </c>
      <c r="D1136" s="432">
        <v>4500191819</v>
      </c>
      <c r="E1136" s="635">
        <v>29394330</v>
      </c>
      <c r="F1136" s="432" t="s">
        <v>5925</v>
      </c>
      <c r="G1136" s="482" t="s">
        <v>3161</v>
      </c>
      <c r="H1136" s="482" t="s">
        <v>3221</v>
      </c>
      <c r="I1136" s="482">
        <v>1850</v>
      </c>
      <c r="J1136" s="482">
        <v>0</v>
      </c>
      <c r="K1136" s="482">
        <v>50</v>
      </c>
      <c r="L1136" s="639">
        <f t="shared" si="439"/>
        <v>37</v>
      </c>
      <c r="M1136" s="640">
        <v>46097</v>
      </c>
      <c r="N1136" s="640">
        <v>46093</v>
      </c>
      <c r="O1136" s="641"/>
      <c r="P1136" s="641"/>
      <c r="Q1136" s="482"/>
      <c r="R1136" s="647">
        <v>46042</v>
      </c>
      <c r="S1136" s="647" t="s">
        <v>66</v>
      </c>
      <c r="T1136" s="685" t="s">
        <v>5923</v>
      </c>
      <c r="U1136" s="647"/>
      <c r="V1136" s="571" t="s">
        <v>5924</v>
      </c>
      <c r="W1136" s="508" t="s">
        <v>1602</v>
      </c>
      <c r="X1136" s="508">
        <v>0.941</v>
      </c>
      <c r="Y1136" s="651">
        <f t="shared" si="441"/>
        <v>1740.85</v>
      </c>
      <c r="Z1136" s="482"/>
      <c r="AA1136" s="497" t="s">
        <v>4470</v>
      </c>
      <c r="AB1136" s="482" t="s">
        <v>76</v>
      </c>
      <c r="AC1136" s="482"/>
      <c r="AD1136" s="497"/>
      <c r="AE1136" s="482"/>
      <c r="AF1136" s="482"/>
      <c r="AG1136" s="482">
        <f t="shared" si="440"/>
        <v>-1850</v>
      </c>
      <c r="AH1136" s="655"/>
      <c r="AI1136" s="482" t="s">
        <v>2191</v>
      </c>
      <c r="AJ1136" s="482"/>
      <c r="AK1136" s="482"/>
      <c r="AL1136" s="656">
        <f>I1136</f>
        <v>1850</v>
      </c>
      <c r="AM1136" s="432"/>
      <c r="AN1136" s="432"/>
      <c r="AO1136" s="660"/>
      <c r="AP1136" s="432"/>
      <c r="AQ1136" s="432">
        <f>I1136</f>
        <v>1850</v>
      </c>
      <c r="AR1136" s="432"/>
      <c r="AS1136" s="432">
        <f t="shared" si="442"/>
        <v>1850</v>
      </c>
      <c r="AT1136" s="660"/>
      <c r="AU1136" s="658"/>
      <c r="AV1136" s="658"/>
      <c r="AW1136" s="658"/>
      <c r="AX1136" s="658"/>
      <c r="AY1136" s="581">
        <f>I1136/24</f>
        <v>77.0833333333333</v>
      </c>
      <c r="AZ1136" s="662"/>
      <c r="BA1136" s="432"/>
      <c r="BB1136" s="432"/>
      <c r="BC1136" s="432"/>
      <c r="BD1136" s="432"/>
      <c r="BE1136" s="432"/>
      <c r="BF1136" s="432"/>
      <c r="BG1136" s="432"/>
      <c r="BH1136" s="432"/>
      <c r="BI1136" s="432"/>
      <c r="BJ1136" s="432">
        <f>I1136/25</f>
        <v>74</v>
      </c>
      <c r="BK1136" s="432"/>
      <c r="BL1136" s="432"/>
      <c r="BM1136" s="658"/>
      <c r="BN1136" s="658"/>
      <c r="BO1136" s="658"/>
      <c r="BP1136" s="658"/>
      <c r="BQ1136" s="658"/>
      <c r="BR1136" s="658"/>
      <c r="BS1136" s="658"/>
      <c r="BT1136" s="660"/>
      <c r="BU1136" s="658"/>
      <c r="BV1136" s="660"/>
      <c r="BW1136" s="658"/>
      <c r="BX1136" s="658"/>
      <c r="BY1136" s="658"/>
      <c r="BZ1136" s="658"/>
      <c r="CA1136" s="658"/>
      <c r="CB1136" s="658"/>
      <c r="CC1136" s="658"/>
      <c r="CD1136" s="658"/>
      <c r="CE1136" s="658"/>
      <c r="CF1136" s="658"/>
      <c r="CG1136" s="658"/>
      <c r="CH1136" s="658"/>
      <c r="CI1136" s="658"/>
      <c r="CJ1136" s="658"/>
      <c r="CK1136" s="432">
        <f t="shared" si="436"/>
        <v>74</v>
      </c>
      <c r="CL1136" s="432">
        <f t="shared" si="437"/>
        <v>0</v>
      </c>
      <c r="CM1136" s="432">
        <f>BY1136+BZ1136</f>
        <v>0</v>
      </c>
      <c r="CN1136" s="694"/>
      <c r="CO1136" s="694"/>
      <c r="CP1136" s="694"/>
      <c r="CT1136" s="694"/>
      <c r="CU1136" s="694"/>
      <c r="CV1136" s="694"/>
      <c r="CW1136" s="694"/>
      <c r="CX1136" s="694"/>
    </row>
    <row r="1137" s="433" customFormat="1" ht="31" customHeight="1" spans="1:102">
      <c r="A1137" s="633">
        <v>46041</v>
      </c>
      <c r="B1137" s="497" t="s">
        <v>122</v>
      </c>
      <c r="C1137" s="635" t="s">
        <v>116</v>
      </c>
      <c r="D1137" s="432">
        <v>4500190626</v>
      </c>
      <c r="E1137" s="635">
        <v>21503984</v>
      </c>
      <c r="F1137" s="482" t="s">
        <v>2890</v>
      </c>
      <c r="G1137" s="482" t="s">
        <v>3206</v>
      </c>
      <c r="H1137" s="482" t="s">
        <v>4939</v>
      </c>
      <c r="I1137" s="645">
        <v>4485</v>
      </c>
      <c r="J1137" s="482">
        <v>0</v>
      </c>
      <c r="K1137" s="482">
        <v>13</v>
      </c>
      <c r="L1137" s="639">
        <f t="shared" si="439"/>
        <v>345</v>
      </c>
      <c r="M1137" s="679">
        <v>46100</v>
      </c>
      <c r="N1137" s="679">
        <v>46097</v>
      </c>
      <c r="O1137" s="641"/>
      <c r="P1137" s="641"/>
      <c r="Q1137" s="482"/>
      <c r="R1137" s="647">
        <v>46041</v>
      </c>
      <c r="S1137" s="647" t="s">
        <v>96</v>
      </c>
      <c r="T1137" s="683" t="s">
        <v>5912</v>
      </c>
      <c r="U1137" s="683"/>
      <c r="V1137" s="683" t="s">
        <v>5926</v>
      </c>
      <c r="W1137" s="651" t="s">
        <v>2893</v>
      </c>
      <c r="X1137" s="648">
        <v>0.9475</v>
      </c>
      <c r="Y1137" s="651">
        <f t="shared" si="441"/>
        <v>4249.5375</v>
      </c>
      <c r="Z1137" s="687"/>
      <c r="AA1137" s="688" t="s">
        <v>3206</v>
      </c>
      <c r="AB1137" s="482" t="s">
        <v>76</v>
      </c>
      <c r="AC1137" s="656"/>
      <c r="AD1137" s="635"/>
      <c r="AE1137" s="497"/>
      <c r="AF1137" s="482"/>
      <c r="AG1137" s="482">
        <f t="shared" si="440"/>
        <v>-4485</v>
      </c>
      <c r="AH1137" s="482"/>
      <c r="AI1137" s="482" t="s">
        <v>2191</v>
      </c>
      <c r="AJ1137" s="482"/>
      <c r="AK1137" s="482"/>
      <c r="AL1137" s="656">
        <f>I1137</f>
        <v>4485</v>
      </c>
      <c r="AM1137" s="658"/>
      <c r="AN1137" s="656"/>
      <c r="AO1137" s="656"/>
      <c r="AP1137" s="432"/>
      <c r="AQ1137" s="432">
        <f>I1137*2</f>
        <v>8970</v>
      </c>
      <c r="AR1137" s="656"/>
      <c r="AS1137" s="656">
        <f>I1137*2</f>
        <v>8970</v>
      </c>
      <c r="AT1137" s="656"/>
      <c r="AU1137" s="656"/>
      <c r="AV1137" s="662"/>
      <c r="AW1137" s="432"/>
      <c r="AX1137" s="432"/>
      <c r="AY1137" s="581">
        <f>I1137/24</f>
        <v>186.875</v>
      </c>
      <c r="AZ1137" s="432"/>
      <c r="BA1137" s="656"/>
      <c r="BB1137" s="656"/>
      <c r="BC1137" s="432"/>
      <c r="BD1137" s="432"/>
      <c r="BE1137" s="656"/>
      <c r="BF1137" s="656"/>
      <c r="BG1137" s="432"/>
      <c r="BH1137" s="656"/>
      <c r="BI1137" s="432">
        <f>I1137/13</f>
        <v>345</v>
      </c>
      <c r="BJ1137" s="432"/>
      <c r="BK1137" s="432"/>
      <c r="BL1137" s="432"/>
      <c r="BM1137" s="432"/>
      <c r="BN1137" s="432"/>
      <c r="BO1137" s="432"/>
      <c r="BP1137" s="432"/>
      <c r="BQ1137" s="432"/>
      <c r="BR1137" s="432"/>
      <c r="BS1137" s="432"/>
      <c r="BT1137" s="432"/>
      <c r="BU1137" s="432"/>
      <c r="BV1137" s="432"/>
      <c r="BW1137" s="432"/>
      <c r="BX1137" s="432"/>
      <c r="BY1137" s="432"/>
      <c r="BZ1137" s="432"/>
      <c r="CA1137" s="432"/>
      <c r="CB1137" s="432"/>
      <c r="CC1137" s="432"/>
      <c r="CD1137" s="432"/>
      <c r="CE1137" s="432"/>
      <c r="CF1137" s="432"/>
      <c r="CG1137" s="660"/>
      <c r="CH1137" s="660"/>
      <c r="CI1137" s="660"/>
      <c r="CJ1137" s="660"/>
      <c r="CK1137" s="432">
        <f t="shared" si="436"/>
        <v>0</v>
      </c>
      <c r="CL1137" s="432">
        <f t="shared" si="437"/>
        <v>0</v>
      </c>
      <c r="CM1137" s="432">
        <f>BY1137+BZ1137</f>
        <v>0</v>
      </c>
      <c r="CN1137" s="671"/>
      <c r="CO1137" s="694"/>
      <c r="CP1137" s="694"/>
      <c r="CQ1137" s="694"/>
      <c r="CR1137" s="694"/>
      <c r="CS1137" s="694"/>
      <c r="CT1137" s="694"/>
      <c r="CU1137" s="695"/>
      <c r="CV1137" s="695"/>
      <c r="CW1137" s="695"/>
      <c r="CX1137" s="695"/>
    </row>
    <row r="1138" s="433" customFormat="1" ht="32" customHeight="1" spans="1:102">
      <c r="A1138" s="633">
        <v>46042</v>
      </c>
      <c r="B1138" s="497" t="s">
        <v>125</v>
      </c>
      <c r="C1138" s="635" t="s">
        <v>71</v>
      </c>
      <c r="D1138" s="432">
        <v>4500190629</v>
      </c>
      <c r="E1138" s="635">
        <v>21503987</v>
      </c>
      <c r="F1138" s="432" t="s">
        <v>5927</v>
      </c>
      <c r="G1138" s="482" t="s">
        <v>3206</v>
      </c>
      <c r="H1138" s="482" t="s">
        <v>4939</v>
      </c>
      <c r="I1138" s="645">
        <v>455</v>
      </c>
      <c r="J1138" s="482">
        <v>0</v>
      </c>
      <c r="K1138" s="482">
        <v>13</v>
      </c>
      <c r="L1138" s="639">
        <f t="shared" si="439"/>
        <v>35</v>
      </c>
      <c r="M1138" s="640">
        <v>46100</v>
      </c>
      <c r="N1138" s="640">
        <v>46097</v>
      </c>
      <c r="O1138" s="641"/>
      <c r="P1138" s="641"/>
      <c r="Q1138" s="482"/>
      <c r="R1138" s="647">
        <v>46041</v>
      </c>
      <c r="S1138" s="647" t="s">
        <v>96</v>
      </c>
      <c r="T1138" s="683" t="s">
        <v>5912</v>
      </c>
      <c r="U1138" s="647"/>
      <c r="V1138" s="508" t="s">
        <v>5928</v>
      </c>
      <c r="W1138" s="508" t="s">
        <v>2893</v>
      </c>
      <c r="X1138" s="648">
        <v>0.9526</v>
      </c>
      <c r="Y1138" s="651">
        <f t="shared" si="441"/>
        <v>433.433</v>
      </c>
      <c r="Z1138" s="482"/>
      <c r="AA1138" s="688" t="s">
        <v>3206</v>
      </c>
      <c r="AB1138" s="482" t="s">
        <v>76</v>
      </c>
      <c r="AC1138" s="482"/>
      <c r="AD1138" s="497"/>
      <c r="AE1138" s="497">
        <v>1</v>
      </c>
      <c r="AF1138" s="482"/>
      <c r="AG1138" s="482">
        <f t="shared" si="440"/>
        <v>-455</v>
      </c>
      <c r="AH1138" s="655"/>
      <c r="AI1138" s="482" t="s">
        <v>2191</v>
      </c>
      <c r="AJ1138" s="482"/>
      <c r="AK1138" s="482"/>
      <c r="AL1138" s="656">
        <f>I1138</f>
        <v>455</v>
      </c>
      <c r="AM1138" s="432"/>
      <c r="AN1138" s="432"/>
      <c r="AO1138" s="432"/>
      <c r="AP1138" s="432"/>
      <c r="AQ1138" s="432">
        <f>I1138*2</f>
        <v>910</v>
      </c>
      <c r="AR1138" s="656"/>
      <c r="AS1138" s="656">
        <f>I1138*2</f>
        <v>910</v>
      </c>
      <c r="AT1138" s="660"/>
      <c r="AU1138" s="657"/>
      <c r="AV1138" s="657"/>
      <c r="AW1138" s="657"/>
      <c r="AX1138" s="657"/>
      <c r="AY1138" s="581">
        <f>I1138/24</f>
        <v>18.9583333333333</v>
      </c>
      <c r="AZ1138" s="662"/>
      <c r="BA1138" s="432"/>
      <c r="BB1138" s="432"/>
      <c r="BC1138" s="432"/>
      <c r="BD1138" s="432"/>
      <c r="BE1138" s="432"/>
      <c r="BF1138" s="432"/>
      <c r="BG1138" s="432"/>
      <c r="BH1138" s="432"/>
      <c r="BI1138" s="432">
        <f>I1138/13</f>
        <v>35</v>
      </c>
      <c r="BJ1138" s="432"/>
      <c r="BK1138" s="432"/>
      <c r="BL1138" s="432"/>
      <c r="BM1138" s="657"/>
      <c r="BN1138" s="657"/>
      <c r="BO1138" s="657"/>
      <c r="BP1138" s="657"/>
      <c r="BQ1138" s="657"/>
      <c r="BR1138" s="657"/>
      <c r="BS1138" s="657"/>
      <c r="BT1138" s="660"/>
      <c r="BU1138" s="657"/>
      <c r="BV1138" s="660"/>
      <c r="BW1138" s="657"/>
      <c r="BX1138" s="657"/>
      <c r="BY1138" s="657"/>
      <c r="BZ1138" s="657"/>
      <c r="CA1138" s="657"/>
      <c r="CB1138" s="657"/>
      <c r="CC1138" s="657"/>
      <c r="CD1138" s="657"/>
      <c r="CE1138" s="657"/>
      <c r="CF1138" s="657"/>
      <c r="CG1138" s="657"/>
      <c r="CH1138" s="657"/>
      <c r="CI1138" s="657"/>
      <c r="CJ1138" s="657"/>
      <c r="CK1138" s="432">
        <f t="shared" si="436"/>
        <v>0</v>
      </c>
      <c r="CL1138" s="432">
        <f t="shared" si="437"/>
        <v>0</v>
      </c>
      <c r="CM1138" s="432">
        <f>BY1138+BZ1138</f>
        <v>0</v>
      </c>
      <c r="CN1138" s="694"/>
      <c r="CO1138" s="694"/>
      <c r="CP1138" s="694"/>
      <c r="CT1138" s="694"/>
      <c r="CU1138" s="694"/>
      <c r="CV1138" s="694"/>
      <c r="CW1138" s="694"/>
      <c r="CX1138" s="694"/>
    </row>
    <row r="1139" s="432" customFormat="1" ht="31" customHeight="1" spans="1:102">
      <c r="A1139" s="633">
        <v>45995</v>
      </c>
      <c r="B1139" s="497" t="s">
        <v>2553</v>
      </c>
      <c r="C1139" s="634" t="s">
        <v>90</v>
      </c>
      <c r="D1139" s="432">
        <v>4500187942</v>
      </c>
      <c r="E1139" s="635">
        <v>70079711</v>
      </c>
      <c r="F1139" s="432" t="s">
        <v>2915</v>
      </c>
      <c r="G1139" s="482" t="s">
        <v>5627</v>
      </c>
      <c r="H1139" s="482" t="s">
        <v>5628</v>
      </c>
      <c r="I1139" s="482">
        <v>600</v>
      </c>
      <c r="J1139" s="482">
        <v>0</v>
      </c>
      <c r="K1139" s="482">
        <v>8</v>
      </c>
      <c r="L1139" s="639">
        <f t="shared" si="439"/>
        <v>75</v>
      </c>
      <c r="M1139" s="640">
        <v>46101</v>
      </c>
      <c r="N1139" s="640">
        <v>46097</v>
      </c>
      <c r="O1139" s="641"/>
      <c r="P1139" s="641"/>
      <c r="Q1139" s="482"/>
      <c r="R1139" s="647">
        <v>45995</v>
      </c>
      <c r="S1139" s="647" t="s">
        <v>66</v>
      </c>
      <c r="T1139" s="647" t="s">
        <v>5629</v>
      </c>
      <c r="U1139" s="647"/>
      <c r="V1139" s="571" t="s">
        <v>2774</v>
      </c>
      <c r="W1139" s="650" t="s">
        <v>2775</v>
      </c>
      <c r="X1139" s="508">
        <v>4.2977</v>
      </c>
      <c r="Y1139" s="651">
        <f t="shared" si="441"/>
        <v>2578.62</v>
      </c>
      <c r="Z1139" s="482"/>
      <c r="AA1139" s="482" t="s">
        <v>2495</v>
      </c>
      <c r="AB1139" s="482" t="s">
        <v>76</v>
      </c>
      <c r="AC1139" s="482"/>
      <c r="AD1139" s="497"/>
      <c r="AE1139" s="497"/>
      <c r="AF1139" s="482"/>
      <c r="AG1139" s="482">
        <f t="shared" si="440"/>
        <v>-600</v>
      </c>
      <c r="AH1139" s="655"/>
      <c r="AI1139" s="482" t="s">
        <v>2191</v>
      </c>
      <c r="AJ1139" s="482"/>
      <c r="AK1139" s="482">
        <f>I1139*2</f>
        <v>1200</v>
      </c>
      <c r="AL1139" s="656"/>
      <c r="AM1139" s="432">
        <f>I1139*2</f>
        <v>1200</v>
      </c>
      <c r="AR1139" s="432">
        <f>I1139</f>
        <v>600</v>
      </c>
      <c r="AS1139" s="656"/>
      <c r="AT1139" s="660"/>
      <c r="AY1139" s="663">
        <f>I1139/24*2</f>
        <v>50</v>
      </c>
      <c r="AZ1139" s="662"/>
      <c r="BT1139" s="660"/>
      <c r="BV1139" s="660">
        <f>I1139</f>
        <v>600</v>
      </c>
      <c r="CK1139" s="432">
        <f t="shared" si="436"/>
        <v>0</v>
      </c>
      <c r="CL1139" s="432">
        <f t="shared" si="437"/>
        <v>0</v>
      </c>
      <c r="CM1139" s="432">
        <f>BY1139+BZ1139</f>
        <v>0</v>
      </c>
      <c r="CN1139" s="660"/>
      <c r="CO1139" s="660"/>
      <c r="CP1139" s="660"/>
      <c r="CT1139" s="660"/>
      <c r="CU1139" s="660"/>
      <c r="CV1139" s="660"/>
      <c r="CW1139" s="660"/>
      <c r="CX1139" s="660"/>
    </row>
    <row r="1140" s="432" customFormat="1" ht="31" customHeight="1" spans="1:102">
      <c r="A1140" s="633">
        <v>45995</v>
      </c>
      <c r="B1140" s="497" t="s">
        <v>2553</v>
      </c>
      <c r="C1140" s="634" t="s">
        <v>90</v>
      </c>
      <c r="D1140" s="432">
        <v>4500186809</v>
      </c>
      <c r="E1140" s="635">
        <v>70081802</v>
      </c>
      <c r="F1140" s="432" t="s">
        <v>5929</v>
      </c>
      <c r="G1140" s="482" t="s">
        <v>4564</v>
      </c>
      <c r="H1140" s="482" t="s">
        <v>3237</v>
      </c>
      <c r="I1140" s="482">
        <v>1104</v>
      </c>
      <c r="J1140" s="482">
        <v>0</v>
      </c>
      <c r="K1140" s="482">
        <v>12</v>
      </c>
      <c r="L1140" s="639">
        <f t="shared" si="439"/>
        <v>92</v>
      </c>
      <c r="M1140" s="640">
        <v>46101</v>
      </c>
      <c r="N1140" s="640">
        <v>46097</v>
      </c>
      <c r="O1140" s="641"/>
      <c r="P1140" s="641"/>
      <c r="Q1140" s="482"/>
      <c r="R1140" s="647">
        <v>45995</v>
      </c>
      <c r="S1140" s="647" t="s">
        <v>66</v>
      </c>
      <c r="T1140" s="647" t="s">
        <v>2493</v>
      </c>
      <c r="U1140" s="647"/>
      <c r="V1140" s="508" t="s">
        <v>5930</v>
      </c>
      <c r="W1140" s="650" t="s">
        <v>2441</v>
      </c>
      <c r="X1140" s="508">
        <v>1.3094</v>
      </c>
      <c r="Y1140" s="651">
        <f t="shared" si="441"/>
        <v>1445.5776</v>
      </c>
      <c r="Z1140" s="482"/>
      <c r="AA1140" s="482" t="s">
        <v>5650</v>
      </c>
      <c r="AB1140" s="482" t="s">
        <v>76</v>
      </c>
      <c r="AC1140" s="482"/>
      <c r="AD1140" s="497"/>
      <c r="AE1140" s="497"/>
      <c r="AF1140" s="482"/>
      <c r="AG1140" s="482">
        <f t="shared" si="440"/>
        <v>-1104</v>
      </c>
      <c r="AH1140" s="655"/>
      <c r="AI1140" s="482" t="s">
        <v>2191</v>
      </c>
      <c r="AJ1140" s="482"/>
      <c r="AK1140" s="482">
        <f>I1140*2</f>
        <v>2208</v>
      </c>
      <c r="AL1140" s="656"/>
      <c r="AM1140" s="432">
        <f>I1140*2</f>
        <v>2208</v>
      </c>
      <c r="AR1140" s="656">
        <f>I1140*2</f>
        <v>2208</v>
      </c>
      <c r="AS1140" s="656"/>
      <c r="AT1140" s="660"/>
      <c r="AY1140" s="581">
        <f>I1140/24*2</f>
        <v>92</v>
      </c>
      <c r="AZ1140" s="662"/>
      <c r="BT1140" s="660"/>
      <c r="BV1140" s="660"/>
      <c r="CH1140" s="432">
        <f>I1140</f>
        <v>1104</v>
      </c>
      <c r="CI1140" s="432">
        <f>I1140</f>
        <v>1104</v>
      </c>
      <c r="CJ1140" s="432">
        <f>I1140</f>
        <v>1104</v>
      </c>
      <c r="CK1140" s="432">
        <v>0</v>
      </c>
      <c r="CL1140" s="432">
        <v>0</v>
      </c>
      <c r="CM1140" s="432">
        <v>0</v>
      </c>
      <c r="CN1140" s="660"/>
      <c r="CO1140" s="660"/>
      <c r="CP1140" s="660"/>
      <c r="CT1140" s="660"/>
      <c r="CU1140" s="660"/>
      <c r="CV1140" s="660"/>
      <c r="CW1140" s="660"/>
      <c r="CX1140" s="660"/>
    </row>
    <row r="1141" s="432" customFormat="1" ht="31" customHeight="1" spans="1:102">
      <c r="A1141" s="633">
        <v>45978</v>
      </c>
      <c r="B1141" s="497" t="s">
        <v>1372</v>
      </c>
      <c r="C1141" s="634" t="s">
        <v>90</v>
      </c>
      <c r="D1141" s="432">
        <v>4500185945</v>
      </c>
      <c r="E1141" s="894" t="s">
        <v>2909</v>
      </c>
      <c r="F1141" s="432" t="s">
        <v>2910</v>
      </c>
      <c r="G1141" s="482" t="s">
        <v>5575</v>
      </c>
      <c r="H1141" s="482" t="s">
        <v>744</v>
      </c>
      <c r="I1141" s="482">
        <v>5400</v>
      </c>
      <c r="J1141" s="482">
        <v>0</v>
      </c>
      <c r="K1141" s="482">
        <v>75</v>
      </c>
      <c r="L1141" s="639">
        <f t="shared" si="439"/>
        <v>72</v>
      </c>
      <c r="M1141" s="644">
        <v>46101</v>
      </c>
      <c r="N1141" s="640">
        <v>46097</v>
      </c>
      <c r="O1141" s="641"/>
      <c r="P1141" s="641"/>
      <c r="Q1141" s="482"/>
      <c r="R1141" s="647" t="s">
        <v>2432</v>
      </c>
      <c r="S1141" s="647" t="s">
        <v>66</v>
      </c>
      <c r="T1141" s="647" t="s">
        <v>66</v>
      </c>
      <c r="U1141" s="647"/>
      <c r="V1141" s="508" t="s">
        <v>2565</v>
      </c>
      <c r="W1141" s="650" t="s">
        <v>821</v>
      </c>
      <c r="X1141" s="508">
        <v>359.3436</v>
      </c>
      <c r="Y1141" s="651">
        <f>X1141*L1141</f>
        <v>25872.7392</v>
      </c>
      <c r="Z1141" s="482"/>
      <c r="AA1141" s="497" t="s">
        <v>1378</v>
      </c>
      <c r="AB1141" s="482" t="s">
        <v>76</v>
      </c>
      <c r="AC1141" s="482"/>
      <c r="AD1141" s="497"/>
      <c r="AE1141" s="497"/>
      <c r="AF1141" s="482"/>
      <c r="AG1141" s="482">
        <f t="shared" si="440"/>
        <v>-5400</v>
      </c>
      <c r="AH1141" s="655"/>
      <c r="AI1141" s="482"/>
      <c r="AJ1141" s="482"/>
      <c r="AK1141" s="549">
        <f>I1141*3</f>
        <v>16200</v>
      </c>
      <c r="AL1141" s="656"/>
      <c r="AR1141" s="656"/>
      <c r="AS1141" s="656"/>
      <c r="AT1141" s="660"/>
      <c r="AY1141" s="581">
        <f>I1141/24*3</f>
        <v>675</v>
      </c>
      <c r="AZ1141" s="662"/>
      <c r="BC1141" s="432">
        <f>AK1141</f>
        <v>16200</v>
      </c>
      <c r="BD1141" s="432">
        <f>AK1141</f>
        <v>16200</v>
      </c>
      <c r="BE1141" s="432">
        <f>I1141</f>
        <v>5400</v>
      </c>
      <c r="BF1141" s="432">
        <f>I1141/5</f>
        <v>1080</v>
      </c>
      <c r="BT1141" s="660"/>
      <c r="BV1141" s="660"/>
      <c r="CK1141" s="428">
        <f>BM1141+BL1141+BK1141+BJ1141+BS1141</f>
        <v>0</v>
      </c>
      <c r="CL1141" s="428">
        <f>CA1141+CB1141+CC1141+CD1141+CE1141+CG1141+CF1141</f>
        <v>0</v>
      </c>
      <c r="CM1141" s="428">
        <f>BY1141+BZ1141</f>
        <v>0</v>
      </c>
      <c r="CN1141" s="660"/>
      <c r="CO1141" s="660"/>
      <c r="CP1141" s="660"/>
      <c r="CT1141" s="660"/>
      <c r="CU1141" s="660"/>
      <c r="CV1141" s="660"/>
      <c r="CW1141" s="660"/>
      <c r="CX1141" s="660"/>
    </row>
    <row r="1142" s="432" customFormat="1" ht="31" customHeight="1" spans="1:102">
      <c r="A1142" s="633">
        <v>45978</v>
      </c>
      <c r="B1142" s="497" t="s">
        <v>1372</v>
      </c>
      <c r="C1142" s="634" t="s">
        <v>90</v>
      </c>
      <c r="D1142" s="432">
        <v>4500185946</v>
      </c>
      <c r="E1142" s="894" t="s">
        <v>2911</v>
      </c>
      <c r="F1142" s="432" t="s">
        <v>2912</v>
      </c>
      <c r="G1142" s="482" t="s">
        <v>5575</v>
      </c>
      <c r="H1142" s="482" t="s">
        <v>744</v>
      </c>
      <c r="I1142" s="482">
        <v>5400</v>
      </c>
      <c r="J1142" s="482">
        <v>0</v>
      </c>
      <c r="K1142" s="482">
        <v>75</v>
      </c>
      <c r="L1142" s="639">
        <f t="shared" si="439"/>
        <v>72</v>
      </c>
      <c r="M1142" s="644">
        <v>46101</v>
      </c>
      <c r="N1142" s="640">
        <v>46097</v>
      </c>
      <c r="O1142" s="641"/>
      <c r="P1142" s="641"/>
      <c r="Q1142" s="482"/>
      <c r="R1142" s="647" t="s">
        <v>2432</v>
      </c>
      <c r="S1142" s="647" t="s">
        <v>66</v>
      </c>
      <c r="T1142" s="647" t="s">
        <v>66</v>
      </c>
      <c r="U1142" s="647"/>
      <c r="V1142" s="508" t="s">
        <v>2565</v>
      </c>
      <c r="W1142" s="650" t="s">
        <v>821</v>
      </c>
      <c r="X1142" s="508">
        <v>359.3436</v>
      </c>
      <c r="Y1142" s="651">
        <f>X1142*L1142</f>
        <v>25872.7392</v>
      </c>
      <c r="Z1142" s="482"/>
      <c r="AA1142" s="497" t="s">
        <v>1378</v>
      </c>
      <c r="AB1142" s="482" t="s">
        <v>76</v>
      </c>
      <c r="AC1142" s="482"/>
      <c r="AD1142" s="497"/>
      <c r="AE1142" s="497"/>
      <c r="AF1142" s="482"/>
      <c r="AG1142" s="482">
        <f t="shared" si="440"/>
        <v>-5400</v>
      </c>
      <c r="AH1142" s="655"/>
      <c r="AI1142" s="482"/>
      <c r="AJ1142" s="482"/>
      <c r="AK1142" s="549">
        <f>I1142*3</f>
        <v>16200</v>
      </c>
      <c r="AL1142" s="656"/>
      <c r="AR1142" s="656"/>
      <c r="AS1142" s="656"/>
      <c r="AT1142" s="660"/>
      <c r="AY1142" s="581">
        <f>I1142/24*3</f>
        <v>675</v>
      </c>
      <c r="AZ1142" s="662"/>
      <c r="BC1142" s="432">
        <f>AK1142</f>
        <v>16200</v>
      </c>
      <c r="BD1142" s="432">
        <f>AK1142</f>
        <v>16200</v>
      </c>
      <c r="BE1142" s="432">
        <f>I1142</f>
        <v>5400</v>
      </c>
      <c r="BF1142" s="432">
        <f>I1142/5</f>
        <v>1080</v>
      </c>
      <c r="BT1142" s="660"/>
      <c r="BV1142" s="660"/>
      <c r="CK1142" s="428">
        <f>BM1142+BL1142+BK1142+BJ1142+BS1142</f>
        <v>0</v>
      </c>
      <c r="CL1142" s="428">
        <f>CA1142+CB1142+CC1142+CD1142+CE1142+CG1142+CF1142</f>
        <v>0</v>
      </c>
      <c r="CM1142" s="428">
        <f>BY1142+BZ1142</f>
        <v>0</v>
      </c>
      <c r="CN1142" s="660"/>
      <c r="CO1142" s="660"/>
      <c r="CP1142" s="660"/>
      <c r="CT1142" s="660"/>
      <c r="CU1142" s="660"/>
      <c r="CV1142" s="660"/>
      <c r="CW1142" s="660"/>
      <c r="CX1142" s="660"/>
    </row>
    <row r="1143" s="432" customFormat="1" ht="31" customHeight="1" spans="1:102">
      <c r="A1143" s="633">
        <v>45978</v>
      </c>
      <c r="B1143" s="497" t="s">
        <v>1372</v>
      </c>
      <c r="C1143" s="634" t="s">
        <v>90</v>
      </c>
      <c r="D1143" s="432">
        <v>4500185948</v>
      </c>
      <c r="E1143" s="894" t="s">
        <v>2913</v>
      </c>
      <c r="F1143" s="432" t="s">
        <v>2914</v>
      </c>
      <c r="G1143" s="482" t="s">
        <v>5575</v>
      </c>
      <c r="H1143" s="482" t="s">
        <v>744</v>
      </c>
      <c r="I1143" s="482">
        <v>5400</v>
      </c>
      <c r="J1143" s="482">
        <v>0</v>
      </c>
      <c r="K1143" s="482">
        <v>75</v>
      </c>
      <c r="L1143" s="639">
        <f t="shared" si="439"/>
        <v>72</v>
      </c>
      <c r="M1143" s="644">
        <v>46101</v>
      </c>
      <c r="N1143" s="640">
        <v>46097</v>
      </c>
      <c r="O1143" s="641"/>
      <c r="P1143" s="641"/>
      <c r="Q1143" s="482"/>
      <c r="R1143" s="647" t="s">
        <v>2432</v>
      </c>
      <c r="S1143" s="647" t="s">
        <v>66</v>
      </c>
      <c r="T1143" s="647" t="s">
        <v>66</v>
      </c>
      <c r="U1143" s="647"/>
      <c r="V1143" s="508" t="s">
        <v>2565</v>
      </c>
      <c r="W1143" s="650" t="s">
        <v>821</v>
      </c>
      <c r="X1143" s="508">
        <v>359.3436</v>
      </c>
      <c r="Y1143" s="651">
        <f>X1143*L1143</f>
        <v>25872.7392</v>
      </c>
      <c r="Z1143" s="482"/>
      <c r="AA1143" s="497" t="s">
        <v>1378</v>
      </c>
      <c r="AB1143" s="482" t="s">
        <v>76</v>
      </c>
      <c r="AC1143" s="482"/>
      <c r="AD1143" s="497"/>
      <c r="AE1143" s="497"/>
      <c r="AF1143" s="482"/>
      <c r="AG1143" s="482">
        <f t="shared" si="440"/>
        <v>-5400</v>
      </c>
      <c r="AH1143" s="655"/>
      <c r="AI1143" s="482"/>
      <c r="AJ1143" s="482"/>
      <c r="AK1143" s="549">
        <f>I1143*3</f>
        <v>16200</v>
      </c>
      <c r="AL1143" s="656"/>
      <c r="AR1143" s="656"/>
      <c r="AS1143" s="656"/>
      <c r="AT1143" s="660"/>
      <c r="AY1143" s="581">
        <f>I1143/24*3</f>
        <v>675</v>
      </c>
      <c r="AZ1143" s="662"/>
      <c r="BC1143" s="432">
        <f>AK1143</f>
        <v>16200</v>
      </c>
      <c r="BD1143" s="432">
        <f>AK1143</f>
        <v>16200</v>
      </c>
      <c r="BE1143" s="432">
        <f>I1143</f>
        <v>5400</v>
      </c>
      <c r="BF1143" s="432">
        <f>I1143/5</f>
        <v>1080</v>
      </c>
      <c r="BT1143" s="660"/>
      <c r="BV1143" s="660"/>
      <c r="CK1143" s="428">
        <f>BM1143+BL1143+BK1143+BJ1143+BS1143</f>
        <v>0</v>
      </c>
      <c r="CL1143" s="428">
        <f>CA1143+CB1143+CC1143+CD1143+CE1143+CG1143+CF1143</f>
        <v>0</v>
      </c>
      <c r="CM1143" s="428">
        <f>BY1143+BZ1143</f>
        <v>0</v>
      </c>
      <c r="CN1143" s="660"/>
      <c r="CO1143" s="660"/>
      <c r="CP1143" s="660"/>
      <c r="CT1143" s="660"/>
      <c r="CU1143" s="660"/>
      <c r="CV1143" s="660"/>
      <c r="CW1143" s="660"/>
      <c r="CX1143" s="660"/>
    </row>
    <row r="1144" s="433" customFormat="1" ht="31" customHeight="1" spans="1:102">
      <c r="A1144" s="633">
        <v>46037</v>
      </c>
      <c r="B1144" s="497" t="s">
        <v>1383</v>
      </c>
      <c r="C1144" s="634" t="s">
        <v>90</v>
      </c>
      <c r="D1144" s="432">
        <v>4500191480</v>
      </c>
      <c r="E1144" s="635" t="s">
        <v>5931</v>
      </c>
      <c r="F1144" s="432" t="s">
        <v>5932</v>
      </c>
      <c r="G1144" s="482" t="s">
        <v>4564</v>
      </c>
      <c r="H1144" s="482" t="s">
        <v>3237</v>
      </c>
      <c r="I1144" s="482">
        <v>1836</v>
      </c>
      <c r="J1144" s="482">
        <v>0</v>
      </c>
      <c r="K1144" s="482">
        <v>12</v>
      </c>
      <c r="L1144" s="639">
        <f t="shared" si="439"/>
        <v>153</v>
      </c>
      <c r="M1144" s="640">
        <v>46101</v>
      </c>
      <c r="N1144" s="640">
        <v>46097</v>
      </c>
      <c r="O1144" s="641"/>
      <c r="P1144" s="641"/>
      <c r="Q1144" s="482"/>
      <c r="R1144" s="647">
        <v>46037</v>
      </c>
      <c r="S1144" s="647" t="s">
        <v>96</v>
      </c>
      <c r="T1144" s="647" t="s">
        <v>5933</v>
      </c>
      <c r="U1144" s="647" t="s">
        <v>5934</v>
      </c>
      <c r="V1144" s="508" t="s">
        <v>5935</v>
      </c>
      <c r="W1144" s="650" t="s">
        <v>113</v>
      </c>
      <c r="X1144" s="508">
        <v>1.3094</v>
      </c>
      <c r="Y1144" s="651">
        <f>X1144*I1144</f>
        <v>2404.0584</v>
      </c>
      <c r="Z1144" s="482"/>
      <c r="AA1144" s="521" t="s">
        <v>5219</v>
      </c>
      <c r="AB1144" s="482" t="s">
        <v>76</v>
      </c>
      <c r="AC1144" s="482"/>
      <c r="AD1144" s="497"/>
      <c r="AE1144" s="497"/>
      <c r="AF1144" s="482"/>
      <c r="AG1144" s="482">
        <f t="shared" ref="AG1144:AG1158" si="443">AF1144-I1144</f>
        <v>-1836</v>
      </c>
      <c r="AH1144" s="655"/>
      <c r="AI1144" s="482"/>
      <c r="AJ1144" s="482"/>
      <c r="AK1144" s="482">
        <f>I1144*2</f>
        <v>3672</v>
      </c>
      <c r="AL1144" s="656"/>
      <c r="AM1144" s="432"/>
      <c r="AN1144" s="432">
        <f>I1144*2</f>
        <v>3672</v>
      </c>
      <c r="AO1144" s="432"/>
      <c r="AP1144" s="432"/>
      <c r="AQ1144" s="432"/>
      <c r="AR1144" s="656">
        <f>I1144*2</f>
        <v>3672</v>
      </c>
      <c r="AS1144" s="656"/>
      <c r="AT1144" s="660"/>
      <c r="AU1144" s="432"/>
      <c r="AV1144" s="432"/>
      <c r="AW1144" s="432"/>
      <c r="AX1144" s="432"/>
      <c r="AY1144" s="581">
        <f>I1144/24*2</f>
        <v>153</v>
      </c>
      <c r="AZ1144" s="662"/>
      <c r="BA1144" s="657"/>
      <c r="BB1144" s="657"/>
      <c r="BC1144" s="657"/>
      <c r="BD1144" s="657"/>
      <c r="BE1144" s="657"/>
      <c r="BF1144" s="657"/>
      <c r="BG1144" s="657"/>
      <c r="BH1144" s="657"/>
      <c r="BI1144" s="657"/>
      <c r="BJ1144" s="657"/>
      <c r="BK1144" s="657"/>
      <c r="BL1144" s="657"/>
      <c r="BM1144" s="657"/>
      <c r="BN1144" s="657"/>
      <c r="BO1144" s="657"/>
      <c r="BP1144" s="657"/>
      <c r="BQ1144" s="657"/>
      <c r="BR1144" s="657"/>
      <c r="BS1144" s="657"/>
      <c r="BT1144" s="660"/>
      <c r="BU1144" s="657"/>
      <c r="BV1144" s="660"/>
      <c r="BW1144" s="657"/>
      <c r="BX1144" s="657"/>
      <c r="BY1144" s="657"/>
      <c r="BZ1144" s="657"/>
      <c r="CA1144" s="657"/>
      <c r="CB1144" s="657"/>
      <c r="CC1144" s="657"/>
      <c r="CD1144" s="657"/>
      <c r="CE1144" s="657"/>
      <c r="CF1144" s="657"/>
      <c r="CG1144" s="657"/>
      <c r="CH1144" s="432">
        <f>I1144</f>
        <v>1836</v>
      </c>
      <c r="CI1144" s="432">
        <f>I1144</f>
        <v>1836</v>
      </c>
      <c r="CJ1144" s="432">
        <f>I1144</f>
        <v>1836</v>
      </c>
      <c r="CK1144" s="432">
        <v>0</v>
      </c>
      <c r="CL1144" s="432">
        <v>0</v>
      </c>
      <c r="CM1144" s="432">
        <v>0</v>
      </c>
      <c r="CN1144" s="694"/>
      <c r="CO1144" s="694"/>
      <c r="CP1144" s="694"/>
      <c r="CT1144" s="694"/>
      <c r="CU1144" s="694"/>
      <c r="CV1144" s="694"/>
      <c r="CW1144" s="694"/>
      <c r="CX1144" s="694"/>
    </row>
    <row r="1145" s="433" customFormat="1" ht="31" customHeight="1" spans="1:102">
      <c r="A1145" s="633">
        <v>46037</v>
      </c>
      <c r="B1145" s="497" t="s">
        <v>1383</v>
      </c>
      <c r="C1145" s="634" t="s">
        <v>90</v>
      </c>
      <c r="D1145" s="432">
        <v>4500191499</v>
      </c>
      <c r="E1145" s="635" t="s">
        <v>5936</v>
      </c>
      <c r="F1145" s="672" t="s">
        <v>5937</v>
      </c>
      <c r="G1145" s="482" t="s">
        <v>4564</v>
      </c>
      <c r="H1145" s="482" t="s">
        <v>3237</v>
      </c>
      <c r="I1145" s="482">
        <v>24</v>
      </c>
      <c r="J1145" s="482">
        <v>0</v>
      </c>
      <c r="K1145" s="482">
        <v>12</v>
      </c>
      <c r="L1145" s="639">
        <f t="shared" si="439"/>
        <v>2</v>
      </c>
      <c r="M1145" s="640">
        <v>46101</v>
      </c>
      <c r="N1145" s="640">
        <v>46097</v>
      </c>
      <c r="O1145" s="641"/>
      <c r="P1145" s="641"/>
      <c r="Q1145" s="482"/>
      <c r="R1145" s="647">
        <v>46037</v>
      </c>
      <c r="S1145" s="647" t="s">
        <v>96</v>
      </c>
      <c r="T1145" s="647" t="s">
        <v>5933</v>
      </c>
      <c r="U1145" s="647" t="s">
        <v>5934</v>
      </c>
      <c r="V1145" s="508" t="s">
        <v>5935</v>
      </c>
      <c r="W1145" s="650" t="s">
        <v>113</v>
      </c>
      <c r="X1145" s="508">
        <v>1.2871</v>
      </c>
      <c r="Y1145" s="651">
        <f>X1145*I1145</f>
        <v>30.8904</v>
      </c>
      <c r="Z1145" s="482"/>
      <c r="AA1145" s="521" t="s">
        <v>5219</v>
      </c>
      <c r="AB1145" s="482" t="s">
        <v>76</v>
      </c>
      <c r="AC1145" s="482"/>
      <c r="AD1145" s="497"/>
      <c r="AE1145" s="497"/>
      <c r="AF1145" s="482"/>
      <c r="AG1145" s="482">
        <f t="shared" si="443"/>
        <v>-24</v>
      </c>
      <c r="AH1145" s="655"/>
      <c r="AI1145" s="482"/>
      <c r="AJ1145" s="482"/>
      <c r="AK1145" s="482">
        <f>I1145*2</f>
        <v>48</v>
      </c>
      <c r="AL1145" s="656"/>
      <c r="AM1145" s="432"/>
      <c r="AN1145" s="432">
        <f>I1145*2</f>
        <v>48</v>
      </c>
      <c r="AO1145" s="432"/>
      <c r="AP1145" s="432"/>
      <c r="AQ1145" s="432"/>
      <c r="AR1145" s="656">
        <f>I1145*2</f>
        <v>48</v>
      </c>
      <c r="AS1145" s="656"/>
      <c r="AT1145" s="660"/>
      <c r="AU1145" s="432"/>
      <c r="AV1145" s="432"/>
      <c r="AW1145" s="432"/>
      <c r="AX1145" s="432"/>
      <c r="AY1145" s="581">
        <f>I1145/24*2</f>
        <v>2</v>
      </c>
      <c r="AZ1145" s="662"/>
      <c r="BA1145" s="657"/>
      <c r="BB1145" s="657"/>
      <c r="BC1145" s="657"/>
      <c r="BD1145" s="657"/>
      <c r="BE1145" s="657"/>
      <c r="BF1145" s="657"/>
      <c r="BG1145" s="657"/>
      <c r="BH1145" s="657"/>
      <c r="BI1145" s="657"/>
      <c r="BJ1145" s="657"/>
      <c r="BK1145" s="657"/>
      <c r="BL1145" s="657"/>
      <c r="BM1145" s="657"/>
      <c r="BN1145" s="657"/>
      <c r="BO1145" s="657"/>
      <c r="BP1145" s="657"/>
      <c r="BQ1145" s="657"/>
      <c r="BR1145" s="657"/>
      <c r="BS1145" s="657"/>
      <c r="BT1145" s="660"/>
      <c r="BU1145" s="657"/>
      <c r="BV1145" s="660"/>
      <c r="BW1145" s="657"/>
      <c r="BX1145" s="657"/>
      <c r="BY1145" s="657"/>
      <c r="BZ1145" s="657"/>
      <c r="CA1145" s="657"/>
      <c r="CB1145" s="657"/>
      <c r="CC1145" s="657"/>
      <c r="CD1145" s="657"/>
      <c r="CE1145" s="657"/>
      <c r="CF1145" s="657"/>
      <c r="CG1145" s="657"/>
      <c r="CH1145" s="432">
        <f>I1145</f>
        <v>24</v>
      </c>
      <c r="CI1145" s="432">
        <f>I1145</f>
        <v>24</v>
      </c>
      <c r="CJ1145" s="432">
        <f>I1145</f>
        <v>24</v>
      </c>
      <c r="CK1145" s="432">
        <v>0</v>
      </c>
      <c r="CL1145" s="432">
        <v>0</v>
      </c>
      <c r="CM1145" s="432">
        <v>0</v>
      </c>
      <c r="CN1145" s="694"/>
      <c r="CO1145" s="694"/>
      <c r="CP1145" s="694"/>
      <c r="CT1145" s="694"/>
      <c r="CU1145" s="694"/>
      <c r="CV1145" s="694"/>
      <c r="CW1145" s="694"/>
      <c r="CX1145" s="694"/>
    </row>
    <row r="1146" s="433" customFormat="1" ht="31" customHeight="1" spans="1:102">
      <c r="A1146" s="633">
        <v>46037</v>
      </c>
      <c r="B1146" s="497" t="s">
        <v>2924</v>
      </c>
      <c r="C1146" s="635" t="s">
        <v>310</v>
      </c>
      <c r="D1146" s="432">
        <v>4500191577</v>
      </c>
      <c r="E1146" s="635"/>
      <c r="F1146" s="432" t="s">
        <v>5938</v>
      </c>
      <c r="G1146" s="482" t="s">
        <v>3378</v>
      </c>
      <c r="H1146" s="482" t="s">
        <v>3379</v>
      </c>
      <c r="I1146" s="482">
        <v>1950</v>
      </c>
      <c r="J1146" s="482">
        <v>0</v>
      </c>
      <c r="K1146" s="482">
        <v>50</v>
      </c>
      <c r="L1146" s="639">
        <f t="shared" si="439"/>
        <v>39</v>
      </c>
      <c r="M1146" s="640">
        <v>46101</v>
      </c>
      <c r="N1146" s="640">
        <v>46097</v>
      </c>
      <c r="O1146" s="641"/>
      <c r="P1146" s="641"/>
      <c r="Q1146" s="482"/>
      <c r="R1146" s="647" t="s">
        <v>403</v>
      </c>
      <c r="S1146" s="647" t="s">
        <v>66</v>
      </c>
      <c r="T1146" s="647" t="s">
        <v>2897</v>
      </c>
      <c r="U1146" s="647"/>
      <c r="V1146" s="508" t="s">
        <v>5939</v>
      </c>
      <c r="W1146" s="508" t="s">
        <v>473</v>
      </c>
      <c r="X1146" s="508">
        <v>0.9521</v>
      </c>
      <c r="Y1146" s="651">
        <f>X1146*I1146</f>
        <v>1856.595</v>
      </c>
      <c r="Z1146" s="482"/>
      <c r="AA1146" s="482" t="s">
        <v>3378</v>
      </c>
      <c r="AB1146" s="482" t="s">
        <v>76</v>
      </c>
      <c r="AC1146" s="482"/>
      <c r="AD1146" s="497"/>
      <c r="AE1146" s="497"/>
      <c r="AF1146" s="482"/>
      <c r="AG1146" s="482">
        <f t="shared" si="443"/>
        <v>-1950</v>
      </c>
      <c r="AH1146" s="482"/>
      <c r="AI1146" s="482" t="s">
        <v>2191</v>
      </c>
      <c r="AJ1146" s="482"/>
      <c r="AK1146" s="482"/>
      <c r="AL1146" s="656">
        <f>I1146</f>
        <v>1950</v>
      </c>
      <c r="AM1146" s="432"/>
      <c r="AN1146" s="432"/>
      <c r="AO1146" s="432"/>
      <c r="AP1146" s="432"/>
      <c r="AQ1146" s="432">
        <f>I1146</f>
        <v>1950</v>
      </c>
      <c r="AR1146" s="656"/>
      <c r="AS1146" s="656"/>
      <c r="AT1146" s="660"/>
      <c r="AU1146" s="432"/>
      <c r="AV1146" s="432"/>
      <c r="AW1146" s="432"/>
      <c r="AX1146" s="432"/>
      <c r="AY1146" s="581">
        <f>I1146/24</f>
        <v>81.25</v>
      </c>
      <c r="AZ1146" s="662"/>
      <c r="BA1146" s="432"/>
      <c r="BB1146" s="432"/>
      <c r="BC1146" s="432"/>
      <c r="BD1146" s="432"/>
      <c r="BE1146" s="432"/>
      <c r="BF1146" s="432"/>
      <c r="BG1146" s="432"/>
      <c r="BH1146" s="432"/>
      <c r="BI1146" s="432"/>
      <c r="BJ1146" s="432"/>
      <c r="BK1146" s="432"/>
      <c r="BL1146" s="432"/>
      <c r="BM1146" s="432"/>
      <c r="BN1146" s="432"/>
      <c r="BO1146" s="432"/>
      <c r="BP1146" s="432"/>
      <c r="BQ1146" s="432"/>
      <c r="BR1146" s="432">
        <f>I1146</f>
        <v>1950</v>
      </c>
      <c r="BS1146" s="432">
        <f>I1146/25</f>
        <v>78</v>
      </c>
      <c r="BT1146" s="660"/>
      <c r="BU1146" s="432"/>
      <c r="BV1146" s="660"/>
      <c r="BW1146" s="432"/>
      <c r="BX1146" s="432"/>
      <c r="BY1146" s="432"/>
      <c r="BZ1146" s="432"/>
      <c r="CA1146" s="432"/>
      <c r="CB1146" s="432"/>
      <c r="CC1146" s="432"/>
      <c r="CD1146" s="432"/>
      <c r="CE1146" s="432"/>
      <c r="CF1146" s="432"/>
      <c r="CG1146" s="432"/>
      <c r="CH1146" s="432"/>
      <c r="CI1146" s="432"/>
      <c r="CJ1146" s="432"/>
      <c r="CK1146" s="432">
        <f>BM1146+BL1146+BK1146+BJ1146+BS1146</f>
        <v>78</v>
      </c>
      <c r="CL1146" s="432">
        <f>CA1146+CB1146+CC1146+CD1146+CE1146+CG1146+CF1146</f>
        <v>0</v>
      </c>
      <c r="CM1146" s="432">
        <f>BY1146+BZ1146</f>
        <v>0</v>
      </c>
      <c r="CN1146" s="694"/>
      <c r="CO1146" s="694"/>
      <c r="CP1146" s="694"/>
      <c r="CQ1146" s="671"/>
      <c r="CR1146" s="671"/>
      <c r="CS1146" s="671"/>
      <c r="CT1146" s="694"/>
      <c r="CU1146" s="694"/>
      <c r="CV1146" s="694"/>
      <c r="CW1146" s="694"/>
      <c r="CX1146" s="694"/>
    </row>
    <row r="1147" s="433" customFormat="1" ht="31" customHeight="1" spans="1:102">
      <c r="A1147" s="633">
        <v>46037</v>
      </c>
      <c r="B1147" s="497" t="s">
        <v>1383</v>
      </c>
      <c r="C1147" s="635" t="s">
        <v>90</v>
      </c>
      <c r="D1147" s="432">
        <v>4500191560</v>
      </c>
      <c r="E1147" s="635" t="s">
        <v>5940</v>
      </c>
      <c r="F1147" s="432" t="s">
        <v>5941</v>
      </c>
      <c r="G1147" s="482" t="s">
        <v>4564</v>
      </c>
      <c r="H1147" s="482" t="s">
        <v>3237</v>
      </c>
      <c r="I1147" s="482">
        <v>36</v>
      </c>
      <c r="J1147" s="482">
        <v>0</v>
      </c>
      <c r="K1147" s="482">
        <v>12</v>
      </c>
      <c r="L1147" s="639">
        <f t="shared" si="439"/>
        <v>3</v>
      </c>
      <c r="M1147" s="640">
        <v>46101</v>
      </c>
      <c r="N1147" s="640">
        <v>46097</v>
      </c>
      <c r="O1147" s="641"/>
      <c r="P1147" s="641"/>
      <c r="Q1147" s="482"/>
      <c r="R1147" s="647">
        <v>46037</v>
      </c>
      <c r="S1147" s="647" t="s">
        <v>96</v>
      </c>
      <c r="T1147" s="647" t="s">
        <v>5933</v>
      </c>
      <c r="U1147" s="647" t="s">
        <v>5934</v>
      </c>
      <c r="V1147" s="508" t="s">
        <v>5935</v>
      </c>
      <c r="W1147" s="508" t="s">
        <v>113</v>
      </c>
      <c r="X1147" s="508">
        <v>1.2869</v>
      </c>
      <c r="Y1147" s="651">
        <f>X1147*I1147</f>
        <v>46.3284</v>
      </c>
      <c r="Z1147" s="482"/>
      <c r="AA1147" s="521" t="s">
        <v>5219</v>
      </c>
      <c r="AB1147" s="482" t="s">
        <v>76</v>
      </c>
      <c r="AC1147" s="482"/>
      <c r="AD1147" s="497"/>
      <c r="AE1147" s="497"/>
      <c r="AF1147" s="482"/>
      <c r="AG1147" s="482">
        <f t="shared" si="443"/>
        <v>-36</v>
      </c>
      <c r="AH1147" s="482"/>
      <c r="AI1147" s="482"/>
      <c r="AJ1147" s="482"/>
      <c r="AK1147" s="482">
        <f>I1147*2</f>
        <v>72</v>
      </c>
      <c r="AL1147" s="656"/>
      <c r="AM1147" s="432"/>
      <c r="AN1147" s="432">
        <f>I1147*2</f>
        <v>72</v>
      </c>
      <c r="AO1147" s="432"/>
      <c r="AP1147" s="432"/>
      <c r="AQ1147" s="432"/>
      <c r="AR1147" s="656">
        <f>I1147*2</f>
        <v>72</v>
      </c>
      <c r="AS1147" s="656"/>
      <c r="AT1147" s="660"/>
      <c r="AU1147" s="432"/>
      <c r="AV1147" s="432"/>
      <c r="AW1147" s="432"/>
      <c r="AX1147" s="432"/>
      <c r="AY1147" s="581">
        <f>I1147/24*2</f>
        <v>3</v>
      </c>
      <c r="AZ1147" s="662"/>
      <c r="BA1147" s="432"/>
      <c r="BB1147" s="432"/>
      <c r="BC1147" s="432"/>
      <c r="BD1147" s="432"/>
      <c r="BE1147" s="432"/>
      <c r="BF1147" s="432"/>
      <c r="BG1147" s="432"/>
      <c r="BH1147" s="432"/>
      <c r="BI1147" s="432"/>
      <c r="BJ1147" s="432"/>
      <c r="BK1147" s="432"/>
      <c r="BL1147" s="432"/>
      <c r="BM1147" s="432"/>
      <c r="BN1147" s="432"/>
      <c r="BO1147" s="432"/>
      <c r="BP1147" s="432"/>
      <c r="BQ1147" s="432"/>
      <c r="BR1147" s="432"/>
      <c r="BS1147" s="432"/>
      <c r="BT1147" s="660"/>
      <c r="BU1147" s="432"/>
      <c r="BV1147" s="660"/>
      <c r="BW1147" s="432"/>
      <c r="BX1147" s="432"/>
      <c r="BY1147" s="432"/>
      <c r="BZ1147" s="432"/>
      <c r="CA1147" s="432"/>
      <c r="CB1147" s="432"/>
      <c r="CC1147" s="432"/>
      <c r="CD1147" s="432"/>
      <c r="CE1147" s="432"/>
      <c r="CF1147" s="432"/>
      <c r="CG1147" s="432"/>
      <c r="CH1147" s="432">
        <f>I1147</f>
        <v>36</v>
      </c>
      <c r="CI1147" s="432">
        <f>I1147</f>
        <v>36</v>
      </c>
      <c r="CJ1147" s="432">
        <f>I1147</f>
        <v>36</v>
      </c>
      <c r="CK1147" s="432">
        <v>0</v>
      </c>
      <c r="CL1147" s="432">
        <v>0</v>
      </c>
      <c r="CM1147" s="432">
        <v>0</v>
      </c>
      <c r="CN1147" s="694"/>
      <c r="CO1147" s="694"/>
      <c r="CP1147" s="694"/>
      <c r="CQ1147" s="671"/>
      <c r="CR1147" s="671"/>
      <c r="CS1147" s="671"/>
      <c r="CT1147" s="694"/>
      <c r="CU1147" s="694"/>
      <c r="CV1147" s="694"/>
      <c r="CW1147" s="694"/>
      <c r="CX1147" s="694"/>
    </row>
    <row r="1148" s="433" customFormat="1" ht="31" customHeight="1" spans="1:102">
      <c r="A1148" s="633">
        <v>46037</v>
      </c>
      <c r="B1148" s="673" t="s">
        <v>1383</v>
      </c>
      <c r="C1148" s="674" t="s">
        <v>90</v>
      </c>
      <c r="D1148" s="675">
        <v>4500191531</v>
      </c>
      <c r="E1148" s="635" t="s">
        <v>5942</v>
      </c>
      <c r="F1148" s="675" t="s">
        <v>5943</v>
      </c>
      <c r="G1148" s="482" t="s">
        <v>4564</v>
      </c>
      <c r="H1148" s="482" t="s">
        <v>3237</v>
      </c>
      <c r="I1148" s="482">
        <v>96</v>
      </c>
      <c r="J1148" s="482">
        <v>0</v>
      </c>
      <c r="K1148" s="482">
        <v>12</v>
      </c>
      <c r="L1148" s="639">
        <f t="shared" si="439"/>
        <v>8</v>
      </c>
      <c r="M1148" s="640">
        <v>46101</v>
      </c>
      <c r="N1148" s="640">
        <v>46097</v>
      </c>
      <c r="O1148" s="641"/>
      <c r="P1148" s="641"/>
      <c r="Q1148" s="482"/>
      <c r="R1148" s="647">
        <v>46037</v>
      </c>
      <c r="S1148" s="647" t="s">
        <v>96</v>
      </c>
      <c r="T1148" s="647" t="s">
        <v>5933</v>
      </c>
      <c r="U1148" s="647" t="s">
        <v>5934</v>
      </c>
      <c r="V1148" s="508" t="s">
        <v>5944</v>
      </c>
      <c r="W1148" s="508" t="s">
        <v>113</v>
      </c>
      <c r="X1148" s="508">
        <v>1.2871</v>
      </c>
      <c r="Y1148" s="651">
        <f>X1148*I1148</f>
        <v>123.5616</v>
      </c>
      <c r="Z1148" s="482"/>
      <c r="AA1148" s="521" t="s">
        <v>5219</v>
      </c>
      <c r="AB1148" s="482" t="s">
        <v>76</v>
      </c>
      <c r="AC1148" s="482"/>
      <c r="AD1148" s="497"/>
      <c r="AE1148" s="497"/>
      <c r="AF1148" s="482"/>
      <c r="AG1148" s="482">
        <f t="shared" si="443"/>
        <v>-96</v>
      </c>
      <c r="AH1148" s="482"/>
      <c r="AI1148" s="482"/>
      <c r="AJ1148" s="482"/>
      <c r="AK1148" s="482">
        <f>I1148*2</f>
        <v>192</v>
      </c>
      <c r="AL1148" s="656"/>
      <c r="AM1148" s="432"/>
      <c r="AN1148" s="432">
        <f>I1148*2</f>
        <v>192</v>
      </c>
      <c r="AO1148" s="432"/>
      <c r="AP1148" s="432"/>
      <c r="AQ1148" s="432"/>
      <c r="AR1148" s="656">
        <f>I1148*2</f>
        <v>192</v>
      </c>
      <c r="AS1148" s="656"/>
      <c r="AT1148" s="660"/>
      <c r="AU1148" s="432"/>
      <c r="AV1148" s="432"/>
      <c r="AW1148" s="432"/>
      <c r="AX1148" s="432"/>
      <c r="AY1148" s="581">
        <f>I1148/24*2</f>
        <v>8</v>
      </c>
      <c r="AZ1148" s="662"/>
      <c r="BA1148" s="432"/>
      <c r="BB1148" s="432"/>
      <c r="BC1148" s="432"/>
      <c r="BD1148" s="432"/>
      <c r="BE1148" s="432"/>
      <c r="BF1148" s="432"/>
      <c r="BG1148" s="432"/>
      <c r="BH1148" s="432"/>
      <c r="BI1148" s="432"/>
      <c r="BJ1148" s="432"/>
      <c r="BK1148" s="432"/>
      <c r="BL1148" s="432"/>
      <c r="BM1148" s="432"/>
      <c r="BN1148" s="432"/>
      <c r="BO1148" s="432"/>
      <c r="BP1148" s="432"/>
      <c r="BQ1148" s="432"/>
      <c r="BR1148" s="432"/>
      <c r="BS1148" s="432"/>
      <c r="BT1148" s="660"/>
      <c r="BU1148" s="432"/>
      <c r="BV1148" s="660"/>
      <c r="BW1148" s="432"/>
      <c r="BX1148" s="432"/>
      <c r="BY1148" s="432"/>
      <c r="BZ1148" s="432"/>
      <c r="CA1148" s="432"/>
      <c r="CB1148" s="432"/>
      <c r="CC1148" s="432"/>
      <c r="CD1148" s="432"/>
      <c r="CE1148" s="432"/>
      <c r="CF1148" s="432"/>
      <c r="CG1148" s="432"/>
      <c r="CH1148" s="432">
        <f>I1148</f>
        <v>96</v>
      </c>
      <c r="CI1148" s="432">
        <f>I1148</f>
        <v>96</v>
      </c>
      <c r="CJ1148" s="432">
        <f>I1148</f>
        <v>96</v>
      </c>
      <c r="CK1148" s="432">
        <v>0</v>
      </c>
      <c r="CL1148" s="432">
        <v>0</v>
      </c>
      <c r="CM1148" s="432">
        <v>0</v>
      </c>
      <c r="CN1148" s="694"/>
      <c r="CO1148" s="694"/>
      <c r="CP1148" s="694"/>
      <c r="CQ1148" s="671"/>
      <c r="CR1148" s="671"/>
      <c r="CS1148" s="671"/>
      <c r="CT1148" s="694"/>
      <c r="CU1148" s="694"/>
      <c r="CV1148" s="694"/>
      <c r="CW1148" s="694"/>
      <c r="CX1148" s="694"/>
    </row>
    <row r="1149" s="435" customFormat="1" ht="31" customHeight="1" spans="1:102">
      <c r="A1149" s="633">
        <v>46041</v>
      </c>
      <c r="B1149" s="497"/>
      <c r="C1149" s="635"/>
      <c r="D1149" s="432" t="s">
        <v>2936</v>
      </c>
      <c r="E1149" s="635"/>
      <c r="F1149" s="432" t="s">
        <v>2940</v>
      </c>
      <c r="G1149" s="482" t="s">
        <v>3459</v>
      </c>
      <c r="H1149" s="482" t="s">
        <v>424</v>
      </c>
      <c r="I1149" s="482">
        <v>90</v>
      </c>
      <c r="J1149" s="482">
        <v>0</v>
      </c>
      <c r="K1149" s="482">
        <v>6</v>
      </c>
      <c r="L1149" s="639">
        <f t="shared" si="439"/>
        <v>15</v>
      </c>
      <c r="M1149" s="640">
        <v>46101</v>
      </c>
      <c r="N1149" s="640">
        <v>46097</v>
      </c>
      <c r="O1149" s="641"/>
      <c r="P1149" s="641"/>
      <c r="Q1149" s="482"/>
      <c r="R1149" s="647" t="s">
        <v>1144</v>
      </c>
      <c r="S1149" s="647" t="s">
        <v>66</v>
      </c>
      <c r="T1149" s="647" t="s">
        <v>66</v>
      </c>
      <c r="U1149" s="647"/>
      <c r="V1149" s="508" t="s">
        <v>2941</v>
      </c>
      <c r="W1149" s="651" t="s">
        <v>2939</v>
      </c>
      <c r="X1149" s="508"/>
      <c r="Y1149" s="651"/>
      <c r="Z1149" s="482"/>
      <c r="AA1149" s="549" t="s">
        <v>427</v>
      </c>
      <c r="AB1149" s="482" t="s">
        <v>76</v>
      </c>
      <c r="AC1149" s="482"/>
      <c r="AD1149" s="497"/>
      <c r="AE1149" s="497"/>
      <c r="AF1149" s="482"/>
      <c r="AG1149" s="482">
        <f t="shared" si="443"/>
        <v>-90</v>
      </c>
      <c r="AH1149" s="482"/>
      <c r="AI1149" s="482"/>
      <c r="AJ1149" s="482"/>
      <c r="AK1149" s="482"/>
      <c r="AL1149" s="432">
        <f>I1149*2</f>
        <v>180</v>
      </c>
      <c r="AM1149" s="432"/>
      <c r="AN1149" s="432"/>
      <c r="AO1149" s="432"/>
      <c r="AP1149" s="432"/>
      <c r="AQ1149" s="432">
        <f>I1149*2</f>
        <v>180</v>
      </c>
      <c r="AR1149" s="656"/>
      <c r="AS1149" s="656">
        <f>I1149*2</f>
        <v>180</v>
      </c>
      <c r="AT1149" s="660"/>
      <c r="AU1149" s="432"/>
      <c r="AV1149" s="432"/>
      <c r="AW1149" s="432"/>
      <c r="AX1149" s="432"/>
      <c r="AY1149" s="663">
        <f>I1149/24*2</f>
        <v>7.5</v>
      </c>
      <c r="AZ1149" s="662"/>
      <c r="BA1149" s="432"/>
      <c r="BB1149" s="432"/>
      <c r="BC1149" s="432"/>
      <c r="BD1149" s="432"/>
      <c r="BE1149" s="432"/>
      <c r="BF1149" s="432"/>
      <c r="BG1149" s="432"/>
      <c r="BH1149" s="432"/>
      <c r="BI1149" s="432"/>
      <c r="BJ1149" s="432"/>
      <c r="BK1149" s="432"/>
      <c r="BL1149" s="432"/>
      <c r="BM1149" s="432"/>
      <c r="BN1149" s="432"/>
      <c r="BO1149" s="432"/>
      <c r="BP1149" s="432"/>
      <c r="BQ1149" s="432"/>
      <c r="BR1149" s="432"/>
      <c r="BS1149" s="432"/>
      <c r="BT1149" s="660"/>
      <c r="BU1149" s="432">
        <f>I1149</f>
        <v>90</v>
      </c>
      <c r="BV1149" s="660"/>
      <c r="BW1149" s="432"/>
      <c r="BX1149" s="432"/>
      <c r="BY1149" s="432"/>
      <c r="BZ1149" s="432"/>
      <c r="CA1149" s="432"/>
      <c r="CB1149" s="432"/>
      <c r="CC1149" s="432"/>
      <c r="CD1149" s="432"/>
      <c r="CE1149" s="432"/>
      <c r="CF1149" s="432"/>
      <c r="CG1149" s="432"/>
      <c r="CH1149" s="432"/>
      <c r="CI1149" s="432"/>
      <c r="CJ1149" s="432"/>
      <c r="CK1149" s="432">
        <f t="shared" ref="CK1149:CK1158" si="444">BM1149+BL1149+BK1149+BJ1149+BS1149</f>
        <v>0</v>
      </c>
      <c r="CL1149" s="432">
        <f t="shared" ref="CL1149:CL1158" si="445">CA1149+CB1149+CC1149+CD1149+CE1149+CG1149+CF1149</f>
        <v>0</v>
      </c>
      <c r="CM1149" s="432">
        <f t="shared" ref="CM1149:CM1158" si="446">BY1149+BZ1149</f>
        <v>0</v>
      </c>
      <c r="CN1149" s="694"/>
      <c r="CO1149" s="694"/>
      <c r="CP1149" s="694"/>
      <c r="CQ1149" s="593"/>
      <c r="CR1149" s="593"/>
      <c r="CS1149" s="593"/>
      <c r="CT1149" s="694"/>
      <c r="CU1149" s="694"/>
      <c r="CV1149" s="694"/>
      <c r="CW1149" s="694"/>
      <c r="CX1149" s="694"/>
    </row>
    <row r="1150" s="433" customFormat="1" ht="31" customHeight="1" spans="1:102">
      <c r="A1150" s="633">
        <v>46043</v>
      </c>
      <c r="B1150" s="497" t="s">
        <v>5945</v>
      </c>
      <c r="C1150" s="635" t="s">
        <v>139</v>
      </c>
      <c r="D1150" s="432">
        <v>4500191903</v>
      </c>
      <c r="E1150" s="893" t="s">
        <v>5946</v>
      </c>
      <c r="F1150" s="432" t="s">
        <v>5947</v>
      </c>
      <c r="G1150" s="482" t="s">
        <v>3143</v>
      </c>
      <c r="H1150" s="482" t="s">
        <v>3144</v>
      </c>
      <c r="I1150" s="482">
        <v>504</v>
      </c>
      <c r="J1150" s="482">
        <v>0</v>
      </c>
      <c r="K1150" s="482">
        <v>24</v>
      </c>
      <c r="L1150" s="639">
        <f t="shared" si="439"/>
        <v>21</v>
      </c>
      <c r="M1150" s="640">
        <v>46101</v>
      </c>
      <c r="N1150" s="640">
        <v>46097</v>
      </c>
      <c r="O1150" s="641"/>
      <c r="P1150" s="641"/>
      <c r="Q1150" s="482"/>
      <c r="R1150" s="647">
        <v>46043</v>
      </c>
      <c r="S1150" s="647" t="s">
        <v>66</v>
      </c>
      <c r="T1150" s="647" t="s">
        <v>5948</v>
      </c>
      <c r="U1150" s="647" t="s">
        <v>5949</v>
      </c>
      <c r="V1150" s="508" t="s">
        <v>5950</v>
      </c>
      <c r="W1150" s="651" t="s">
        <v>151</v>
      </c>
      <c r="X1150" s="508">
        <v>0.8707</v>
      </c>
      <c r="Y1150" s="651">
        <f t="shared" ref="Y1150:Y1157" si="447">X1150*I1150</f>
        <v>438.8328</v>
      </c>
      <c r="Z1150" s="482"/>
      <c r="AA1150" s="482" t="s">
        <v>3143</v>
      </c>
      <c r="AB1150" s="482" t="s">
        <v>76</v>
      </c>
      <c r="AC1150" s="482"/>
      <c r="AD1150" s="497"/>
      <c r="AE1150" s="497"/>
      <c r="AF1150" s="482"/>
      <c r="AG1150" s="482">
        <f t="shared" si="443"/>
        <v>-504</v>
      </c>
      <c r="AH1150" s="482"/>
      <c r="AI1150" s="482" t="s">
        <v>2191</v>
      </c>
      <c r="AJ1150" s="482"/>
      <c r="AK1150" s="482"/>
      <c r="AL1150" s="662">
        <f>I1150</f>
        <v>504</v>
      </c>
      <c r="AM1150" s="432"/>
      <c r="AN1150" s="432"/>
      <c r="AO1150" s="432"/>
      <c r="AP1150" s="432"/>
      <c r="AQ1150" s="432">
        <f>I1150</f>
        <v>504</v>
      </c>
      <c r="AR1150" s="656"/>
      <c r="AS1150" s="432">
        <f>I1150</f>
        <v>504</v>
      </c>
      <c r="AT1150" s="660"/>
      <c r="AU1150" s="432"/>
      <c r="AV1150" s="432"/>
      <c r="AW1150" s="432"/>
      <c r="AX1150" s="432"/>
      <c r="AY1150" s="432">
        <f t="shared" ref="AY1150:AY1158" si="448">I1150/24</f>
        <v>21</v>
      </c>
      <c r="AZ1150" s="662"/>
      <c r="BA1150" s="432"/>
      <c r="BB1150" s="432"/>
      <c r="BC1150" s="432"/>
      <c r="BD1150" s="432"/>
      <c r="BE1150" s="432"/>
      <c r="BF1150" s="432"/>
      <c r="BG1150" s="432"/>
      <c r="BH1150" s="432"/>
      <c r="BI1150" s="432"/>
      <c r="BJ1150" s="432"/>
      <c r="BK1150" s="432"/>
      <c r="BL1150" s="432"/>
      <c r="BM1150" s="432"/>
      <c r="BN1150" s="432"/>
      <c r="BO1150" s="432"/>
      <c r="BP1150" s="432"/>
      <c r="BQ1150" s="432"/>
      <c r="BR1150" s="432"/>
      <c r="BS1150" s="432"/>
      <c r="BT1150" s="660"/>
      <c r="BU1150" s="432"/>
      <c r="BV1150" s="660"/>
      <c r="BW1150" s="432"/>
      <c r="BX1150" s="432"/>
      <c r="BY1150" s="432"/>
      <c r="BZ1150" s="432"/>
      <c r="CA1150" s="432"/>
      <c r="CB1150" s="432"/>
      <c r="CC1150" s="432"/>
      <c r="CD1150" s="432"/>
      <c r="CE1150" s="432"/>
      <c r="CF1150" s="432"/>
      <c r="CG1150" s="432"/>
      <c r="CH1150" s="432"/>
      <c r="CI1150" s="432"/>
      <c r="CJ1150" s="432"/>
      <c r="CK1150" s="432">
        <f t="shared" si="444"/>
        <v>0</v>
      </c>
      <c r="CL1150" s="432">
        <f t="shared" si="445"/>
        <v>0</v>
      </c>
      <c r="CM1150" s="432">
        <f t="shared" si="446"/>
        <v>0</v>
      </c>
      <c r="CN1150" s="694"/>
      <c r="CO1150" s="694"/>
      <c r="CP1150" s="694"/>
      <c r="CQ1150" s="671"/>
      <c r="CR1150" s="671"/>
      <c r="CS1150" s="671"/>
      <c r="CT1150" s="694"/>
      <c r="CU1150" s="694"/>
      <c r="CV1150" s="694"/>
      <c r="CW1150" s="694"/>
      <c r="CX1150" s="694"/>
    </row>
    <row r="1151" s="433" customFormat="1" ht="31" customHeight="1" spans="1:102">
      <c r="A1151" s="633">
        <v>46045</v>
      </c>
      <c r="B1151" s="497" t="s">
        <v>220</v>
      </c>
      <c r="C1151" s="634" t="s">
        <v>90</v>
      </c>
      <c r="D1151" s="432">
        <v>4500192218</v>
      </c>
      <c r="E1151" s="635" t="s">
        <v>5951</v>
      </c>
      <c r="F1151" s="432" t="s">
        <v>5952</v>
      </c>
      <c r="G1151" s="482" t="s">
        <v>3198</v>
      </c>
      <c r="H1151" s="482" t="s">
        <v>3303</v>
      </c>
      <c r="I1151" s="645">
        <v>50000</v>
      </c>
      <c r="J1151" s="482">
        <v>0</v>
      </c>
      <c r="K1151" s="482">
        <v>25</v>
      </c>
      <c r="L1151" s="639">
        <f t="shared" si="439"/>
        <v>2000</v>
      </c>
      <c r="M1151" s="640">
        <v>46101</v>
      </c>
      <c r="N1151" s="640">
        <v>46097</v>
      </c>
      <c r="O1151" s="641"/>
      <c r="P1151" s="641"/>
      <c r="Q1151" s="482"/>
      <c r="R1151" s="647">
        <v>46049</v>
      </c>
      <c r="S1151" s="647" t="s">
        <v>96</v>
      </c>
      <c r="T1151" s="647" t="s">
        <v>403</v>
      </c>
      <c r="U1151" s="647"/>
      <c r="V1151" s="508" t="s">
        <v>5953</v>
      </c>
      <c r="W1151" s="651" t="s">
        <v>226</v>
      </c>
      <c r="X1151" s="508">
        <v>0.5455</v>
      </c>
      <c r="Y1151" s="651">
        <f t="shared" si="447"/>
        <v>27275</v>
      </c>
      <c r="Z1151" s="482"/>
      <c r="AA1151" s="482" t="s">
        <v>3198</v>
      </c>
      <c r="AB1151" s="482" t="s">
        <v>76</v>
      </c>
      <c r="AC1151" s="482"/>
      <c r="AD1151" s="497"/>
      <c r="AE1151" s="497"/>
      <c r="AF1151" s="482"/>
      <c r="AG1151" s="482">
        <f t="shared" si="443"/>
        <v>-50000</v>
      </c>
      <c r="AH1151" s="482"/>
      <c r="AI1151" s="482"/>
      <c r="AJ1151" s="482"/>
      <c r="AK1151" s="482">
        <f>I1151</f>
        <v>50000</v>
      </c>
      <c r="AL1151" s="662"/>
      <c r="AM1151" s="432">
        <f>I1151</f>
        <v>50000</v>
      </c>
      <c r="AN1151" s="658"/>
      <c r="AO1151" s="661"/>
      <c r="AP1151" s="658"/>
      <c r="AQ1151" s="432"/>
      <c r="AR1151" s="432">
        <f>I1151</f>
        <v>50000</v>
      </c>
      <c r="AS1151" s="432"/>
      <c r="AT1151" s="660"/>
      <c r="AU1151" s="432"/>
      <c r="AV1151" s="432"/>
      <c r="AW1151" s="432"/>
      <c r="AX1151" s="432"/>
      <c r="AY1151" s="581">
        <f t="shared" si="448"/>
        <v>2083.33333333333</v>
      </c>
      <c r="AZ1151" s="662"/>
      <c r="BA1151" s="432"/>
      <c r="BB1151" s="432"/>
      <c r="BC1151" s="432"/>
      <c r="BD1151" s="432"/>
      <c r="BE1151" s="432"/>
      <c r="BF1151" s="432"/>
      <c r="BG1151" s="432"/>
      <c r="BH1151" s="432"/>
      <c r="BI1151" s="432"/>
      <c r="BJ1151" s="432">
        <f>I1151/25</f>
        <v>2000</v>
      </c>
      <c r="BK1151" s="432"/>
      <c r="BL1151" s="432"/>
      <c r="BM1151" s="432"/>
      <c r="BN1151" s="432"/>
      <c r="BO1151" s="432"/>
      <c r="BP1151" s="432"/>
      <c r="BQ1151" s="432"/>
      <c r="BR1151" s="432"/>
      <c r="BS1151" s="432"/>
      <c r="BT1151" s="660"/>
      <c r="BU1151" s="432"/>
      <c r="BV1151" s="660"/>
      <c r="BW1151" s="432"/>
      <c r="BX1151" s="432"/>
      <c r="BY1151" s="432"/>
      <c r="BZ1151" s="432"/>
      <c r="CA1151" s="432"/>
      <c r="CB1151" s="432"/>
      <c r="CC1151" s="432"/>
      <c r="CD1151" s="432"/>
      <c r="CE1151" s="432"/>
      <c r="CF1151" s="432"/>
      <c r="CG1151" s="432"/>
      <c r="CH1151" s="432"/>
      <c r="CI1151" s="432"/>
      <c r="CJ1151" s="432"/>
      <c r="CK1151" s="432">
        <f t="shared" si="444"/>
        <v>2000</v>
      </c>
      <c r="CL1151" s="432">
        <f t="shared" si="445"/>
        <v>0</v>
      </c>
      <c r="CM1151" s="432">
        <f t="shared" si="446"/>
        <v>0</v>
      </c>
      <c r="CN1151" s="694"/>
      <c r="CO1151" s="694"/>
      <c r="CP1151" s="694"/>
      <c r="CQ1151" s="671"/>
      <c r="CR1151" s="671"/>
      <c r="CS1151" s="671"/>
      <c r="CT1151" s="694"/>
      <c r="CU1151" s="694"/>
      <c r="CV1151" s="694"/>
      <c r="CW1151" s="694"/>
      <c r="CX1151" s="694"/>
    </row>
    <row r="1152" s="433" customFormat="1" ht="32" customHeight="1" spans="1:102">
      <c r="A1152" s="633">
        <v>46044</v>
      </c>
      <c r="B1152" s="497" t="s">
        <v>1708</v>
      </c>
      <c r="C1152" s="635" t="s">
        <v>468</v>
      </c>
      <c r="D1152" s="432">
        <v>4500192091</v>
      </c>
      <c r="E1152" s="635"/>
      <c r="F1152" s="432" t="s">
        <v>5954</v>
      </c>
      <c r="G1152" s="482" t="s">
        <v>3161</v>
      </c>
      <c r="H1152" s="482" t="s">
        <v>3221</v>
      </c>
      <c r="I1152" s="482">
        <v>1500</v>
      </c>
      <c r="J1152" s="482">
        <v>0</v>
      </c>
      <c r="K1152" s="482">
        <v>50</v>
      </c>
      <c r="L1152" s="639">
        <f t="shared" si="439"/>
        <v>30</v>
      </c>
      <c r="M1152" s="640">
        <v>46101</v>
      </c>
      <c r="N1152" s="640">
        <v>46097</v>
      </c>
      <c r="O1152" s="641"/>
      <c r="P1152" s="641"/>
      <c r="Q1152" s="482"/>
      <c r="R1152" s="647" t="s">
        <v>403</v>
      </c>
      <c r="S1152" s="647" t="s">
        <v>66</v>
      </c>
      <c r="T1152" s="647" t="s">
        <v>403</v>
      </c>
      <c r="U1152" s="647"/>
      <c r="V1152" s="508" t="s">
        <v>5955</v>
      </c>
      <c r="W1152" s="508" t="s">
        <v>853</v>
      </c>
      <c r="X1152" s="508">
        <v>0.924</v>
      </c>
      <c r="Y1152" s="651">
        <f t="shared" si="447"/>
        <v>1386</v>
      </c>
      <c r="Z1152" s="482"/>
      <c r="AA1152" s="497" t="s">
        <v>3161</v>
      </c>
      <c r="AB1152" s="482" t="s">
        <v>76</v>
      </c>
      <c r="AC1152" s="482"/>
      <c r="AD1152" s="497"/>
      <c r="AE1152" s="497"/>
      <c r="AF1152" s="482"/>
      <c r="AG1152" s="482">
        <f t="shared" si="443"/>
        <v>-1500</v>
      </c>
      <c r="AH1152" s="655"/>
      <c r="AI1152" s="482"/>
      <c r="AJ1152" s="482"/>
      <c r="AK1152" s="482"/>
      <c r="AL1152" s="656">
        <f t="shared" ref="AL1152:AL1157" si="449">I1152</f>
        <v>1500</v>
      </c>
      <c r="AM1152" s="432"/>
      <c r="AN1152" s="432"/>
      <c r="AO1152" s="660"/>
      <c r="AP1152" s="432"/>
      <c r="AQ1152" s="432">
        <f>I1152</f>
        <v>1500</v>
      </c>
      <c r="AR1152" s="432"/>
      <c r="AS1152" s="656">
        <f>I1152</f>
        <v>1500</v>
      </c>
      <c r="AT1152" s="660"/>
      <c r="AU1152" s="658"/>
      <c r="AV1152" s="658"/>
      <c r="AW1152" s="658"/>
      <c r="AX1152" s="658"/>
      <c r="AY1152" s="581">
        <f t="shared" si="448"/>
        <v>62.5</v>
      </c>
      <c r="AZ1152" s="662"/>
      <c r="BA1152" s="432"/>
      <c r="BB1152" s="432"/>
      <c r="BC1152" s="432"/>
      <c r="BD1152" s="432"/>
      <c r="BE1152" s="432"/>
      <c r="BF1152" s="432"/>
      <c r="BG1152" s="432"/>
      <c r="BH1152" s="432"/>
      <c r="BI1152" s="432"/>
      <c r="BJ1152" s="432"/>
      <c r="BK1152" s="432"/>
      <c r="BL1152" s="432">
        <f>I1152/25</f>
        <v>60</v>
      </c>
      <c r="BM1152" s="658"/>
      <c r="BN1152" s="658"/>
      <c r="BO1152" s="658"/>
      <c r="BP1152" s="658"/>
      <c r="BQ1152" s="658"/>
      <c r="BR1152" s="658"/>
      <c r="BS1152" s="658"/>
      <c r="BT1152" s="660"/>
      <c r="BU1152" s="658"/>
      <c r="BV1152" s="660"/>
      <c r="BW1152" s="658"/>
      <c r="BX1152" s="658"/>
      <c r="BY1152" s="658"/>
      <c r="BZ1152" s="658"/>
      <c r="CA1152" s="658"/>
      <c r="CB1152" s="658"/>
      <c r="CC1152" s="658"/>
      <c r="CD1152" s="658"/>
      <c r="CE1152" s="658"/>
      <c r="CF1152" s="658"/>
      <c r="CG1152" s="658"/>
      <c r="CH1152" s="658"/>
      <c r="CI1152" s="658"/>
      <c r="CJ1152" s="658"/>
      <c r="CK1152" s="432">
        <f t="shared" si="444"/>
        <v>60</v>
      </c>
      <c r="CL1152" s="432">
        <f t="shared" si="445"/>
        <v>0</v>
      </c>
      <c r="CM1152" s="432">
        <f t="shared" si="446"/>
        <v>0</v>
      </c>
      <c r="CN1152" s="694"/>
      <c r="CO1152" s="694"/>
      <c r="CP1152" s="694"/>
      <c r="CQ1152" s="435"/>
      <c r="CR1152" s="435"/>
      <c r="CS1152" s="435"/>
      <c r="CT1152" s="694"/>
      <c r="CU1152" s="694"/>
      <c r="CV1152" s="694"/>
      <c r="CW1152" s="694"/>
      <c r="CX1152" s="694"/>
    </row>
    <row r="1153" s="433" customFormat="1" ht="31" customHeight="1" spans="1:102">
      <c r="A1153" s="633">
        <v>46044</v>
      </c>
      <c r="B1153" s="497" t="s">
        <v>1769</v>
      </c>
      <c r="C1153" s="635" t="s">
        <v>139</v>
      </c>
      <c r="D1153" s="432">
        <v>4500192064</v>
      </c>
      <c r="E1153" s="635">
        <v>5200008728</v>
      </c>
      <c r="F1153" s="432" t="s">
        <v>5956</v>
      </c>
      <c r="G1153" s="482" t="s">
        <v>3231</v>
      </c>
      <c r="H1153" s="482" t="s">
        <v>3207</v>
      </c>
      <c r="I1153" s="645">
        <v>4810</v>
      </c>
      <c r="J1153" s="482">
        <v>0</v>
      </c>
      <c r="K1153" s="482">
        <v>13</v>
      </c>
      <c r="L1153" s="639">
        <f t="shared" si="439"/>
        <v>370</v>
      </c>
      <c r="M1153" s="640">
        <v>46104</v>
      </c>
      <c r="N1153" s="640">
        <v>46100</v>
      </c>
      <c r="O1153" s="641"/>
      <c r="P1153" s="641"/>
      <c r="Q1153" s="482"/>
      <c r="R1153" s="647" t="s">
        <v>403</v>
      </c>
      <c r="S1153" s="647" t="s">
        <v>66</v>
      </c>
      <c r="T1153" s="647" t="s">
        <v>3232</v>
      </c>
      <c r="U1153" s="647"/>
      <c r="V1153" s="508" t="s">
        <v>5957</v>
      </c>
      <c r="W1153" s="651" t="s">
        <v>1140</v>
      </c>
      <c r="X1153" s="648">
        <v>0.8947</v>
      </c>
      <c r="Y1153" s="651">
        <f t="shared" si="447"/>
        <v>4303.507</v>
      </c>
      <c r="Z1153" s="482"/>
      <c r="AA1153" s="688" t="s">
        <v>3206</v>
      </c>
      <c r="AB1153" s="482" t="s">
        <v>76</v>
      </c>
      <c r="AC1153" s="482"/>
      <c r="AD1153" s="497"/>
      <c r="AE1153" s="497"/>
      <c r="AF1153" s="482"/>
      <c r="AG1153" s="482">
        <f t="shared" si="443"/>
        <v>-4810</v>
      </c>
      <c r="AH1153" s="482"/>
      <c r="AI1153" s="482" t="s">
        <v>2191</v>
      </c>
      <c r="AJ1153" s="482"/>
      <c r="AK1153" s="482"/>
      <c r="AL1153" s="656">
        <f t="shared" si="449"/>
        <v>4810</v>
      </c>
      <c r="AM1153" s="432"/>
      <c r="AN1153" s="432"/>
      <c r="AO1153" s="432"/>
      <c r="AP1153" s="432"/>
      <c r="AQ1153" s="432">
        <f>I1153*2</f>
        <v>9620</v>
      </c>
      <c r="AR1153" s="656"/>
      <c r="AS1153" s="656">
        <f>I1153*2</f>
        <v>9620</v>
      </c>
      <c r="AT1153" s="660"/>
      <c r="AU1153" s="432"/>
      <c r="AV1153" s="432"/>
      <c r="AW1153" s="432"/>
      <c r="AX1153" s="432"/>
      <c r="AY1153" s="581">
        <f t="shared" si="448"/>
        <v>200.416666666667</v>
      </c>
      <c r="AZ1153" s="662"/>
      <c r="BA1153" s="432"/>
      <c r="BB1153" s="432"/>
      <c r="BC1153" s="432"/>
      <c r="BD1153" s="432"/>
      <c r="BE1153" s="432"/>
      <c r="BF1153" s="432"/>
      <c r="BG1153" s="432"/>
      <c r="BH1153" s="432"/>
      <c r="BI1153" s="432">
        <f>I1153/13</f>
        <v>370</v>
      </c>
      <c r="BJ1153" s="432"/>
      <c r="BK1153" s="432"/>
      <c r="BL1153" s="432"/>
      <c r="BM1153" s="432"/>
      <c r="BN1153" s="432"/>
      <c r="BO1153" s="432"/>
      <c r="BP1153" s="432"/>
      <c r="BQ1153" s="432"/>
      <c r="BR1153" s="432"/>
      <c r="BS1153" s="432"/>
      <c r="BT1153" s="660"/>
      <c r="BU1153" s="432"/>
      <c r="BV1153" s="660"/>
      <c r="BW1153" s="432"/>
      <c r="BX1153" s="432"/>
      <c r="BY1153" s="432"/>
      <c r="BZ1153" s="432"/>
      <c r="CA1153" s="432"/>
      <c r="CB1153" s="432"/>
      <c r="CC1153" s="432"/>
      <c r="CD1153" s="432"/>
      <c r="CE1153" s="432"/>
      <c r="CF1153" s="432"/>
      <c r="CG1153" s="432"/>
      <c r="CH1153" s="432"/>
      <c r="CI1153" s="432"/>
      <c r="CJ1153" s="432"/>
      <c r="CK1153" s="671">
        <f t="shared" si="444"/>
        <v>0</v>
      </c>
      <c r="CL1153" s="671">
        <f t="shared" si="445"/>
        <v>0</v>
      </c>
      <c r="CM1153" s="671">
        <f t="shared" si="446"/>
        <v>0</v>
      </c>
      <c r="CN1153" s="694"/>
      <c r="CO1153" s="694"/>
      <c r="CP1153" s="694"/>
      <c r="CQ1153" s="671"/>
      <c r="CR1153" s="671"/>
      <c r="CS1153" s="671"/>
      <c r="CT1153" s="694"/>
      <c r="CU1153" s="694"/>
      <c r="CV1153" s="694"/>
      <c r="CW1153" s="694"/>
      <c r="CX1153" s="694"/>
    </row>
    <row r="1154" s="433" customFormat="1" ht="31" customHeight="1" spans="1:102">
      <c r="A1154" s="633">
        <v>46041</v>
      </c>
      <c r="B1154" s="673" t="s">
        <v>1228</v>
      </c>
      <c r="C1154" s="674" t="s">
        <v>841</v>
      </c>
      <c r="D1154" s="675">
        <v>4500191722</v>
      </c>
      <c r="E1154" s="635"/>
      <c r="F1154" s="675" t="s">
        <v>5958</v>
      </c>
      <c r="G1154" s="482" t="s">
        <v>3378</v>
      </c>
      <c r="H1154" s="482" t="s">
        <v>3379</v>
      </c>
      <c r="I1154" s="642">
        <v>350</v>
      </c>
      <c r="J1154" s="482">
        <v>0</v>
      </c>
      <c r="K1154" s="482">
        <v>50</v>
      </c>
      <c r="L1154" s="639">
        <f t="shared" si="439"/>
        <v>7</v>
      </c>
      <c r="M1154" s="640">
        <v>46105</v>
      </c>
      <c r="N1154" s="640">
        <v>46101</v>
      </c>
      <c r="O1154" s="641"/>
      <c r="P1154" s="641"/>
      <c r="Q1154" s="482"/>
      <c r="R1154" s="647" t="s">
        <v>403</v>
      </c>
      <c r="S1154" s="647" t="s">
        <v>66</v>
      </c>
      <c r="T1154" s="647" t="s">
        <v>66</v>
      </c>
      <c r="U1154" s="647"/>
      <c r="V1154" s="571" t="s">
        <v>5959</v>
      </c>
      <c r="W1154" s="508" t="s">
        <v>853</v>
      </c>
      <c r="X1154" s="508">
        <v>0.9402</v>
      </c>
      <c r="Y1154" s="651">
        <f t="shared" si="447"/>
        <v>329.07</v>
      </c>
      <c r="Z1154" s="482"/>
      <c r="AA1154" s="482" t="s">
        <v>3378</v>
      </c>
      <c r="AB1154" s="482" t="s">
        <v>76</v>
      </c>
      <c r="AC1154" s="482"/>
      <c r="AD1154" s="497"/>
      <c r="AE1154" s="497"/>
      <c r="AF1154" s="482"/>
      <c r="AG1154" s="482">
        <f t="shared" si="443"/>
        <v>-350</v>
      </c>
      <c r="AH1154" s="482"/>
      <c r="AI1154" s="482"/>
      <c r="AJ1154" s="482"/>
      <c r="AK1154" s="482"/>
      <c r="AL1154" s="656">
        <f t="shared" si="449"/>
        <v>350</v>
      </c>
      <c r="AM1154" s="432"/>
      <c r="AN1154" s="432"/>
      <c r="AO1154" s="432"/>
      <c r="AP1154" s="432"/>
      <c r="AQ1154" s="432"/>
      <c r="AR1154" s="656"/>
      <c r="AS1154" s="656"/>
      <c r="AT1154" s="660"/>
      <c r="AU1154" s="432"/>
      <c r="AV1154" s="432"/>
      <c r="AW1154" s="432"/>
      <c r="AX1154" s="432"/>
      <c r="AY1154" s="581">
        <f t="shared" si="448"/>
        <v>14.5833333333333</v>
      </c>
      <c r="AZ1154" s="662"/>
      <c r="BA1154" s="432"/>
      <c r="BB1154" s="432"/>
      <c r="BC1154" s="432"/>
      <c r="BD1154" s="432"/>
      <c r="BE1154" s="432"/>
      <c r="BF1154" s="432"/>
      <c r="BG1154" s="432"/>
      <c r="BH1154" s="432"/>
      <c r="BI1154" s="432"/>
      <c r="BJ1154" s="432"/>
      <c r="BK1154" s="432"/>
      <c r="BL1154" s="432"/>
      <c r="BM1154" s="432"/>
      <c r="BN1154" s="432"/>
      <c r="BO1154" s="432"/>
      <c r="BP1154" s="432"/>
      <c r="BQ1154" s="432">
        <f>I1154</f>
        <v>350</v>
      </c>
      <c r="BR1154" s="432">
        <f>I1154</f>
        <v>350</v>
      </c>
      <c r="BS1154" s="432">
        <f t="shared" ref="BS1154:BS1157" si="450">I1154/25</f>
        <v>14</v>
      </c>
      <c r="BT1154" s="660"/>
      <c r="BU1154" s="432"/>
      <c r="BV1154" s="660"/>
      <c r="BW1154" s="432"/>
      <c r="BX1154" s="432"/>
      <c r="BY1154" s="432"/>
      <c r="BZ1154" s="432"/>
      <c r="CA1154" s="432"/>
      <c r="CB1154" s="432"/>
      <c r="CC1154" s="432"/>
      <c r="CD1154" s="432"/>
      <c r="CE1154" s="432"/>
      <c r="CF1154" s="432"/>
      <c r="CG1154" s="432"/>
      <c r="CH1154" s="432"/>
      <c r="CI1154" s="432"/>
      <c r="CJ1154" s="432"/>
      <c r="CK1154" s="432">
        <f t="shared" si="444"/>
        <v>14</v>
      </c>
      <c r="CL1154" s="432">
        <f t="shared" si="445"/>
        <v>0</v>
      </c>
      <c r="CM1154" s="432">
        <f t="shared" si="446"/>
        <v>0</v>
      </c>
      <c r="CN1154" s="694"/>
      <c r="CO1154" s="694"/>
      <c r="CP1154" s="694"/>
      <c r="CQ1154" s="671"/>
      <c r="CR1154" s="671"/>
      <c r="CS1154" s="671"/>
      <c r="CT1154" s="694"/>
      <c r="CU1154" s="694"/>
      <c r="CV1154" s="694"/>
      <c r="CW1154" s="694"/>
      <c r="CX1154" s="694"/>
    </row>
    <row r="1155" s="424" customFormat="1" ht="32" customHeight="1" spans="1:102">
      <c r="A1155" s="633">
        <v>46052</v>
      </c>
      <c r="B1155" s="497" t="s">
        <v>1228</v>
      </c>
      <c r="C1155" s="635" t="s">
        <v>841</v>
      </c>
      <c r="D1155" s="432">
        <v>4500192740</v>
      </c>
      <c r="E1155" s="635"/>
      <c r="F1155" s="432" t="s">
        <v>5960</v>
      </c>
      <c r="G1155" s="482" t="s">
        <v>3378</v>
      </c>
      <c r="H1155" s="482" t="s">
        <v>3379</v>
      </c>
      <c r="I1155" s="482">
        <v>200</v>
      </c>
      <c r="J1155" s="482">
        <v>0</v>
      </c>
      <c r="K1155" s="482">
        <v>50</v>
      </c>
      <c r="L1155" s="639">
        <f t="shared" si="439"/>
        <v>4</v>
      </c>
      <c r="M1155" s="640">
        <v>46105</v>
      </c>
      <c r="N1155" s="640">
        <v>46101</v>
      </c>
      <c r="O1155" s="641"/>
      <c r="P1155" s="641"/>
      <c r="Q1155" s="482"/>
      <c r="R1155" s="647">
        <v>46052</v>
      </c>
      <c r="S1155" s="647" t="s">
        <v>66</v>
      </c>
      <c r="T1155" s="647" t="s">
        <v>403</v>
      </c>
      <c r="U1155" s="647"/>
      <c r="V1155" s="508" t="s">
        <v>5961</v>
      </c>
      <c r="W1155" s="508" t="s">
        <v>853</v>
      </c>
      <c r="X1155" s="508">
        <v>0.9402</v>
      </c>
      <c r="Y1155" s="651">
        <f t="shared" si="447"/>
        <v>188.04</v>
      </c>
      <c r="Z1155" s="482"/>
      <c r="AA1155" s="497" t="s">
        <v>3378</v>
      </c>
      <c r="AB1155" s="482" t="s">
        <v>76</v>
      </c>
      <c r="AC1155" s="482"/>
      <c r="AD1155" s="497"/>
      <c r="AE1155" s="497"/>
      <c r="AF1155" s="482"/>
      <c r="AG1155" s="482">
        <f t="shared" si="443"/>
        <v>-200</v>
      </c>
      <c r="AH1155" s="655"/>
      <c r="AI1155" s="482"/>
      <c r="AJ1155" s="482"/>
      <c r="AK1155" s="482"/>
      <c r="AL1155" s="656">
        <f t="shared" si="449"/>
        <v>200</v>
      </c>
      <c r="AM1155" s="432"/>
      <c r="AO1155" s="432"/>
      <c r="AP1155" s="432"/>
      <c r="AQ1155" s="432">
        <f>I1155</f>
        <v>200</v>
      </c>
      <c r="AR1155" s="432"/>
      <c r="AS1155" s="432">
        <f>I1155</f>
        <v>200</v>
      </c>
      <c r="AT1155" s="660"/>
      <c r="AU1155" s="658"/>
      <c r="AV1155" s="658"/>
      <c r="AW1155" s="658"/>
      <c r="AX1155" s="658"/>
      <c r="AY1155" s="581">
        <f t="shared" si="448"/>
        <v>8.33333333333333</v>
      </c>
      <c r="AZ1155" s="662"/>
      <c r="BA1155" s="432"/>
      <c r="BB1155" s="432"/>
      <c r="BC1155" s="432"/>
      <c r="BD1155" s="432"/>
      <c r="BE1155" s="432"/>
      <c r="BF1155" s="432"/>
      <c r="BG1155" s="432"/>
      <c r="BH1155" s="432"/>
      <c r="BI1155" s="432"/>
      <c r="BJ1155" s="432"/>
      <c r="BK1155" s="432"/>
      <c r="BL1155" s="432"/>
      <c r="BM1155" s="658"/>
      <c r="BN1155" s="658"/>
      <c r="BO1155" s="658"/>
      <c r="BP1155" s="658"/>
      <c r="BQ1155" s="658"/>
      <c r="BR1155" s="432">
        <f>I1155</f>
        <v>200</v>
      </c>
      <c r="BS1155" s="432">
        <f t="shared" si="450"/>
        <v>8</v>
      </c>
      <c r="BT1155" s="660"/>
      <c r="BU1155" s="658"/>
      <c r="BV1155" s="660"/>
      <c r="BW1155" s="658"/>
      <c r="BX1155" s="658"/>
      <c r="BY1155" s="658"/>
      <c r="BZ1155" s="658"/>
      <c r="CA1155" s="658"/>
      <c r="CB1155" s="658"/>
      <c r="CC1155" s="658"/>
      <c r="CD1155" s="658"/>
      <c r="CE1155" s="658"/>
      <c r="CF1155" s="658"/>
      <c r="CG1155" s="658"/>
      <c r="CH1155" s="658"/>
      <c r="CI1155" s="658"/>
      <c r="CJ1155" s="658"/>
      <c r="CK1155" s="432">
        <f t="shared" si="444"/>
        <v>8</v>
      </c>
      <c r="CL1155" s="432">
        <f t="shared" si="445"/>
        <v>0</v>
      </c>
      <c r="CM1155" s="432">
        <f t="shared" si="446"/>
        <v>0</v>
      </c>
      <c r="CN1155" s="660"/>
      <c r="CO1155" s="660"/>
      <c r="CP1155" s="660"/>
      <c r="CQ1155" s="434"/>
      <c r="CR1155" s="434"/>
      <c r="CS1155" s="434"/>
      <c r="CT1155" s="660"/>
      <c r="CU1155" s="660"/>
      <c r="CV1155" s="660"/>
      <c r="CW1155" s="660"/>
      <c r="CX1155" s="660"/>
    </row>
    <row r="1156" s="424" customFormat="1" ht="32" customHeight="1" spans="1:102">
      <c r="A1156" s="633">
        <v>46052</v>
      </c>
      <c r="B1156" s="497" t="s">
        <v>1228</v>
      </c>
      <c r="C1156" s="635" t="s">
        <v>841</v>
      </c>
      <c r="D1156" s="432">
        <v>4500192757</v>
      </c>
      <c r="E1156" s="635"/>
      <c r="F1156" s="432" t="s">
        <v>5962</v>
      </c>
      <c r="G1156" s="482" t="s">
        <v>3378</v>
      </c>
      <c r="H1156" s="482" t="s">
        <v>3379</v>
      </c>
      <c r="I1156" s="482">
        <v>100</v>
      </c>
      <c r="J1156" s="482">
        <v>0</v>
      </c>
      <c r="K1156" s="482">
        <v>50</v>
      </c>
      <c r="L1156" s="639">
        <f t="shared" si="439"/>
        <v>2</v>
      </c>
      <c r="M1156" s="640">
        <v>46105</v>
      </c>
      <c r="N1156" s="640">
        <v>46101</v>
      </c>
      <c r="O1156" s="641"/>
      <c r="P1156" s="641"/>
      <c r="Q1156" s="482"/>
      <c r="R1156" s="647">
        <v>46052</v>
      </c>
      <c r="S1156" s="647" t="s">
        <v>66</v>
      </c>
      <c r="T1156" s="647" t="s">
        <v>403</v>
      </c>
      <c r="U1156" s="647"/>
      <c r="V1156" s="508" t="s">
        <v>5963</v>
      </c>
      <c r="W1156" s="508" t="s">
        <v>853</v>
      </c>
      <c r="X1156" s="508">
        <v>0.9402</v>
      </c>
      <c r="Y1156" s="651">
        <f t="shared" si="447"/>
        <v>94.02</v>
      </c>
      <c r="Z1156" s="482"/>
      <c r="AA1156" s="497" t="s">
        <v>3378</v>
      </c>
      <c r="AB1156" s="482" t="s">
        <v>76</v>
      </c>
      <c r="AC1156" s="482"/>
      <c r="AD1156" s="497"/>
      <c r="AE1156" s="497"/>
      <c r="AF1156" s="482"/>
      <c r="AG1156" s="482">
        <f t="shared" si="443"/>
        <v>-100</v>
      </c>
      <c r="AH1156" s="655"/>
      <c r="AI1156" s="482"/>
      <c r="AJ1156" s="482"/>
      <c r="AK1156" s="482"/>
      <c r="AL1156" s="656">
        <f t="shared" si="449"/>
        <v>100</v>
      </c>
      <c r="AM1156" s="432"/>
      <c r="AN1156" s="432"/>
      <c r="AO1156" s="660"/>
      <c r="AP1156" s="432"/>
      <c r="AQ1156" s="432">
        <f>I1156</f>
        <v>100</v>
      </c>
      <c r="AR1156" s="432"/>
      <c r="AS1156" s="432">
        <f>I1156</f>
        <v>100</v>
      </c>
      <c r="AT1156" s="660"/>
      <c r="AU1156" s="658"/>
      <c r="AV1156" s="658"/>
      <c r="AW1156" s="658"/>
      <c r="AX1156" s="658"/>
      <c r="AY1156" s="581">
        <f t="shared" si="448"/>
        <v>4.16666666666667</v>
      </c>
      <c r="AZ1156" s="662"/>
      <c r="BA1156" s="432"/>
      <c r="BB1156" s="432"/>
      <c r="BC1156" s="432"/>
      <c r="BD1156" s="432"/>
      <c r="BE1156" s="432"/>
      <c r="BF1156" s="432"/>
      <c r="BG1156" s="432"/>
      <c r="BH1156" s="432"/>
      <c r="BI1156" s="432"/>
      <c r="BJ1156" s="432"/>
      <c r="BK1156" s="432"/>
      <c r="BL1156" s="432"/>
      <c r="BM1156" s="658"/>
      <c r="BN1156" s="658"/>
      <c r="BO1156" s="658"/>
      <c r="BP1156" s="658"/>
      <c r="BQ1156" s="658"/>
      <c r="BR1156" s="432">
        <f>I1156</f>
        <v>100</v>
      </c>
      <c r="BS1156" s="432">
        <f t="shared" si="450"/>
        <v>4</v>
      </c>
      <c r="BT1156" s="660"/>
      <c r="BU1156" s="658"/>
      <c r="BV1156" s="660"/>
      <c r="BW1156" s="658"/>
      <c r="BX1156" s="658"/>
      <c r="BY1156" s="658"/>
      <c r="BZ1156" s="658"/>
      <c r="CA1156" s="658"/>
      <c r="CB1156" s="658"/>
      <c r="CC1156" s="658"/>
      <c r="CD1156" s="658"/>
      <c r="CE1156" s="658"/>
      <c r="CF1156" s="658"/>
      <c r="CG1156" s="658"/>
      <c r="CH1156" s="658"/>
      <c r="CI1156" s="658"/>
      <c r="CJ1156" s="658"/>
      <c r="CK1156" s="432">
        <f t="shared" si="444"/>
        <v>4</v>
      </c>
      <c r="CL1156" s="432">
        <f t="shared" si="445"/>
        <v>0</v>
      </c>
      <c r="CM1156" s="432">
        <f t="shared" si="446"/>
        <v>0</v>
      </c>
      <c r="CN1156" s="665"/>
      <c r="CO1156" s="665"/>
      <c r="CP1156" s="665"/>
      <c r="CQ1156" s="434"/>
      <c r="CR1156" s="434"/>
      <c r="CS1156" s="434"/>
      <c r="CT1156" s="665"/>
      <c r="CU1156" s="665"/>
      <c r="CV1156" s="665"/>
      <c r="CW1156" s="665"/>
      <c r="CX1156" s="665"/>
    </row>
    <row r="1157" s="424" customFormat="1" ht="32" customHeight="1" spans="1:102">
      <c r="A1157" s="633">
        <v>46052</v>
      </c>
      <c r="B1157" s="497" t="s">
        <v>1228</v>
      </c>
      <c r="C1157" s="635" t="s">
        <v>841</v>
      </c>
      <c r="D1157" s="432">
        <v>4500192767</v>
      </c>
      <c r="E1157" s="635"/>
      <c r="F1157" s="432" t="s">
        <v>5964</v>
      </c>
      <c r="G1157" s="482" t="s">
        <v>3378</v>
      </c>
      <c r="H1157" s="482" t="s">
        <v>3379</v>
      </c>
      <c r="I1157" s="482">
        <v>100</v>
      </c>
      <c r="J1157" s="482">
        <v>0</v>
      </c>
      <c r="K1157" s="482">
        <v>50</v>
      </c>
      <c r="L1157" s="639">
        <f t="shared" si="439"/>
        <v>2</v>
      </c>
      <c r="M1157" s="640">
        <v>46105</v>
      </c>
      <c r="N1157" s="640">
        <v>46101</v>
      </c>
      <c r="O1157" s="641"/>
      <c r="P1157" s="641"/>
      <c r="Q1157" s="482"/>
      <c r="R1157" s="647">
        <v>46052</v>
      </c>
      <c r="S1157" s="647" t="s">
        <v>66</v>
      </c>
      <c r="T1157" s="647" t="s">
        <v>403</v>
      </c>
      <c r="U1157" s="647"/>
      <c r="V1157" s="508" t="s">
        <v>5965</v>
      </c>
      <c r="W1157" s="508" t="s">
        <v>853</v>
      </c>
      <c r="X1157" s="508">
        <v>0.9402</v>
      </c>
      <c r="Y1157" s="651">
        <f t="shared" si="447"/>
        <v>94.02</v>
      </c>
      <c r="Z1157" s="482"/>
      <c r="AA1157" s="497" t="s">
        <v>3378</v>
      </c>
      <c r="AB1157" s="482" t="s">
        <v>76</v>
      </c>
      <c r="AC1157" s="482"/>
      <c r="AD1157" s="497"/>
      <c r="AE1157" s="497"/>
      <c r="AF1157" s="482"/>
      <c r="AG1157" s="482">
        <f t="shared" si="443"/>
        <v>-100</v>
      </c>
      <c r="AH1157" s="655"/>
      <c r="AI1157" s="482"/>
      <c r="AJ1157" s="482"/>
      <c r="AK1157" s="482"/>
      <c r="AL1157" s="656">
        <f t="shared" si="449"/>
        <v>100</v>
      </c>
      <c r="AM1157" s="432"/>
      <c r="AN1157" s="432"/>
      <c r="AO1157" s="660"/>
      <c r="AP1157" s="432"/>
      <c r="AQ1157" s="432">
        <f>I1157</f>
        <v>100</v>
      </c>
      <c r="AR1157" s="432"/>
      <c r="AS1157" s="432">
        <f>I1157</f>
        <v>100</v>
      </c>
      <c r="AT1157" s="660"/>
      <c r="AU1157" s="658"/>
      <c r="AV1157" s="658"/>
      <c r="AW1157" s="658"/>
      <c r="AX1157" s="658"/>
      <c r="AY1157" s="581">
        <f t="shared" si="448"/>
        <v>4.16666666666667</v>
      </c>
      <c r="AZ1157" s="662"/>
      <c r="BA1157" s="432"/>
      <c r="BB1157" s="432"/>
      <c r="BC1157" s="432"/>
      <c r="BD1157" s="432"/>
      <c r="BE1157" s="432"/>
      <c r="BF1157" s="432"/>
      <c r="BG1157" s="432"/>
      <c r="BH1157" s="432"/>
      <c r="BI1157" s="432"/>
      <c r="BJ1157" s="432"/>
      <c r="BK1157" s="432"/>
      <c r="BL1157" s="432"/>
      <c r="BM1157" s="658"/>
      <c r="BN1157" s="658"/>
      <c r="BO1157" s="658"/>
      <c r="BP1157" s="658"/>
      <c r="BQ1157" s="658"/>
      <c r="BR1157" s="432">
        <f>I1157</f>
        <v>100</v>
      </c>
      <c r="BS1157" s="432">
        <f t="shared" si="450"/>
        <v>4</v>
      </c>
      <c r="BT1157" s="660"/>
      <c r="BU1157" s="658"/>
      <c r="BV1157" s="660"/>
      <c r="BW1157" s="658"/>
      <c r="BX1157" s="658"/>
      <c r="BY1157" s="658"/>
      <c r="BZ1157" s="658"/>
      <c r="CA1157" s="658"/>
      <c r="CB1157" s="658"/>
      <c r="CC1157" s="658"/>
      <c r="CD1157" s="658"/>
      <c r="CE1157" s="658"/>
      <c r="CF1157" s="658"/>
      <c r="CG1157" s="658"/>
      <c r="CH1157" s="658"/>
      <c r="CI1157" s="658"/>
      <c r="CJ1157" s="658"/>
      <c r="CK1157" s="432">
        <f t="shared" si="444"/>
        <v>4</v>
      </c>
      <c r="CL1157" s="432">
        <f t="shared" si="445"/>
        <v>0</v>
      </c>
      <c r="CM1157" s="432">
        <f t="shared" si="446"/>
        <v>0</v>
      </c>
      <c r="CN1157" s="665"/>
      <c r="CO1157" s="665"/>
      <c r="CP1157" s="665"/>
      <c r="CQ1157" s="434"/>
      <c r="CR1157" s="434"/>
      <c r="CS1157" s="434"/>
      <c r="CT1157" s="665"/>
      <c r="CU1157" s="665"/>
      <c r="CV1157" s="665"/>
      <c r="CW1157" s="665"/>
      <c r="CX1157" s="665"/>
    </row>
    <row r="1158" s="424" customFormat="1" ht="31" customHeight="1" spans="1:102">
      <c r="A1158" s="633">
        <v>46021</v>
      </c>
      <c r="B1158" s="497" t="s">
        <v>220</v>
      </c>
      <c r="C1158" s="634" t="s">
        <v>90</v>
      </c>
      <c r="D1158" s="432">
        <v>4500190319</v>
      </c>
      <c r="E1158" s="635" t="s">
        <v>5966</v>
      </c>
      <c r="F1158" s="432" t="s">
        <v>5967</v>
      </c>
      <c r="G1158" s="482" t="s">
        <v>3198</v>
      </c>
      <c r="H1158" s="482" t="s">
        <v>3303</v>
      </c>
      <c r="I1158" s="645">
        <v>50000</v>
      </c>
      <c r="J1158" s="482">
        <v>0</v>
      </c>
      <c r="K1158" s="482">
        <v>25</v>
      </c>
      <c r="L1158" s="639">
        <f t="shared" si="439"/>
        <v>2000</v>
      </c>
      <c r="M1158" s="644">
        <v>46106</v>
      </c>
      <c r="N1158" s="644">
        <v>46101</v>
      </c>
      <c r="O1158" s="641"/>
      <c r="P1158" s="641"/>
      <c r="Q1158" s="482"/>
      <c r="R1158" s="647" t="s">
        <v>5968</v>
      </c>
      <c r="S1158" s="647" t="s">
        <v>96</v>
      </c>
      <c r="T1158" s="647" t="s">
        <v>2848</v>
      </c>
      <c r="U1158" s="647"/>
      <c r="V1158" s="571" t="s">
        <v>5969</v>
      </c>
      <c r="W1158" s="508" t="s">
        <v>226</v>
      </c>
      <c r="X1158" s="508">
        <v>0.5455</v>
      </c>
      <c r="Y1158" s="651">
        <f t="shared" ref="Y1158:Y1171" si="451">X1158*I1158</f>
        <v>27275</v>
      </c>
      <c r="Z1158" s="482"/>
      <c r="AA1158" s="482" t="s">
        <v>3198</v>
      </c>
      <c r="AB1158" s="482" t="s">
        <v>76</v>
      </c>
      <c r="AC1158" s="482"/>
      <c r="AD1158" s="497"/>
      <c r="AE1158" s="497"/>
      <c r="AF1158" s="482"/>
      <c r="AG1158" s="482">
        <f t="shared" si="443"/>
        <v>-50000</v>
      </c>
      <c r="AH1158" s="655"/>
      <c r="AI1158" s="482"/>
      <c r="AJ1158" s="482"/>
      <c r="AK1158" s="482">
        <f>I1158</f>
        <v>50000</v>
      </c>
      <c r="AL1158" s="656"/>
      <c r="AM1158" s="432">
        <f>I1158</f>
        <v>50000</v>
      </c>
      <c r="AN1158" s="658"/>
      <c r="AO1158" s="661"/>
      <c r="AP1158" s="432"/>
      <c r="AQ1158" s="432"/>
      <c r="AR1158" s="432">
        <f>I1158</f>
        <v>50000</v>
      </c>
      <c r="AS1158" s="656"/>
      <c r="AT1158" s="660"/>
      <c r="AU1158" s="658"/>
      <c r="AV1158" s="658"/>
      <c r="AW1158" s="658"/>
      <c r="AX1158" s="658"/>
      <c r="AY1158" s="581">
        <f t="shared" si="448"/>
        <v>2083.33333333333</v>
      </c>
      <c r="AZ1158" s="662"/>
      <c r="BA1158" s="658"/>
      <c r="BB1158" s="658"/>
      <c r="BC1158" s="658"/>
      <c r="BD1158" s="658"/>
      <c r="BE1158" s="658"/>
      <c r="BF1158" s="658"/>
      <c r="BG1158" s="658"/>
      <c r="BH1158" s="432"/>
      <c r="BI1158" s="658"/>
      <c r="BJ1158" s="432">
        <f>I1158/25</f>
        <v>2000</v>
      </c>
      <c r="BK1158" s="656"/>
      <c r="BL1158" s="658"/>
      <c r="BM1158" s="658"/>
      <c r="BN1158" s="658"/>
      <c r="BO1158" s="658"/>
      <c r="BP1158" s="658"/>
      <c r="BQ1158" s="658"/>
      <c r="BR1158" s="658"/>
      <c r="BS1158" s="658"/>
      <c r="BT1158" s="660"/>
      <c r="BU1158" s="658"/>
      <c r="BV1158" s="660"/>
      <c r="BW1158" s="658"/>
      <c r="BX1158" s="658"/>
      <c r="BY1158" s="658"/>
      <c r="BZ1158" s="658"/>
      <c r="CA1158" s="658"/>
      <c r="CB1158" s="658"/>
      <c r="CC1158" s="658"/>
      <c r="CD1158" s="658"/>
      <c r="CE1158" s="658"/>
      <c r="CF1158" s="658"/>
      <c r="CG1158" s="658"/>
      <c r="CH1158" s="658"/>
      <c r="CI1158" s="658"/>
      <c r="CJ1158" s="658"/>
      <c r="CK1158" s="432">
        <f t="shared" si="444"/>
        <v>2000</v>
      </c>
      <c r="CL1158" s="432">
        <f t="shared" si="445"/>
        <v>0</v>
      </c>
      <c r="CM1158" s="432">
        <f t="shared" si="446"/>
        <v>0</v>
      </c>
      <c r="CN1158" s="665"/>
      <c r="CO1158" s="665"/>
      <c r="CP1158" s="665"/>
      <c r="CT1158" s="665"/>
      <c r="CU1158" s="665"/>
      <c r="CV1158" s="665"/>
      <c r="CW1158" s="665"/>
      <c r="CX1158" s="665"/>
    </row>
    <row r="1159" s="432" customFormat="1" ht="31" customHeight="1" spans="1:102">
      <c r="A1159" s="633">
        <v>45995</v>
      </c>
      <c r="B1159" s="497" t="s">
        <v>2489</v>
      </c>
      <c r="C1159" s="634" t="s">
        <v>90</v>
      </c>
      <c r="D1159" s="432">
        <v>4500186326</v>
      </c>
      <c r="E1159" s="635">
        <v>60260744</v>
      </c>
      <c r="F1159" s="432" t="s">
        <v>5970</v>
      </c>
      <c r="G1159" s="482" t="s">
        <v>4564</v>
      </c>
      <c r="H1159" s="482" t="s">
        <v>3237</v>
      </c>
      <c r="I1159" s="482">
        <v>2004</v>
      </c>
      <c r="J1159" s="482">
        <v>0</v>
      </c>
      <c r="K1159" s="482">
        <v>12</v>
      </c>
      <c r="L1159" s="639">
        <f t="shared" si="439"/>
        <v>167</v>
      </c>
      <c r="M1159" s="640">
        <v>46106</v>
      </c>
      <c r="N1159" s="640">
        <v>46102</v>
      </c>
      <c r="O1159" s="641"/>
      <c r="P1159" s="641"/>
      <c r="Q1159" s="482"/>
      <c r="R1159" s="647">
        <v>45995</v>
      </c>
      <c r="S1159" s="647" t="s">
        <v>66</v>
      </c>
      <c r="T1159" s="647" t="s">
        <v>2493</v>
      </c>
      <c r="U1159" s="647"/>
      <c r="V1159" s="508" t="s">
        <v>5971</v>
      </c>
      <c r="W1159" s="650" t="s">
        <v>2441</v>
      </c>
      <c r="X1159" s="508">
        <v>1.2871</v>
      </c>
      <c r="Y1159" s="651">
        <f t="shared" si="451"/>
        <v>2579.3484</v>
      </c>
      <c r="Z1159" s="482"/>
      <c r="AA1159" s="482" t="s">
        <v>5650</v>
      </c>
      <c r="AB1159" s="482" t="s">
        <v>76</v>
      </c>
      <c r="AC1159" s="482"/>
      <c r="AD1159" s="497"/>
      <c r="AE1159" s="497"/>
      <c r="AF1159" s="482"/>
      <c r="AG1159" s="482">
        <f t="shared" ref="AG1158:AG1166" si="452">AF1159-I1159</f>
        <v>-2004</v>
      </c>
      <c r="AH1159" s="655"/>
      <c r="AI1159" s="482" t="s">
        <v>2191</v>
      </c>
      <c r="AJ1159" s="482"/>
      <c r="AK1159" s="482">
        <f>I1159*2</f>
        <v>4008</v>
      </c>
      <c r="AL1159" s="656"/>
      <c r="AM1159" s="432">
        <f>I1159*2</f>
        <v>4008</v>
      </c>
      <c r="AR1159" s="656">
        <f>I1159*2</f>
        <v>4008</v>
      </c>
      <c r="AS1159" s="656"/>
      <c r="AT1159" s="660"/>
      <c r="AY1159" s="581">
        <f>I1159/24*2</f>
        <v>167</v>
      </c>
      <c r="AZ1159" s="662"/>
      <c r="BT1159" s="660"/>
      <c r="BV1159" s="660"/>
      <c r="CH1159" s="432">
        <f>I1159</f>
        <v>2004</v>
      </c>
      <c r="CI1159" s="432">
        <f>I1159</f>
        <v>2004</v>
      </c>
      <c r="CJ1159" s="432">
        <f>I1159</f>
        <v>2004</v>
      </c>
      <c r="CK1159" s="432">
        <v>0</v>
      </c>
      <c r="CL1159" s="432">
        <v>0</v>
      </c>
      <c r="CM1159" s="432">
        <v>0</v>
      </c>
      <c r="CN1159" s="660"/>
      <c r="CO1159" s="660"/>
      <c r="CP1159" s="660"/>
      <c r="CT1159" s="660"/>
      <c r="CU1159" s="660"/>
      <c r="CV1159" s="660"/>
      <c r="CW1159" s="660"/>
      <c r="CX1159" s="660"/>
    </row>
    <row r="1160" s="432" customFormat="1" ht="31" customHeight="1" spans="1:102">
      <c r="A1160" s="633">
        <v>45995</v>
      </c>
      <c r="B1160" s="497" t="s">
        <v>2489</v>
      </c>
      <c r="C1160" s="634" t="s">
        <v>90</v>
      </c>
      <c r="D1160" s="432">
        <v>4500186326</v>
      </c>
      <c r="E1160" s="635">
        <v>60260744</v>
      </c>
      <c r="F1160" s="432" t="s">
        <v>2960</v>
      </c>
      <c r="G1160" s="482" t="s">
        <v>5627</v>
      </c>
      <c r="H1160" s="482" t="s">
        <v>5628</v>
      </c>
      <c r="I1160" s="482">
        <v>1600</v>
      </c>
      <c r="J1160" s="482">
        <v>0</v>
      </c>
      <c r="K1160" s="482">
        <v>8</v>
      </c>
      <c r="L1160" s="639">
        <f t="shared" si="439"/>
        <v>200</v>
      </c>
      <c r="M1160" s="640">
        <v>46106</v>
      </c>
      <c r="N1160" s="640">
        <v>46102</v>
      </c>
      <c r="O1160" s="641"/>
      <c r="P1160" s="641"/>
      <c r="Q1160" s="482"/>
      <c r="R1160" s="647">
        <v>45995</v>
      </c>
      <c r="S1160" s="647" t="s">
        <v>66</v>
      </c>
      <c r="T1160" s="647" t="s">
        <v>5629</v>
      </c>
      <c r="U1160" s="647"/>
      <c r="V1160" s="571" t="s">
        <v>2961</v>
      </c>
      <c r="W1160" s="650" t="s">
        <v>2441</v>
      </c>
      <c r="X1160" s="508">
        <v>4.0996</v>
      </c>
      <c r="Y1160" s="651">
        <f t="shared" si="451"/>
        <v>6559.36</v>
      </c>
      <c r="Z1160" s="482"/>
      <c r="AA1160" s="482" t="s">
        <v>2495</v>
      </c>
      <c r="AB1160" s="482" t="s">
        <v>76</v>
      </c>
      <c r="AC1160" s="482"/>
      <c r="AD1160" s="497"/>
      <c r="AE1160" s="497"/>
      <c r="AF1160" s="482"/>
      <c r="AG1160" s="482">
        <f t="shared" si="452"/>
        <v>-1600</v>
      </c>
      <c r="AH1160" s="655"/>
      <c r="AI1160" s="482" t="s">
        <v>2191</v>
      </c>
      <c r="AJ1160" s="482"/>
      <c r="AK1160" s="482">
        <f>I1160*2</f>
        <v>3200</v>
      </c>
      <c r="AL1160" s="656"/>
      <c r="AM1160" s="432">
        <f>I1160*2</f>
        <v>3200</v>
      </c>
      <c r="AR1160" s="432">
        <f>I1160</f>
        <v>1600</v>
      </c>
      <c r="AS1160" s="656"/>
      <c r="AT1160" s="660"/>
      <c r="AY1160" s="663">
        <f>I1160/24*2</f>
        <v>133.333333333333</v>
      </c>
      <c r="AZ1160" s="662"/>
      <c r="BT1160" s="660"/>
      <c r="BV1160" s="660">
        <f>I1160</f>
        <v>1600</v>
      </c>
      <c r="CK1160" s="432">
        <f t="shared" ref="CK1160:CK1178" si="453">BM1160+BL1160+BK1160+BJ1160+BS1160</f>
        <v>0</v>
      </c>
      <c r="CL1160" s="432">
        <f t="shared" ref="CL1160:CL1178" si="454">CA1160+CB1160+CC1160+CD1160+CE1160+CG1160+CF1160</f>
        <v>0</v>
      </c>
      <c r="CM1160" s="432">
        <f t="shared" ref="CM1160:CM1178" si="455">BY1160+BZ1160</f>
        <v>0</v>
      </c>
      <c r="CN1160" s="660"/>
      <c r="CO1160" s="660"/>
      <c r="CP1160" s="660"/>
      <c r="CT1160" s="660"/>
      <c r="CU1160" s="660"/>
      <c r="CV1160" s="660"/>
      <c r="CW1160" s="660"/>
      <c r="CX1160" s="660"/>
    </row>
    <row r="1161" s="433" customFormat="1" ht="31" customHeight="1" spans="1:102">
      <c r="A1161" s="633">
        <v>46044</v>
      </c>
      <c r="B1161" s="497" t="s">
        <v>1782</v>
      </c>
      <c r="C1161" s="634" t="s">
        <v>139</v>
      </c>
      <c r="D1161" s="432">
        <v>4500191865</v>
      </c>
      <c r="E1161" s="635" t="s">
        <v>2964</v>
      </c>
      <c r="F1161" s="432" t="s">
        <v>2965</v>
      </c>
      <c r="G1161" s="482" t="s">
        <v>3436</v>
      </c>
      <c r="H1161" s="482" t="s">
        <v>424</v>
      </c>
      <c r="I1161" s="482">
        <v>1008</v>
      </c>
      <c r="J1161" s="482">
        <v>0</v>
      </c>
      <c r="K1161" s="482">
        <v>6</v>
      </c>
      <c r="L1161" s="639">
        <f t="shared" si="439"/>
        <v>168</v>
      </c>
      <c r="M1161" s="640">
        <v>46106</v>
      </c>
      <c r="N1161" s="640">
        <v>46102</v>
      </c>
      <c r="O1161" s="641"/>
      <c r="P1161" s="641"/>
      <c r="Q1161" s="482"/>
      <c r="R1161" s="647" t="s">
        <v>411</v>
      </c>
      <c r="S1161" s="647" t="s">
        <v>96</v>
      </c>
      <c r="T1161" s="647" t="s">
        <v>403</v>
      </c>
      <c r="U1161" s="647"/>
      <c r="V1161" s="508" t="s">
        <v>2967</v>
      </c>
      <c r="W1161" s="650" t="s">
        <v>381</v>
      </c>
      <c r="X1161" s="648">
        <v>6.8326</v>
      </c>
      <c r="Y1161" s="651">
        <f t="shared" si="451"/>
        <v>6887.2608</v>
      </c>
      <c r="Z1161" s="482"/>
      <c r="AA1161" s="497" t="s">
        <v>427</v>
      </c>
      <c r="AB1161" s="482" t="s">
        <v>76</v>
      </c>
      <c r="AC1161" s="482"/>
      <c r="AD1161" s="497"/>
      <c r="AE1161" s="497"/>
      <c r="AF1161" s="482"/>
      <c r="AG1161" s="482">
        <f t="shared" si="452"/>
        <v>-1008</v>
      </c>
      <c r="AH1161" s="655"/>
      <c r="AI1161" s="482" t="s">
        <v>2191</v>
      </c>
      <c r="AJ1161" s="482"/>
      <c r="AK1161" s="482"/>
      <c r="AL1161" s="656">
        <f>I1161*2</f>
        <v>2016</v>
      </c>
      <c r="AM1161" s="657"/>
      <c r="AN1161" s="657"/>
      <c r="AO1161" s="659"/>
      <c r="AP1161" s="657"/>
      <c r="AQ1161" s="432">
        <f>I1161*2</f>
        <v>2016</v>
      </c>
      <c r="AR1161" s="657"/>
      <c r="AS1161" s="656">
        <f>I1161*2</f>
        <v>2016</v>
      </c>
      <c r="AT1161" s="660"/>
      <c r="AU1161" s="657"/>
      <c r="AV1161" s="657"/>
      <c r="AW1161" s="657"/>
      <c r="AX1161" s="657"/>
      <c r="AY1161" s="663">
        <f>I1161/24*2</f>
        <v>84</v>
      </c>
      <c r="AZ1161" s="662"/>
      <c r="BA1161" s="657"/>
      <c r="BB1161" s="657"/>
      <c r="BC1161" s="657"/>
      <c r="BD1161" s="657"/>
      <c r="BE1161" s="657"/>
      <c r="BF1161" s="657"/>
      <c r="BG1161" s="657"/>
      <c r="BH1161" s="657"/>
      <c r="BI1161" s="657"/>
      <c r="BJ1161" s="657"/>
      <c r="BK1161" s="693"/>
      <c r="BL1161" s="657"/>
      <c r="BM1161" s="657"/>
      <c r="BN1161" s="657"/>
      <c r="BO1161" s="657"/>
      <c r="BP1161" s="657"/>
      <c r="BQ1161" s="657"/>
      <c r="BR1161" s="657"/>
      <c r="BS1161" s="657"/>
      <c r="BT1161" s="660"/>
      <c r="BU1161" s="432">
        <f t="shared" ref="BU1161:BU1163" si="456">I1161</f>
        <v>1008</v>
      </c>
      <c r="BV1161" s="660"/>
      <c r="BW1161" s="657"/>
      <c r="BX1161" s="657"/>
      <c r="BY1161" s="657"/>
      <c r="BZ1161" s="657"/>
      <c r="CA1161" s="657"/>
      <c r="CB1161" s="657"/>
      <c r="CC1161" s="657"/>
      <c r="CD1161" s="657"/>
      <c r="CE1161" s="657"/>
      <c r="CF1161" s="657"/>
      <c r="CG1161" s="657"/>
      <c r="CH1161" s="657"/>
      <c r="CI1161" s="657"/>
      <c r="CJ1161" s="657"/>
      <c r="CK1161" s="432">
        <f t="shared" si="453"/>
        <v>0</v>
      </c>
      <c r="CL1161" s="432">
        <f t="shared" si="454"/>
        <v>0</v>
      </c>
      <c r="CM1161" s="432">
        <f t="shared" si="455"/>
        <v>0</v>
      </c>
      <c r="CN1161" s="694"/>
      <c r="CO1161" s="694"/>
      <c r="CP1161" s="694"/>
      <c r="CQ1161" s="593"/>
      <c r="CR1161" s="593"/>
      <c r="CS1161" s="593"/>
      <c r="CT1161" s="694"/>
      <c r="CU1161" s="694"/>
      <c r="CV1161" s="694"/>
      <c r="CW1161" s="694"/>
      <c r="CX1161" s="694"/>
    </row>
    <row r="1162" s="433" customFormat="1" ht="31" customHeight="1" spans="1:102">
      <c r="A1162" s="633">
        <v>46044</v>
      </c>
      <c r="B1162" s="497" t="s">
        <v>1782</v>
      </c>
      <c r="C1162" s="634" t="s">
        <v>271</v>
      </c>
      <c r="D1162" s="432">
        <v>4500191865</v>
      </c>
      <c r="E1162" s="635" t="s">
        <v>2968</v>
      </c>
      <c r="F1162" s="432" t="s">
        <v>2969</v>
      </c>
      <c r="G1162" s="482" t="s">
        <v>3436</v>
      </c>
      <c r="H1162" s="482" t="s">
        <v>424</v>
      </c>
      <c r="I1162" s="482">
        <v>5058</v>
      </c>
      <c r="J1162" s="482">
        <v>0</v>
      </c>
      <c r="K1162" s="482">
        <v>6</v>
      </c>
      <c r="L1162" s="639">
        <f t="shared" si="439"/>
        <v>843</v>
      </c>
      <c r="M1162" s="640">
        <v>46106</v>
      </c>
      <c r="N1162" s="640">
        <v>46102</v>
      </c>
      <c r="O1162" s="641"/>
      <c r="P1162" s="641"/>
      <c r="Q1162" s="482"/>
      <c r="R1162" s="647" t="s">
        <v>411</v>
      </c>
      <c r="S1162" s="647" t="s">
        <v>96</v>
      </c>
      <c r="T1162" s="647" t="s">
        <v>403</v>
      </c>
      <c r="U1162" s="647"/>
      <c r="V1162" s="508" t="s">
        <v>2970</v>
      </c>
      <c r="W1162" s="650" t="s">
        <v>381</v>
      </c>
      <c r="X1162" s="648">
        <v>6.5757</v>
      </c>
      <c r="Y1162" s="651">
        <f t="shared" si="451"/>
        <v>33259.8906</v>
      </c>
      <c r="Z1162" s="482"/>
      <c r="AA1162" s="497" t="s">
        <v>427</v>
      </c>
      <c r="AB1162" s="482" t="s">
        <v>76</v>
      </c>
      <c r="AC1162" s="482"/>
      <c r="AD1162" s="497"/>
      <c r="AE1162" s="497"/>
      <c r="AF1162" s="482"/>
      <c r="AG1162" s="482">
        <f t="shared" si="452"/>
        <v>-5058</v>
      </c>
      <c r="AH1162" s="655"/>
      <c r="AI1162" s="482" t="s">
        <v>2191</v>
      </c>
      <c r="AJ1162" s="482"/>
      <c r="AK1162" s="482"/>
      <c r="AL1162" s="656">
        <f>I1162*2</f>
        <v>10116</v>
      </c>
      <c r="AM1162" s="657"/>
      <c r="AN1162" s="657"/>
      <c r="AO1162" s="659"/>
      <c r="AP1162" s="657"/>
      <c r="AQ1162" s="432">
        <f>I1162*2</f>
        <v>10116</v>
      </c>
      <c r="AR1162" s="657"/>
      <c r="AS1162" s="656">
        <f>I1162*2</f>
        <v>10116</v>
      </c>
      <c r="AT1162" s="660"/>
      <c r="AU1162" s="657"/>
      <c r="AV1162" s="657"/>
      <c r="AW1162" s="657"/>
      <c r="AX1162" s="657"/>
      <c r="AY1162" s="663">
        <f>I1162/24*2</f>
        <v>421.5</v>
      </c>
      <c r="AZ1162" s="662"/>
      <c r="BA1162" s="657"/>
      <c r="BB1162" s="657"/>
      <c r="BC1162" s="657"/>
      <c r="BD1162" s="657"/>
      <c r="BE1162" s="657"/>
      <c r="BF1162" s="657"/>
      <c r="BG1162" s="657"/>
      <c r="BH1162" s="657"/>
      <c r="BI1162" s="657"/>
      <c r="BJ1162" s="657"/>
      <c r="BK1162" s="693"/>
      <c r="BL1162" s="657"/>
      <c r="BM1162" s="657"/>
      <c r="BN1162" s="657"/>
      <c r="BO1162" s="657"/>
      <c r="BP1162" s="657"/>
      <c r="BQ1162" s="657"/>
      <c r="BR1162" s="657"/>
      <c r="BS1162" s="657"/>
      <c r="BT1162" s="660"/>
      <c r="BU1162" s="432">
        <f t="shared" si="456"/>
        <v>5058</v>
      </c>
      <c r="BV1162" s="660"/>
      <c r="BW1162" s="657"/>
      <c r="BX1162" s="657"/>
      <c r="BY1162" s="657"/>
      <c r="BZ1162" s="657"/>
      <c r="CA1162" s="657"/>
      <c r="CB1162" s="657"/>
      <c r="CC1162" s="657"/>
      <c r="CD1162" s="657"/>
      <c r="CE1162" s="657"/>
      <c r="CF1162" s="657"/>
      <c r="CG1162" s="657"/>
      <c r="CH1162" s="657"/>
      <c r="CI1162" s="657"/>
      <c r="CJ1162" s="657"/>
      <c r="CK1162" s="432">
        <f t="shared" si="453"/>
        <v>0</v>
      </c>
      <c r="CL1162" s="432">
        <f t="shared" si="454"/>
        <v>0</v>
      </c>
      <c r="CM1162" s="432">
        <f t="shared" si="455"/>
        <v>0</v>
      </c>
      <c r="CN1162" s="694"/>
      <c r="CO1162" s="694"/>
      <c r="CP1162" s="694"/>
      <c r="CQ1162" s="593"/>
      <c r="CR1162" s="593"/>
      <c r="CS1162" s="593"/>
      <c r="CT1162" s="694"/>
      <c r="CU1162" s="694"/>
      <c r="CV1162" s="694"/>
      <c r="CW1162" s="694"/>
      <c r="CX1162" s="694"/>
    </row>
    <row r="1163" s="433" customFormat="1" ht="31" customHeight="1" spans="1:102">
      <c r="A1163" s="633">
        <v>46044</v>
      </c>
      <c r="B1163" s="497" t="s">
        <v>1782</v>
      </c>
      <c r="C1163" s="634" t="s">
        <v>366</v>
      </c>
      <c r="D1163" s="432">
        <v>4500191865</v>
      </c>
      <c r="E1163" s="635" t="s">
        <v>2971</v>
      </c>
      <c r="F1163" s="432" t="s">
        <v>2972</v>
      </c>
      <c r="G1163" s="482" t="s">
        <v>3436</v>
      </c>
      <c r="H1163" s="482" t="s">
        <v>424</v>
      </c>
      <c r="I1163" s="482">
        <v>504</v>
      </c>
      <c r="J1163" s="482">
        <v>0</v>
      </c>
      <c r="K1163" s="482">
        <v>6</v>
      </c>
      <c r="L1163" s="639">
        <f t="shared" si="439"/>
        <v>84</v>
      </c>
      <c r="M1163" s="640">
        <v>46106</v>
      </c>
      <c r="N1163" s="640">
        <v>46102</v>
      </c>
      <c r="O1163" s="641"/>
      <c r="P1163" s="641"/>
      <c r="Q1163" s="482"/>
      <c r="R1163" s="647" t="s">
        <v>411</v>
      </c>
      <c r="S1163" s="647" t="s">
        <v>96</v>
      </c>
      <c r="T1163" s="647" t="s">
        <v>403</v>
      </c>
      <c r="U1163" s="647"/>
      <c r="V1163" s="508" t="s">
        <v>2973</v>
      </c>
      <c r="W1163" s="650" t="s">
        <v>381</v>
      </c>
      <c r="X1163" s="648">
        <v>7.1628</v>
      </c>
      <c r="Y1163" s="651">
        <f t="shared" si="451"/>
        <v>3610.0512</v>
      </c>
      <c r="Z1163" s="482"/>
      <c r="AA1163" s="497" t="s">
        <v>427</v>
      </c>
      <c r="AB1163" s="482" t="s">
        <v>76</v>
      </c>
      <c r="AC1163" s="482"/>
      <c r="AD1163" s="497"/>
      <c r="AE1163" s="497"/>
      <c r="AF1163" s="482"/>
      <c r="AG1163" s="482">
        <f t="shared" si="452"/>
        <v>-504</v>
      </c>
      <c r="AH1163" s="655"/>
      <c r="AI1163" s="482" t="s">
        <v>2191</v>
      </c>
      <c r="AJ1163" s="482"/>
      <c r="AK1163" s="482"/>
      <c r="AL1163" s="656">
        <f>I1163*2</f>
        <v>1008</v>
      </c>
      <c r="AM1163" s="657"/>
      <c r="AN1163" s="657"/>
      <c r="AO1163" s="659"/>
      <c r="AP1163" s="657"/>
      <c r="AQ1163" s="432">
        <f>I1163*2</f>
        <v>1008</v>
      </c>
      <c r="AR1163" s="657"/>
      <c r="AS1163" s="656">
        <f>I1163*2</f>
        <v>1008</v>
      </c>
      <c r="AT1163" s="660"/>
      <c r="AU1163" s="657"/>
      <c r="AV1163" s="657"/>
      <c r="AW1163" s="657"/>
      <c r="AX1163" s="657"/>
      <c r="AY1163" s="663">
        <f>I1163/24*2</f>
        <v>42</v>
      </c>
      <c r="AZ1163" s="662"/>
      <c r="BA1163" s="657"/>
      <c r="BB1163" s="657"/>
      <c r="BC1163" s="657"/>
      <c r="BD1163" s="657"/>
      <c r="BE1163" s="657"/>
      <c r="BF1163" s="657"/>
      <c r="BG1163" s="657"/>
      <c r="BH1163" s="657"/>
      <c r="BI1163" s="657"/>
      <c r="BJ1163" s="657"/>
      <c r="BK1163" s="693"/>
      <c r="BL1163" s="657"/>
      <c r="BM1163" s="657"/>
      <c r="BN1163" s="657"/>
      <c r="BO1163" s="657"/>
      <c r="BP1163" s="657"/>
      <c r="BQ1163" s="657"/>
      <c r="BR1163" s="657"/>
      <c r="BS1163" s="657"/>
      <c r="BT1163" s="660"/>
      <c r="BU1163" s="432">
        <f t="shared" si="456"/>
        <v>504</v>
      </c>
      <c r="BV1163" s="660"/>
      <c r="BW1163" s="657"/>
      <c r="BX1163" s="657"/>
      <c r="BY1163" s="657"/>
      <c r="BZ1163" s="657"/>
      <c r="CA1163" s="657"/>
      <c r="CB1163" s="657"/>
      <c r="CC1163" s="657"/>
      <c r="CD1163" s="657"/>
      <c r="CE1163" s="657"/>
      <c r="CF1163" s="657"/>
      <c r="CG1163" s="657"/>
      <c r="CH1163" s="657"/>
      <c r="CI1163" s="657"/>
      <c r="CJ1163" s="657"/>
      <c r="CK1163" s="432">
        <f t="shared" si="453"/>
        <v>0</v>
      </c>
      <c r="CL1163" s="432">
        <f t="shared" si="454"/>
        <v>0</v>
      </c>
      <c r="CM1163" s="432">
        <f t="shared" si="455"/>
        <v>0</v>
      </c>
      <c r="CN1163" s="694"/>
      <c r="CO1163" s="694"/>
      <c r="CP1163" s="694"/>
      <c r="CQ1163" s="593"/>
      <c r="CR1163" s="593"/>
      <c r="CS1163" s="593"/>
      <c r="CT1163" s="694"/>
      <c r="CU1163" s="694"/>
      <c r="CV1163" s="694"/>
      <c r="CW1163" s="694"/>
      <c r="CX1163" s="694"/>
    </row>
    <row r="1164" s="433" customFormat="1" ht="31" customHeight="1" spans="1:102">
      <c r="A1164" s="633">
        <v>46050</v>
      </c>
      <c r="B1164" s="497" t="s">
        <v>2328</v>
      </c>
      <c r="C1164" s="634" t="s">
        <v>90</v>
      </c>
      <c r="D1164" s="432">
        <v>4500192425</v>
      </c>
      <c r="E1164" s="635" t="s">
        <v>2981</v>
      </c>
      <c r="F1164" s="432" t="s">
        <v>5972</v>
      </c>
      <c r="G1164" s="482" t="s">
        <v>3154</v>
      </c>
      <c r="H1164" s="482" t="s">
        <v>3151</v>
      </c>
      <c r="I1164" s="645">
        <v>600</v>
      </c>
      <c r="J1164" s="482">
        <v>0</v>
      </c>
      <c r="K1164" s="482">
        <v>50</v>
      </c>
      <c r="L1164" s="639">
        <f t="shared" si="439"/>
        <v>12</v>
      </c>
      <c r="M1164" s="640">
        <v>46106</v>
      </c>
      <c r="N1164" s="640">
        <v>46102</v>
      </c>
      <c r="O1164" s="641"/>
      <c r="P1164" s="641"/>
      <c r="Q1164" s="482"/>
      <c r="R1164" s="647" t="s">
        <v>403</v>
      </c>
      <c r="S1164" s="647" t="s">
        <v>66</v>
      </c>
      <c r="T1164" s="647" t="s">
        <v>66</v>
      </c>
      <c r="U1164" s="647"/>
      <c r="V1164" s="508" t="s">
        <v>5973</v>
      </c>
      <c r="W1164" s="508" t="s">
        <v>242</v>
      </c>
      <c r="X1164" s="508">
        <v>0.5735</v>
      </c>
      <c r="Y1164" s="651">
        <f t="shared" si="451"/>
        <v>344.1</v>
      </c>
      <c r="Z1164" s="482"/>
      <c r="AA1164" s="482" t="s">
        <v>3154</v>
      </c>
      <c r="AB1164" s="482" t="s">
        <v>76</v>
      </c>
      <c r="AC1164" s="482"/>
      <c r="AD1164" s="497"/>
      <c r="AE1164" s="497"/>
      <c r="AF1164" s="482"/>
      <c r="AG1164" s="482">
        <f t="shared" si="452"/>
        <v>-600</v>
      </c>
      <c r="AH1164" s="655"/>
      <c r="AI1164" s="482"/>
      <c r="AJ1164" s="482"/>
      <c r="AK1164" s="482">
        <f>I1164</f>
        <v>600</v>
      </c>
      <c r="AL1164" s="432"/>
      <c r="AM1164" s="432">
        <f>I1164</f>
        <v>600</v>
      </c>
      <c r="AN1164" s="658"/>
      <c r="AO1164" s="661"/>
      <c r="AP1164" s="658"/>
      <c r="AQ1164" s="432"/>
      <c r="AR1164" s="432">
        <f>I1164</f>
        <v>600</v>
      </c>
      <c r="AS1164" s="656"/>
      <c r="AT1164" s="660"/>
      <c r="AU1164" s="658"/>
      <c r="AV1164" s="658"/>
      <c r="AW1164" s="658"/>
      <c r="AX1164" s="658"/>
      <c r="AY1164" s="581">
        <f t="shared" ref="AY1164:AY1169" si="457">I1164/24</f>
        <v>25</v>
      </c>
      <c r="AZ1164" s="662"/>
      <c r="BA1164" s="658"/>
      <c r="BB1164" s="658"/>
      <c r="BC1164" s="658"/>
      <c r="BD1164" s="658"/>
      <c r="BE1164" s="658"/>
      <c r="BF1164" s="658"/>
      <c r="BG1164" s="658"/>
      <c r="BH1164" s="658"/>
      <c r="BI1164" s="658"/>
      <c r="BJ1164" s="432">
        <f>I1164/25</f>
        <v>24</v>
      </c>
      <c r="BK1164" s="658"/>
      <c r="BL1164" s="658"/>
      <c r="BM1164" s="658"/>
      <c r="BN1164" s="658"/>
      <c r="BO1164" s="658"/>
      <c r="BP1164" s="658"/>
      <c r="BQ1164" s="658"/>
      <c r="BR1164" s="658"/>
      <c r="BS1164" s="658"/>
      <c r="BT1164" s="660"/>
      <c r="BU1164" s="658"/>
      <c r="BV1164" s="660"/>
      <c r="BW1164" s="658"/>
      <c r="BX1164" s="658"/>
      <c r="BY1164" s="658"/>
      <c r="BZ1164" s="658"/>
      <c r="CA1164" s="658"/>
      <c r="CB1164" s="658"/>
      <c r="CC1164" s="658"/>
      <c r="CD1164" s="658"/>
      <c r="CE1164" s="658"/>
      <c r="CF1164" s="432"/>
      <c r="CG1164" s="658"/>
      <c r="CH1164" s="658"/>
      <c r="CI1164" s="658"/>
      <c r="CJ1164" s="658"/>
      <c r="CK1164" s="432">
        <f t="shared" si="453"/>
        <v>24</v>
      </c>
      <c r="CL1164" s="432">
        <f t="shared" si="454"/>
        <v>0</v>
      </c>
      <c r="CM1164" s="432">
        <f t="shared" si="455"/>
        <v>0</v>
      </c>
      <c r="CN1164" s="694"/>
      <c r="CO1164" s="694"/>
      <c r="CP1164" s="694"/>
      <c r="CT1164" s="694"/>
      <c r="CU1164" s="694"/>
      <c r="CV1164" s="694"/>
      <c r="CW1164" s="694"/>
      <c r="CX1164" s="694"/>
    </row>
    <row r="1165" s="433" customFormat="1" ht="31" customHeight="1" spans="1:102">
      <c r="A1165" s="633">
        <v>46051</v>
      </c>
      <c r="B1165" s="497" t="s">
        <v>1669</v>
      </c>
      <c r="C1165" s="634" t="s">
        <v>663</v>
      </c>
      <c r="D1165" s="432">
        <v>4500192252</v>
      </c>
      <c r="E1165" s="635">
        <v>5000002110</v>
      </c>
      <c r="F1165" s="432" t="s">
        <v>5974</v>
      </c>
      <c r="G1165" s="482" t="s">
        <v>3206</v>
      </c>
      <c r="H1165" s="482" t="s">
        <v>4939</v>
      </c>
      <c r="I1165" s="645">
        <v>5018</v>
      </c>
      <c r="J1165" s="482">
        <v>0</v>
      </c>
      <c r="K1165" s="482">
        <v>13</v>
      </c>
      <c r="L1165" s="639">
        <f t="shared" si="439"/>
        <v>386</v>
      </c>
      <c r="M1165" s="640">
        <v>46106</v>
      </c>
      <c r="N1165" s="640">
        <v>46102</v>
      </c>
      <c r="O1165" s="641"/>
      <c r="P1165" s="641"/>
      <c r="Q1165" s="482"/>
      <c r="R1165" s="647" t="s">
        <v>5975</v>
      </c>
      <c r="S1165" s="647" t="s">
        <v>66</v>
      </c>
      <c r="T1165" s="647" t="s">
        <v>5818</v>
      </c>
      <c r="U1165" s="647"/>
      <c r="V1165" s="508" t="s">
        <v>5976</v>
      </c>
      <c r="W1165" s="650" t="s">
        <v>1674</v>
      </c>
      <c r="X1165" s="648">
        <v>0.882</v>
      </c>
      <c r="Y1165" s="651">
        <f t="shared" si="451"/>
        <v>4425.876</v>
      </c>
      <c r="Z1165" s="482"/>
      <c r="AA1165" s="652" t="s">
        <v>5467</v>
      </c>
      <c r="AB1165" s="482" t="s">
        <v>76</v>
      </c>
      <c r="AC1165" s="482"/>
      <c r="AD1165" s="497"/>
      <c r="AE1165" s="497"/>
      <c r="AF1165" s="482"/>
      <c r="AG1165" s="482"/>
      <c r="AH1165" s="655"/>
      <c r="AI1165" s="482"/>
      <c r="AJ1165" s="482"/>
      <c r="AK1165" s="482"/>
      <c r="AL1165" s="656">
        <f>I1165</f>
        <v>5018</v>
      </c>
      <c r="AM1165" s="657"/>
      <c r="AN1165" s="657"/>
      <c r="AO1165" s="659"/>
      <c r="AP1165" s="657"/>
      <c r="AQ1165" s="432"/>
      <c r="AR1165" s="657"/>
      <c r="AS1165" s="656"/>
      <c r="AT1165" s="660">
        <f>I1165</f>
        <v>5018</v>
      </c>
      <c r="AU1165" s="432">
        <f>I1165*2</f>
        <v>10036</v>
      </c>
      <c r="AV1165" s="657"/>
      <c r="AW1165" s="657"/>
      <c r="AX1165" s="664">
        <f>I1165/24*2</f>
        <v>418.166666666667</v>
      </c>
      <c r="AY1165" s="663"/>
      <c r="AZ1165" s="662"/>
      <c r="BA1165" s="657"/>
      <c r="BB1165" s="657"/>
      <c r="BC1165" s="657"/>
      <c r="BD1165" s="657"/>
      <c r="BE1165" s="657"/>
      <c r="BF1165" s="657"/>
      <c r="BG1165" s="657"/>
      <c r="BH1165" s="657"/>
      <c r="BI1165" s="432">
        <f>I1165/13</f>
        <v>386</v>
      </c>
      <c r="BJ1165" s="657"/>
      <c r="BK1165" s="693"/>
      <c r="BL1165" s="657"/>
      <c r="BM1165" s="657"/>
      <c r="BN1165" s="657"/>
      <c r="BO1165" s="657"/>
      <c r="BP1165" s="657"/>
      <c r="BQ1165" s="657"/>
      <c r="BR1165" s="657"/>
      <c r="BS1165" s="657"/>
      <c r="BT1165" s="660"/>
      <c r="BU1165" s="432"/>
      <c r="BV1165" s="660"/>
      <c r="BW1165" s="657"/>
      <c r="BX1165" s="657"/>
      <c r="BY1165" s="657"/>
      <c r="BZ1165" s="657"/>
      <c r="CA1165" s="657"/>
      <c r="CB1165" s="657"/>
      <c r="CC1165" s="657"/>
      <c r="CD1165" s="657"/>
      <c r="CE1165" s="657"/>
      <c r="CF1165" s="657"/>
      <c r="CG1165" s="657"/>
      <c r="CH1165" s="657"/>
      <c r="CI1165" s="657"/>
      <c r="CJ1165" s="657"/>
      <c r="CK1165" s="432">
        <f t="shared" si="453"/>
        <v>0</v>
      </c>
      <c r="CL1165" s="432">
        <f t="shared" si="454"/>
        <v>0</v>
      </c>
      <c r="CM1165" s="432">
        <f t="shared" si="455"/>
        <v>0</v>
      </c>
      <c r="CN1165" s="694"/>
      <c r="CO1165" s="694"/>
      <c r="CP1165" s="694"/>
      <c r="CQ1165" s="593"/>
      <c r="CR1165" s="593"/>
      <c r="CS1165" s="593"/>
      <c r="CT1165" s="694"/>
      <c r="CU1165" s="694"/>
      <c r="CV1165" s="694"/>
      <c r="CW1165" s="694"/>
      <c r="CX1165" s="694"/>
    </row>
    <row r="1166" s="433" customFormat="1" ht="31" customHeight="1" spans="1:102">
      <c r="A1166" s="633">
        <v>46051</v>
      </c>
      <c r="B1166" s="497" t="s">
        <v>1669</v>
      </c>
      <c r="C1166" s="635" t="s">
        <v>663</v>
      </c>
      <c r="D1166" s="432">
        <v>4500192252</v>
      </c>
      <c r="E1166" s="635">
        <v>5000002110</v>
      </c>
      <c r="F1166" s="432" t="s">
        <v>2984</v>
      </c>
      <c r="G1166" s="482" t="s">
        <v>3436</v>
      </c>
      <c r="H1166" s="482" t="s">
        <v>424</v>
      </c>
      <c r="I1166" s="645">
        <v>5004</v>
      </c>
      <c r="J1166" s="482">
        <v>0</v>
      </c>
      <c r="K1166" s="482">
        <v>6</v>
      </c>
      <c r="L1166" s="639">
        <f t="shared" si="439"/>
        <v>834</v>
      </c>
      <c r="M1166" s="640">
        <v>46106</v>
      </c>
      <c r="N1166" s="640">
        <v>46102</v>
      </c>
      <c r="O1166" s="641"/>
      <c r="P1166" s="641"/>
      <c r="Q1166" s="482"/>
      <c r="R1166" s="647" t="s">
        <v>2985</v>
      </c>
      <c r="S1166" s="647" t="s">
        <v>96</v>
      </c>
      <c r="T1166" s="647" t="s">
        <v>2067</v>
      </c>
      <c r="U1166" s="647"/>
      <c r="V1166" s="508" t="s">
        <v>5977</v>
      </c>
      <c r="W1166" s="651" t="s">
        <v>1674</v>
      </c>
      <c r="X1166" s="648">
        <v>6.4585</v>
      </c>
      <c r="Y1166" s="651">
        <f t="shared" si="451"/>
        <v>32318.334</v>
      </c>
      <c r="Z1166" s="482"/>
      <c r="AA1166" s="652" t="s">
        <v>2069</v>
      </c>
      <c r="AB1166" s="482" t="s">
        <v>76</v>
      </c>
      <c r="AC1166" s="482"/>
      <c r="AD1166" s="497"/>
      <c r="AE1166" s="497"/>
      <c r="AF1166" s="482"/>
      <c r="AG1166" s="482">
        <f>AF1166-I1166</f>
        <v>-5004</v>
      </c>
      <c r="AH1166" s="655"/>
      <c r="AI1166" s="482"/>
      <c r="AJ1166" s="482"/>
      <c r="AK1166" s="482"/>
      <c r="AL1166" s="656">
        <f>I1166*2</f>
        <v>10008</v>
      </c>
      <c r="AM1166" s="432"/>
      <c r="AN1166" s="658"/>
      <c r="AO1166" s="661"/>
      <c r="AP1166" s="658"/>
      <c r="AQ1166" s="432">
        <f>I1166</f>
        <v>5004</v>
      </c>
      <c r="AR1166" s="432"/>
      <c r="AS1166" s="656"/>
      <c r="AT1166" s="660"/>
      <c r="AU1166" s="432">
        <f>I1166*2</f>
        <v>10008</v>
      </c>
      <c r="AV1166" s="658"/>
      <c r="AW1166" s="658"/>
      <c r="AX1166" s="664">
        <f>I1166/24*2</f>
        <v>417</v>
      </c>
      <c r="AY1166" s="581"/>
      <c r="AZ1166" s="662"/>
      <c r="BA1166" s="658"/>
      <c r="BB1166" s="658"/>
      <c r="BC1166" s="658"/>
      <c r="BD1166" s="658"/>
      <c r="BE1166" s="658"/>
      <c r="BF1166" s="658"/>
      <c r="BG1166" s="658"/>
      <c r="BH1166" s="658"/>
      <c r="BI1166" s="658"/>
      <c r="BJ1166" s="432"/>
      <c r="BK1166" s="658"/>
      <c r="BL1166" s="658"/>
      <c r="BM1166" s="658"/>
      <c r="BN1166" s="658"/>
      <c r="BO1166" s="658"/>
      <c r="BP1166" s="658"/>
      <c r="BQ1166" s="658"/>
      <c r="BR1166" s="658"/>
      <c r="BS1166" s="658"/>
      <c r="BT1166" s="660"/>
      <c r="BU1166" s="432">
        <f>I1166</f>
        <v>5004</v>
      </c>
      <c r="BV1166" s="660"/>
      <c r="BW1166" s="658"/>
      <c r="BX1166" s="658"/>
      <c r="BY1166" s="658"/>
      <c r="BZ1166" s="658"/>
      <c r="CA1166" s="658"/>
      <c r="CB1166" s="658"/>
      <c r="CC1166" s="658"/>
      <c r="CD1166" s="658"/>
      <c r="CE1166" s="658"/>
      <c r="CF1166" s="432"/>
      <c r="CG1166" s="658"/>
      <c r="CH1166" s="658"/>
      <c r="CI1166" s="658"/>
      <c r="CJ1166" s="658"/>
      <c r="CK1166" s="432">
        <f t="shared" si="453"/>
        <v>0</v>
      </c>
      <c r="CL1166" s="432">
        <f t="shared" si="454"/>
        <v>0</v>
      </c>
      <c r="CM1166" s="432">
        <f t="shared" si="455"/>
        <v>0</v>
      </c>
      <c r="CN1166" s="694"/>
      <c r="CO1166" s="694"/>
      <c r="CP1166" s="694"/>
      <c r="CT1166" s="694"/>
      <c r="CU1166" s="694"/>
      <c r="CV1166" s="694"/>
      <c r="CW1166" s="694"/>
      <c r="CX1166" s="694"/>
    </row>
    <row r="1167" s="433" customFormat="1" ht="32" customHeight="1" spans="1:102">
      <c r="A1167" s="633">
        <v>46051</v>
      </c>
      <c r="B1167" s="497" t="s">
        <v>1822</v>
      </c>
      <c r="C1167" s="635" t="s">
        <v>726</v>
      </c>
      <c r="D1167" s="432">
        <v>4500192550</v>
      </c>
      <c r="E1167" s="635" t="s">
        <v>2987</v>
      </c>
      <c r="F1167" s="432" t="s">
        <v>5978</v>
      </c>
      <c r="G1167" s="482" t="s">
        <v>3161</v>
      </c>
      <c r="H1167" s="482" t="s">
        <v>3221</v>
      </c>
      <c r="I1167" s="482">
        <v>2500</v>
      </c>
      <c r="J1167" s="482">
        <v>0</v>
      </c>
      <c r="K1167" s="482">
        <v>50</v>
      </c>
      <c r="L1167" s="639">
        <f t="shared" si="439"/>
        <v>50</v>
      </c>
      <c r="M1167" s="640">
        <v>46106</v>
      </c>
      <c r="N1167" s="640">
        <v>46102</v>
      </c>
      <c r="O1167" s="641"/>
      <c r="P1167" s="641"/>
      <c r="Q1167" s="482"/>
      <c r="R1167" s="647">
        <v>46051</v>
      </c>
      <c r="S1167" s="647" t="s">
        <v>66</v>
      </c>
      <c r="T1167" s="647" t="s">
        <v>2989</v>
      </c>
      <c r="U1167" s="647"/>
      <c r="V1167" s="649" t="s">
        <v>5979</v>
      </c>
      <c r="W1167" s="508" t="s">
        <v>207</v>
      </c>
      <c r="X1167" s="508">
        <v>0.9771</v>
      </c>
      <c r="Y1167" s="651">
        <f t="shared" si="451"/>
        <v>2442.75</v>
      </c>
      <c r="Z1167" s="482"/>
      <c r="AA1167" s="497" t="s">
        <v>4470</v>
      </c>
      <c r="AB1167" s="482" t="s">
        <v>76</v>
      </c>
      <c r="AC1167" s="482"/>
      <c r="AD1167" s="497"/>
      <c r="AE1167" s="497"/>
      <c r="AF1167" s="482"/>
      <c r="AG1167" s="482">
        <f>AF1167-I1167</f>
        <v>-2500</v>
      </c>
      <c r="AH1167" s="655"/>
      <c r="AI1167" s="482"/>
      <c r="AJ1167" s="482"/>
      <c r="AK1167" s="482"/>
      <c r="AL1167" s="656">
        <f>I1167</f>
        <v>2500</v>
      </c>
      <c r="AM1167" s="432">
        <f>I1167</f>
        <v>2500</v>
      </c>
      <c r="AN1167" s="432"/>
      <c r="AO1167" s="660"/>
      <c r="AP1167" s="432"/>
      <c r="AQ1167" s="432"/>
      <c r="AR1167" s="432"/>
      <c r="AS1167" s="656">
        <f>I1167</f>
        <v>2500</v>
      </c>
      <c r="AT1167" s="660"/>
      <c r="AU1167" s="658"/>
      <c r="AV1167" s="658"/>
      <c r="AW1167" s="658"/>
      <c r="AX1167" s="658"/>
      <c r="AY1167" s="581">
        <f t="shared" si="457"/>
        <v>104.166666666667</v>
      </c>
      <c r="AZ1167" s="662"/>
      <c r="BA1167" s="432"/>
      <c r="BB1167" s="432"/>
      <c r="BC1167" s="432"/>
      <c r="BD1167" s="432"/>
      <c r="BE1167" s="432"/>
      <c r="BF1167" s="432"/>
      <c r="BG1167" s="432"/>
      <c r="BH1167" s="432"/>
      <c r="BI1167" s="432"/>
      <c r="BJ1167" s="432">
        <f>I1167/25</f>
        <v>100</v>
      </c>
      <c r="BK1167" s="432"/>
      <c r="BL1167" s="432"/>
      <c r="BM1167" s="658"/>
      <c r="BN1167" s="658"/>
      <c r="BO1167" s="658"/>
      <c r="BP1167" s="658"/>
      <c r="BQ1167" s="658"/>
      <c r="BR1167" s="658"/>
      <c r="BS1167" s="658"/>
      <c r="BT1167" s="660"/>
      <c r="BU1167" s="658"/>
      <c r="BV1167" s="660"/>
      <c r="BW1167" s="658"/>
      <c r="BX1167" s="658"/>
      <c r="BY1167" s="658"/>
      <c r="BZ1167" s="658"/>
      <c r="CA1167" s="658"/>
      <c r="CB1167" s="658"/>
      <c r="CC1167" s="658"/>
      <c r="CD1167" s="658"/>
      <c r="CE1167" s="658"/>
      <c r="CF1167" s="658"/>
      <c r="CG1167" s="658"/>
      <c r="CH1167" s="658"/>
      <c r="CI1167" s="658"/>
      <c r="CJ1167" s="658"/>
      <c r="CK1167" s="432">
        <f t="shared" si="453"/>
        <v>100</v>
      </c>
      <c r="CL1167" s="432">
        <f t="shared" si="454"/>
        <v>0</v>
      </c>
      <c r="CM1167" s="432">
        <f t="shared" si="455"/>
        <v>0</v>
      </c>
      <c r="CN1167" s="694"/>
      <c r="CO1167" s="694"/>
      <c r="CP1167" s="694"/>
      <c r="CQ1167" s="435"/>
      <c r="CR1167" s="435"/>
      <c r="CS1167" s="435"/>
      <c r="CT1167" s="694"/>
      <c r="CU1167" s="694"/>
      <c r="CV1167" s="694"/>
      <c r="CW1167" s="694"/>
      <c r="CX1167" s="694"/>
    </row>
    <row r="1168" s="433" customFormat="1" ht="31" customHeight="1" spans="1:102">
      <c r="A1168" s="633">
        <v>46045</v>
      </c>
      <c r="B1168" s="497" t="s">
        <v>122</v>
      </c>
      <c r="C1168" s="634" t="s">
        <v>116</v>
      </c>
      <c r="D1168" s="432">
        <v>4500192220</v>
      </c>
      <c r="E1168" s="635">
        <v>21503985</v>
      </c>
      <c r="F1168" s="432" t="s">
        <v>5980</v>
      </c>
      <c r="G1168" s="482" t="s">
        <v>3206</v>
      </c>
      <c r="H1168" s="482" t="s">
        <v>4939</v>
      </c>
      <c r="I1168" s="645">
        <v>4485</v>
      </c>
      <c r="J1168" s="482">
        <v>0</v>
      </c>
      <c r="K1168" s="482">
        <v>13</v>
      </c>
      <c r="L1168" s="639">
        <f t="shared" si="439"/>
        <v>345</v>
      </c>
      <c r="M1168" s="640">
        <v>46107</v>
      </c>
      <c r="N1168" s="640">
        <v>46104</v>
      </c>
      <c r="O1168" s="641"/>
      <c r="P1168" s="641"/>
      <c r="Q1168" s="482"/>
      <c r="R1168" s="647" t="s">
        <v>403</v>
      </c>
      <c r="S1168" s="647" t="s">
        <v>96</v>
      </c>
      <c r="T1168" s="647" t="s">
        <v>403</v>
      </c>
      <c r="U1168" s="647"/>
      <c r="V1168" s="508" t="s">
        <v>5981</v>
      </c>
      <c r="W1168" s="650" t="s">
        <v>2893</v>
      </c>
      <c r="X1168" s="648">
        <v>0.9475</v>
      </c>
      <c r="Y1168" s="651">
        <f t="shared" si="451"/>
        <v>4249.5375</v>
      </c>
      <c r="Z1168" s="482"/>
      <c r="AA1168" s="688" t="s">
        <v>3206</v>
      </c>
      <c r="AB1168" s="482" t="s">
        <v>76</v>
      </c>
      <c r="AC1168" s="482"/>
      <c r="AD1168" s="497"/>
      <c r="AE1168" s="497"/>
      <c r="AF1168" s="482"/>
      <c r="AG1168" s="482"/>
      <c r="AH1168" s="655"/>
      <c r="AI1168" s="482"/>
      <c r="AJ1168" s="482"/>
      <c r="AK1168" s="482"/>
      <c r="AL1168" s="656">
        <f>I1168</f>
        <v>4485</v>
      </c>
      <c r="AM1168" s="657"/>
      <c r="AN1168" s="657"/>
      <c r="AO1168" s="659"/>
      <c r="AP1168" s="657"/>
      <c r="AQ1168" s="432">
        <f>I1168</f>
        <v>4485</v>
      </c>
      <c r="AR1168" s="657"/>
      <c r="AS1168" s="656">
        <f t="shared" ref="AS1168:AS1171" si="458">I1168*2</f>
        <v>8970</v>
      </c>
      <c r="AT1168" s="660"/>
      <c r="AU1168" s="657"/>
      <c r="AV1168" s="657"/>
      <c r="AW1168" s="657"/>
      <c r="AX1168" s="657"/>
      <c r="AY1168" s="581">
        <f t="shared" si="457"/>
        <v>186.875</v>
      </c>
      <c r="AZ1168" s="662"/>
      <c r="BA1168" s="657"/>
      <c r="BB1168" s="657"/>
      <c r="BC1168" s="657"/>
      <c r="BD1168" s="657"/>
      <c r="BE1168" s="657"/>
      <c r="BF1168" s="657"/>
      <c r="BG1168" s="657"/>
      <c r="BH1168" s="657"/>
      <c r="BI1168" s="432">
        <f>I1168/13</f>
        <v>345</v>
      </c>
      <c r="BJ1168" s="657"/>
      <c r="BK1168" s="693"/>
      <c r="BL1168" s="657"/>
      <c r="BM1168" s="657"/>
      <c r="BN1168" s="657"/>
      <c r="BO1168" s="657"/>
      <c r="BP1168" s="657"/>
      <c r="BQ1168" s="657"/>
      <c r="BR1168" s="657"/>
      <c r="BS1168" s="657"/>
      <c r="BT1168" s="660"/>
      <c r="BU1168" s="432"/>
      <c r="BV1168" s="660"/>
      <c r="BW1168" s="657"/>
      <c r="BX1168" s="657"/>
      <c r="BY1168" s="657"/>
      <c r="BZ1168" s="657"/>
      <c r="CA1168" s="657"/>
      <c r="CB1168" s="657"/>
      <c r="CC1168" s="657"/>
      <c r="CD1168" s="657"/>
      <c r="CE1168" s="657"/>
      <c r="CF1168" s="657"/>
      <c r="CG1168" s="657"/>
      <c r="CH1168" s="657"/>
      <c r="CI1168" s="657"/>
      <c r="CJ1168" s="657"/>
      <c r="CK1168" s="432">
        <f t="shared" si="453"/>
        <v>0</v>
      </c>
      <c r="CL1168" s="432">
        <f t="shared" si="454"/>
        <v>0</v>
      </c>
      <c r="CM1168" s="432">
        <f t="shared" si="455"/>
        <v>0</v>
      </c>
      <c r="CN1168" s="694"/>
      <c r="CO1168" s="694"/>
      <c r="CP1168" s="694"/>
      <c r="CQ1168" s="593"/>
      <c r="CR1168" s="593"/>
      <c r="CS1168" s="593"/>
      <c r="CT1168" s="694"/>
      <c r="CU1168" s="694"/>
      <c r="CV1168" s="694"/>
      <c r="CW1168" s="694"/>
      <c r="CX1168" s="694"/>
    </row>
    <row r="1169" s="433" customFormat="1" ht="31" customHeight="1" spans="1:102">
      <c r="A1169" s="633">
        <v>46045</v>
      </c>
      <c r="B1169" s="497" t="s">
        <v>125</v>
      </c>
      <c r="C1169" s="634" t="s">
        <v>71</v>
      </c>
      <c r="D1169" s="432">
        <v>4500192221</v>
      </c>
      <c r="E1169" s="635">
        <v>21503988</v>
      </c>
      <c r="F1169" s="432" t="s">
        <v>5982</v>
      </c>
      <c r="G1169" s="482" t="s">
        <v>3206</v>
      </c>
      <c r="H1169" s="482" t="s">
        <v>4939</v>
      </c>
      <c r="I1169" s="645">
        <v>455</v>
      </c>
      <c r="J1169" s="482">
        <v>0</v>
      </c>
      <c r="K1169" s="482">
        <v>13</v>
      </c>
      <c r="L1169" s="639">
        <f t="shared" si="439"/>
        <v>35</v>
      </c>
      <c r="M1169" s="640">
        <v>46107</v>
      </c>
      <c r="N1169" s="640">
        <v>46104</v>
      </c>
      <c r="O1169" s="641"/>
      <c r="P1169" s="641"/>
      <c r="Q1169" s="482"/>
      <c r="R1169" s="647" t="s">
        <v>403</v>
      </c>
      <c r="S1169" s="647" t="s">
        <v>96</v>
      </c>
      <c r="T1169" s="647" t="s">
        <v>403</v>
      </c>
      <c r="U1169" s="647"/>
      <c r="V1169" s="508" t="s">
        <v>5983</v>
      </c>
      <c r="W1169" s="650" t="s">
        <v>2893</v>
      </c>
      <c r="X1169" s="648">
        <v>0.9526</v>
      </c>
      <c r="Y1169" s="651">
        <f t="shared" si="451"/>
        <v>433.433</v>
      </c>
      <c r="Z1169" s="482"/>
      <c r="AA1169" s="688" t="s">
        <v>3206</v>
      </c>
      <c r="AB1169" s="482" t="s">
        <v>76</v>
      </c>
      <c r="AC1169" s="482"/>
      <c r="AD1169" s="497"/>
      <c r="AE1169" s="497"/>
      <c r="AF1169" s="482"/>
      <c r="AG1169" s="482"/>
      <c r="AH1169" s="655"/>
      <c r="AI1169" s="482"/>
      <c r="AJ1169" s="482"/>
      <c r="AK1169" s="482"/>
      <c r="AL1169" s="656">
        <f>I1169</f>
        <v>455</v>
      </c>
      <c r="AM1169" s="657"/>
      <c r="AN1169" s="657"/>
      <c r="AO1169" s="659"/>
      <c r="AP1169" s="657"/>
      <c r="AQ1169" s="432">
        <f>I1169</f>
        <v>455</v>
      </c>
      <c r="AR1169" s="657"/>
      <c r="AS1169" s="656">
        <f t="shared" si="458"/>
        <v>910</v>
      </c>
      <c r="AT1169" s="660"/>
      <c r="AU1169" s="657"/>
      <c r="AV1169" s="657"/>
      <c r="AW1169" s="657"/>
      <c r="AX1169" s="657"/>
      <c r="AY1169" s="581">
        <f t="shared" si="457"/>
        <v>18.9583333333333</v>
      </c>
      <c r="AZ1169" s="662"/>
      <c r="BA1169" s="657"/>
      <c r="BB1169" s="657"/>
      <c r="BC1169" s="657"/>
      <c r="BD1169" s="657"/>
      <c r="BE1169" s="657"/>
      <c r="BF1169" s="657"/>
      <c r="BG1169" s="657"/>
      <c r="BH1169" s="657"/>
      <c r="BI1169" s="432">
        <f>I1169/13</f>
        <v>35</v>
      </c>
      <c r="BJ1169" s="657"/>
      <c r="BK1169" s="693"/>
      <c r="BL1169" s="657"/>
      <c r="BM1169" s="657"/>
      <c r="BN1169" s="657"/>
      <c r="BO1169" s="657"/>
      <c r="BP1169" s="657"/>
      <c r="BQ1169" s="657"/>
      <c r="BR1169" s="657"/>
      <c r="BS1169" s="657"/>
      <c r="BT1169" s="660"/>
      <c r="BU1169" s="432"/>
      <c r="BV1169" s="660"/>
      <c r="BW1169" s="657"/>
      <c r="BX1169" s="657"/>
      <c r="BY1169" s="657"/>
      <c r="BZ1169" s="657"/>
      <c r="CA1169" s="657"/>
      <c r="CB1169" s="657"/>
      <c r="CC1169" s="657"/>
      <c r="CD1169" s="657"/>
      <c r="CE1169" s="657"/>
      <c r="CF1169" s="657"/>
      <c r="CG1169" s="657"/>
      <c r="CH1169" s="657"/>
      <c r="CI1169" s="657"/>
      <c r="CJ1169" s="657"/>
      <c r="CK1169" s="432">
        <f t="shared" si="453"/>
        <v>0</v>
      </c>
      <c r="CL1169" s="432">
        <f t="shared" si="454"/>
        <v>0</v>
      </c>
      <c r="CM1169" s="432">
        <f t="shared" si="455"/>
        <v>0</v>
      </c>
      <c r="CN1169" s="694"/>
      <c r="CO1169" s="694"/>
      <c r="CP1169" s="694"/>
      <c r="CQ1169" s="593"/>
      <c r="CR1169" s="593"/>
      <c r="CS1169" s="593"/>
      <c r="CT1169" s="694"/>
      <c r="CU1169" s="694"/>
      <c r="CV1169" s="694"/>
      <c r="CW1169" s="694"/>
      <c r="CX1169" s="694"/>
    </row>
    <row r="1170" s="433" customFormat="1" ht="31" customHeight="1" spans="1:102">
      <c r="A1170" s="633">
        <v>46049</v>
      </c>
      <c r="B1170" s="497" t="s">
        <v>122</v>
      </c>
      <c r="C1170" s="634" t="s">
        <v>116</v>
      </c>
      <c r="D1170" s="432">
        <v>4500192220</v>
      </c>
      <c r="E1170" s="635">
        <v>21528174</v>
      </c>
      <c r="F1170" s="432" t="s">
        <v>2993</v>
      </c>
      <c r="G1170" s="482" t="s">
        <v>3436</v>
      </c>
      <c r="H1170" s="482" t="s">
        <v>424</v>
      </c>
      <c r="I1170" s="645">
        <v>4548</v>
      </c>
      <c r="J1170" s="482">
        <v>0</v>
      </c>
      <c r="K1170" s="482">
        <v>6</v>
      </c>
      <c r="L1170" s="639">
        <f t="shared" si="439"/>
        <v>758</v>
      </c>
      <c r="M1170" s="640">
        <v>46107</v>
      </c>
      <c r="N1170" s="640">
        <v>46104</v>
      </c>
      <c r="O1170" s="641"/>
      <c r="P1170" s="641"/>
      <c r="Q1170" s="482"/>
      <c r="R1170" s="647" t="s">
        <v>403</v>
      </c>
      <c r="S1170" s="647" t="s">
        <v>96</v>
      </c>
      <c r="T1170" s="647" t="s">
        <v>403</v>
      </c>
      <c r="U1170" s="647"/>
      <c r="V1170" s="508" t="s">
        <v>5984</v>
      </c>
      <c r="W1170" s="650" t="s">
        <v>2893</v>
      </c>
      <c r="X1170" s="648">
        <v>6.8865</v>
      </c>
      <c r="Y1170" s="651">
        <f t="shared" si="451"/>
        <v>31319.802</v>
      </c>
      <c r="Z1170" s="482"/>
      <c r="AA1170" s="497" t="s">
        <v>427</v>
      </c>
      <c r="AB1170" s="482" t="s">
        <v>76</v>
      </c>
      <c r="AC1170" s="482"/>
      <c r="AD1170" s="497"/>
      <c r="AE1170" s="497"/>
      <c r="AF1170" s="482"/>
      <c r="AG1170" s="482">
        <f t="shared" ref="AG1170:AG1175" si="459">AF1170-I1170</f>
        <v>-4548</v>
      </c>
      <c r="AH1170" s="655"/>
      <c r="AI1170" s="482"/>
      <c r="AJ1170" s="482"/>
      <c r="AK1170" s="549"/>
      <c r="AL1170" s="656">
        <f>I1170*2</f>
        <v>9096</v>
      </c>
      <c r="AM1170" s="432"/>
      <c r="AN1170" s="432"/>
      <c r="AO1170" s="432"/>
      <c r="AP1170" s="432"/>
      <c r="AQ1170" s="432">
        <f>I1170</f>
        <v>4548</v>
      </c>
      <c r="AR1170" s="656"/>
      <c r="AS1170" s="656">
        <f t="shared" si="458"/>
        <v>9096</v>
      </c>
      <c r="AT1170" s="660"/>
      <c r="AU1170" s="432"/>
      <c r="AV1170" s="432"/>
      <c r="AW1170" s="432"/>
      <c r="AX1170" s="432"/>
      <c r="AY1170" s="663">
        <f>I1170/24*2</f>
        <v>379</v>
      </c>
      <c r="AZ1170" s="662"/>
      <c r="BA1170" s="432"/>
      <c r="BB1170" s="432"/>
      <c r="BC1170" s="432"/>
      <c r="BD1170" s="432"/>
      <c r="BE1170" s="432"/>
      <c r="BF1170" s="432"/>
      <c r="BG1170" s="432"/>
      <c r="BH1170" s="432"/>
      <c r="BI1170" s="432"/>
      <c r="BJ1170" s="432"/>
      <c r="BK1170" s="432"/>
      <c r="BL1170" s="432"/>
      <c r="BM1170" s="432"/>
      <c r="BN1170" s="432"/>
      <c r="BO1170" s="432"/>
      <c r="BP1170" s="432"/>
      <c r="BQ1170" s="432"/>
      <c r="BR1170" s="432"/>
      <c r="BS1170" s="432"/>
      <c r="BT1170" s="660"/>
      <c r="BU1170" s="432">
        <f>I1170</f>
        <v>4548</v>
      </c>
      <c r="BV1170" s="660"/>
      <c r="BW1170" s="432"/>
      <c r="BX1170" s="432"/>
      <c r="BY1170" s="432"/>
      <c r="BZ1170" s="432"/>
      <c r="CA1170" s="432"/>
      <c r="CB1170" s="432"/>
      <c r="CC1170" s="432"/>
      <c r="CD1170" s="432"/>
      <c r="CE1170" s="432"/>
      <c r="CF1170" s="432"/>
      <c r="CG1170" s="432"/>
      <c r="CH1170" s="432"/>
      <c r="CI1170" s="432"/>
      <c r="CJ1170" s="432"/>
      <c r="CK1170" s="432">
        <f t="shared" si="453"/>
        <v>0</v>
      </c>
      <c r="CL1170" s="432">
        <f t="shared" si="454"/>
        <v>0</v>
      </c>
      <c r="CM1170" s="432">
        <f t="shared" si="455"/>
        <v>0</v>
      </c>
      <c r="CN1170" s="694"/>
      <c r="CO1170" s="694"/>
      <c r="CP1170" s="694"/>
      <c r="CT1170" s="694"/>
      <c r="CU1170" s="694"/>
      <c r="CV1170" s="694"/>
      <c r="CW1170" s="694"/>
      <c r="CX1170" s="694"/>
    </row>
    <row r="1171" s="433" customFormat="1" ht="31" customHeight="1" spans="1:102">
      <c r="A1171" s="633">
        <v>46049</v>
      </c>
      <c r="B1171" s="497" t="s">
        <v>125</v>
      </c>
      <c r="C1171" s="634" t="s">
        <v>71</v>
      </c>
      <c r="D1171" s="432">
        <v>4500192221</v>
      </c>
      <c r="E1171" s="635">
        <v>21528177</v>
      </c>
      <c r="F1171" s="432" t="s">
        <v>2995</v>
      </c>
      <c r="G1171" s="482" t="s">
        <v>3436</v>
      </c>
      <c r="H1171" s="482" t="s">
        <v>424</v>
      </c>
      <c r="I1171" s="645">
        <v>456</v>
      </c>
      <c r="J1171" s="482">
        <v>0</v>
      </c>
      <c r="K1171" s="482">
        <v>6</v>
      </c>
      <c r="L1171" s="639">
        <f t="shared" si="439"/>
        <v>76</v>
      </c>
      <c r="M1171" s="640">
        <v>46107</v>
      </c>
      <c r="N1171" s="640">
        <v>46104</v>
      </c>
      <c r="O1171" s="641"/>
      <c r="P1171" s="641"/>
      <c r="Q1171" s="482"/>
      <c r="R1171" s="647" t="s">
        <v>403</v>
      </c>
      <c r="S1171" s="647" t="s">
        <v>96</v>
      </c>
      <c r="T1171" s="647" t="s">
        <v>403</v>
      </c>
      <c r="U1171" s="647"/>
      <c r="V1171" s="508" t="s">
        <v>5985</v>
      </c>
      <c r="W1171" s="650" t="s">
        <v>2893</v>
      </c>
      <c r="X1171" s="648">
        <v>7.4117</v>
      </c>
      <c r="Y1171" s="651">
        <f t="shared" si="451"/>
        <v>3379.7352</v>
      </c>
      <c r="Z1171" s="482"/>
      <c r="AA1171" s="497" t="s">
        <v>427</v>
      </c>
      <c r="AB1171" s="482" t="s">
        <v>76</v>
      </c>
      <c r="AC1171" s="482"/>
      <c r="AD1171" s="497"/>
      <c r="AE1171" s="497"/>
      <c r="AF1171" s="482"/>
      <c r="AG1171" s="482">
        <f t="shared" si="459"/>
        <v>-456</v>
      </c>
      <c r="AH1171" s="655"/>
      <c r="AI1171" s="482"/>
      <c r="AJ1171" s="482"/>
      <c r="AK1171" s="549"/>
      <c r="AL1171" s="656">
        <f>I1171*2</f>
        <v>912</v>
      </c>
      <c r="AM1171" s="432"/>
      <c r="AN1171" s="432"/>
      <c r="AO1171" s="432"/>
      <c r="AP1171" s="432"/>
      <c r="AQ1171" s="432">
        <f>I1171</f>
        <v>456</v>
      </c>
      <c r="AR1171" s="656"/>
      <c r="AS1171" s="656">
        <f t="shared" si="458"/>
        <v>912</v>
      </c>
      <c r="AT1171" s="660"/>
      <c r="AU1171" s="432"/>
      <c r="AV1171" s="432"/>
      <c r="AW1171" s="432"/>
      <c r="AX1171" s="432"/>
      <c r="AY1171" s="663">
        <f>I1171/24*2</f>
        <v>38</v>
      </c>
      <c r="AZ1171" s="662"/>
      <c r="BA1171" s="432"/>
      <c r="BB1171" s="432"/>
      <c r="BC1171" s="432"/>
      <c r="BD1171" s="432"/>
      <c r="BE1171" s="432"/>
      <c r="BF1171" s="432"/>
      <c r="BG1171" s="432"/>
      <c r="BH1171" s="432"/>
      <c r="BI1171" s="432"/>
      <c r="BJ1171" s="432"/>
      <c r="BK1171" s="432"/>
      <c r="BL1171" s="432"/>
      <c r="BM1171" s="432"/>
      <c r="BN1171" s="432"/>
      <c r="BO1171" s="432"/>
      <c r="BP1171" s="432"/>
      <c r="BQ1171" s="432"/>
      <c r="BR1171" s="432"/>
      <c r="BS1171" s="432"/>
      <c r="BT1171" s="660"/>
      <c r="BU1171" s="432">
        <f>I1171</f>
        <v>456</v>
      </c>
      <c r="BV1171" s="660"/>
      <c r="BW1171" s="432"/>
      <c r="BX1171" s="432"/>
      <c r="BY1171" s="432"/>
      <c r="BZ1171" s="432"/>
      <c r="CA1171" s="432"/>
      <c r="CB1171" s="432"/>
      <c r="CC1171" s="432"/>
      <c r="CD1171" s="432"/>
      <c r="CE1171" s="432"/>
      <c r="CF1171" s="432"/>
      <c r="CG1171" s="432"/>
      <c r="CH1171" s="432"/>
      <c r="CI1171" s="432"/>
      <c r="CJ1171" s="432"/>
      <c r="CK1171" s="432">
        <f t="shared" si="453"/>
        <v>0</v>
      </c>
      <c r="CL1171" s="432">
        <f t="shared" si="454"/>
        <v>0</v>
      </c>
      <c r="CM1171" s="432">
        <f t="shared" si="455"/>
        <v>0</v>
      </c>
      <c r="CN1171" s="694"/>
      <c r="CO1171" s="694"/>
      <c r="CP1171" s="694"/>
      <c r="CT1171" s="694"/>
      <c r="CU1171" s="694"/>
      <c r="CV1171" s="694"/>
      <c r="CW1171" s="694"/>
      <c r="CX1171" s="694"/>
    </row>
    <row r="1172" s="432" customFormat="1" ht="31" customHeight="1" spans="1:102">
      <c r="A1172" s="633">
        <v>45978</v>
      </c>
      <c r="B1172" s="497" t="s">
        <v>1372</v>
      </c>
      <c r="C1172" s="634" t="s">
        <v>90</v>
      </c>
      <c r="D1172" s="432">
        <v>4500185949</v>
      </c>
      <c r="E1172" s="894" t="s">
        <v>2997</v>
      </c>
      <c r="F1172" s="432" t="s">
        <v>2998</v>
      </c>
      <c r="G1172" s="482" t="s">
        <v>5575</v>
      </c>
      <c r="H1172" s="482" t="s">
        <v>744</v>
      </c>
      <c r="I1172" s="482">
        <v>5400</v>
      </c>
      <c r="J1172" s="482">
        <v>0</v>
      </c>
      <c r="K1172" s="482">
        <v>75</v>
      </c>
      <c r="L1172" s="639">
        <f t="shared" si="439"/>
        <v>72</v>
      </c>
      <c r="M1172" s="644">
        <v>46108</v>
      </c>
      <c r="N1172" s="644">
        <v>46104</v>
      </c>
      <c r="O1172" s="641"/>
      <c r="P1172" s="641"/>
      <c r="Q1172" s="482"/>
      <c r="R1172" s="647" t="s">
        <v>2432</v>
      </c>
      <c r="S1172" s="647" t="s">
        <v>66</v>
      </c>
      <c r="T1172" s="647" t="s">
        <v>66</v>
      </c>
      <c r="U1172" s="647"/>
      <c r="V1172" s="508" t="s">
        <v>2565</v>
      </c>
      <c r="W1172" s="650" t="s">
        <v>821</v>
      </c>
      <c r="X1172" s="508">
        <v>359.3436</v>
      </c>
      <c r="Y1172" s="651">
        <f>X1172*L1172</f>
        <v>25872.7392</v>
      </c>
      <c r="Z1172" s="482"/>
      <c r="AA1172" s="497" t="s">
        <v>1378</v>
      </c>
      <c r="AB1172" s="482" t="s">
        <v>76</v>
      </c>
      <c r="AC1172" s="482"/>
      <c r="AD1172" s="497"/>
      <c r="AE1172" s="497"/>
      <c r="AF1172" s="482"/>
      <c r="AG1172" s="482">
        <f t="shared" si="459"/>
        <v>-5400</v>
      </c>
      <c r="AH1172" s="655"/>
      <c r="AI1172" s="482"/>
      <c r="AJ1172" s="482"/>
      <c r="AK1172" s="549">
        <f>I1172*3</f>
        <v>16200</v>
      </c>
      <c r="AL1172" s="656"/>
      <c r="AR1172" s="656"/>
      <c r="AS1172" s="656"/>
      <c r="AT1172" s="660"/>
      <c r="AY1172" s="581">
        <f>I1172/24*3</f>
        <v>675</v>
      </c>
      <c r="AZ1172" s="662"/>
      <c r="BC1172" s="432">
        <f>AK1172</f>
        <v>16200</v>
      </c>
      <c r="BD1172" s="432">
        <f>AK1172</f>
        <v>16200</v>
      </c>
      <c r="BE1172" s="432">
        <f>I1172</f>
        <v>5400</v>
      </c>
      <c r="BF1172" s="432">
        <f>I1172/5</f>
        <v>1080</v>
      </c>
      <c r="BT1172" s="660"/>
      <c r="BV1172" s="660"/>
      <c r="CK1172" s="428">
        <f t="shared" si="453"/>
        <v>0</v>
      </c>
      <c r="CL1172" s="428">
        <f t="shared" si="454"/>
        <v>0</v>
      </c>
      <c r="CM1172" s="428">
        <f t="shared" si="455"/>
        <v>0</v>
      </c>
      <c r="CN1172" s="660"/>
      <c r="CO1172" s="660"/>
      <c r="CP1172" s="660"/>
      <c r="CT1172" s="660"/>
      <c r="CU1172" s="660"/>
      <c r="CV1172" s="660"/>
      <c r="CW1172" s="660"/>
      <c r="CX1172" s="660"/>
    </row>
    <row r="1173" s="432" customFormat="1" ht="31" customHeight="1" spans="1:102">
      <c r="A1173" s="633">
        <v>45978</v>
      </c>
      <c r="B1173" s="497" t="s">
        <v>1372</v>
      </c>
      <c r="C1173" s="634" t="s">
        <v>90</v>
      </c>
      <c r="D1173" s="432">
        <v>4500185956</v>
      </c>
      <c r="E1173" s="894" t="s">
        <v>2999</v>
      </c>
      <c r="F1173" s="432" t="s">
        <v>3000</v>
      </c>
      <c r="G1173" s="482" t="s">
        <v>5575</v>
      </c>
      <c r="H1173" s="482" t="s">
        <v>744</v>
      </c>
      <c r="I1173" s="482">
        <v>5400</v>
      </c>
      <c r="J1173" s="482">
        <v>0</v>
      </c>
      <c r="K1173" s="482">
        <v>75</v>
      </c>
      <c r="L1173" s="639">
        <f t="shared" si="439"/>
        <v>72</v>
      </c>
      <c r="M1173" s="644">
        <v>46108</v>
      </c>
      <c r="N1173" s="644">
        <v>46104</v>
      </c>
      <c r="O1173" s="641"/>
      <c r="P1173" s="641"/>
      <c r="Q1173" s="482"/>
      <c r="R1173" s="647" t="s">
        <v>2432</v>
      </c>
      <c r="S1173" s="647" t="s">
        <v>66</v>
      </c>
      <c r="T1173" s="647" t="s">
        <v>66</v>
      </c>
      <c r="U1173" s="647"/>
      <c r="V1173" s="508" t="s">
        <v>2565</v>
      </c>
      <c r="W1173" s="650" t="s">
        <v>821</v>
      </c>
      <c r="X1173" s="508">
        <v>359.3436</v>
      </c>
      <c r="Y1173" s="651">
        <f>X1173*L1173</f>
        <v>25872.7392</v>
      </c>
      <c r="Z1173" s="482"/>
      <c r="AA1173" s="497" t="s">
        <v>1378</v>
      </c>
      <c r="AB1173" s="482" t="s">
        <v>76</v>
      </c>
      <c r="AC1173" s="482"/>
      <c r="AD1173" s="497"/>
      <c r="AE1173" s="497"/>
      <c r="AF1173" s="482"/>
      <c r="AG1173" s="482">
        <f t="shared" si="459"/>
        <v>-5400</v>
      </c>
      <c r="AH1173" s="655"/>
      <c r="AI1173" s="482"/>
      <c r="AJ1173" s="482"/>
      <c r="AK1173" s="549">
        <f>I1173*3</f>
        <v>16200</v>
      </c>
      <c r="AL1173" s="656"/>
      <c r="AR1173" s="656"/>
      <c r="AS1173" s="656"/>
      <c r="AT1173" s="660"/>
      <c r="AY1173" s="581">
        <f>I1173/24*3</f>
        <v>675</v>
      </c>
      <c r="AZ1173" s="662"/>
      <c r="BC1173" s="432">
        <f>AK1173</f>
        <v>16200</v>
      </c>
      <c r="BD1173" s="432">
        <f>AK1173</f>
        <v>16200</v>
      </c>
      <c r="BE1173" s="432">
        <f>I1173</f>
        <v>5400</v>
      </c>
      <c r="BF1173" s="432">
        <f>I1173/5</f>
        <v>1080</v>
      </c>
      <c r="BT1173" s="660"/>
      <c r="BV1173" s="660"/>
      <c r="CK1173" s="428">
        <f t="shared" si="453"/>
        <v>0</v>
      </c>
      <c r="CL1173" s="428">
        <f t="shared" si="454"/>
        <v>0</v>
      </c>
      <c r="CM1173" s="428">
        <f t="shared" si="455"/>
        <v>0</v>
      </c>
      <c r="CN1173" s="660"/>
      <c r="CO1173" s="660"/>
      <c r="CP1173" s="660"/>
      <c r="CT1173" s="660"/>
      <c r="CU1173" s="660"/>
      <c r="CV1173" s="660"/>
      <c r="CW1173" s="660"/>
      <c r="CX1173" s="660"/>
    </row>
    <row r="1174" s="424" customFormat="1" ht="31" customHeight="1" spans="1:102">
      <c r="A1174" s="633">
        <v>46038</v>
      </c>
      <c r="B1174" s="497" t="s">
        <v>516</v>
      </c>
      <c r="C1174" s="635" t="s">
        <v>271</v>
      </c>
      <c r="D1174" s="432">
        <v>4500191607</v>
      </c>
      <c r="E1174" s="635">
        <v>2000009161</v>
      </c>
      <c r="F1174" s="432" t="s">
        <v>3001</v>
      </c>
      <c r="G1174" s="482" t="s">
        <v>3436</v>
      </c>
      <c r="H1174" s="482" t="s">
        <v>424</v>
      </c>
      <c r="I1174" s="645">
        <v>3690</v>
      </c>
      <c r="J1174" s="482">
        <v>0</v>
      </c>
      <c r="K1174" s="482">
        <v>6</v>
      </c>
      <c r="L1174" s="639">
        <f t="shared" si="439"/>
        <v>615</v>
      </c>
      <c r="M1174" s="640">
        <v>46108</v>
      </c>
      <c r="N1174" s="640">
        <v>46104</v>
      </c>
      <c r="O1174" s="641"/>
      <c r="P1174" s="641"/>
      <c r="Q1174" s="482"/>
      <c r="R1174" s="647" t="s">
        <v>403</v>
      </c>
      <c r="S1174" s="647" t="s">
        <v>66</v>
      </c>
      <c r="T1174" s="647" t="s">
        <v>5986</v>
      </c>
      <c r="U1174" s="647"/>
      <c r="V1174" s="508" t="s">
        <v>3005</v>
      </c>
      <c r="W1174" s="650" t="s">
        <v>370</v>
      </c>
      <c r="X1174" s="648">
        <v>6.7296</v>
      </c>
      <c r="Y1174" s="651">
        <f t="shared" ref="Y1174:Y1178" si="460">X1174*I1174</f>
        <v>24832.224</v>
      </c>
      <c r="Z1174" s="482"/>
      <c r="AA1174" s="497" t="s">
        <v>427</v>
      </c>
      <c r="AB1174" s="482" t="s">
        <v>76</v>
      </c>
      <c r="AC1174" s="482"/>
      <c r="AD1174" s="497"/>
      <c r="AE1174" s="497"/>
      <c r="AF1174" s="482"/>
      <c r="AG1174" s="482">
        <f t="shared" si="459"/>
        <v>-3690</v>
      </c>
      <c r="AH1174" s="655"/>
      <c r="AI1174" s="482"/>
      <c r="AJ1174" s="482"/>
      <c r="AK1174" s="549"/>
      <c r="AL1174" s="656">
        <f>I1174*2</f>
        <v>7380</v>
      </c>
      <c r="AM1174" s="657"/>
      <c r="AN1174" s="657"/>
      <c r="AO1174" s="659"/>
      <c r="AP1174" s="657"/>
      <c r="AQ1174" s="432">
        <f>I1174*2</f>
        <v>7380</v>
      </c>
      <c r="AR1174" s="432"/>
      <c r="AS1174" s="656">
        <f>I1174*2</f>
        <v>7380</v>
      </c>
      <c r="AT1174" s="660"/>
      <c r="AU1174" s="432"/>
      <c r="AV1174" s="432"/>
      <c r="AW1174" s="432"/>
      <c r="AX1174" s="432"/>
      <c r="AY1174" s="663">
        <f>I1174/24*2</f>
        <v>307.5</v>
      </c>
      <c r="AZ1174" s="662"/>
      <c r="BA1174" s="432"/>
      <c r="BB1174" s="432"/>
      <c r="BC1174" s="432"/>
      <c r="BD1174" s="432"/>
      <c r="BE1174" s="432"/>
      <c r="BF1174" s="432"/>
      <c r="BG1174" s="432"/>
      <c r="BH1174" s="432"/>
      <c r="BI1174" s="432"/>
      <c r="BJ1174" s="432"/>
      <c r="BK1174" s="432"/>
      <c r="BL1174" s="432"/>
      <c r="BM1174" s="432"/>
      <c r="BN1174" s="432"/>
      <c r="BO1174" s="432"/>
      <c r="BP1174" s="432"/>
      <c r="BQ1174" s="432"/>
      <c r="BR1174" s="432"/>
      <c r="BS1174" s="432"/>
      <c r="BT1174" s="660"/>
      <c r="BU1174" s="432">
        <f>I1174</f>
        <v>3690</v>
      </c>
      <c r="BV1174" s="660"/>
      <c r="BW1174" s="657"/>
      <c r="BX1174" s="657"/>
      <c r="BY1174" s="657"/>
      <c r="BZ1174" s="657"/>
      <c r="CA1174" s="657"/>
      <c r="CB1174" s="657"/>
      <c r="CC1174" s="657"/>
      <c r="CD1174" s="657"/>
      <c r="CE1174" s="657"/>
      <c r="CF1174" s="657"/>
      <c r="CG1174" s="657"/>
      <c r="CH1174" s="657"/>
      <c r="CI1174" s="657"/>
      <c r="CJ1174" s="657"/>
      <c r="CK1174" s="432">
        <f t="shared" si="453"/>
        <v>0</v>
      </c>
      <c r="CL1174" s="432">
        <f t="shared" si="454"/>
        <v>0</v>
      </c>
      <c r="CM1174" s="432">
        <f t="shared" si="455"/>
        <v>0</v>
      </c>
      <c r="CN1174" s="660"/>
      <c r="CO1174" s="660"/>
      <c r="CP1174" s="660"/>
      <c r="CQ1174" s="427"/>
      <c r="CR1174" s="427"/>
      <c r="CS1174" s="427"/>
      <c r="CT1174" s="660"/>
      <c r="CU1174" s="660"/>
      <c r="CV1174" s="660"/>
      <c r="CW1174" s="660"/>
      <c r="CX1174" s="660"/>
    </row>
    <row r="1175" s="433" customFormat="1" ht="31" customHeight="1" spans="1:102">
      <c r="A1175" s="633">
        <v>46045</v>
      </c>
      <c r="B1175" s="497" t="s">
        <v>220</v>
      </c>
      <c r="C1175" s="634" t="s">
        <v>90</v>
      </c>
      <c r="D1175" s="432">
        <v>4500192219</v>
      </c>
      <c r="E1175" s="635" t="s">
        <v>5987</v>
      </c>
      <c r="F1175" s="432" t="s">
        <v>5988</v>
      </c>
      <c r="G1175" s="482" t="s">
        <v>3198</v>
      </c>
      <c r="H1175" s="482" t="s">
        <v>3303</v>
      </c>
      <c r="I1175" s="645">
        <v>60000</v>
      </c>
      <c r="J1175" s="482">
        <v>0</v>
      </c>
      <c r="K1175" s="482">
        <v>25</v>
      </c>
      <c r="L1175" s="639">
        <f t="shared" si="439"/>
        <v>2400</v>
      </c>
      <c r="M1175" s="640">
        <v>46108</v>
      </c>
      <c r="N1175" s="640">
        <v>46104</v>
      </c>
      <c r="O1175" s="641"/>
      <c r="P1175" s="641"/>
      <c r="Q1175" s="482"/>
      <c r="R1175" s="647">
        <v>46049</v>
      </c>
      <c r="S1175" s="647" t="s">
        <v>96</v>
      </c>
      <c r="T1175" s="647" t="s">
        <v>403</v>
      </c>
      <c r="U1175" s="647"/>
      <c r="V1175" s="508" t="s">
        <v>5439</v>
      </c>
      <c r="W1175" s="651" t="s">
        <v>226</v>
      </c>
      <c r="X1175" s="508">
        <v>0.5455</v>
      </c>
      <c r="Y1175" s="651">
        <f t="shared" si="460"/>
        <v>32730</v>
      </c>
      <c r="Z1175" s="482"/>
      <c r="AA1175" s="482" t="s">
        <v>3198</v>
      </c>
      <c r="AB1175" s="482" t="s">
        <v>76</v>
      </c>
      <c r="AC1175" s="482"/>
      <c r="AD1175" s="497"/>
      <c r="AE1175" s="497"/>
      <c r="AF1175" s="482"/>
      <c r="AG1175" s="482">
        <f t="shared" si="459"/>
        <v>-60000</v>
      </c>
      <c r="AH1175" s="482"/>
      <c r="AI1175" s="482"/>
      <c r="AJ1175" s="482"/>
      <c r="AK1175" s="482">
        <f>I1175</f>
        <v>60000</v>
      </c>
      <c r="AL1175" s="662"/>
      <c r="AM1175" s="432">
        <f>I1175</f>
        <v>60000</v>
      </c>
      <c r="AN1175" s="658"/>
      <c r="AO1175" s="661"/>
      <c r="AP1175" s="658"/>
      <c r="AQ1175" s="432"/>
      <c r="AR1175" s="432">
        <f>I1175</f>
        <v>60000</v>
      </c>
      <c r="AS1175" s="432"/>
      <c r="AT1175" s="660"/>
      <c r="AU1175" s="432"/>
      <c r="AV1175" s="432"/>
      <c r="AW1175" s="432"/>
      <c r="AX1175" s="432"/>
      <c r="AY1175" s="581">
        <f>I1175/24</f>
        <v>2500</v>
      </c>
      <c r="AZ1175" s="662"/>
      <c r="BA1175" s="432"/>
      <c r="BB1175" s="432"/>
      <c r="BC1175" s="432"/>
      <c r="BD1175" s="432"/>
      <c r="BE1175" s="432"/>
      <c r="BF1175" s="432"/>
      <c r="BG1175" s="432"/>
      <c r="BH1175" s="432"/>
      <c r="BI1175" s="432"/>
      <c r="BJ1175" s="432">
        <f>I1175/25</f>
        <v>2400</v>
      </c>
      <c r="BK1175" s="432"/>
      <c r="BL1175" s="432"/>
      <c r="BM1175" s="432"/>
      <c r="BN1175" s="432"/>
      <c r="BO1175" s="432"/>
      <c r="BP1175" s="432"/>
      <c r="BQ1175" s="432"/>
      <c r="BR1175" s="432"/>
      <c r="BS1175" s="432"/>
      <c r="BT1175" s="660"/>
      <c r="BU1175" s="432"/>
      <c r="BV1175" s="660"/>
      <c r="BW1175" s="432"/>
      <c r="BX1175" s="432"/>
      <c r="BY1175" s="432"/>
      <c r="BZ1175" s="432"/>
      <c r="CA1175" s="432"/>
      <c r="CB1175" s="432"/>
      <c r="CC1175" s="432"/>
      <c r="CD1175" s="432"/>
      <c r="CE1175" s="432"/>
      <c r="CF1175" s="432"/>
      <c r="CG1175" s="432"/>
      <c r="CH1175" s="432"/>
      <c r="CI1175" s="432"/>
      <c r="CJ1175" s="432"/>
      <c r="CK1175" s="432">
        <f t="shared" si="453"/>
        <v>2400</v>
      </c>
      <c r="CL1175" s="432">
        <f t="shared" si="454"/>
        <v>0</v>
      </c>
      <c r="CM1175" s="432">
        <f t="shared" si="455"/>
        <v>0</v>
      </c>
      <c r="CN1175" s="694"/>
      <c r="CO1175" s="694"/>
      <c r="CP1175" s="694"/>
      <c r="CQ1175" s="671"/>
      <c r="CR1175" s="671"/>
      <c r="CS1175" s="671"/>
      <c r="CT1175" s="694"/>
      <c r="CU1175" s="694"/>
      <c r="CV1175" s="694"/>
      <c r="CW1175" s="694"/>
      <c r="CX1175" s="694"/>
    </row>
    <row r="1176" s="433" customFormat="1" ht="31" customHeight="1" spans="1:102">
      <c r="A1176" s="633">
        <v>46055</v>
      </c>
      <c r="B1176" s="497" t="s">
        <v>3006</v>
      </c>
      <c r="C1176" s="635" t="s">
        <v>271</v>
      </c>
      <c r="D1176" s="432">
        <v>4500192944</v>
      </c>
      <c r="E1176" s="635">
        <v>4400536620</v>
      </c>
      <c r="F1176" s="432" t="s">
        <v>5989</v>
      </c>
      <c r="G1176" s="482" t="s">
        <v>3165</v>
      </c>
      <c r="H1176" s="482" t="s">
        <v>3303</v>
      </c>
      <c r="I1176" s="482">
        <v>1400</v>
      </c>
      <c r="J1176" s="482">
        <v>0</v>
      </c>
      <c r="K1176" s="482">
        <v>25</v>
      </c>
      <c r="L1176" s="639">
        <f t="shared" si="439"/>
        <v>56</v>
      </c>
      <c r="M1176" s="640">
        <v>46108</v>
      </c>
      <c r="N1176" s="640">
        <v>46104</v>
      </c>
      <c r="O1176" s="641"/>
      <c r="P1176" s="641"/>
      <c r="Q1176" s="482"/>
      <c r="R1176" s="647" t="s">
        <v>403</v>
      </c>
      <c r="S1176" s="647" t="s">
        <v>66</v>
      </c>
      <c r="T1176" s="647" t="s">
        <v>5990</v>
      </c>
      <c r="U1176" s="647"/>
      <c r="V1176" s="508" t="s">
        <v>5991</v>
      </c>
      <c r="W1176" s="651" t="s">
        <v>1424</v>
      </c>
      <c r="X1176" s="508">
        <v>0.9417</v>
      </c>
      <c r="Y1176" s="651">
        <f t="shared" si="460"/>
        <v>1318.38</v>
      </c>
      <c r="Z1176" s="482"/>
      <c r="AA1176" s="482"/>
      <c r="AB1176" s="482"/>
      <c r="AC1176" s="482"/>
      <c r="AD1176" s="497"/>
      <c r="AE1176" s="497"/>
      <c r="AF1176" s="482"/>
      <c r="AG1176" s="482"/>
      <c r="AH1176" s="655"/>
      <c r="AI1176" s="482"/>
      <c r="AJ1176" s="482"/>
      <c r="AK1176" s="482"/>
      <c r="AL1176" s="656">
        <f>I1176</f>
        <v>1400</v>
      </c>
      <c r="AM1176" s="657"/>
      <c r="AN1176" s="657"/>
      <c r="AO1176" s="661"/>
      <c r="AP1176" s="657"/>
      <c r="AQ1176" s="432">
        <f>I1176</f>
        <v>1400</v>
      </c>
      <c r="AR1176" s="432"/>
      <c r="AS1176" s="656">
        <f>I1176</f>
        <v>1400</v>
      </c>
      <c r="AT1176" s="660"/>
      <c r="AU1176" s="657"/>
      <c r="AV1176" s="657"/>
      <c r="AW1176" s="657"/>
      <c r="AX1176" s="657"/>
      <c r="AY1176" s="581">
        <f>I1176/24*2</f>
        <v>116.666666666667</v>
      </c>
      <c r="AZ1176" s="662"/>
      <c r="BA1176" s="657"/>
      <c r="BB1176" s="657"/>
      <c r="BC1176" s="657"/>
      <c r="BD1176" s="657"/>
      <c r="BE1176" s="657"/>
      <c r="BF1176" s="657"/>
      <c r="BG1176" s="657"/>
      <c r="BH1176" s="657"/>
      <c r="BI1176" s="657"/>
      <c r="BJ1176" s="657"/>
      <c r="BK1176" s="657"/>
      <c r="BL1176" s="432">
        <f>I1176/25</f>
        <v>56</v>
      </c>
      <c r="BM1176" s="657"/>
      <c r="BN1176" s="657"/>
      <c r="BO1176" s="657"/>
      <c r="BP1176" s="657"/>
      <c r="BQ1176" s="657"/>
      <c r="BR1176" s="657"/>
      <c r="BS1176" s="657"/>
      <c r="BT1176" s="660"/>
      <c r="BU1176" s="657"/>
      <c r="BV1176" s="660"/>
      <c r="BW1176" s="657"/>
      <c r="BX1176" s="657"/>
      <c r="BY1176" s="657"/>
      <c r="BZ1176" s="657"/>
      <c r="CA1176" s="657"/>
      <c r="CB1176" s="657"/>
      <c r="CC1176" s="657"/>
      <c r="CD1176" s="657"/>
      <c r="CE1176" s="657"/>
      <c r="CF1176" s="657"/>
      <c r="CG1176" s="657"/>
      <c r="CH1176" s="657"/>
      <c r="CI1176" s="657"/>
      <c r="CJ1176" s="657"/>
      <c r="CK1176" s="432">
        <f t="shared" si="453"/>
        <v>56</v>
      </c>
      <c r="CL1176" s="432">
        <f t="shared" si="454"/>
        <v>0</v>
      </c>
      <c r="CM1176" s="432">
        <f t="shared" si="455"/>
        <v>0</v>
      </c>
      <c r="CN1176" s="694"/>
      <c r="CO1176" s="694"/>
      <c r="CP1176" s="694"/>
      <c r="CT1176" s="694"/>
      <c r="CU1176" s="694"/>
      <c r="CV1176" s="694"/>
      <c r="CW1176" s="694"/>
      <c r="CX1176" s="694"/>
    </row>
    <row r="1177" s="433" customFormat="1" ht="31" customHeight="1" spans="1:102">
      <c r="A1177" s="633">
        <v>46055</v>
      </c>
      <c r="B1177" s="497" t="s">
        <v>3006</v>
      </c>
      <c r="C1177" s="635" t="s">
        <v>271</v>
      </c>
      <c r="D1177" s="432">
        <v>4500192944</v>
      </c>
      <c r="E1177" s="635">
        <v>4400536621</v>
      </c>
      <c r="F1177" s="432" t="s">
        <v>5992</v>
      </c>
      <c r="G1177" s="482" t="s">
        <v>3165</v>
      </c>
      <c r="H1177" s="482" t="s">
        <v>3303</v>
      </c>
      <c r="I1177" s="482">
        <v>600</v>
      </c>
      <c r="J1177" s="482">
        <v>0</v>
      </c>
      <c r="K1177" s="482">
        <v>25</v>
      </c>
      <c r="L1177" s="639">
        <f t="shared" si="439"/>
        <v>24</v>
      </c>
      <c r="M1177" s="640">
        <v>46108</v>
      </c>
      <c r="N1177" s="640">
        <v>46104</v>
      </c>
      <c r="O1177" s="641"/>
      <c r="P1177" s="641"/>
      <c r="Q1177" s="482"/>
      <c r="R1177" s="647" t="s">
        <v>403</v>
      </c>
      <c r="S1177" s="647" t="s">
        <v>66</v>
      </c>
      <c r="T1177" s="647" t="s">
        <v>5990</v>
      </c>
      <c r="U1177" s="647"/>
      <c r="V1177" s="508" t="s">
        <v>5991</v>
      </c>
      <c r="W1177" s="651" t="s">
        <v>1424</v>
      </c>
      <c r="X1177" s="508">
        <v>0.9469</v>
      </c>
      <c r="Y1177" s="651">
        <f t="shared" si="460"/>
        <v>568.14</v>
      </c>
      <c r="Z1177" s="482"/>
      <c r="AA1177" s="482"/>
      <c r="AB1177" s="482"/>
      <c r="AC1177" s="482"/>
      <c r="AD1177" s="497"/>
      <c r="AE1177" s="497"/>
      <c r="AF1177" s="482"/>
      <c r="AG1177" s="482"/>
      <c r="AH1177" s="655"/>
      <c r="AI1177" s="482"/>
      <c r="AJ1177" s="482"/>
      <c r="AK1177" s="482"/>
      <c r="AL1177" s="656">
        <f>I1177</f>
        <v>600</v>
      </c>
      <c r="AM1177" s="657"/>
      <c r="AN1177" s="657"/>
      <c r="AO1177" s="661"/>
      <c r="AP1177" s="657"/>
      <c r="AQ1177" s="432">
        <f>I1177</f>
        <v>600</v>
      </c>
      <c r="AR1177" s="432"/>
      <c r="AS1177" s="656">
        <f>I1177</f>
        <v>600</v>
      </c>
      <c r="AT1177" s="660"/>
      <c r="AU1177" s="657"/>
      <c r="AV1177" s="657"/>
      <c r="AW1177" s="657"/>
      <c r="AX1177" s="657"/>
      <c r="AY1177" s="581">
        <f>I1177/24*2</f>
        <v>50</v>
      </c>
      <c r="AZ1177" s="662"/>
      <c r="BA1177" s="657"/>
      <c r="BB1177" s="657"/>
      <c r="BC1177" s="657"/>
      <c r="BD1177" s="657"/>
      <c r="BE1177" s="657"/>
      <c r="BF1177" s="657"/>
      <c r="BG1177" s="657"/>
      <c r="BH1177" s="657"/>
      <c r="BI1177" s="657"/>
      <c r="BJ1177" s="657"/>
      <c r="BK1177" s="657"/>
      <c r="BL1177" s="432">
        <f>I1177/25</f>
        <v>24</v>
      </c>
      <c r="BM1177" s="657"/>
      <c r="BN1177" s="657"/>
      <c r="BO1177" s="657"/>
      <c r="BP1177" s="657"/>
      <c r="BQ1177" s="657"/>
      <c r="BR1177" s="657"/>
      <c r="BS1177" s="657"/>
      <c r="BT1177" s="660"/>
      <c r="BU1177" s="657"/>
      <c r="BV1177" s="660"/>
      <c r="BW1177" s="657"/>
      <c r="BX1177" s="657"/>
      <c r="BY1177" s="657"/>
      <c r="BZ1177" s="657"/>
      <c r="CA1177" s="657"/>
      <c r="CB1177" s="657"/>
      <c r="CC1177" s="657"/>
      <c r="CD1177" s="657"/>
      <c r="CE1177" s="657"/>
      <c r="CF1177" s="657"/>
      <c r="CG1177" s="657"/>
      <c r="CH1177" s="657"/>
      <c r="CI1177" s="657"/>
      <c r="CJ1177" s="657"/>
      <c r="CK1177" s="432">
        <f t="shared" si="453"/>
        <v>24</v>
      </c>
      <c r="CL1177" s="432">
        <f t="shared" si="454"/>
        <v>0</v>
      </c>
      <c r="CM1177" s="432">
        <f t="shared" si="455"/>
        <v>0</v>
      </c>
      <c r="CN1177" s="694"/>
      <c r="CO1177" s="694"/>
      <c r="CP1177" s="694"/>
      <c r="CT1177" s="694"/>
      <c r="CU1177" s="694"/>
      <c r="CV1177" s="694"/>
      <c r="CW1177" s="694"/>
      <c r="CX1177" s="694"/>
    </row>
    <row r="1178" s="433" customFormat="1" ht="31" customHeight="1" spans="1:102">
      <c r="A1178" s="696">
        <v>46077.6666666667</v>
      </c>
      <c r="B1178" s="697" t="s">
        <v>4728</v>
      </c>
      <c r="C1178" s="698" t="s">
        <v>153</v>
      </c>
      <c r="D1178" s="699">
        <v>4500192935</v>
      </c>
      <c r="E1178" s="700">
        <v>1591515</v>
      </c>
      <c r="F1178" s="701" t="s">
        <v>5993</v>
      </c>
      <c r="G1178" s="702" t="s">
        <v>3272</v>
      </c>
      <c r="H1178" s="702" t="s">
        <v>3214</v>
      </c>
      <c r="I1178" s="707">
        <v>2015</v>
      </c>
      <c r="J1178" s="702">
        <v>0</v>
      </c>
      <c r="K1178" s="702">
        <v>13</v>
      </c>
      <c r="L1178" s="708">
        <f t="shared" si="439"/>
        <v>155</v>
      </c>
      <c r="M1178" s="709">
        <v>46107.6666666667</v>
      </c>
      <c r="N1178" s="709">
        <v>46103.6666666667</v>
      </c>
      <c r="O1178" s="710"/>
      <c r="P1178" s="710"/>
      <c r="Q1178" s="702"/>
      <c r="R1178" s="715"/>
      <c r="S1178" s="715"/>
      <c r="T1178" s="715"/>
      <c r="U1178" s="715"/>
      <c r="V1178" s="716" t="s">
        <v>5812</v>
      </c>
      <c r="W1178" s="717" t="s">
        <v>1055</v>
      </c>
      <c r="X1178" s="716">
        <v>0.9213</v>
      </c>
      <c r="Y1178" s="721">
        <f t="shared" si="460"/>
        <v>1856.4195</v>
      </c>
      <c r="Z1178" s="702"/>
      <c r="AA1178" s="702"/>
      <c r="AB1178" s="702"/>
      <c r="AC1178" s="702"/>
      <c r="AD1178" s="697"/>
      <c r="AE1178" s="722"/>
      <c r="AF1178" s="702"/>
      <c r="AG1178" s="702"/>
      <c r="AH1178" s="725"/>
      <c r="AI1178" s="702"/>
      <c r="AJ1178" s="702"/>
      <c r="AK1178" s="702">
        <f>I1178</f>
        <v>2015</v>
      </c>
      <c r="AL1178" s="726"/>
      <c r="AM1178" s="727"/>
      <c r="AN1178" s="727"/>
      <c r="AO1178" s="732"/>
      <c r="AP1178" s="727"/>
      <c r="AQ1178" s="727"/>
      <c r="AR1178" s="727"/>
      <c r="AS1178" s="726"/>
      <c r="AT1178" s="733"/>
      <c r="AU1178" s="727"/>
      <c r="AV1178" s="727"/>
      <c r="AW1178" s="727"/>
      <c r="AX1178" s="727"/>
      <c r="AY1178" s="663"/>
      <c r="AZ1178" s="662"/>
      <c r="BA1178" s="657"/>
      <c r="BB1178" s="657"/>
      <c r="BC1178" s="657"/>
      <c r="BD1178" s="657"/>
      <c r="BE1178" s="657"/>
      <c r="BF1178" s="657"/>
      <c r="BG1178" s="657"/>
      <c r="BH1178" s="657"/>
      <c r="BI1178" s="657"/>
      <c r="BJ1178" s="657"/>
      <c r="BK1178" s="693"/>
      <c r="BL1178" s="657"/>
      <c r="BM1178" s="657"/>
      <c r="BN1178" s="657"/>
      <c r="BO1178" s="657"/>
      <c r="BP1178" s="657"/>
      <c r="BQ1178" s="657"/>
      <c r="BR1178" s="657"/>
      <c r="BS1178" s="657"/>
      <c r="BT1178" s="660"/>
      <c r="BU1178" s="657"/>
      <c r="BV1178" s="660"/>
      <c r="BW1178" s="657"/>
      <c r="BX1178" s="657"/>
      <c r="BY1178" s="657"/>
      <c r="BZ1178" s="657"/>
      <c r="CA1178" s="657"/>
      <c r="CB1178" s="657"/>
      <c r="CC1178" s="657"/>
      <c r="CD1178" s="657"/>
      <c r="CE1178" s="657"/>
      <c r="CF1178" s="657"/>
      <c r="CG1178" s="657"/>
      <c r="CH1178" s="657"/>
      <c r="CI1178" s="657"/>
      <c r="CJ1178" s="657"/>
      <c r="CK1178" s="432"/>
      <c r="CL1178" s="432"/>
      <c r="CM1178" s="432"/>
      <c r="CN1178" s="694"/>
      <c r="CO1178" s="694"/>
      <c r="CP1178" s="694"/>
      <c r="CT1178" s="694"/>
      <c r="CU1178" s="694"/>
      <c r="CV1178" s="694"/>
      <c r="CW1178" s="694"/>
      <c r="CX1178" s="694"/>
    </row>
    <row r="1179" s="433" customFormat="1" ht="31" customHeight="1" spans="1:102">
      <c r="A1179" s="633">
        <v>46041</v>
      </c>
      <c r="B1179" s="497" t="s">
        <v>5994</v>
      </c>
      <c r="C1179" s="634" t="s">
        <v>153</v>
      </c>
      <c r="D1179" s="432">
        <v>4500191753</v>
      </c>
      <c r="E1179" s="635"/>
      <c r="F1179" s="432" t="s">
        <v>5995</v>
      </c>
      <c r="G1179" s="482" t="s">
        <v>3198</v>
      </c>
      <c r="H1179" s="482" t="s">
        <v>3303</v>
      </c>
      <c r="I1179" s="645">
        <v>2000</v>
      </c>
      <c r="J1179" s="482">
        <v>0</v>
      </c>
      <c r="K1179" s="482">
        <v>25</v>
      </c>
      <c r="L1179" s="639">
        <f>I1179/K1179</f>
        <v>80</v>
      </c>
      <c r="M1179" s="644">
        <v>46111</v>
      </c>
      <c r="N1179" s="644">
        <v>46107</v>
      </c>
      <c r="O1179" s="641"/>
      <c r="P1179" s="641"/>
      <c r="Q1179" s="482"/>
      <c r="R1179" s="647" t="s">
        <v>403</v>
      </c>
      <c r="S1179" s="647" t="s">
        <v>66</v>
      </c>
      <c r="T1179" s="647" t="s">
        <v>5901</v>
      </c>
      <c r="U1179" s="647"/>
      <c r="V1179" s="571" t="s">
        <v>5996</v>
      </c>
      <c r="W1179" s="508" t="s">
        <v>2868</v>
      </c>
      <c r="X1179" s="508">
        <v>0.9342</v>
      </c>
      <c r="Y1179" s="651">
        <f t="shared" ref="Y1179:Y1186" si="461">X1179*I1179</f>
        <v>1868.4</v>
      </c>
      <c r="Z1179" s="482"/>
      <c r="AA1179" s="482" t="s">
        <v>3202</v>
      </c>
      <c r="AB1179" s="482" t="s">
        <v>76</v>
      </c>
      <c r="AC1179" s="482"/>
      <c r="AD1179" s="497"/>
      <c r="AE1179" s="497"/>
      <c r="AF1179" s="482"/>
      <c r="AG1179" s="482">
        <f>AF1179-I1179</f>
        <v>-2000</v>
      </c>
      <c r="AH1179" s="655"/>
      <c r="AI1179" s="482"/>
      <c r="AJ1179" s="482"/>
      <c r="AK1179" s="482">
        <f>I1179</f>
        <v>2000</v>
      </c>
      <c r="AL1179" s="432"/>
      <c r="AM1179" s="432"/>
      <c r="AN1179" s="658"/>
      <c r="AO1179" s="661"/>
      <c r="AP1179" s="658">
        <f>I1179</f>
        <v>2000</v>
      </c>
      <c r="AQ1179" s="432"/>
      <c r="AR1179" s="432">
        <f>I1179</f>
        <v>2000</v>
      </c>
      <c r="AS1179" s="656"/>
      <c r="AT1179" s="660"/>
      <c r="AU1179" s="658"/>
      <c r="AV1179" s="658"/>
      <c r="AW1179" s="658"/>
      <c r="AX1179" s="658"/>
      <c r="AY1179" s="581">
        <f>I1179/24</f>
        <v>83.3333333333333</v>
      </c>
      <c r="AZ1179" s="662"/>
      <c r="BA1179" s="658"/>
      <c r="BB1179" s="658"/>
      <c r="BC1179" s="658"/>
      <c r="BD1179" s="658"/>
      <c r="BE1179" s="658"/>
      <c r="BF1179" s="658"/>
      <c r="BG1179" s="658"/>
      <c r="BH1179" s="658"/>
      <c r="BI1179" s="658"/>
      <c r="BJ1179" s="432"/>
      <c r="BK1179" s="656">
        <f>I1179/25</f>
        <v>80</v>
      </c>
      <c r="BL1179" s="658"/>
      <c r="BM1179" s="658"/>
      <c r="BN1179" s="658"/>
      <c r="BO1179" s="658"/>
      <c r="BP1179" s="658"/>
      <c r="BQ1179" s="658"/>
      <c r="BR1179" s="658"/>
      <c r="BS1179" s="658"/>
      <c r="BT1179" s="660"/>
      <c r="BU1179" s="658"/>
      <c r="BV1179" s="660"/>
      <c r="BW1179" s="658"/>
      <c r="BX1179" s="658"/>
      <c r="BY1179" s="658"/>
      <c r="BZ1179" s="658"/>
      <c r="CA1179" s="658"/>
      <c r="CB1179" s="658"/>
      <c r="CC1179" s="658"/>
      <c r="CD1179" s="658"/>
      <c r="CE1179" s="658"/>
      <c r="CF1179" s="432"/>
      <c r="CG1179" s="658"/>
      <c r="CH1179" s="658"/>
      <c r="CI1179" s="658"/>
      <c r="CJ1179" s="658"/>
      <c r="CK1179" s="432">
        <f>BM1179+BL1179+BK1179+BJ1179+BS1179</f>
        <v>80</v>
      </c>
      <c r="CL1179" s="432">
        <f>CA1179+CB1179+CC1179+CD1179+CE1179+CG1179+CF1179</f>
        <v>0</v>
      </c>
      <c r="CM1179" s="432">
        <f>BY1179+BZ1179</f>
        <v>0</v>
      </c>
      <c r="CN1179" s="694"/>
      <c r="CO1179" s="694"/>
      <c r="CP1179" s="694"/>
      <c r="CT1179" s="694"/>
      <c r="CU1179" s="694"/>
      <c r="CV1179" s="694"/>
      <c r="CW1179" s="694"/>
      <c r="CX1179" s="694"/>
    </row>
    <row r="1180" s="433" customFormat="1" ht="31" customHeight="1" spans="1:102">
      <c r="A1180" s="633">
        <v>46045</v>
      </c>
      <c r="B1180" s="497" t="s">
        <v>1545</v>
      </c>
      <c r="C1180" s="634" t="s">
        <v>90</v>
      </c>
      <c r="D1180" s="432">
        <v>4500192140</v>
      </c>
      <c r="E1180" s="635" t="s">
        <v>3010</v>
      </c>
      <c r="F1180" s="432" t="s">
        <v>5997</v>
      </c>
      <c r="G1180" s="482" t="s">
        <v>4564</v>
      </c>
      <c r="H1180" s="482" t="s">
        <v>3237</v>
      </c>
      <c r="I1180" s="482">
        <v>3984</v>
      </c>
      <c r="J1180" s="482">
        <v>0</v>
      </c>
      <c r="K1180" s="482">
        <v>12</v>
      </c>
      <c r="L1180" s="639">
        <f>I1180/K1180</f>
        <v>332</v>
      </c>
      <c r="M1180" s="640">
        <v>46112</v>
      </c>
      <c r="N1180" s="640">
        <v>46108</v>
      </c>
      <c r="O1180" s="641"/>
      <c r="P1180" s="641"/>
      <c r="Q1180" s="482"/>
      <c r="R1180" s="647">
        <v>46045</v>
      </c>
      <c r="S1180" s="647" t="s">
        <v>96</v>
      </c>
      <c r="T1180" s="647" t="s">
        <v>403</v>
      </c>
      <c r="U1180" s="647"/>
      <c r="V1180" s="508" t="s">
        <v>5998</v>
      </c>
      <c r="W1180" s="650" t="s">
        <v>279</v>
      </c>
      <c r="X1180" s="508">
        <v>1.3031</v>
      </c>
      <c r="Y1180" s="651">
        <f t="shared" si="461"/>
        <v>5191.5504</v>
      </c>
      <c r="Z1180" s="482"/>
      <c r="AA1180" s="482" t="s">
        <v>5650</v>
      </c>
      <c r="AB1180" s="482" t="s">
        <v>76</v>
      </c>
      <c r="AC1180" s="482"/>
      <c r="AD1180" s="497"/>
      <c r="AE1180" s="497"/>
      <c r="AF1180" s="482"/>
      <c r="AG1180" s="482">
        <f>AF1180-I1180</f>
        <v>-3984</v>
      </c>
      <c r="AH1180" s="655"/>
      <c r="AI1180" s="482" t="s">
        <v>403</v>
      </c>
      <c r="AJ1180" s="482"/>
      <c r="AK1180" s="482">
        <f>I1180*2</f>
        <v>7968</v>
      </c>
      <c r="AL1180" s="656"/>
      <c r="AM1180" s="432">
        <f>I1180*2</f>
        <v>7968</v>
      </c>
      <c r="AN1180" s="432"/>
      <c r="AO1180" s="432"/>
      <c r="AP1180" s="432"/>
      <c r="AQ1180" s="432"/>
      <c r="AR1180" s="656">
        <f>I1180*2</f>
        <v>7968</v>
      </c>
      <c r="AS1180" s="656"/>
      <c r="AT1180" s="660"/>
      <c r="AU1180" s="432"/>
      <c r="AV1180" s="432"/>
      <c r="AW1180" s="432"/>
      <c r="AX1180" s="432"/>
      <c r="AY1180" s="581">
        <f>I1180/24*2</f>
        <v>332</v>
      </c>
      <c r="AZ1180" s="662"/>
      <c r="BA1180" s="432"/>
      <c r="BB1180" s="432"/>
      <c r="BC1180" s="432"/>
      <c r="BD1180" s="432"/>
      <c r="BE1180" s="432"/>
      <c r="BF1180" s="432"/>
      <c r="BG1180" s="432"/>
      <c r="BH1180" s="432"/>
      <c r="BI1180" s="432"/>
      <c r="BJ1180" s="432"/>
      <c r="BK1180" s="432"/>
      <c r="BL1180" s="432"/>
      <c r="BM1180" s="432"/>
      <c r="BN1180" s="432"/>
      <c r="BO1180" s="432"/>
      <c r="BP1180" s="432"/>
      <c r="BQ1180" s="432"/>
      <c r="BR1180" s="432"/>
      <c r="BS1180" s="432"/>
      <c r="BT1180" s="660"/>
      <c r="BU1180" s="432"/>
      <c r="BV1180" s="660"/>
      <c r="BW1180" s="432"/>
      <c r="BX1180" s="432"/>
      <c r="BY1180" s="432"/>
      <c r="BZ1180" s="432"/>
      <c r="CA1180" s="432"/>
      <c r="CB1180" s="432"/>
      <c r="CC1180" s="432"/>
      <c r="CD1180" s="432"/>
      <c r="CE1180" s="432"/>
      <c r="CF1180" s="432"/>
      <c r="CG1180" s="432"/>
      <c r="CH1180" s="432">
        <f>I1180</f>
        <v>3984</v>
      </c>
      <c r="CI1180" s="432">
        <f>I1180</f>
        <v>3984</v>
      </c>
      <c r="CJ1180" s="432">
        <f>I1180</f>
        <v>3984</v>
      </c>
      <c r="CK1180" s="432">
        <v>0</v>
      </c>
      <c r="CL1180" s="432">
        <v>0</v>
      </c>
      <c r="CM1180" s="432">
        <v>0</v>
      </c>
      <c r="CN1180" s="694"/>
      <c r="CO1180" s="694"/>
      <c r="CP1180" s="694"/>
      <c r="CQ1180" s="671"/>
      <c r="CR1180" s="671"/>
      <c r="CS1180" s="671"/>
      <c r="CT1180" s="694"/>
      <c r="CU1180" s="694"/>
      <c r="CV1180" s="694"/>
      <c r="CW1180" s="694"/>
      <c r="CX1180" s="694"/>
    </row>
    <row r="1181" s="433" customFormat="1" ht="31" customHeight="1" spans="1:102">
      <c r="A1181" s="633">
        <v>46045</v>
      </c>
      <c r="B1181" s="497" t="s">
        <v>1545</v>
      </c>
      <c r="C1181" s="634" t="s">
        <v>90</v>
      </c>
      <c r="D1181" s="432">
        <v>4500192140</v>
      </c>
      <c r="E1181" s="635" t="s">
        <v>3010</v>
      </c>
      <c r="F1181" s="432" t="s">
        <v>5999</v>
      </c>
      <c r="G1181" s="482" t="s">
        <v>4564</v>
      </c>
      <c r="H1181" s="482" t="s">
        <v>3237</v>
      </c>
      <c r="I1181" s="482">
        <v>1716</v>
      </c>
      <c r="J1181" s="482">
        <v>0</v>
      </c>
      <c r="K1181" s="482">
        <v>12</v>
      </c>
      <c r="L1181" s="639">
        <f>I1181/K1181</f>
        <v>143</v>
      </c>
      <c r="M1181" s="640">
        <v>46112</v>
      </c>
      <c r="N1181" s="640">
        <v>46108</v>
      </c>
      <c r="O1181" s="641"/>
      <c r="P1181" s="641"/>
      <c r="Q1181" s="482"/>
      <c r="R1181" s="647">
        <v>46045</v>
      </c>
      <c r="S1181" s="647" t="s">
        <v>96</v>
      </c>
      <c r="T1181" s="647" t="s">
        <v>403</v>
      </c>
      <c r="U1181" s="647"/>
      <c r="V1181" s="508" t="s">
        <v>5998</v>
      </c>
      <c r="W1181" s="650" t="s">
        <v>279</v>
      </c>
      <c r="X1181" s="508">
        <v>1.3094</v>
      </c>
      <c r="Y1181" s="651">
        <f t="shared" si="461"/>
        <v>2246.9304</v>
      </c>
      <c r="Z1181" s="482"/>
      <c r="AA1181" s="482" t="s">
        <v>5650</v>
      </c>
      <c r="AB1181" s="482" t="s">
        <v>76</v>
      </c>
      <c r="AC1181" s="482"/>
      <c r="AD1181" s="497"/>
      <c r="AE1181" s="497"/>
      <c r="AF1181" s="482"/>
      <c r="AG1181" s="482">
        <f>AF1181-I1181</f>
        <v>-1716</v>
      </c>
      <c r="AH1181" s="655"/>
      <c r="AI1181" s="482" t="s">
        <v>403</v>
      </c>
      <c r="AJ1181" s="482"/>
      <c r="AK1181" s="482">
        <f>I1181*2</f>
        <v>3432</v>
      </c>
      <c r="AL1181" s="656"/>
      <c r="AM1181" s="432">
        <f>I1181*2</f>
        <v>3432</v>
      </c>
      <c r="AN1181" s="432"/>
      <c r="AO1181" s="432"/>
      <c r="AP1181" s="432"/>
      <c r="AQ1181" s="432"/>
      <c r="AR1181" s="656">
        <f>I1181*2</f>
        <v>3432</v>
      </c>
      <c r="AS1181" s="656"/>
      <c r="AT1181" s="660"/>
      <c r="AU1181" s="432"/>
      <c r="AV1181" s="432"/>
      <c r="AW1181" s="432"/>
      <c r="AX1181" s="432"/>
      <c r="AY1181" s="581">
        <f>I1181/24*2</f>
        <v>143</v>
      </c>
      <c r="AZ1181" s="662"/>
      <c r="BA1181" s="432"/>
      <c r="BB1181" s="432"/>
      <c r="BC1181" s="432"/>
      <c r="BD1181" s="432"/>
      <c r="BE1181" s="432"/>
      <c r="BF1181" s="432"/>
      <c r="BG1181" s="432"/>
      <c r="BH1181" s="432"/>
      <c r="BI1181" s="432"/>
      <c r="BJ1181" s="432"/>
      <c r="BK1181" s="432"/>
      <c r="BL1181" s="432"/>
      <c r="BM1181" s="432"/>
      <c r="BN1181" s="432"/>
      <c r="BO1181" s="432"/>
      <c r="BP1181" s="432"/>
      <c r="BQ1181" s="432"/>
      <c r="BR1181" s="432"/>
      <c r="BS1181" s="432"/>
      <c r="BT1181" s="660"/>
      <c r="BU1181" s="432"/>
      <c r="BV1181" s="660"/>
      <c r="BW1181" s="432"/>
      <c r="BX1181" s="432"/>
      <c r="BY1181" s="432"/>
      <c r="BZ1181" s="432"/>
      <c r="CA1181" s="432"/>
      <c r="CB1181" s="432"/>
      <c r="CC1181" s="432"/>
      <c r="CD1181" s="432"/>
      <c r="CE1181" s="432"/>
      <c r="CF1181" s="432"/>
      <c r="CG1181" s="432"/>
      <c r="CH1181" s="432">
        <f>I1181</f>
        <v>1716</v>
      </c>
      <c r="CI1181" s="432">
        <f>I1181</f>
        <v>1716</v>
      </c>
      <c r="CJ1181" s="432">
        <f>I1181</f>
        <v>1716</v>
      </c>
      <c r="CK1181" s="432">
        <v>0</v>
      </c>
      <c r="CL1181" s="432">
        <v>0</v>
      </c>
      <c r="CM1181" s="432">
        <v>0</v>
      </c>
      <c r="CN1181" s="694"/>
      <c r="CO1181" s="694"/>
      <c r="CP1181" s="694"/>
      <c r="CQ1181" s="671"/>
      <c r="CR1181" s="671"/>
      <c r="CS1181" s="671"/>
      <c r="CT1181" s="694"/>
      <c r="CU1181" s="694"/>
      <c r="CV1181" s="694"/>
      <c r="CW1181" s="694"/>
      <c r="CX1181" s="694"/>
    </row>
    <row r="1182" s="433" customFormat="1" ht="31" customHeight="1" spans="1:102">
      <c r="A1182" s="633">
        <v>46050</v>
      </c>
      <c r="B1182" s="497" t="s">
        <v>587</v>
      </c>
      <c r="C1182" s="634" t="s">
        <v>2665</v>
      </c>
      <c r="D1182" s="432">
        <v>4500192301</v>
      </c>
      <c r="E1182" s="635"/>
      <c r="F1182" s="432" t="s">
        <v>6000</v>
      </c>
      <c r="G1182" s="482" t="s">
        <v>3161</v>
      </c>
      <c r="H1182" s="482" t="s">
        <v>3221</v>
      </c>
      <c r="I1182" s="645">
        <v>1000</v>
      </c>
      <c r="J1182" s="482">
        <v>0</v>
      </c>
      <c r="K1182" s="482">
        <v>50</v>
      </c>
      <c r="L1182" s="639">
        <f>I1182/K1182</f>
        <v>20</v>
      </c>
      <c r="M1182" s="640">
        <v>46112</v>
      </c>
      <c r="N1182" s="640">
        <v>46108</v>
      </c>
      <c r="O1182" s="641"/>
      <c r="P1182" s="641"/>
      <c r="Q1182" s="482"/>
      <c r="R1182" s="647" t="s">
        <v>403</v>
      </c>
      <c r="S1182" s="647" t="s">
        <v>66</v>
      </c>
      <c r="T1182" s="647" t="s">
        <v>403</v>
      </c>
      <c r="U1182" s="647"/>
      <c r="V1182" s="508" t="s">
        <v>6001</v>
      </c>
      <c r="W1182" s="650" t="s">
        <v>6002</v>
      </c>
      <c r="X1182" s="508">
        <v>0.941</v>
      </c>
      <c r="Y1182" s="651">
        <f t="shared" si="461"/>
        <v>941</v>
      </c>
      <c r="Z1182" s="482"/>
      <c r="AA1182" s="482" t="s">
        <v>4470</v>
      </c>
      <c r="AB1182" s="482" t="s">
        <v>76</v>
      </c>
      <c r="AC1182" s="482"/>
      <c r="AD1182" s="497"/>
      <c r="AE1182" s="497"/>
      <c r="AF1182" s="482"/>
      <c r="AG1182" s="482">
        <f>AF1182-I1182</f>
        <v>-1000</v>
      </c>
      <c r="AH1182" s="655"/>
      <c r="AI1182" s="482"/>
      <c r="AJ1182" s="482"/>
      <c r="AK1182" s="482"/>
      <c r="AL1182" s="656">
        <f>I1182</f>
        <v>1000</v>
      </c>
      <c r="AM1182" s="432">
        <f>I1182</f>
        <v>1000</v>
      </c>
      <c r="AN1182" s="432"/>
      <c r="AO1182" s="660"/>
      <c r="AP1182" s="432"/>
      <c r="AQ1182" s="432"/>
      <c r="AR1182" s="432"/>
      <c r="AS1182" s="432">
        <f>I1182</f>
        <v>1000</v>
      </c>
      <c r="AT1182" s="660"/>
      <c r="AU1182" s="432"/>
      <c r="AV1182" s="432"/>
      <c r="AW1182" s="432"/>
      <c r="AX1182" s="432"/>
      <c r="AY1182" s="581">
        <f>I1182/24</f>
        <v>41.6666666666667</v>
      </c>
      <c r="AZ1182" s="662"/>
      <c r="BA1182" s="432"/>
      <c r="BB1182" s="432"/>
      <c r="BC1182" s="432"/>
      <c r="BD1182" s="432"/>
      <c r="BE1182" s="432"/>
      <c r="BF1182" s="432"/>
      <c r="BG1182" s="432"/>
      <c r="BH1182" s="432"/>
      <c r="BI1182" s="432"/>
      <c r="BJ1182" s="432">
        <f>I1182/25</f>
        <v>40</v>
      </c>
      <c r="BK1182" s="432"/>
      <c r="BL1182" s="432"/>
      <c r="BM1182" s="432"/>
      <c r="BN1182" s="432"/>
      <c r="BO1182" s="432"/>
      <c r="BP1182" s="432"/>
      <c r="BQ1182" s="432"/>
      <c r="BR1182" s="432"/>
      <c r="BS1182" s="432"/>
      <c r="BT1182" s="660"/>
      <c r="BU1182" s="432"/>
      <c r="BV1182" s="660"/>
      <c r="BW1182" s="432"/>
      <c r="BX1182" s="432"/>
      <c r="BY1182" s="432"/>
      <c r="BZ1182" s="432"/>
      <c r="CA1182" s="432"/>
      <c r="CB1182" s="432"/>
      <c r="CC1182" s="432"/>
      <c r="CD1182" s="432"/>
      <c r="CE1182" s="432"/>
      <c r="CF1182" s="432"/>
      <c r="CG1182" s="432"/>
      <c r="CH1182" s="432"/>
      <c r="CI1182" s="432"/>
      <c r="CJ1182" s="432"/>
      <c r="CK1182" s="432">
        <f>BM1182+BL1182+BK1182+BJ1182+BS1182</f>
        <v>40</v>
      </c>
      <c r="CL1182" s="432">
        <f>CA1182+CB1182+CC1182+CD1182+CE1182+CG1182+CF1182</f>
        <v>0</v>
      </c>
      <c r="CM1182" s="432">
        <f>BY1182+BZ1182</f>
        <v>0</v>
      </c>
      <c r="CN1182" s="694"/>
      <c r="CO1182" s="694"/>
      <c r="CP1182" s="694"/>
      <c r="CQ1182" s="671"/>
      <c r="CR1182" s="671"/>
      <c r="CS1182" s="671"/>
      <c r="CT1182" s="694"/>
      <c r="CU1182" s="694"/>
      <c r="CV1182" s="694"/>
      <c r="CW1182" s="694"/>
      <c r="CX1182" s="694"/>
    </row>
    <row r="1183" s="436" customFormat="1" ht="31" customHeight="1" spans="1:102">
      <c r="A1183" s="703">
        <v>46059</v>
      </c>
      <c r="B1183" s="689" t="s">
        <v>220</v>
      </c>
      <c r="C1183" s="704" t="s">
        <v>90</v>
      </c>
      <c r="D1183" s="437">
        <v>4500190738</v>
      </c>
      <c r="E1183" s="705" t="s">
        <v>3043</v>
      </c>
      <c r="F1183" s="437" t="s">
        <v>6003</v>
      </c>
      <c r="G1183" s="706" t="s">
        <v>3198</v>
      </c>
      <c r="H1183" s="706" t="s">
        <v>3303</v>
      </c>
      <c r="I1183" s="711">
        <v>2000</v>
      </c>
      <c r="J1183" s="706">
        <v>0</v>
      </c>
      <c r="K1183" s="706">
        <v>25</v>
      </c>
      <c r="L1183" s="712">
        <f>I1183/K1183</f>
        <v>80</v>
      </c>
      <c r="M1183" s="713">
        <v>46112</v>
      </c>
      <c r="N1183" s="713">
        <v>46108</v>
      </c>
      <c r="O1183" s="714"/>
      <c r="P1183" s="714"/>
      <c r="Q1183" s="706"/>
      <c r="R1183" s="718"/>
      <c r="S1183" s="718"/>
      <c r="T1183" s="718"/>
      <c r="U1183" s="718"/>
      <c r="V1183" s="649" t="s">
        <v>6004</v>
      </c>
      <c r="W1183" s="719" t="s">
        <v>226</v>
      </c>
      <c r="X1183" s="649">
        <v>0.5488</v>
      </c>
      <c r="Y1183" s="723">
        <f t="shared" si="461"/>
        <v>1097.6</v>
      </c>
      <c r="Z1183" s="706"/>
      <c r="AA1183" s="706"/>
      <c r="AB1183" s="706"/>
      <c r="AC1183" s="706"/>
      <c r="AD1183" s="689"/>
      <c r="AE1183" s="689"/>
      <c r="AF1183" s="706"/>
      <c r="AG1183" s="706"/>
      <c r="AH1183" s="728"/>
      <c r="AI1183" s="706"/>
      <c r="AJ1183" s="706"/>
      <c r="AK1183" s="482">
        <f>I1183</f>
        <v>2000</v>
      </c>
      <c r="AL1183" s="729"/>
      <c r="AM1183" s="437"/>
      <c r="AN1183" s="437"/>
      <c r="AO1183" s="734"/>
      <c r="AP1183" s="437"/>
      <c r="AQ1183" s="437"/>
      <c r="AR1183" s="437"/>
      <c r="AS1183" s="437"/>
      <c r="AT1183" s="734"/>
      <c r="AU1183" s="437"/>
      <c r="AV1183" s="437"/>
      <c r="AW1183" s="437"/>
      <c r="AX1183" s="437"/>
      <c r="AY1183" s="738"/>
      <c r="AZ1183" s="739"/>
      <c r="BA1183" s="437"/>
      <c r="BB1183" s="437"/>
      <c r="BC1183" s="437"/>
      <c r="BD1183" s="437"/>
      <c r="BE1183" s="437"/>
      <c r="BF1183" s="437"/>
      <c r="BG1183" s="437"/>
      <c r="BH1183" s="437"/>
      <c r="BI1183" s="437"/>
      <c r="BJ1183" s="437"/>
      <c r="BK1183" s="437"/>
      <c r="BL1183" s="437"/>
      <c r="BM1183" s="437"/>
      <c r="BN1183" s="437"/>
      <c r="BO1183" s="437"/>
      <c r="BP1183" s="437"/>
      <c r="BQ1183" s="437"/>
      <c r="BR1183" s="437"/>
      <c r="BS1183" s="437"/>
      <c r="BT1183" s="734"/>
      <c r="BU1183" s="437"/>
      <c r="BV1183" s="734"/>
      <c r="BW1183" s="437"/>
      <c r="BX1183" s="437"/>
      <c r="BY1183" s="437"/>
      <c r="BZ1183" s="437"/>
      <c r="CA1183" s="437"/>
      <c r="CB1183" s="437"/>
      <c r="CC1183" s="437"/>
      <c r="CD1183" s="437"/>
      <c r="CE1183" s="437"/>
      <c r="CF1183" s="437"/>
      <c r="CG1183" s="437"/>
      <c r="CH1183" s="437"/>
      <c r="CI1183" s="437"/>
      <c r="CJ1183" s="437"/>
      <c r="CK1183" s="437"/>
      <c r="CL1183" s="437"/>
      <c r="CM1183" s="437"/>
      <c r="CN1183" s="743"/>
      <c r="CO1183" s="743"/>
      <c r="CP1183" s="743"/>
      <c r="CQ1183" s="744"/>
      <c r="CR1183" s="744"/>
      <c r="CS1183" s="744"/>
      <c r="CT1183" s="743"/>
      <c r="CU1183" s="743"/>
      <c r="CV1183" s="743"/>
      <c r="CW1183" s="743"/>
      <c r="CX1183" s="743"/>
    </row>
    <row r="1184" s="432" customFormat="1" ht="31" customHeight="1" spans="1:102">
      <c r="A1184" s="633">
        <v>45995</v>
      </c>
      <c r="B1184" s="497" t="s">
        <v>2489</v>
      </c>
      <c r="C1184" s="634" t="s">
        <v>90</v>
      </c>
      <c r="D1184" s="432">
        <v>4500186385</v>
      </c>
      <c r="E1184" s="635">
        <v>60260792</v>
      </c>
      <c r="F1184" s="432" t="s">
        <v>3017</v>
      </c>
      <c r="G1184" s="482" t="s">
        <v>5627</v>
      </c>
      <c r="H1184" s="482" t="s">
        <v>5628</v>
      </c>
      <c r="I1184" s="482">
        <v>2000</v>
      </c>
      <c r="J1184" s="482">
        <v>0</v>
      </c>
      <c r="K1184" s="482">
        <v>8</v>
      </c>
      <c r="L1184" s="639">
        <f>I1184/K1184</f>
        <v>250</v>
      </c>
      <c r="M1184" s="640">
        <v>46115</v>
      </c>
      <c r="N1184" s="640">
        <v>46111</v>
      </c>
      <c r="O1184" s="641"/>
      <c r="P1184" s="641"/>
      <c r="Q1184" s="482"/>
      <c r="R1184" s="647">
        <v>45995</v>
      </c>
      <c r="S1184" s="647" t="s">
        <v>66</v>
      </c>
      <c r="T1184" s="647" t="s">
        <v>5629</v>
      </c>
      <c r="U1184" s="647"/>
      <c r="V1184" s="571" t="s">
        <v>3018</v>
      </c>
      <c r="W1184" s="650" t="s">
        <v>2441</v>
      </c>
      <c r="X1184" s="508">
        <v>4.097</v>
      </c>
      <c r="Y1184" s="651">
        <f t="shared" si="461"/>
        <v>8194</v>
      </c>
      <c r="Z1184" s="482"/>
      <c r="AA1184" s="482" t="s">
        <v>2495</v>
      </c>
      <c r="AB1184" s="482" t="s">
        <v>76</v>
      </c>
      <c r="AC1184" s="482"/>
      <c r="AD1184" s="497"/>
      <c r="AE1184" s="497"/>
      <c r="AF1184" s="482"/>
      <c r="AG1184" s="482">
        <f>AF1184-I1184</f>
        <v>-2000</v>
      </c>
      <c r="AH1184" s="655"/>
      <c r="AI1184" s="482"/>
      <c r="AJ1184" s="482"/>
      <c r="AK1184" s="482">
        <f>I1184*2</f>
        <v>4000</v>
      </c>
      <c r="AL1184" s="656"/>
      <c r="AM1184" s="432">
        <f>I1184*2</f>
        <v>4000</v>
      </c>
      <c r="AR1184" s="432">
        <f>I1184</f>
        <v>2000</v>
      </c>
      <c r="AS1184" s="656"/>
      <c r="AT1184" s="660"/>
      <c r="AY1184" s="663">
        <f>I1184/24*2</f>
        <v>166.666666666667</v>
      </c>
      <c r="AZ1184" s="662"/>
      <c r="BT1184" s="660"/>
      <c r="BV1184" s="660">
        <f>I1184</f>
        <v>2000</v>
      </c>
      <c r="CK1184" s="432">
        <f>BM1184+BL1184+BK1184+BJ1184+BS1184</f>
        <v>0</v>
      </c>
      <c r="CL1184" s="432">
        <f>CA1184+CB1184+CC1184+CD1184+CE1184+CG1184+CF1184</f>
        <v>0</v>
      </c>
      <c r="CM1184" s="432">
        <f>BY1184+BZ1184</f>
        <v>0</v>
      </c>
      <c r="CN1184" s="660"/>
      <c r="CO1184" s="660"/>
      <c r="CP1184" s="660"/>
      <c r="CT1184" s="660"/>
      <c r="CU1184" s="660"/>
      <c r="CV1184" s="660"/>
      <c r="CW1184" s="660"/>
      <c r="CX1184" s="660"/>
    </row>
    <row r="1185" s="432" customFormat="1" ht="31" customHeight="1" spans="1:102">
      <c r="A1185" s="633">
        <v>45995</v>
      </c>
      <c r="B1185" s="497" t="s">
        <v>2489</v>
      </c>
      <c r="C1185" s="634" t="s">
        <v>90</v>
      </c>
      <c r="D1185" s="432">
        <v>4500184344</v>
      </c>
      <c r="E1185" s="635">
        <v>60260783</v>
      </c>
      <c r="F1185" s="432" t="s">
        <v>6005</v>
      </c>
      <c r="G1185" s="482" t="s">
        <v>4564</v>
      </c>
      <c r="H1185" s="482" t="s">
        <v>3237</v>
      </c>
      <c r="I1185" s="482">
        <v>2004</v>
      </c>
      <c r="J1185" s="482">
        <v>0</v>
      </c>
      <c r="K1185" s="482">
        <v>12</v>
      </c>
      <c r="L1185" s="639">
        <f>I1185/K1185</f>
        <v>167</v>
      </c>
      <c r="M1185" s="640">
        <v>46115</v>
      </c>
      <c r="N1185" s="640">
        <v>46111</v>
      </c>
      <c r="O1185" s="641"/>
      <c r="P1185" s="641"/>
      <c r="Q1185" s="482"/>
      <c r="R1185" s="647">
        <v>45995</v>
      </c>
      <c r="S1185" s="647" t="s">
        <v>66</v>
      </c>
      <c r="T1185" s="647" t="s">
        <v>2493</v>
      </c>
      <c r="U1185" s="647"/>
      <c r="V1185" s="508" t="s">
        <v>6006</v>
      </c>
      <c r="W1185" s="650" t="s">
        <v>2441</v>
      </c>
      <c r="X1185" s="508">
        <v>1.2871</v>
      </c>
      <c r="Y1185" s="651">
        <f t="shared" si="461"/>
        <v>2579.3484</v>
      </c>
      <c r="Z1185" s="482"/>
      <c r="AA1185" s="482" t="s">
        <v>5650</v>
      </c>
      <c r="AB1185" s="482" t="s">
        <v>76</v>
      </c>
      <c r="AC1185" s="482"/>
      <c r="AD1185" s="497"/>
      <c r="AE1185" s="497"/>
      <c r="AF1185" s="482"/>
      <c r="AG1185" s="482">
        <f>AF1185-I1185</f>
        <v>-2004</v>
      </c>
      <c r="AH1185" s="655"/>
      <c r="AI1185" s="482"/>
      <c r="AJ1185" s="482"/>
      <c r="AK1185" s="482">
        <f>I1185*2</f>
        <v>4008</v>
      </c>
      <c r="AL1185" s="656"/>
      <c r="AM1185" s="432">
        <f>I1185*2</f>
        <v>4008</v>
      </c>
      <c r="AR1185" s="656">
        <f>I1185*2</f>
        <v>4008</v>
      </c>
      <c r="AS1185" s="656"/>
      <c r="AT1185" s="660"/>
      <c r="AY1185" s="581">
        <f>I1185/24*2</f>
        <v>167</v>
      </c>
      <c r="AZ1185" s="662"/>
      <c r="BT1185" s="660"/>
      <c r="BV1185" s="660"/>
      <c r="CH1185" s="432">
        <f>I1185</f>
        <v>2004</v>
      </c>
      <c r="CI1185" s="432">
        <f>I1185</f>
        <v>2004</v>
      </c>
      <c r="CJ1185" s="432">
        <f>I1185</f>
        <v>2004</v>
      </c>
      <c r="CK1185" s="432">
        <v>0</v>
      </c>
      <c r="CL1185" s="432">
        <v>0</v>
      </c>
      <c r="CM1185" s="432">
        <v>0</v>
      </c>
      <c r="CN1185" s="660"/>
      <c r="CO1185" s="660"/>
      <c r="CP1185" s="660"/>
      <c r="CT1185" s="660"/>
      <c r="CU1185" s="660"/>
      <c r="CV1185" s="660"/>
      <c r="CW1185" s="660"/>
      <c r="CX1185" s="660"/>
    </row>
    <row r="1186" s="432" customFormat="1" ht="31" customHeight="1" spans="1:102">
      <c r="A1186" s="633">
        <v>45978</v>
      </c>
      <c r="B1186" s="497" t="s">
        <v>1372</v>
      </c>
      <c r="C1186" s="634" t="s">
        <v>90</v>
      </c>
      <c r="D1186" s="432">
        <v>4500185958</v>
      </c>
      <c r="E1186" s="894" t="s">
        <v>3019</v>
      </c>
      <c r="F1186" s="432" t="s">
        <v>3020</v>
      </c>
      <c r="G1186" s="482" t="s">
        <v>5575</v>
      </c>
      <c r="H1186" s="482" t="s">
        <v>744</v>
      </c>
      <c r="I1186" s="482">
        <v>5400</v>
      </c>
      <c r="J1186" s="482">
        <v>0</v>
      </c>
      <c r="K1186" s="482">
        <v>75</v>
      </c>
      <c r="L1186" s="639">
        <f>I1186/K1186</f>
        <v>72</v>
      </c>
      <c r="M1186" s="644">
        <v>46115</v>
      </c>
      <c r="N1186" s="644">
        <f t="shared" ref="N1186:N1194" si="462">M1186-4</f>
        <v>46111</v>
      </c>
      <c r="O1186" s="641"/>
      <c r="P1186" s="641"/>
      <c r="Q1186" s="482"/>
      <c r="R1186" s="647" t="s">
        <v>2432</v>
      </c>
      <c r="S1186" s="647" t="s">
        <v>66</v>
      </c>
      <c r="T1186" s="647" t="s">
        <v>66</v>
      </c>
      <c r="U1186" s="647"/>
      <c r="V1186" s="508" t="s">
        <v>2565</v>
      </c>
      <c r="W1186" s="650" t="s">
        <v>821</v>
      </c>
      <c r="X1186" s="508">
        <v>359.3436</v>
      </c>
      <c r="Y1186" s="651">
        <f>X1186*L1186</f>
        <v>25872.7392</v>
      </c>
      <c r="Z1186" s="482"/>
      <c r="AA1186" s="497" t="s">
        <v>1378</v>
      </c>
      <c r="AB1186" s="482" t="s">
        <v>76</v>
      </c>
      <c r="AC1186" s="482"/>
      <c r="AD1186" s="497"/>
      <c r="AE1186" s="497"/>
      <c r="AF1186" s="482"/>
      <c r="AG1186" s="482">
        <f>AF1186-I1186</f>
        <v>-5400</v>
      </c>
      <c r="AH1186" s="655"/>
      <c r="AI1186" s="482"/>
      <c r="AJ1186" s="482"/>
      <c r="AK1186" s="549">
        <f>I1186*3</f>
        <v>16200</v>
      </c>
      <c r="AL1186" s="656"/>
      <c r="AR1186" s="656"/>
      <c r="AS1186" s="656"/>
      <c r="AT1186" s="660"/>
      <c r="AY1186" s="581">
        <f>I1186/24*3</f>
        <v>675</v>
      </c>
      <c r="AZ1186" s="662"/>
      <c r="BC1186" s="432">
        <f>AK1186</f>
        <v>16200</v>
      </c>
      <c r="BD1186" s="432">
        <f>AK1186</f>
        <v>16200</v>
      </c>
      <c r="BE1186" s="432">
        <f>I1186</f>
        <v>5400</v>
      </c>
      <c r="BF1186" s="432">
        <f>I1186/5</f>
        <v>1080</v>
      </c>
      <c r="BT1186" s="660"/>
      <c r="BV1186" s="660"/>
      <c r="CK1186" s="428">
        <f t="shared" ref="CK1186:CK1191" si="463">BM1186+BL1186+BK1186+BJ1186+BS1186</f>
        <v>0</v>
      </c>
      <c r="CL1186" s="428">
        <f t="shared" ref="CL1186:CL1191" si="464">CA1186+CB1186+CC1186+CD1186+CE1186+CG1186+CF1186</f>
        <v>0</v>
      </c>
      <c r="CM1186" s="428">
        <f t="shared" ref="CM1186:CM1191" si="465">BY1186+BZ1186</f>
        <v>0</v>
      </c>
      <c r="CN1186" s="660"/>
      <c r="CO1186" s="660"/>
      <c r="CP1186" s="660"/>
      <c r="CT1186" s="660"/>
      <c r="CU1186" s="660"/>
      <c r="CV1186" s="660"/>
      <c r="CW1186" s="660"/>
      <c r="CX1186" s="660"/>
    </row>
    <row r="1187" s="432" customFormat="1" ht="31" customHeight="1" spans="1:102">
      <c r="A1187" s="633">
        <v>45978</v>
      </c>
      <c r="B1187" s="497" t="s">
        <v>1372</v>
      </c>
      <c r="C1187" s="634" t="s">
        <v>90</v>
      </c>
      <c r="D1187" s="432">
        <v>4500185959</v>
      </c>
      <c r="E1187" s="894" t="s">
        <v>3021</v>
      </c>
      <c r="F1187" s="432" t="s">
        <v>3022</v>
      </c>
      <c r="G1187" s="482" t="s">
        <v>5575</v>
      </c>
      <c r="H1187" s="482" t="s">
        <v>744</v>
      </c>
      <c r="I1187" s="482">
        <v>5400</v>
      </c>
      <c r="J1187" s="482">
        <v>0</v>
      </c>
      <c r="K1187" s="482">
        <v>75</v>
      </c>
      <c r="L1187" s="639">
        <f>I1187/K1187</f>
        <v>72</v>
      </c>
      <c r="M1187" s="644">
        <v>46115</v>
      </c>
      <c r="N1187" s="644">
        <f t="shared" si="462"/>
        <v>46111</v>
      </c>
      <c r="O1187" s="641"/>
      <c r="P1187" s="641"/>
      <c r="Q1187" s="482"/>
      <c r="R1187" s="647" t="s">
        <v>2432</v>
      </c>
      <c r="S1187" s="647" t="s">
        <v>66</v>
      </c>
      <c r="T1187" s="647" t="s">
        <v>66</v>
      </c>
      <c r="U1187" s="647"/>
      <c r="V1187" s="508" t="s">
        <v>2565</v>
      </c>
      <c r="W1187" s="650" t="s">
        <v>821</v>
      </c>
      <c r="X1187" s="508">
        <v>359.3436</v>
      </c>
      <c r="Y1187" s="651">
        <f>X1187*L1187</f>
        <v>25872.7392</v>
      </c>
      <c r="Z1187" s="482"/>
      <c r="AA1187" s="497" t="s">
        <v>1378</v>
      </c>
      <c r="AB1187" s="482" t="s">
        <v>76</v>
      </c>
      <c r="AC1187" s="482"/>
      <c r="AD1187" s="497"/>
      <c r="AE1187" s="497"/>
      <c r="AF1187" s="482"/>
      <c r="AG1187" s="482">
        <f>AF1187-I1187</f>
        <v>-5400</v>
      </c>
      <c r="AH1187" s="655"/>
      <c r="AI1187" s="482"/>
      <c r="AJ1187" s="482"/>
      <c r="AK1187" s="549">
        <f>I1187*3</f>
        <v>16200</v>
      </c>
      <c r="AL1187" s="656"/>
      <c r="AR1187" s="656"/>
      <c r="AS1187" s="656"/>
      <c r="AT1187" s="660"/>
      <c r="AY1187" s="581">
        <f>I1187/24*3</f>
        <v>675</v>
      </c>
      <c r="AZ1187" s="662"/>
      <c r="BC1187" s="432">
        <f>AK1187</f>
        <v>16200</v>
      </c>
      <c r="BD1187" s="432">
        <f>AK1187</f>
        <v>16200</v>
      </c>
      <c r="BE1187" s="432">
        <f>I1187</f>
        <v>5400</v>
      </c>
      <c r="BF1187" s="432">
        <f>I1187/5</f>
        <v>1080</v>
      </c>
      <c r="BT1187" s="660"/>
      <c r="BV1187" s="660"/>
      <c r="CK1187" s="428">
        <f t="shared" si="463"/>
        <v>0</v>
      </c>
      <c r="CL1187" s="428">
        <f t="shared" si="464"/>
        <v>0</v>
      </c>
      <c r="CM1187" s="428">
        <f t="shared" si="465"/>
        <v>0</v>
      </c>
      <c r="CN1187" s="660"/>
      <c r="CO1187" s="660"/>
      <c r="CP1187" s="660"/>
      <c r="CT1187" s="660"/>
      <c r="CU1187" s="660"/>
      <c r="CV1187" s="660"/>
      <c r="CW1187" s="660"/>
      <c r="CX1187" s="660"/>
    </row>
    <row r="1188" s="433" customFormat="1" ht="31" customHeight="1" spans="1:102">
      <c r="A1188" s="633">
        <v>46048</v>
      </c>
      <c r="B1188" s="497" t="s">
        <v>1669</v>
      </c>
      <c r="C1188" s="634" t="s">
        <v>663</v>
      </c>
      <c r="D1188" s="432">
        <v>4500192252</v>
      </c>
      <c r="E1188" s="635">
        <v>5000002110</v>
      </c>
      <c r="F1188" s="432" t="s">
        <v>6007</v>
      </c>
      <c r="G1188" s="482" t="s">
        <v>3206</v>
      </c>
      <c r="H1188" s="482" t="s">
        <v>4939</v>
      </c>
      <c r="I1188" s="645">
        <v>5200</v>
      </c>
      <c r="J1188" s="482">
        <v>0</v>
      </c>
      <c r="K1188" s="482">
        <v>13</v>
      </c>
      <c r="L1188" s="639">
        <f>I1188/K1188</f>
        <v>400</v>
      </c>
      <c r="M1188" s="640">
        <v>46115</v>
      </c>
      <c r="N1188" s="640">
        <f t="shared" si="462"/>
        <v>46111</v>
      </c>
      <c r="O1188" s="641"/>
      <c r="P1188" s="641"/>
      <c r="Q1188" s="482"/>
      <c r="R1188" s="647" t="s">
        <v>5975</v>
      </c>
      <c r="S1188" s="647" t="s">
        <v>96</v>
      </c>
      <c r="T1188" s="647" t="s">
        <v>5818</v>
      </c>
      <c r="U1188" s="647"/>
      <c r="V1188" s="508" t="s">
        <v>5976</v>
      </c>
      <c r="W1188" s="650" t="s">
        <v>1674</v>
      </c>
      <c r="X1188" s="648">
        <v>0.8895</v>
      </c>
      <c r="Y1188" s="651">
        <f t="shared" ref="Y1188:Y1195" si="466">X1188*I1188</f>
        <v>4625.4</v>
      </c>
      <c r="Z1188" s="482"/>
      <c r="AA1188" s="652" t="s">
        <v>5467</v>
      </c>
      <c r="AB1188" s="482" t="s">
        <v>76</v>
      </c>
      <c r="AC1188" s="482"/>
      <c r="AD1188" s="497"/>
      <c r="AE1188" s="497"/>
      <c r="AF1188" s="482"/>
      <c r="AG1188" s="482"/>
      <c r="AH1188" s="655"/>
      <c r="AI1188" s="482"/>
      <c r="AJ1188" s="482"/>
      <c r="AK1188" s="549"/>
      <c r="AL1188" s="656">
        <f>I1188</f>
        <v>5200</v>
      </c>
      <c r="AM1188" s="432"/>
      <c r="AN1188" s="432"/>
      <c r="AO1188" s="432"/>
      <c r="AP1188" s="432"/>
      <c r="AQ1188" s="432"/>
      <c r="AR1188" s="656"/>
      <c r="AS1188" s="656"/>
      <c r="AT1188" s="660">
        <f>I1188</f>
        <v>5200</v>
      </c>
      <c r="AU1188" s="432">
        <f>I1188*2</f>
        <v>10400</v>
      </c>
      <c r="AV1188" s="432"/>
      <c r="AW1188" s="432"/>
      <c r="AX1188" s="664">
        <f>I1188/24*2</f>
        <v>433.333333333333</v>
      </c>
      <c r="AY1188" s="581"/>
      <c r="AZ1188" s="662"/>
      <c r="BA1188" s="432"/>
      <c r="BB1188" s="432"/>
      <c r="BC1188" s="432"/>
      <c r="BD1188" s="432"/>
      <c r="BE1188" s="432"/>
      <c r="BF1188" s="432"/>
      <c r="BG1188" s="432"/>
      <c r="BH1188" s="432"/>
      <c r="BI1188" s="432">
        <f>I1188/13</f>
        <v>400</v>
      </c>
      <c r="BJ1188" s="432"/>
      <c r="BK1188" s="432"/>
      <c r="BL1188" s="432"/>
      <c r="BM1188" s="432"/>
      <c r="BN1188" s="432"/>
      <c r="BO1188" s="432"/>
      <c r="BP1188" s="432"/>
      <c r="BQ1188" s="432"/>
      <c r="BR1188" s="432"/>
      <c r="BS1188" s="432"/>
      <c r="BT1188" s="660"/>
      <c r="BU1188" s="432"/>
      <c r="BV1188" s="660"/>
      <c r="BW1188" s="432"/>
      <c r="BX1188" s="432"/>
      <c r="BY1188" s="432"/>
      <c r="BZ1188" s="432"/>
      <c r="CA1188" s="432"/>
      <c r="CB1188" s="432"/>
      <c r="CC1188" s="432"/>
      <c r="CD1188" s="432"/>
      <c r="CE1188" s="432"/>
      <c r="CF1188" s="432"/>
      <c r="CG1188" s="432"/>
      <c r="CH1188" s="432"/>
      <c r="CI1188" s="432"/>
      <c r="CJ1188" s="432"/>
      <c r="CK1188" s="432">
        <f t="shared" si="463"/>
        <v>0</v>
      </c>
      <c r="CL1188" s="432">
        <f t="shared" si="464"/>
        <v>0</v>
      </c>
      <c r="CM1188" s="432">
        <f t="shared" si="465"/>
        <v>0</v>
      </c>
      <c r="CN1188" s="694"/>
      <c r="CO1188" s="694"/>
      <c r="CP1188" s="694"/>
      <c r="CT1188" s="694"/>
      <c r="CU1188" s="694"/>
      <c r="CV1188" s="694"/>
      <c r="CW1188" s="694"/>
      <c r="CX1188" s="694"/>
    </row>
    <row r="1189" s="433" customFormat="1" ht="31" customHeight="1" spans="1:102">
      <c r="A1189" s="633">
        <v>46048</v>
      </c>
      <c r="B1189" s="497" t="s">
        <v>1669</v>
      </c>
      <c r="C1189" s="634" t="s">
        <v>663</v>
      </c>
      <c r="D1189" s="432">
        <v>4500192252</v>
      </c>
      <c r="E1189" s="635">
        <v>5000002110</v>
      </c>
      <c r="F1189" s="432" t="s">
        <v>3026</v>
      </c>
      <c r="G1189" s="482" t="s">
        <v>3436</v>
      </c>
      <c r="H1189" s="482" t="s">
        <v>424</v>
      </c>
      <c r="I1189" s="645">
        <v>1200</v>
      </c>
      <c r="J1189" s="482">
        <v>0</v>
      </c>
      <c r="K1189" s="482">
        <v>6</v>
      </c>
      <c r="L1189" s="639">
        <f>I1189/K1189</f>
        <v>200</v>
      </c>
      <c r="M1189" s="640">
        <v>46115</v>
      </c>
      <c r="N1189" s="640">
        <f t="shared" si="462"/>
        <v>46111</v>
      </c>
      <c r="O1189" s="641"/>
      <c r="P1189" s="641"/>
      <c r="Q1189" s="482"/>
      <c r="R1189" s="647" t="s">
        <v>2985</v>
      </c>
      <c r="S1189" s="647" t="s">
        <v>96</v>
      </c>
      <c r="T1189" s="647" t="s">
        <v>2067</v>
      </c>
      <c r="U1189" s="647"/>
      <c r="V1189" s="508" t="s">
        <v>5977</v>
      </c>
      <c r="W1189" s="650" t="s">
        <v>1674</v>
      </c>
      <c r="X1189" s="648">
        <v>6.7154</v>
      </c>
      <c r="Y1189" s="651">
        <f t="shared" si="466"/>
        <v>8058.48</v>
      </c>
      <c r="Z1189" s="482"/>
      <c r="AA1189" s="652" t="s">
        <v>2069</v>
      </c>
      <c r="AB1189" s="482" t="s">
        <v>76</v>
      </c>
      <c r="AC1189" s="482"/>
      <c r="AD1189" s="497"/>
      <c r="AE1189" s="497"/>
      <c r="AF1189" s="482"/>
      <c r="AG1189" s="482">
        <f>AF1189-I1189</f>
        <v>-1200</v>
      </c>
      <c r="AH1189" s="655"/>
      <c r="AI1189" s="482"/>
      <c r="AJ1189" s="482"/>
      <c r="AK1189" s="549"/>
      <c r="AL1189" s="656">
        <f>I1189*2</f>
        <v>2400</v>
      </c>
      <c r="AM1189" s="432"/>
      <c r="AN1189" s="432"/>
      <c r="AO1189" s="432"/>
      <c r="AP1189" s="432"/>
      <c r="AQ1189" s="432">
        <f t="shared" ref="AQ1189:AQ1193" si="467">I1189</f>
        <v>1200</v>
      </c>
      <c r="AR1189" s="656"/>
      <c r="AS1189" s="656"/>
      <c r="AT1189" s="660"/>
      <c r="AU1189" s="432">
        <f>I1189*2</f>
        <v>2400</v>
      </c>
      <c r="AV1189" s="432"/>
      <c r="AW1189" s="432"/>
      <c r="AX1189" s="664">
        <f>I1189/24*2</f>
        <v>100</v>
      </c>
      <c r="AY1189" s="581"/>
      <c r="AZ1189" s="662"/>
      <c r="BA1189" s="432"/>
      <c r="BB1189" s="432"/>
      <c r="BC1189" s="432"/>
      <c r="BD1189" s="432"/>
      <c r="BE1189" s="432"/>
      <c r="BF1189" s="432"/>
      <c r="BG1189" s="432"/>
      <c r="BH1189" s="432"/>
      <c r="BI1189" s="432"/>
      <c r="BJ1189" s="432"/>
      <c r="BK1189" s="432"/>
      <c r="BL1189" s="432"/>
      <c r="BM1189" s="432"/>
      <c r="BN1189" s="432"/>
      <c r="BO1189" s="432"/>
      <c r="BP1189" s="432"/>
      <c r="BQ1189" s="432"/>
      <c r="BR1189" s="432"/>
      <c r="BS1189" s="432"/>
      <c r="BT1189" s="660"/>
      <c r="BU1189" s="432">
        <f t="shared" ref="BU1189:BU1193" si="468">I1189</f>
        <v>1200</v>
      </c>
      <c r="BV1189" s="660"/>
      <c r="BW1189" s="432"/>
      <c r="BX1189" s="432"/>
      <c r="BY1189" s="432"/>
      <c r="BZ1189" s="432"/>
      <c r="CA1189" s="432"/>
      <c r="CB1189" s="432"/>
      <c r="CC1189" s="432"/>
      <c r="CD1189" s="432"/>
      <c r="CE1189" s="432"/>
      <c r="CF1189" s="432"/>
      <c r="CG1189" s="432"/>
      <c r="CH1189" s="432"/>
      <c r="CI1189" s="432"/>
      <c r="CJ1189" s="432"/>
      <c r="CK1189" s="432">
        <f t="shared" si="463"/>
        <v>0</v>
      </c>
      <c r="CL1189" s="432">
        <f t="shared" si="464"/>
        <v>0</v>
      </c>
      <c r="CM1189" s="432">
        <f t="shared" si="465"/>
        <v>0</v>
      </c>
      <c r="CN1189" s="694"/>
      <c r="CO1189" s="694"/>
      <c r="CP1189" s="694"/>
      <c r="CT1189" s="694"/>
      <c r="CU1189" s="694"/>
      <c r="CV1189" s="694"/>
      <c r="CW1189" s="694"/>
      <c r="CX1189" s="694"/>
    </row>
    <row r="1190" s="433" customFormat="1" ht="31" customHeight="1" spans="1:102">
      <c r="A1190" s="633">
        <v>46051</v>
      </c>
      <c r="B1190" s="497" t="s">
        <v>1669</v>
      </c>
      <c r="C1190" s="634" t="s">
        <v>663</v>
      </c>
      <c r="D1190" s="432">
        <v>4500192252</v>
      </c>
      <c r="E1190" s="635">
        <v>5000002110</v>
      </c>
      <c r="F1190" s="432" t="s">
        <v>6008</v>
      </c>
      <c r="G1190" s="482" t="s">
        <v>3206</v>
      </c>
      <c r="H1190" s="482" t="s">
        <v>4939</v>
      </c>
      <c r="I1190" s="645">
        <v>2990</v>
      </c>
      <c r="J1190" s="482">
        <v>0</v>
      </c>
      <c r="K1190" s="482">
        <v>13</v>
      </c>
      <c r="L1190" s="639">
        <f>I1190/K1190</f>
        <v>230</v>
      </c>
      <c r="M1190" s="640">
        <v>46115</v>
      </c>
      <c r="N1190" s="640">
        <f t="shared" si="462"/>
        <v>46111</v>
      </c>
      <c r="O1190" s="641"/>
      <c r="P1190" s="641"/>
      <c r="Q1190" s="482"/>
      <c r="R1190" s="647" t="s">
        <v>5975</v>
      </c>
      <c r="S1190" s="647" t="s">
        <v>96</v>
      </c>
      <c r="T1190" s="647" t="s">
        <v>5818</v>
      </c>
      <c r="U1190" s="647"/>
      <c r="V1190" s="508" t="s">
        <v>5976</v>
      </c>
      <c r="W1190" s="650" t="s">
        <v>1674</v>
      </c>
      <c r="X1190" s="648">
        <v>0.882</v>
      </c>
      <c r="Y1190" s="651">
        <f t="shared" si="466"/>
        <v>2637.18</v>
      </c>
      <c r="Z1190" s="482"/>
      <c r="AA1190" s="652" t="s">
        <v>5467</v>
      </c>
      <c r="AB1190" s="482" t="s">
        <v>76</v>
      </c>
      <c r="AC1190" s="482"/>
      <c r="AD1190" s="497"/>
      <c r="AE1190" s="497"/>
      <c r="AF1190" s="482"/>
      <c r="AG1190" s="482"/>
      <c r="AH1190" s="655"/>
      <c r="AI1190" s="482"/>
      <c r="AJ1190" s="482"/>
      <c r="AK1190" s="482"/>
      <c r="AL1190" s="656">
        <f>I1190</f>
        <v>2990</v>
      </c>
      <c r="AM1190" s="657"/>
      <c r="AN1190" s="657"/>
      <c r="AO1190" s="659"/>
      <c r="AP1190" s="657"/>
      <c r="AQ1190" s="432"/>
      <c r="AR1190" s="657"/>
      <c r="AS1190" s="656"/>
      <c r="AT1190" s="660">
        <f>I1190</f>
        <v>2990</v>
      </c>
      <c r="AU1190" s="432">
        <f>I1190*2</f>
        <v>5980</v>
      </c>
      <c r="AV1190" s="657"/>
      <c r="AW1190" s="657"/>
      <c r="AX1190" s="664">
        <f>I1190/24*2</f>
        <v>249.166666666667</v>
      </c>
      <c r="AY1190" s="663"/>
      <c r="AZ1190" s="662"/>
      <c r="BA1190" s="657"/>
      <c r="BB1190" s="657"/>
      <c r="BC1190" s="657"/>
      <c r="BD1190" s="657"/>
      <c r="BE1190" s="657"/>
      <c r="BF1190" s="657"/>
      <c r="BG1190" s="657"/>
      <c r="BH1190" s="657"/>
      <c r="BI1190" s="432">
        <f>I1190/13</f>
        <v>230</v>
      </c>
      <c r="BJ1190" s="657"/>
      <c r="BK1190" s="693"/>
      <c r="BL1190" s="657"/>
      <c r="BM1190" s="657"/>
      <c r="BN1190" s="657"/>
      <c r="BO1190" s="657"/>
      <c r="BP1190" s="657"/>
      <c r="BQ1190" s="657"/>
      <c r="BR1190" s="657"/>
      <c r="BS1190" s="657"/>
      <c r="BT1190" s="660"/>
      <c r="BU1190" s="432"/>
      <c r="BV1190" s="660"/>
      <c r="BW1190" s="657"/>
      <c r="BX1190" s="657"/>
      <c r="BY1190" s="657"/>
      <c r="BZ1190" s="657"/>
      <c r="CA1190" s="657"/>
      <c r="CB1190" s="657"/>
      <c r="CC1190" s="657"/>
      <c r="CD1190" s="657"/>
      <c r="CE1190" s="657"/>
      <c r="CF1190" s="657"/>
      <c r="CG1190" s="657"/>
      <c r="CH1190" s="657"/>
      <c r="CI1190" s="657"/>
      <c r="CJ1190" s="657"/>
      <c r="CK1190" s="432">
        <f t="shared" si="463"/>
        <v>0</v>
      </c>
      <c r="CL1190" s="432">
        <f t="shared" si="464"/>
        <v>0</v>
      </c>
      <c r="CM1190" s="432">
        <f t="shared" si="465"/>
        <v>0</v>
      </c>
      <c r="CN1190" s="694"/>
      <c r="CO1190" s="694"/>
      <c r="CP1190" s="694"/>
      <c r="CQ1190" s="593"/>
      <c r="CR1190" s="593"/>
      <c r="CS1190" s="593"/>
      <c r="CT1190" s="694"/>
      <c r="CU1190" s="694"/>
      <c r="CV1190" s="694"/>
      <c r="CW1190" s="694"/>
      <c r="CX1190" s="694"/>
    </row>
    <row r="1191" s="433" customFormat="1" ht="31" customHeight="1" spans="1:102">
      <c r="A1191" s="633">
        <v>46051</v>
      </c>
      <c r="B1191" s="497" t="s">
        <v>1669</v>
      </c>
      <c r="C1191" s="635" t="s">
        <v>663</v>
      </c>
      <c r="D1191" s="432">
        <v>4500192252</v>
      </c>
      <c r="E1191" s="635">
        <v>5000002110</v>
      </c>
      <c r="F1191" s="432" t="s">
        <v>3027</v>
      </c>
      <c r="G1191" s="482" t="s">
        <v>3436</v>
      </c>
      <c r="H1191" s="482" t="s">
        <v>424</v>
      </c>
      <c r="I1191" s="645">
        <v>3000</v>
      </c>
      <c r="J1191" s="482">
        <v>0</v>
      </c>
      <c r="K1191" s="482">
        <v>6</v>
      </c>
      <c r="L1191" s="639">
        <f>I1191/K1191</f>
        <v>500</v>
      </c>
      <c r="M1191" s="640">
        <v>46115</v>
      </c>
      <c r="N1191" s="640">
        <f t="shared" si="462"/>
        <v>46111</v>
      </c>
      <c r="O1191" s="641"/>
      <c r="P1191" s="641"/>
      <c r="Q1191" s="482"/>
      <c r="R1191" s="647" t="s">
        <v>2985</v>
      </c>
      <c r="S1191" s="647" t="s">
        <v>96</v>
      </c>
      <c r="T1191" s="647" t="s">
        <v>2067</v>
      </c>
      <c r="U1191" s="647"/>
      <c r="V1191" s="508" t="s">
        <v>5977</v>
      </c>
      <c r="W1191" s="651" t="s">
        <v>1674</v>
      </c>
      <c r="X1191" s="648">
        <v>6.4585</v>
      </c>
      <c r="Y1191" s="651">
        <f t="shared" si="466"/>
        <v>19375.5</v>
      </c>
      <c r="Z1191" s="482"/>
      <c r="AA1191" s="652" t="s">
        <v>2069</v>
      </c>
      <c r="AB1191" s="482" t="s">
        <v>76</v>
      </c>
      <c r="AC1191" s="482"/>
      <c r="AD1191" s="497"/>
      <c r="AE1191" s="497"/>
      <c r="AF1191" s="482"/>
      <c r="AG1191" s="482">
        <f>AF1191-I1191</f>
        <v>-3000</v>
      </c>
      <c r="AH1191" s="655"/>
      <c r="AI1191" s="482"/>
      <c r="AJ1191" s="482"/>
      <c r="AK1191" s="482"/>
      <c r="AL1191" s="656">
        <f>I1191*2</f>
        <v>6000</v>
      </c>
      <c r="AM1191" s="432"/>
      <c r="AN1191" s="658"/>
      <c r="AO1191" s="661"/>
      <c r="AP1191" s="658"/>
      <c r="AQ1191" s="432">
        <f t="shared" si="467"/>
        <v>3000</v>
      </c>
      <c r="AR1191" s="432"/>
      <c r="AS1191" s="656"/>
      <c r="AT1191" s="660"/>
      <c r="AU1191" s="432">
        <f>I1191*2</f>
        <v>6000</v>
      </c>
      <c r="AV1191" s="658"/>
      <c r="AW1191" s="658"/>
      <c r="AX1191" s="664">
        <f>I1191/24*2</f>
        <v>250</v>
      </c>
      <c r="AY1191" s="581"/>
      <c r="AZ1191" s="662"/>
      <c r="BA1191" s="658"/>
      <c r="BB1191" s="658"/>
      <c r="BC1191" s="658"/>
      <c r="BD1191" s="658"/>
      <c r="BE1191" s="658"/>
      <c r="BF1191" s="658"/>
      <c r="BG1191" s="658"/>
      <c r="BH1191" s="658"/>
      <c r="BI1191" s="658"/>
      <c r="BJ1191" s="432"/>
      <c r="BK1191" s="658"/>
      <c r="BL1191" s="658"/>
      <c r="BM1191" s="658"/>
      <c r="BN1191" s="658"/>
      <c r="BO1191" s="658"/>
      <c r="BP1191" s="658"/>
      <c r="BQ1191" s="658"/>
      <c r="BR1191" s="658"/>
      <c r="BS1191" s="658"/>
      <c r="BT1191" s="660"/>
      <c r="BU1191" s="432">
        <f t="shared" si="468"/>
        <v>3000</v>
      </c>
      <c r="BV1191" s="660"/>
      <c r="BW1191" s="658"/>
      <c r="BX1191" s="658"/>
      <c r="BY1191" s="658"/>
      <c r="BZ1191" s="658"/>
      <c r="CA1191" s="658"/>
      <c r="CB1191" s="658"/>
      <c r="CC1191" s="658"/>
      <c r="CD1191" s="658"/>
      <c r="CE1191" s="658"/>
      <c r="CF1191" s="432"/>
      <c r="CG1191" s="658"/>
      <c r="CH1191" s="658"/>
      <c r="CI1191" s="658"/>
      <c r="CJ1191" s="658"/>
      <c r="CK1191" s="432">
        <f t="shared" si="463"/>
        <v>0</v>
      </c>
      <c r="CL1191" s="432">
        <f t="shared" si="464"/>
        <v>0</v>
      </c>
      <c r="CM1191" s="432">
        <f t="shared" si="465"/>
        <v>0</v>
      </c>
      <c r="CN1191" s="694"/>
      <c r="CO1191" s="694"/>
      <c r="CP1191" s="694"/>
      <c r="CT1191" s="694"/>
      <c r="CU1191" s="694"/>
      <c r="CV1191" s="694"/>
      <c r="CW1191" s="694"/>
      <c r="CX1191" s="694"/>
    </row>
    <row r="1192" s="433" customFormat="1" ht="31" customHeight="1" spans="1:102">
      <c r="A1192" s="633">
        <v>46057</v>
      </c>
      <c r="B1192" s="497" t="s">
        <v>3028</v>
      </c>
      <c r="C1192" s="634" t="s">
        <v>3029</v>
      </c>
      <c r="D1192" s="432">
        <v>4500193066</v>
      </c>
      <c r="E1192" s="635" t="s">
        <v>3030</v>
      </c>
      <c r="F1192" s="432" t="s">
        <v>6009</v>
      </c>
      <c r="G1192" s="482" t="s">
        <v>3161</v>
      </c>
      <c r="H1192" s="482" t="s">
        <v>3221</v>
      </c>
      <c r="I1192" s="645">
        <v>6000</v>
      </c>
      <c r="J1192" s="482">
        <v>0</v>
      </c>
      <c r="K1192" s="482">
        <v>50</v>
      </c>
      <c r="L1192" s="639">
        <f>I1192/K1192</f>
        <v>120</v>
      </c>
      <c r="M1192" s="640">
        <v>46115</v>
      </c>
      <c r="N1192" s="640">
        <f t="shared" si="462"/>
        <v>46111</v>
      </c>
      <c r="O1192" s="641"/>
      <c r="P1192" s="641"/>
      <c r="Q1192" s="482"/>
      <c r="R1192" s="647" t="s">
        <v>403</v>
      </c>
      <c r="S1192" s="647" t="s">
        <v>66</v>
      </c>
      <c r="T1192" s="647" t="s">
        <v>6010</v>
      </c>
      <c r="U1192" s="647"/>
      <c r="V1192" s="508" t="s">
        <v>6011</v>
      </c>
      <c r="W1192" s="650" t="s">
        <v>473</v>
      </c>
      <c r="X1192" s="508">
        <v>0.9358</v>
      </c>
      <c r="Y1192" s="651">
        <f t="shared" si="466"/>
        <v>5614.8</v>
      </c>
      <c r="Z1192" s="482"/>
      <c r="AA1192" s="482" t="s">
        <v>3161</v>
      </c>
      <c r="AB1192" s="482" t="s">
        <v>76</v>
      </c>
      <c r="AC1192" s="482"/>
      <c r="AD1192" s="497"/>
      <c r="AE1192" s="497"/>
      <c r="AF1192" s="482"/>
      <c r="AG1192" s="482">
        <f>AF1192-I1192</f>
        <v>-6000</v>
      </c>
      <c r="AH1192" s="655"/>
      <c r="AI1192" s="482"/>
      <c r="AJ1192" s="482"/>
      <c r="AK1192" s="482"/>
      <c r="AL1192" s="656">
        <f>I1192</f>
        <v>6000</v>
      </c>
      <c r="AM1192" s="432"/>
      <c r="AN1192" s="432"/>
      <c r="AO1192" s="660"/>
      <c r="AP1192" s="432"/>
      <c r="AQ1192" s="432">
        <f t="shared" si="467"/>
        <v>6000</v>
      </c>
      <c r="AR1192" s="432"/>
      <c r="AS1192" s="656">
        <f>I1192</f>
        <v>6000</v>
      </c>
      <c r="AT1192" s="660"/>
      <c r="AU1192" s="432"/>
      <c r="AV1192" s="432"/>
      <c r="AW1192" s="432"/>
      <c r="AX1192" s="432"/>
      <c r="AY1192" s="581">
        <f>I1192/24</f>
        <v>250</v>
      </c>
      <c r="AZ1192" s="662"/>
      <c r="BA1192" s="432"/>
      <c r="BB1192" s="432"/>
      <c r="BC1192" s="432"/>
      <c r="BD1192" s="432"/>
      <c r="BE1192" s="432"/>
      <c r="BF1192" s="432"/>
      <c r="BG1192" s="432"/>
      <c r="BH1192" s="432"/>
      <c r="BI1192" s="432"/>
      <c r="BJ1192" s="432"/>
      <c r="BK1192" s="432"/>
      <c r="BL1192" s="432">
        <f>I1192/25</f>
        <v>240</v>
      </c>
      <c r="BM1192" s="432"/>
      <c r="BN1192" s="432"/>
      <c r="BO1192" s="432"/>
      <c r="BP1192" s="432"/>
      <c r="BQ1192" s="432"/>
      <c r="BR1192" s="432"/>
      <c r="BS1192" s="432"/>
      <c r="BT1192" s="660"/>
      <c r="BU1192" s="432"/>
      <c r="BV1192" s="660"/>
      <c r="BW1192" s="432"/>
      <c r="BX1192" s="432"/>
      <c r="BY1192" s="432"/>
      <c r="BZ1192" s="432"/>
      <c r="CA1192" s="432"/>
      <c r="CB1192" s="432"/>
      <c r="CC1192" s="432"/>
      <c r="CD1192" s="432"/>
      <c r="CE1192" s="432"/>
      <c r="CF1192" s="432"/>
      <c r="CG1192" s="432"/>
      <c r="CH1192" s="432"/>
      <c r="CI1192" s="432"/>
      <c r="CJ1192" s="432"/>
      <c r="CK1192" s="432"/>
      <c r="CL1192" s="432"/>
      <c r="CM1192" s="432"/>
      <c r="CN1192" s="694"/>
      <c r="CO1192" s="694"/>
      <c r="CP1192" s="694"/>
      <c r="CQ1192" s="671"/>
      <c r="CR1192" s="671"/>
      <c r="CS1192" s="671"/>
      <c r="CT1192" s="694"/>
      <c r="CU1192" s="694"/>
      <c r="CV1192" s="694"/>
      <c r="CW1192" s="694"/>
      <c r="CX1192" s="694"/>
    </row>
    <row r="1193" s="433" customFormat="1" ht="31" customHeight="1" spans="1:102">
      <c r="A1193" s="633">
        <v>46058</v>
      </c>
      <c r="B1193" s="497" t="s">
        <v>1669</v>
      </c>
      <c r="C1193" s="635" t="s">
        <v>663</v>
      </c>
      <c r="D1193" s="432">
        <v>4500192252</v>
      </c>
      <c r="E1193" s="635">
        <v>5000002110</v>
      </c>
      <c r="F1193" s="432" t="s">
        <v>3033</v>
      </c>
      <c r="G1193" s="482" t="s">
        <v>3436</v>
      </c>
      <c r="H1193" s="482" t="s">
        <v>424</v>
      </c>
      <c r="I1193" s="645">
        <v>13860</v>
      </c>
      <c r="J1193" s="482">
        <v>0</v>
      </c>
      <c r="K1193" s="482">
        <v>6</v>
      </c>
      <c r="L1193" s="639">
        <f t="shared" ref="L1193:L1206" si="469">I1193/K1193</f>
        <v>2310</v>
      </c>
      <c r="M1193" s="640">
        <v>46115</v>
      </c>
      <c r="N1193" s="640">
        <f t="shared" si="462"/>
        <v>46111</v>
      </c>
      <c r="O1193" s="641"/>
      <c r="P1193" s="641"/>
      <c r="Q1193" s="482"/>
      <c r="R1193" s="647"/>
      <c r="S1193" s="647"/>
      <c r="T1193" s="647"/>
      <c r="U1193" s="647"/>
      <c r="V1193" s="508" t="s">
        <v>5977</v>
      </c>
      <c r="W1193" s="651" t="s">
        <v>1674</v>
      </c>
      <c r="X1193" s="648">
        <v>6.3788</v>
      </c>
      <c r="Y1193" s="651">
        <f t="shared" si="466"/>
        <v>88410.168</v>
      </c>
      <c r="Z1193" s="482"/>
      <c r="AA1193" s="652"/>
      <c r="AB1193" s="482"/>
      <c r="AC1193" s="482"/>
      <c r="AD1193" s="497"/>
      <c r="AE1193" s="497"/>
      <c r="AF1193" s="482"/>
      <c r="AG1193" s="482"/>
      <c r="AH1193" s="655"/>
      <c r="AI1193" s="482"/>
      <c r="AJ1193" s="482"/>
      <c r="AK1193" s="482"/>
      <c r="AL1193" s="656">
        <f>I1193*2</f>
        <v>27720</v>
      </c>
      <c r="AM1193" s="432"/>
      <c r="AN1193" s="658"/>
      <c r="AO1193" s="661"/>
      <c r="AP1193" s="658"/>
      <c r="AQ1193" s="432">
        <f t="shared" si="467"/>
        <v>13860</v>
      </c>
      <c r="AR1193" s="432"/>
      <c r="AS1193" s="656"/>
      <c r="AT1193" s="660"/>
      <c r="AU1193" s="432">
        <f>I1193*2</f>
        <v>27720</v>
      </c>
      <c r="AV1193" s="658"/>
      <c r="AW1193" s="658"/>
      <c r="AX1193" s="664">
        <f>I1193/24*2</f>
        <v>1155</v>
      </c>
      <c r="AY1193" s="581"/>
      <c r="AZ1193" s="662"/>
      <c r="BA1193" s="658"/>
      <c r="BB1193" s="658"/>
      <c r="BC1193" s="658"/>
      <c r="BD1193" s="658"/>
      <c r="BE1193" s="658"/>
      <c r="BF1193" s="658"/>
      <c r="BG1193" s="658"/>
      <c r="BH1193" s="658"/>
      <c r="BI1193" s="658"/>
      <c r="BJ1193" s="432"/>
      <c r="BK1193" s="658"/>
      <c r="BL1193" s="658"/>
      <c r="BM1193" s="658"/>
      <c r="BN1193" s="658"/>
      <c r="BO1193" s="658"/>
      <c r="BP1193" s="658"/>
      <c r="BQ1193" s="658"/>
      <c r="BR1193" s="658"/>
      <c r="BS1193" s="658"/>
      <c r="BT1193" s="660"/>
      <c r="BU1193" s="432">
        <f t="shared" si="468"/>
        <v>13860</v>
      </c>
      <c r="BV1193" s="660"/>
      <c r="BW1193" s="658"/>
      <c r="BX1193" s="658"/>
      <c r="BY1193" s="658"/>
      <c r="BZ1193" s="658"/>
      <c r="CA1193" s="658"/>
      <c r="CB1193" s="658"/>
      <c r="CC1193" s="658"/>
      <c r="CD1193" s="658"/>
      <c r="CE1193" s="658"/>
      <c r="CF1193" s="432"/>
      <c r="CG1193" s="658"/>
      <c r="CH1193" s="658"/>
      <c r="CI1193" s="658"/>
      <c r="CJ1193" s="658"/>
      <c r="CK1193" s="432">
        <f t="shared" ref="CK1193:CK1199" si="470">BM1193+BL1193+BK1193+BJ1193+BS1193</f>
        <v>0</v>
      </c>
      <c r="CL1193" s="432">
        <f t="shared" ref="CL1193:CL1199" si="471">CA1193+CB1193+CC1193+CD1193+CE1193+CG1193+CF1193</f>
        <v>0</v>
      </c>
      <c r="CM1193" s="432">
        <f t="shared" ref="CM1193:CM1199" si="472">BY1193+BZ1193</f>
        <v>0</v>
      </c>
      <c r="CN1193" s="694"/>
      <c r="CO1193" s="694"/>
      <c r="CP1193" s="694"/>
      <c r="CT1193" s="694"/>
      <c r="CU1193" s="694"/>
      <c r="CV1193" s="694"/>
      <c r="CW1193" s="694"/>
      <c r="CX1193" s="694"/>
    </row>
    <row r="1194" s="433" customFormat="1" ht="31" customHeight="1" spans="1:102">
      <c r="A1194" s="633">
        <v>46058</v>
      </c>
      <c r="B1194" s="497" t="s">
        <v>1669</v>
      </c>
      <c r="C1194" s="635" t="s">
        <v>663</v>
      </c>
      <c r="D1194" s="432">
        <v>4500192252</v>
      </c>
      <c r="E1194" s="635">
        <v>5000002110</v>
      </c>
      <c r="F1194" s="432" t="s">
        <v>6012</v>
      </c>
      <c r="G1194" s="482" t="s">
        <v>3206</v>
      </c>
      <c r="H1194" s="482" t="s">
        <v>4939</v>
      </c>
      <c r="I1194" s="645">
        <v>29380</v>
      </c>
      <c r="J1194" s="482">
        <v>0</v>
      </c>
      <c r="K1194" s="482">
        <v>13</v>
      </c>
      <c r="L1194" s="639">
        <f t="shared" si="469"/>
        <v>2260</v>
      </c>
      <c r="M1194" s="640">
        <v>46115</v>
      </c>
      <c r="N1194" s="640">
        <f t="shared" si="462"/>
        <v>46111</v>
      </c>
      <c r="O1194" s="641"/>
      <c r="P1194" s="641"/>
      <c r="Q1194" s="482"/>
      <c r="R1194" s="647" t="s">
        <v>5975</v>
      </c>
      <c r="S1194" s="647" t="s">
        <v>96</v>
      </c>
      <c r="T1194" s="647" t="s">
        <v>5818</v>
      </c>
      <c r="U1194" s="647"/>
      <c r="V1194" s="508" t="s">
        <v>5976</v>
      </c>
      <c r="W1194" s="650" t="s">
        <v>1674</v>
      </c>
      <c r="X1194" s="648">
        <v>0.8677</v>
      </c>
      <c r="Y1194" s="651">
        <f t="shared" si="466"/>
        <v>25493.026</v>
      </c>
      <c r="Z1194" s="482"/>
      <c r="AA1194" s="652" t="s">
        <v>5467</v>
      </c>
      <c r="AB1194" s="482" t="s">
        <v>76</v>
      </c>
      <c r="AC1194" s="482"/>
      <c r="AD1194" s="497"/>
      <c r="AE1194" s="497"/>
      <c r="AF1194" s="482"/>
      <c r="AG1194" s="482"/>
      <c r="AH1194" s="655"/>
      <c r="AI1194" s="482"/>
      <c r="AJ1194" s="482"/>
      <c r="AK1194" s="482"/>
      <c r="AL1194" s="656">
        <f>I1194</f>
        <v>29380</v>
      </c>
      <c r="AM1194" s="432"/>
      <c r="AN1194" s="658"/>
      <c r="AO1194" s="661"/>
      <c r="AP1194" s="658"/>
      <c r="AQ1194" s="432"/>
      <c r="AR1194" s="432"/>
      <c r="AS1194" s="656"/>
      <c r="AT1194" s="660">
        <f>I1194</f>
        <v>29380</v>
      </c>
      <c r="AU1194" s="432">
        <f>I1194*2</f>
        <v>58760</v>
      </c>
      <c r="AV1194" s="658"/>
      <c r="AW1194" s="658"/>
      <c r="AX1194" s="664">
        <f>I1194/24*2</f>
        <v>2448.33333333333</v>
      </c>
      <c r="AY1194" s="581"/>
      <c r="AZ1194" s="662"/>
      <c r="BA1194" s="658"/>
      <c r="BB1194" s="658"/>
      <c r="BC1194" s="658"/>
      <c r="BD1194" s="658"/>
      <c r="BE1194" s="658"/>
      <c r="BF1194" s="658"/>
      <c r="BG1194" s="658"/>
      <c r="BH1194" s="658"/>
      <c r="BI1194" s="432">
        <f>I1194/13</f>
        <v>2260</v>
      </c>
      <c r="BJ1194" s="432"/>
      <c r="BK1194" s="658"/>
      <c r="BL1194" s="658"/>
      <c r="BM1194" s="658"/>
      <c r="BN1194" s="658"/>
      <c r="BO1194" s="658"/>
      <c r="BP1194" s="658"/>
      <c r="BQ1194" s="658"/>
      <c r="BR1194" s="658"/>
      <c r="BS1194" s="658"/>
      <c r="BT1194" s="660"/>
      <c r="BU1194" s="432"/>
      <c r="BV1194" s="660"/>
      <c r="BW1194" s="658"/>
      <c r="BX1194" s="658"/>
      <c r="BY1194" s="658"/>
      <c r="BZ1194" s="658"/>
      <c r="CA1194" s="658"/>
      <c r="CB1194" s="658"/>
      <c r="CC1194" s="658"/>
      <c r="CD1194" s="658"/>
      <c r="CE1194" s="658"/>
      <c r="CF1194" s="432"/>
      <c r="CG1194" s="658"/>
      <c r="CH1194" s="658"/>
      <c r="CI1194" s="658"/>
      <c r="CJ1194" s="658"/>
      <c r="CK1194" s="432">
        <f t="shared" si="470"/>
        <v>0</v>
      </c>
      <c r="CL1194" s="432">
        <f t="shared" si="471"/>
        <v>0</v>
      </c>
      <c r="CM1194" s="432">
        <f t="shared" si="472"/>
        <v>0</v>
      </c>
      <c r="CN1194" s="694"/>
      <c r="CO1194" s="694"/>
      <c r="CP1194" s="694"/>
      <c r="CT1194" s="694"/>
      <c r="CU1194" s="694"/>
      <c r="CV1194" s="694"/>
      <c r="CW1194" s="694"/>
      <c r="CX1194" s="694"/>
    </row>
    <row r="1195" s="433" customFormat="1" ht="31" customHeight="1" spans="1:102">
      <c r="A1195" s="633">
        <v>46052</v>
      </c>
      <c r="B1195" s="497" t="s">
        <v>1787</v>
      </c>
      <c r="C1195" s="635" t="s">
        <v>377</v>
      </c>
      <c r="D1195" s="432">
        <v>4500192711</v>
      </c>
      <c r="E1195" s="635">
        <v>160646</v>
      </c>
      <c r="F1195" s="432" t="s">
        <v>6013</v>
      </c>
      <c r="G1195" s="482" t="s">
        <v>3165</v>
      </c>
      <c r="H1195" s="482" t="s">
        <v>3303</v>
      </c>
      <c r="I1195" s="482">
        <v>1000</v>
      </c>
      <c r="J1195" s="482">
        <v>0</v>
      </c>
      <c r="K1195" s="482">
        <v>25</v>
      </c>
      <c r="L1195" s="639">
        <f t="shared" si="469"/>
        <v>40</v>
      </c>
      <c r="M1195" s="640">
        <v>46118</v>
      </c>
      <c r="N1195" s="640">
        <v>46114</v>
      </c>
      <c r="O1195" s="641"/>
      <c r="P1195" s="641"/>
      <c r="Q1195" s="482"/>
      <c r="R1195" s="647">
        <v>46059</v>
      </c>
      <c r="S1195" s="647" t="s">
        <v>66</v>
      </c>
      <c r="T1195" s="647" t="s">
        <v>6014</v>
      </c>
      <c r="U1195" s="647"/>
      <c r="V1195" s="508" t="s">
        <v>6015</v>
      </c>
      <c r="W1195" s="651" t="s">
        <v>219</v>
      </c>
      <c r="X1195" s="508">
        <v>0.9417</v>
      </c>
      <c r="Y1195" s="651">
        <f t="shared" si="466"/>
        <v>941.7</v>
      </c>
      <c r="Z1195" s="482"/>
      <c r="AA1195" s="482"/>
      <c r="AB1195" s="482"/>
      <c r="AC1195" s="482"/>
      <c r="AD1195" s="497"/>
      <c r="AE1195" s="497"/>
      <c r="AF1195" s="482"/>
      <c r="AG1195" s="482"/>
      <c r="AH1195" s="655"/>
      <c r="AI1195" s="482"/>
      <c r="AJ1195" s="482"/>
      <c r="AK1195" s="482"/>
      <c r="AL1195" s="656">
        <f>I1195</f>
        <v>1000</v>
      </c>
      <c r="AM1195" s="657"/>
      <c r="AN1195" s="657"/>
      <c r="AO1195" s="661"/>
      <c r="AP1195" s="657"/>
      <c r="AQ1195" s="432">
        <f>I1195</f>
        <v>1000</v>
      </c>
      <c r="AR1195" s="432"/>
      <c r="AS1195" s="656">
        <f>I1195</f>
        <v>1000</v>
      </c>
      <c r="AT1195" s="660"/>
      <c r="AU1195" s="657"/>
      <c r="AV1195" s="657"/>
      <c r="AW1195" s="657"/>
      <c r="AX1195" s="657"/>
      <c r="AY1195" s="581">
        <f>I1195/24*2</f>
        <v>83.3333333333333</v>
      </c>
      <c r="AZ1195" s="662"/>
      <c r="BA1195" s="657"/>
      <c r="BB1195" s="657"/>
      <c r="BC1195" s="657"/>
      <c r="BD1195" s="657"/>
      <c r="BE1195" s="657"/>
      <c r="BF1195" s="657"/>
      <c r="BG1195" s="657"/>
      <c r="BH1195" s="657"/>
      <c r="BI1195" s="657"/>
      <c r="BJ1195" s="657"/>
      <c r="BK1195" s="657"/>
      <c r="BL1195" s="432">
        <f>I1195/25</f>
        <v>40</v>
      </c>
      <c r="BM1195" s="657"/>
      <c r="BN1195" s="657"/>
      <c r="BO1195" s="657"/>
      <c r="BP1195" s="657"/>
      <c r="BQ1195" s="657"/>
      <c r="BR1195" s="657"/>
      <c r="BS1195" s="657"/>
      <c r="BT1195" s="660"/>
      <c r="BU1195" s="657"/>
      <c r="BV1195" s="660"/>
      <c r="BW1195" s="657"/>
      <c r="BX1195" s="657"/>
      <c r="BY1195" s="657"/>
      <c r="BZ1195" s="657"/>
      <c r="CA1195" s="657"/>
      <c r="CB1195" s="657"/>
      <c r="CC1195" s="657"/>
      <c r="CD1195" s="657"/>
      <c r="CE1195" s="657"/>
      <c r="CF1195" s="657"/>
      <c r="CG1195" s="657"/>
      <c r="CH1195" s="657"/>
      <c r="CI1195" s="657"/>
      <c r="CJ1195" s="657"/>
      <c r="CK1195" s="432">
        <f t="shared" si="470"/>
        <v>40</v>
      </c>
      <c r="CL1195" s="432">
        <f t="shared" si="471"/>
        <v>0</v>
      </c>
      <c r="CM1195" s="432">
        <f t="shared" si="472"/>
        <v>0</v>
      </c>
      <c r="CN1195" s="694"/>
      <c r="CO1195" s="694"/>
      <c r="CP1195" s="694"/>
      <c r="CT1195" s="694"/>
      <c r="CU1195" s="694"/>
      <c r="CV1195" s="694"/>
      <c r="CW1195" s="694"/>
      <c r="CX1195" s="694"/>
    </row>
    <row r="1196" s="433" customFormat="1" ht="31" customHeight="1" spans="1:102">
      <c r="A1196" s="633">
        <v>46052</v>
      </c>
      <c r="B1196" s="497" t="s">
        <v>1787</v>
      </c>
      <c r="C1196" s="635" t="s">
        <v>377</v>
      </c>
      <c r="D1196" s="432">
        <v>4500192711</v>
      </c>
      <c r="E1196" s="635">
        <v>160646</v>
      </c>
      <c r="F1196" s="432" t="s">
        <v>6016</v>
      </c>
      <c r="G1196" s="482" t="s">
        <v>3328</v>
      </c>
      <c r="H1196" s="482" t="s">
        <v>3194</v>
      </c>
      <c r="I1196" s="482">
        <v>510</v>
      </c>
      <c r="J1196" s="482">
        <v>0</v>
      </c>
      <c r="K1196" s="482">
        <v>30</v>
      </c>
      <c r="L1196" s="639">
        <f t="shared" si="469"/>
        <v>17</v>
      </c>
      <c r="M1196" s="640">
        <v>46118</v>
      </c>
      <c r="N1196" s="640">
        <v>46114</v>
      </c>
      <c r="O1196" s="641"/>
      <c r="P1196" s="641"/>
      <c r="Q1196" s="482"/>
      <c r="R1196" s="647">
        <v>46059</v>
      </c>
      <c r="S1196" s="647" t="s">
        <v>66</v>
      </c>
      <c r="T1196" s="647" t="s">
        <v>6017</v>
      </c>
      <c r="U1196" s="647"/>
      <c r="V1196" s="508" t="s">
        <v>6018</v>
      </c>
      <c r="W1196" s="651" t="s">
        <v>219</v>
      </c>
      <c r="X1196" s="508">
        <v>41.6355</v>
      </c>
      <c r="Y1196" s="651">
        <f>X1196*L1196</f>
        <v>707.8035</v>
      </c>
      <c r="Z1196" s="482"/>
      <c r="AA1196" s="482" t="s">
        <v>3328</v>
      </c>
      <c r="AB1196" s="482" t="s">
        <v>76</v>
      </c>
      <c r="AC1196" s="482"/>
      <c r="AD1196" s="497"/>
      <c r="AE1196" s="497"/>
      <c r="AF1196" s="482"/>
      <c r="AG1196" s="482">
        <f>AF1196-I1196</f>
        <v>-510</v>
      </c>
      <c r="AH1196" s="655"/>
      <c r="AI1196" s="482"/>
      <c r="AJ1196" s="482"/>
      <c r="AK1196" s="482"/>
      <c r="AL1196" s="432">
        <f>I1196</f>
        <v>510</v>
      </c>
      <c r="AM1196" s="658"/>
      <c r="AN1196" s="658"/>
      <c r="AO1196" s="661"/>
      <c r="AP1196" s="658"/>
      <c r="AQ1196" s="432">
        <f>I1196*2</f>
        <v>1020</v>
      </c>
      <c r="AR1196" s="432"/>
      <c r="AS1196" s="656">
        <f>I1196*2</f>
        <v>1020</v>
      </c>
      <c r="AT1196" s="660"/>
      <c r="AU1196" s="658"/>
      <c r="AV1196" s="658"/>
      <c r="AW1196" s="658"/>
      <c r="AX1196" s="658"/>
      <c r="AY1196" s="663">
        <f>I1196/24</f>
        <v>21.25</v>
      </c>
      <c r="AZ1196" s="662"/>
      <c r="BA1196" s="658"/>
      <c r="BB1196" s="658"/>
      <c r="BC1196" s="658"/>
      <c r="BD1196" s="658"/>
      <c r="BE1196" s="658"/>
      <c r="BF1196" s="658"/>
      <c r="BG1196" s="658"/>
      <c r="BH1196" s="658"/>
      <c r="BI1196" s="658"/>
      <c r="BJ1196" s="658"/>
      <c r="BK1196" s="658"/>
      <c r="BL1196" s="432"/>
      <c r="BM1196" s="658"/>
      <c r="BN1196" s="658"/>
      <c r="BO1196" s="658"/>
      <c r="BP1196" s="658"/>
      <c r="BQ1196" s="658"/>
      <c r="BR1196" s="658"/>
      <c r="BS1196" s="658"/>
      <c r="BT1196" s="660"/>
      <c r="BU1196" s="658"/>
      <c r="BV1196" s="660"/>
      <c r="BW1196" s="658"/>
      <c r="BX1196" s="658"/>
      <c r="BY1196" s="658"/>
      <c r="BZ1196" s="658"/>
      <c r="CA1196" s="658"/>
      <c r="CB1196" s="658"/>
      <c r="CC1196" s="425"/>
      <c r="CD1196" s="658"/>
      <c r="CE1196" s="658"/>
      <c r="CF1196" s="432">
        <f>I1196/30</f>
        <v>17</v>
      </c>
      <c r="CG1196" s="658"/>
      <c r="CH1196" s="658"/>
      <c r="CI1196" s="658"/>
      <c r="CJ1196" s="658"/>
      <c r="CK1196" s="425">
        <f t="shared" si="470"/>
        <v>0</v>
      </c>
      <c r="CL1196" s="425">
        <f t="shared" si="471"/>
        <v>17</v>
      </c>
      <c r="CM1196" s="425">
        <f t="shared" si="472"/>
        <v>0</v>
      </c>
      <c r="CN1196" s="694"/>
      <c r="CO1196" s="694"/>
      <c r="CP1196" s="694"/>
      <c r="CT1196" s="694"/>
      <c r="CU1196" s="694"/>
      <c r="CV1196" s="694"/>
      <c r="CW1196" s="694"/>
      <c r="CX1196" s="694"/>
    </row>
    <row r="1197" s="433" customFormat="1" ht="31" customHeight="1" spans="1:102">
      <c r="A1197" s="633">
        <v>46058</v>
      </c>
      <c r="B1197" s="497" t="s">
        <v>1595</v>
      </c>
      <c r="C1197" s="635" t="s">
        <v>139</v>
      </c>
      <c r="D1197" s="432">
        <v>4500193186</v>
      </c>
      <c r="E1197" s="635">
        <v>4400538625</v>
      </c>
      <c r="F1197" s="432" t="s">
        <v>6019</v>
      </c>
      <c r="G1197" s="482" t="s">
        <v>3165</v>
      </c>
      <c r="H1197" s="482" t="s">
        <v>3303</v>
      </c>
      <c r="I1197" s="482">
        <v>4000</v>
      </c>
      <c r="J1197" s="482">
        <v>0</v>
      </c>
      <c r="K1197" s="482">
        <v>25</v>
      </c>
      <c r="L1197" s="639">
        <f t="shared" si="469"/>
        <v>160</v>
      </c>
      <c r="M1197" s="640">
        <v>46118</v>
      </c>
      <c r="N1197" s="640">
        <v>46114</v>
      </c>
      <c r="O1197" s="641"/>
      <c r="P1197" s="641"/>
      <c r="Q1197" s="482"/>
      <c r="R1197" s="647" t="s">
        <v>403</v>
      </c>
      <c r="S1197" s="647" t="s">
        <v>66</v>
      </c>
      <c r="T1197" s="647" t="s">
        <v>3846</v>
      </c>
      <c r="U1197" s="647"/>
      <c r="V1197" s="508" t="s">
        <v>6020</v>
      </c>
      <c r="W1197" s="651" t="s">
        <v>1424</v>
      </c>
      <c r="X1197" s="508">
        <v>0.9417</v>
      </c>
      <c r="Y1197" s="651">
        <f t="shared" ref="Y1197:Y1203" si="473">X1197*I1197</f>
        <v>3766.8</v>
      </c>
      <c r="Z1197" s="482"/>
      <c r="AA1197" s="482"/>
      <c r="AB1197" s="482"/>
      <c r="AC1197" s="482"/>
      <c r="AD1197" s="497"/>
      <c r="AE1197" s="497"/>
      <c r="AF1197" s="482"/>
      <c r="AG1197" s="482"/>
      <c r="AH1197" s="655"/>
      <c r="AI1197" s="482"/>
      <c r="AJ1197" s="482"/>
      <c r="AK1197" s="482"/>
      <c r="AL1197" s="656">
        <f>I1197</f>
        <v>4000</v>
      </c>
      <c r="AM1197" s="657"/>
      <c r="AN1197" s="657"/>
      <c r="AO1197" s="661"/>
      <c r="AP1197" s="657"/>
      <c r="AQ1197" s="432"/>
      <c r="AR1197" s="432"/>
      <c r="AS1197" s="656"/>
      <c r="AT1197" s="660"/>
      <c r="AU1197" s="657"/>
      <c r="AV1197" s="657"/>
      <c r="AW1197" s="657"/>
      <c r="AX1197" s="657"/>
      <c r="AY1197" s="581"/>
      <c r="AZ1197" s="662"/>
      <c r="BA1197" s="657"/>
      <c r="BB1197" s="657">
        <f>I1197</f>
        <v>4000</v>
      </c>
      <c r="BC1197" s="657"/>
      <c r="BD1197" s="657"/>
      <c r="BE1197" s="657"/>
      <c r="BF1197" s="657"/>
      <c r="BG1197" s="657"/>
      <c r="BH1197" s="657"/>
      <c r="BI1197" s="657"/>
      <c r="BJ1197" s="657"/>
      <c r="BK1197" s="657"/>
      <c r="BL1197" s="432">
        <f>I1197/25</f>
        <v>160</v>
      </c>
      <c r="BM1197" s="657"/>
      <c r="BN1197" s="657"/>
      <c r="BO1197" s="657"/>
      <c r="BP1197" s="657"/>
      <c r="BQ1197" s="657"/>
      <c r="BR1197" s="657"/>
      <c r="BS1197" s="657"/>
      <c r="BT1197" s="660"/>
      <c r="BU1197" s="657"/>
      <c r="BV1197" s="660"/>
      <c r="BW1197" s="657"/>
      <c r="BX1197" s="657"/>
      <c r="BY1197" s="657"/>
      <c r="BZ1197" s="657"/>
      <c r="CA1197" s="657"/>
      <c r="CB1197" s="657"/>
      <c r="CC1197" s="657"/>
      <c r="CD1197" s="657"/>
      <c r="CE1197" s="657"/>
      <c r="CF1197" s="657"/>
      <c r="CG1197" s="657"/>
      <c r="CH1197" s="657"/>
      <c r="CI1197" s="657"/>
      <c r="CJ1197" s="657"/>
      <c r="CK1197" s="432">
        <f t="shared" si="470"/>
        <v>160</v>
      </c>
      <c r="CL1197" s="432">
        <f t="shared" si="471"/>
        <v>0</v>
      </c>
      <c r="CM1197" s="432">
        <f t="shared" si="472"/>
        <v>0</v>
      </c>
      <c r="CN1197" s="694"/>
      <c r="CO1197" s="694"/>
      <c r="CP1197" s="694"/>
      <c r="CT1197" s="694"/>
      <c r="CU1197" s="694"/>
      <c r="CV1197" s="694"/>
      <c r="CW1197" s="694"/>
      <c r="CX1197" s="694"/>
    </row>
    <row r="1198" s="433" customFormat="1" ht="31" customHeight="1" spans="1:102">
      <c r="A1198" s="633">
        <v>46058</v>
      </c>
      <c r="B1198" s="497" t="s">
        <v>1669</v>
      </c>
      <c r="C1198" s="635" t="s">
        <v>663</v>
      </c>
      <c r="D1198" s="432">
        <v>4500192252</v>
      </c>
      <c r="E1198" s="635">
        <v>5000002110</v>
      </c>
      <c r="F1198" s="432" t="s">
        <v>3034</v>
      </c>
      <c r="G1198" s="482" t="s">
        <v>3436</v>
      </c>
      <c r="H1198" s="482" t="s">
        <v>424</v>
      </c>
      <c r="I1198" s="645">
        <v>800</v>
      </c>
      <c r="J1198" s="482">
        <v>0</v>
      </c>
      <c r="K1198" s="482">
        <v>6</v>
      </c>
      <c r="L1198" s="639">
        <f t="shared" si="469"/>
        <v>133.333333333333</v>
      </c>
      <c r="M1198" s="640">
        <v>46119</v>
      </c>
      <c r="N1198" s="640">
        <f>M1198-4</f>
        <v>46115</v>
      </c>
      <c r="O1198" s="641"/>
      <c r="P1198" s="641"/>
      <c r="Q1198" s="482"/>
      <c r="R1198" s="647"/>
      <c r="S1198" s="647"/>
      <c r="T1198" s="647"/>
      <c r="U1198" s="647"/>
      <c r="V1198" s="508" t="s">
        <v>5977</v>
      </c>
      <c r="W1198" s="651" t="s">
        <v>1674</v>
      </c>
      <c r="X1198" s="648">
        <v>6.3788</v>
      </c>
      <c r="Y1198" s="651">
        <f t="shared" si="473"/>
        <v>5103.04</v>
      </c>
      <c r="Z1198" s="482"/>
      <c r="AA1198" s="652"/>
      <c r="AB1198" s="482"/>
      <c r="AC1198" s="482"/>
      <c r="AD1198" s="497"/>
      <c r="AE1198" s="497"/>
      <c r="AF1198" s="482"/>
      <c r="AG1198" s="482"/>
      <c r="AH1198" s="655"/>
      <c r="AI1198" s="482"/>
      <c r="AJ1198" s="482"/>
      <c r="AK1198" s="482"/>
      <c r="AL1198" s="656">
        <f>I1198*2</f>
        <v>1600</v>
      </c>
      <c r="AM1198" s="432"/>
      <c r="AN1198" s="658"/>
      <c r="AO1198" s="661"/>
      <c r="AP1198" s="658"/>
      <c r="AQ1198" s="432">
        <f>I1198</f>
        <v>800</v>
      </c>
      <c r="AR1198" s="432"/>
      <c r="AS1198" s="656"/>
      <c r="AT1198" s="660"/>
      <c r="AU1198" s="432">
        <f>I1198*2</f>
        <v>1600</v>
      </c>
      <c r="AV1198" s="658"/>
      <c r="AW1198" s="658"/>
      <c r="AX1198" s="664">
        <f>I1198/24*2</f>
        <v>66.6666666666667</v>
      </c>
      <c r="AY1198" s="581"/>
      <c r="AZ1198" s="662"/>
      <c r="BA1198" s="658"/>
      <c r="BB1198" s="658"/>
      <c r="BC1198" s="658"/>
      <c r="BD1198" s="658"/>
      <c r="BE1198" s="658"/>
      <c r="BF1198" s="658"/>
      <c r="BG1198" s="658"/>
      <c r="BH1198" s="658"/>
      <c r="BI1198" s="658"/>
      <c r="BJ1198" s="432"/>
      <c r="BK1198" s="658"/>
      <c r="BL1198" s="658"/>
      <c r="BM1198" s="658"/>
      <c r="BN1198" s="658"/>
      <c r="BO1198" s="658"/>
      <c r="BP1198" s="658"/>
      <c r="BQ1198" s="658"/>
      <c r="BR1198" s="658"/>
      <c r="BS1198" s="658"/>
      <c r="BT1198" s="660"/>
      <c r="BU1198" s="432">
        <f>I1198</f>
        <v>800</v>
      </c>
      <c r="BV1198" s="660"/>
      <c r="BW1198" s="658"/>
      <c r="BX1198" s="658"/>
      <c r="BY1198" s="658"/>
      <c r="BZ1198" s="658"/>
      <c r="CA1198" s="658"/>
      <c r="CB1198" s="658"/>
      <c r="CC1198" s="658"/>
      <c r="CD1198" s="658"/>
      <c r="CE1198" s="658"/>
      <c r="CF1198" s="432"/>
      <c r="CG1198" s="658"/>
      <c r="CH1198" s="658"/>
      <c r="CI1198" s="658"/>
      <c r="CJ1198" s="658"/>
      <c r="CK1198" s="432">
        <f t="shared" si="470"/>
        <v>0</v>
      </c>
      <c r="CL1198" s="432">
        <f t="shared" si="471"/>
        <v>0</v>
      </c>
      <c r="CM1198" s="432">
        <f t="shared" si="472"/>
        <v>0</v>
      </c>
      <c r="CN1198" s="694"/>
      <c r="CO1198" s="694"/>
      <c r="CP1198" s="694"/>
      <c r="CT1198" s="694"/>
      <c r="CU1198" s="694"/>
      <c r="CV1198" s="694"/>
      <c r="CW1198" s="694"/>
      <c r="CX1198" s="694"/>
    </row>
    <row r="1199" s="433" customFormat="1" ht="31" customHeight="1" spans="1:102">
      <c r="A1199" s="633">
        <v>46058</v>
      </c>
      <c r="B1199" s="497" t="s">
        <v>1669</v>
      </c>
      <c r="C1199" s="635" t="s">
        <v>663</v>
      </c>
      <c r="D1199" s="432">
        <v>4500192252</v>
      </c>
      <c r="E1199" s="635">
        <v>5000002110</v>
      </c>
      <c r="F1199" s="432" t="s">
        <v>6021</v>
      </c>
      <c r="G1199" s="482" t="s">
        <v>3206</v>
      </c>
      <c r="H1199" s="482" t="s">
        <v>4939</v>
      </c>
      <c r="I1199" s="645">
        <v>19994</v>
      </c>
      <c r="J1199" s="482">
        <v>0</v>
      </c>
      <c r="K1199" s="482">
        <v>13</v>
      </c>
      <c r="L1199" s="639">
        <f t="shared" si="469"/>
        <v>1538</v>
      </c>
      <c r="M1199" s="640">
        <v>46119</v>
      </c>
      <c r="N1199" s="640">
        <f>M1199-4</f>
        <v>46115</v>
      </c>
      <c r="O1199" s="641"/>
      <c r="P1199" s="641"/>
      <c r="Q1199" s="482"/>
      <c r="R1199" s="647" t="s">
        <v>5975</v>
      </c>
      <c r="S1199" s="647" t="s">
        <v>96</v>
      </c>
      <c r="T1199" s="647" t="s">
        <v>5818</v>
      </c>
      <c r="U1199" s="647"/>
      <c r="V1199" s="508" t="s">
        <v>5976</v>
      </c>
      <c r="W1199" s="650" t="s">
        <v>1674</v>
      </c>
      <c r="X1199" s="648">
        <v>0.8677</v>
      </c>
      <c r="Y1199" s="651">
        <f t="shared" si="473"/>
        <v>17348.7938</v>
      </c>
      <c r="Z1199" s="482"/>
      <c r="AA1199" s="652" t="s">
        <v>5467</v>
      </c>
      <c r="AB1199" s="482" t="s">
        <v>76</v>
      </c>
      <c r="AC1199" s="482"/>
      <c r="AD1199" s="497"/>
      <c r="AE1199" s="497"/>
      <c r="AF1199" s="482"/>
      <c r="AG1199" s="482"/>
      <c r="AH1199" s="655"/>
      <c r="AI1199" s="482"/>
      <c r="AJ1199" s="482"/>
      <c r="AK1199" s="482"/>
      <c r="AL1199" s="656">
        <f>I1199</f>
        <v>19994</v>
      </c>
      <c r="AM1199" s="432"/>
      <c r="AN1199" s="658"/>
      <c r="AO1199" s="661"/>
      <c r="AP1199" s="658"/>
      <c r="AQ1199" s="432"/>
      <c r="AR1199" s="432"/>
      <c r="AS1199" s="656"/>
      <c r="AT1199" s="660">
        <f>I1199</f>
        <v>19994</v>
      </c>
      <c r="AU1199" s="432">
        <f>I1199*2</f>
        <v>39988</v>
      </c>
      <c r="AV1199" s="658"/>
      <c r="AW1199" s="658"/>
      <c r="AX1199" s="664">
        <f>I1199/24*2</f>
        <v>1666.16666666667</v>
      </c>
      <c r="AY1199" s="581"/>
      <c r="AZ1199" s="662"/>
      <c r="BA1199" s="658"/>
      <c r="BB1199" s="658"/>
      <c r="BC1199" s="658"/>
      <c r="BD1199" s="658"/>
      <c r="BE1199" s="658"/>
      <c r="BF1199" s="658"/>
      <c r="BG1199" s="658"/>
      <c r="BH1199" s="658"/>
      <c r="BI1199" s="432">
        <f>I1199/13</f>
        <v>1538</v>
      </c>
      <c r="BJ1199" s="432"/>
      <c r="BK1199" s="658"/>
      <c r="BL1199" s="658"/>
      <c r="BM1199" s="658"/>
      <c r="BN1199" s="658"/>
      <c r="BO1199" s="658"/>
      <c r="BP1199" s="658"/>
      <c r="BQ1199" s="658"/>
      <c r="BR1199" s="658"/>
      <c r="BS1199" s="658"/>
      <c r="BT1199" s="660"/>
      <c r="BU1199" s="432"/>
      <c r="BV1199" s="660"/>
      <c r="BW1199" s="658"/>
      <c r="BX1199" s="658"/>
      <c r="BY1199" s="658"/>
      <c r="BZ1199" s="658"/>
      <c r="CA1199" s="658"/>
      <c r="CB1199" s="658"/>
      <c r="CC1199" s="658"/>
      <c r="CD1199" s="658"/>
      <c r="CE1199" s="658"/>
      <c r="CF1199" s="432"/>
      <c r="CG1199" s="658"/>
      <c r="CH1199" s="658"/>
      <c r="CI1199" s="658"/>
      <c r="CJ1199" s="658"/>
      <c r="CK1199" s="432">
        <f t="shared" si="470"/>
        <v>0</v>
      </c>
      <c r="CL1199" s="432">
        <f t="shared" si="471"/>
        <v>0</v>
      </c>
      <c r="CM1199" s="432">
        <f t="shared" si="472"/>
        <v>0</v>
      </c>
      <c r="CN1199" s="694"/>
      <c r="CO1199" s="694"/>
      <c r="CP1199" s="694"/>
      <c r="CT1199" s="694"/>
      <c r="CU1199" s="694"/>
      <c r="CV1199" s="694"/>
      <c r="CW1199" s="694"/>
      <c r="CX1199" s="694"/>
    </row>
    <row r="1200" s="436" customFormat="1" ht="31" customHeight="1" spans="1:102">
      <c r="A1200" s="703">
        <v>46077</v>
      </c>
      <c r="B1200" s="689" t="s">
        <v>5691</v>
      </c>
      <c r="C1200" s="705" t="s">
        <v>5692</v>
      </c>
      <c r="D1200" s="437">
        <v>4500194073</v>
      </c>
      <c r="E1200" s="705" t="s">
        <v>6022</v>
      </c>
      <c r="F1200" s="437" t="s">
        <v>6023</v>
      </c>
      <c r="G1200" s="706" t="s">
        <v>3206</v>
      </c>
      <c r="H1200" s="706" t="s">
        <v>4939</v>
      </c>
      <c r="I1200" s="711">
        <v>6006</v>
      </c>
      <c r="J1200" s="706">
        <v>0</v>
      </c>
      <c r="K1200" s="706">
        <v>13</v>
      </c>
      <c r="L1200" s="712">
        <f t="shared" si="469"/>
        <v>462</v>
      </c>
      <c r="M1200" s="713">
        <v>46119</v>
      </c>
      <c r="N1200" s="713">
        <f>M1200-4</f>
        <v>46115</v>
      </c>
      <c r="O1200" s="714"/>
      <c r="P1200" s="714"/>
      <c r="Q1200" s="706"/>
      <c r="R1200" s="718"/>
      <c r="S1200" s="718"/>
      <c r="T1200" s="718"/>
      <c r="U1200" s="718"/>
      <c r="V1200" s="649" t="s">
        <v>6024</v>
      </c>
      <c r="W1200" s="719" t="s">
        <v>1663</v>
      </c>
      <c r="X1200" s="720">
        <v>0.9064</v>
      </c>
      <c r="Y1200" s="723">
        <f t="shared" si="473"/>
        <v>5443.8384</v>
      </c>
      <c r="Z1200" s="706"/>
      <c r="AA1200" s="724"/>
      <c r="AB1200" s="706"/>
      <c r="AC1200" s="706"/>
      <c r="AD1200" s="689"/>
      <c r="AE1200" s="689"/>
      <c r="AF1200" s="706"/>
      <c r="AG1200" s="706"/>
      <c r="AH1200" s="728"/>
      <c r="AI1200" s="706"/>
      <c r="AJ1200" s="706"/>
      <c r="AK1200" s="706"/>
      <c r="AL1200" s="729">
        <f>I1200</f>
        <v>6006</v>
      </c>
      <c r="AM1200" s="437"/>
      <c r="AN1200" s="730"/>
      <c r="AO1200" s="735"/>
      <c r="AP1200" s="730"/>
      <c r="AQ1200" s="437"/>
      <c r="AR1200" s="437"/>
      <c r="AS1200" s="729"/>
      <c r="AT1200" s="734"/>
      <c r="AU1200" s="437"/>
      <c r="AV1200" s="730"/>
      <c r="AW1200" s="730"/>
      <c r="AX1200" s="740"/>
      <c r="AY1200" s="738"/>
      <c r="AZ1200" s="739"/>
      <c r="BA1200" s="730"/>
      <c r="BB1200" s="730"/>
      <c r="BC1200" s="730"/>
      <c r="BD1200" s="730"/>
      <c r="BE1200" s="730"/>
      <c r="BF1200" s="730"/>
      <c r="BG1200" s="730"/>
      <c r="BH1200" s="730"/>
      <c r="BI1200" s="437"/>
      <c r="BJ1200" s="437"/>
      <c r="BK1200" s="730"/>
      <c r="BL1200" s="730"/>
      <c r="BM1200" s="730"/>
      <c r="BN1200" s="730"/>
      <c r="BO1200" s="730"/>
      <c r="BP1200" s="730"/>
      <c r="BQ1200" s="730"/>
      <c r="BR1200" s="730"/>
      <c r="BS1200" s="730"/>
      <c r="BT1200" s="734"/>
      <c r="BU1200" s="437"/>
      <c r="BV1200" s="734"/>
      <c r="BW1200" s="730"/>
      <c r="BX1200" s="730"/>
      <c r="BY1200" s="730"/>
      <c r="BZ1200" s="730"/>
      <c r="CA1200" s="730"/>
      <c r="CB1200" s="730"/>
      <c r="CC1200" s="730"/>
      <c r="CD1200" s="730"/>
      <c r="CE1200" s="730"/>
      <c r="CF1200" s="437"/>
      <c r="CG1200" s="730"/>
      <c r="CH1200" s="730"/>
      <c r="CI1200" s="730"/>
      <c r="CJ1200" s="730"/>
      <c r="CK1200" s="437"/>
      <c r="CL1200" s="437"/>
      <c r="CM1200" s="437"/>
      <c r="CN1200" s="734"/>
      <c r="CO1200" s="734"/>
      <c r="CP1200" s="734"/>
      <c r="CT1200" s="734"/>
      <c r="CU1200" s="734"/>
      <c r="CV1200" s="734"/>
      <c r="CW1200" s="734"/>
      <c r="CX1200" s="734"/>
    </row>
    <row r="1201" s="424" customFormat="1" ht="31" customHeight="1" spans="1:102">
      <c r="A1201" s="633">
        <v>46031</v>
      </c>
      <c r="B1201" s="497" t="s">
        <v>1545</v>
      </c>
      <c r="C1201" s="634" t="s">
        <v>90</v>
      </c>
      <c r="D1201" s="432">
        <v>4500191041</v>
      </c>
      <c r="E1201" s="635">
        <v>2105688</v>
      </c>
      <c r="F1201" s="432" t="s">
        <v>6025</v>
      </c>
      <c r="G1201" s="482" t="s">
        <v>4564</v>
      </c>
      <c r="H1201" s="482" t="s">
        <v>3237</v>
      </c>
      <c r="I1201" s="482">
        <v>1500</v>
      </c>
      <c r="J1201" s="482">
        <v>0</v>
      </c>
      <c r="K1201" s="482">
        <v>12</v>
      </c>
      <c r="L1201" s="639">
        <f t="shared" si="469"/>
        <v>125</v>
      </c>
      <c r="M1201" s="640">
        <v>46120</v>
      </c>
      <c r="N1201" s="640">
        <v>46116</v>
      </c>
      <c r="O1201" s="641"/>
      <c r="P1201" s="641"/>
      <c r="Q1201" s="482"/>
      <c r="R1201" s="647">
        <v>46031</v>
      </c>
      <c r="S1201" s="647" t="s">
        <v>66</v>
      </c>
      <c r="T1201" s="647" t="s">
        <v>6026</v>
      </c>
      <c r="U1201" s="647"/>
      <c r="V1201" s="508" t="s">
        <v>6027</v>
      </c>
      <c r="W1201" s="650" t="s">
        <v>794</v>
      </c>
      <c r="X1201" s="508">
        <v>1.3269</v>
      </c>
      <c r="Y1201" s="651">
        <f t="shared" si="473"/>
        <v>1990.35</v>
      </c>
      <c r="Z1201" s="482"/>
      <c r="AA1201" s="482" t="s">
        <v>3236</v>
      </c>
      <c r="AB1201" s="482" t="s">
        <v>76</v>
      </c>
      <c r="AC1201" s="482"/>
      <c r="AD1201" s="497"/>
      <c r="AE1201" s="497"/>
      <c r="AF1201" s="482"/>
      <c r="AG1201" s="482">
        <f>AF1201-I1201</f>
        <v>-1500</v>
      </c>
      <c r="AH1201" s="655"/>
      <c r="AI1201" s="482" t="s">
        <v>403</v>
      </c>
      <c r="AJ1201" s="482"/>
      <c r="AK1201" s="482">
        <f>I1201*2</f>
        <v>3000</v>
      </c>
      <c r="AL1201" s="656"/>
      <c r="AM1201" s="657"/>
      <c r="AN1201" s="432">
        <f>I1201*2</f>
        <v>3000</v>
      </c>
      <c r="AO1201" s="659"/>
      <c r="AP1201" s="657"/>
      <c r="AQ1201" s="657"/>
      <c r="AR1201" s="656">
        <f>I1201*2</f>
        <v>3000</v>
      </c>
      <c r="AS1201" s="656"/>
      <c r="AT1201" s="660"/>
      <c r="AU1201" s="657"/>
      <c r="AV1201" s="657"/>
      <c r="AW1201" s="657"/>
      <c r="AX1201" s="657"/>
      <c r="AY1201" s="581">
        <f>I1201/24*2</f>
        <v>125</v>
      </c>
      <c r="AZ1201" s="662"/>
      <c r="BA1201" s="657"/>
      <c r="BB1201" s="657"/>
      <c r="BC1201" s="657"/>
      <c r="BD1201" s="657"/>
      <c r="BE1201" s="657"/>
      <c r="BF1201" s="657"/>
      <c r="BG1201" s="657"/>
      <c r="BH1201" s="657"/>
      <c r="BI1201" s="657"/>
      <c r="BJ1201" s="657"/>
      <c r="BK1201" s="657"/>
      <c r="BL1201" s="657"/>
      <c r="BM1201" s="657"/>
      <c r="BN1201" s="657"/>
      <c r="BO1201" s="657"/>
      <c r="BP1201" s="657"/>
      <c r="BQ1201" s="657"/>
      <c r="BR1201" s="657"/>
      <c r="BS1201" s="657"/>
      <c r="BT1201" s="660"/>
      <c r="BU1201" s="657"/>
      <c r="BV1201" s="660"/>
      <c r="BW1201" s="657"/>
      <c r="BX1201" s="657"/>
      <c r="BY1201" s="657"/>
      <c r="BZ1201" s="657"/>
      <c r="CA1201" s="657"/>
      <c r="CB1201" s="657"/>
      <c r="CC1201" s="657"/>
      <c r="CD1201" s="657"/>
      <c r="CE1201" s="657"/>
      <c r="CF1201" s="657"/>
      <c r="CG1201" s="657"/>
      <c r="CH1201" s="432">
        <f>I1201</f>
        <v>1500</v>
      </c>
      <c r="CI1201" s="432">
        <f>I1201</f>
        <v>1500</v>
      </c>
      <c r="CJ1201" s="432">
        <f>I1201</f>
        <v>1500</v>
      </c>
      <c r="CK1201" s="432">
        <v>0</v>
      </c>
      <c r="CL1201" s="432">
        <v>0</v>
      </c>
      <c r="CM1201" s="432">
        <v>0</v>
      </c>
      <c r="CN1201" s="660"/>
      <c r="CO1201" s="660"/>
      <c r="CP1201" s="660"/>
      <c r="CT1201" s="660"/>
      <c r="CU1201" s="660"/>
      <c r="CV1201" s="660"/>
      <c r="CW1201" s="660"/>
      <c r="CX1201" s="660"/>
    </row>
    <row r="1202" s="424" customFormat="1" ht="31" customHeight="1" spans="1:102">
      <c r="A1202" s="633">
        <v>46031</v>
      </c>
      <c r="B1202" s="497" t="s">
        <v>1545</v>
      </c>
      <c r="C1202" s="634" t="s">
        <v>90</v>
      </c>
      <c r="D1202" s="432">
        <v>4500191041</v>
      </c>
      <c r="E1202" s="635">
        <v>2105690</v>
      </c>
      <c r="F1202" s="432" t="s">
        <v>6028</v>
      </c>
      <c r="G1202" s="482" t="s">
        <v>4564</v>
      </c>
      <c r="H1202" s="482" t="s">
        <v>3237</v>
      </c>
      <c r="I1202" s="482">
        <v>504</v>
      </c>
      <c r="J1202" s="482">
        <v>0</v>
      </c>
      <c r="K1202" s="482">
        <v>12</v>
      </c>
      <c r="L1202" s="639">
        <f t="shared" si="469"/>
        <v>42</v>
      </c>
      <c r="M1202" s="640">
        <v>46120</v>
      </c>
      <c r="N1202" s="640">
        <v>46116</v>
      </c>
      <c r="O1202" s="641"/>
      <c r="P1202" s="641"/>
      <c r="Q1202" s="482"/>
      <c r="R1202" s="647">
        <v>46031</v>
      </c>
      <c r="S1202" s="647" t="s">
        <v>66</v>
      </c>
      <c r="T1202" s="647" t="s">
        <v>6026</v>
      </c>
      <c r="U1202" s="647"/>
      <c r="V1202" s="508" t="s">
        <v>6027</v>
      </c>
      <c r="W1202" s="650" t="s">
        <v>794</v>
      </c>
      <c r="X1202" s="508">
        <v>1.3269</v>
      </c>
      <c r="Y1202" s="651">
        <f t="shared" si="473"/>
        <v>668.7576</v>
      </c>
      <c r="Z1202" s="482"/>
      <c r="AA1202" s="482" t="s">
        <v>3236</v>
      </c>
      <c r="AB1202" s="482" t="s">
        <v>76</v>
      </c>
      <c r="AC1202" s="482"/>
      <c r="AD1202" s="497"/>
      <c r="AE1202" s="497"/>
      <c r="AF1202" s="482"/>
      <c r="AG1202" s="482">
        <f>AF1202-I1202</f>
        <v>-504</v>
      </c>
      <c r="AH1202" s="655"/>
      <c r="AI1202" s="482" t="s">
        <v>403</v>
      </c>
      <c r="AJ1202" s="482"/>
      <c r="AK1202" s="482">
        <f>I1202*2</f>
        <v>1008</v>
      </c>
      <c r="AL1202" s="656"/>
      <c r="AM1202" s="657"/>
      <c r="AN1202" s="432">
        <f>I1202*2</f>
        <v>1008</v>
      </c>
      <c r="AO1202" s="659"/>
      <c r="AP1202" s="657"/>
      <c r="AQ1202" s="657"/>
      <c r="AR1202" s="656">
        <f>I1202*2</f>
        <v>1008</v>
      </c>
      <c r="AS1202" s="656"/>
      <c r="AT1202" s="660"/>
      <c r="AU1202" s="657"/>
      <c r="AV1202" s="657"/>
      <c r="AW1202" s="657"/>
      <c r="AX1202" s="657"/>
      <c r="AY1202" s="581">
        <f>I1202/24*2</f>
        <v>42</v>
      </c>
      <c r="AZ1202" s="662"/>
      <c r="BA1202" s="657"/>
      <c r="BB1202" s="657"/>
      <c r="BC1202" s="657"/>
      <c r="BD1202" s="657"/>
      <c r="BE1202" s="657"/>
      <c r="BF1202" s="657"/>
      <c r="BG1202" s="657"/>
      <c r="BH1202" s="657"/>
      <c r="BI1202" s="657"/>
      <c r="BJ1202" s="657"/>
      <c r="BK1202" s="657"/>
      <c r="BL1202" s="657"/>
      <c r="BM1202" s="657"/>
      <c r="BN1202" s="657"/>
      <c r="BO1202" s="657"/>
      <c r="BP1202" s="657"/>
      <c r="BQ1202" s="657"/>
      <c r="BR1202" s="657"/>
      <c r="BS1202" s="657"/>
      <c r="BT1202" s="660"/>
      <c r="BU1202" s="657"/>
      <c r="BV1202" s="660"/>
      <c r="BW1202" s="657"/>
      <c r="BX1202" s="657"/>
      <c r="BY1202" s="657"/>
      <c r="BZ1202" s="657"/>
      <c r="CA1202" s="657"/>
      <c r="CB1202" s="657"/>
      <c r="CC1202" s="657"/>
      <c r="CD1202" s="657"/>
      <c r="CE1202" s="657"/>
      <c r="CF1202" s="657"/>
      <c r="CG1202" s="657"/>
      <c r="CH1202" s="432">
        <f>I1202</f>
        <v>504</v>
      </c>
      <c r="CI1202" s="432">
        <f>I1202</f>
        <v>504</v>
      </c>
      <c r="CJ1202" s="432">
        <f>I1202</f>
        <v>504</v>
      </c>
      <c r="CK1202" s="432">
        <v>0</v>
      </c>
      <c r="CL1202" s="432">
        <v>0</v>
      </c>
      <c r="CM1202" s="432">
        <v>0</v>
      </c>
      <c r="CN1202" s="660"/>
      <c r="CO1202" s="660"/>
      <c r="CP1202" s="660"/>
      <c r="CT1202" s="660"/>
      <c r="CU1202" s="660"/>
      <c r="CV1202" s="660"/>
      <c r="CW1202" s="660"/>
      <c r="CX1202" s="660"/>
    </row>
    <row r="1203" s="436" customFormat="1" ht="31" customHeight="1" spans="1:102">
      <c r="A1203" s="703">
        <v>46059</v>
      </c>
      <c r="B1203" s="689" t="s">
        <v>220</v>
      </c>
      <c r="C1203" s="704" t="s">
        <v>90</v>
      </c>
      <c r="D1203" s="437">
        <v>4500193353</v>
      </c>
      <c r="E1203" s="705" t="s">
        <v>6029</v>
      </c>
      <c r="F1203" s="437" t="s">
        <v>6030</v>
      </c>
      <c r="G1203" s="706" t="s">
        <v>3198</v>
      </c>
      <c r="H1203" s="706" t="s">
        <v>3303</v>
      </c>
      <c r="I1203" s="711">
        <v>50000</v>
      </c>
      <c r="J1203" s="706">
        <v>0</v>
      </c>
      <c r="K1203" s="706">
        <v>25</v>
      </c>
      <c r="L1203" s="712">
        <f t="shared" si="469"/>
        <v>2000</v>
      </c>
      <c r="M1203" s="713">
        <v>46120</v>
      </c>
      <c r="N1203" s="713">
        <v>46116</v>
      </c>
      <c r="O1203" s="714"/>
      <c r="P1203" s="714"/>
      <c r="Q1203" s="706"/>
      <c r="R1203" s="718"/>
      <c r="S1203" s="718"/>
      <c r="T1203" s="718"/>
      <c r="U1203" s="718"/>
      <c r="V1203" s="649" t="s">
        <v>6031</v>
      </c>
      <c r="W1203" s="719" t="s">
        <v>226</v>
      </c>
      <c r="X1203" s="649">
        <v>0.5455</v>
      </c>
      <c r="Y1203" s="723">
        <f t="shared" si="473"/>
        <v>27275</v>
      </c>
      <c r="Z1203" s="706"/>
      <c r="AA1203" s="706"/>
      <c r="AB1203" s="706"/>
      <c r="AC1203" s="706"/>
      <c r="AD1203" s="689"/>
      <c r="AE1203" s="689"/>
      <c r="AF1203" s="706"/>
      <c r="AG1203" s="706"/>
      <c r="AH1203" s="728"/>
      <c r="AI1203" s="706"/>
      <c r="AJ1203" s="706"/>
      <c r="AK1203" s="482">
        <f>I1203</f>
        <v>50000</v>
      </c>
      <c r="AL1203" s="729"/>
      <c r="AM1203" s="437"/>
      <c r="AN1203" s="437"/>
      <c r="AO1203" s="734"/>
      <c r="AP1203" s="437"/>
      <c r="AQ1203" s="437"/>
      <c r="AR1203" s="437"/>
      <c r="AS1203" s="437"/>
      <c r="AT1203" s="734"/>
      <c r="AU1203" s="437"/>
      <c r="AV1203" s="437"/>
      <c r="AW1203" s="437"/>
      <c r="AX1203" s="437"/>
      <c r="AY1203" s="738"/>
      <c r="AZ1203" s="739"/>
      <c r="BA1203" s="437"/>
      <c r="BB1203" s="437"/>
      <c r="BC1203" s="437"/>
      <c r="BD1203" s="437"/>
      <c r="BE1203" s="437"/>
      <c r="BF1203" s="437"/>
      <c r="BG1203" s="437"/>
      <c r="BH1203" s="437"/>
      <c r="BI1203" s="437"/>
      <c r="BJ1203" s="437"/>
      <c r="BK1203" s="437"/>
      <c r="BL1203" s="437"/>
      <c r="BM1203" s="437"/>
      <c r="BN1203" s="437"/>
      <c r="BO1203" s="437"/>
      <c r="BP1203" s="437"/>
      <c r="BQ1203" s="437"/>
      <c r="BR1203" s="437"/>
      <c r="BS1203" s="437"/>
      <c r="BT1203" s="734"/>
      <c r="BU1203" s="437"/>
      <c r="BV1203" s="734"/>
      <c r="BW1203" s="437"/>
      <c r="BX1203" s="437"/>
      <c r="BY1203" s="437"/>
      <c r="BZ1203" s="437"/>
      <c r="CA1203" s="437"/>
      <c r="CB1203" s="437"/>
      <c r="CC1203" s="437"/>
      <c r="CD1203" s="437"/>
      <c r="CE1203" s="437"/>
      <c r="CF1203" s="437"/>
      <c r="CG1203" s="437"/>
      <c r="CH1203" s="437"/>
      <c r="CI1203" s="437"/>
      <c r="CJ1203" s="437"/>
      <c r="CK1203" s="437"/>
      <c r="CL1203" s="437"/>
      <c r="CM1203" s="437"/>
      <c r="CN1203" s="743"/>
      <c r="CO1203" s="743"/>
      <c r="CP1203" s="743"/>
      <c r="CQ1203" s="744"/>
      <c r="CR1203" s="744"/>
      <c r="CS1203" s="744"/>
      <c r="CT1203" s="743"/>
      <c r="CU1203" s="743"/>
      <c r="CV1203" s="743"/>
      <c r="CW1203" s="743"/>
      <c r="CX1203" s="743"/>
    </row>
    <row r="1204" s="432" customFormat="1" ht="31" customHeight="1" spans="1:102">
      <c r="A1204" s="633">
        <v>45978</v>
      </c>
      <c r="B1204" s="497" t="s">
        <v>1372</v>
      </c>
      <c r="C1204" s="634" t="s">
        <v>90</v>
      </c>
      <c r="D1204" s="432">
        <v>4500185960</v>
      </c>
      <c r="E1204" s="894" t="s">
        <v>3046</v>
      </c>
      <c r="F1204" s="432" t="s">
        <v>3047</v>
      </c>
      <c r="G1204" s="482" t="s">
        <v>5575</v>
      </c>
      <c r="H1204" s="482" t="s">
        <v>744</v>
      </c>
      <c r="I1204" s="482">
        <v>5400</v>
      </c>
      <c r="J1204" s="482">
        <v>0</v>
      </c>
      <c r="K1204" s="482">
        <v>75</v>
      </c>
      <c r="L1204" s="639">
        <f t="shared" si="469"/>
        <v>72</v>
      </c>
      <c r="M1204" s="644">
        <v>46121</v>
      </c>
      <c r="N1204" s="644">
        <v>46118</v>
      </c>
      <c r="O1204" s="641"/>
      <c r="P1204" s="641"/>
      <c r="Q1204" s="482"/>
      <c r="R1204" s="647" t="s">
        <v>2432</v>
      </c>
      <c r="S1204" s="647" t="s">
        <v>66</v>
      </c>
      <c r="T1204" s="647" t="s">
        <v>66</v>
      </c>
      <c r="U1204" s="647"/>
      <c r="V1204" s="508" t="s">
        <v>2565</v>
      </c>
      <c r="W1204" s="650" t="s">
        <v>821</v>
      </c>
      <c r="X1204" s="508">
        <v>359.3436</v>
      </c>
      <c r="Y1204" s="651">
        <f>X1204*L1204</f>
        <v>25872.7392</v>
      </c>
      <c r="Z1204" s="482"/>
      <c r="AA1204" s="497" t="s">
        <v>1378</v>
      </c>
      <c r="AB1204" s="482" t="s">
        <v>76</v>
      </c>
      <c r="AC1204" s="482"/>
      <c r="AD1204" s="497"/>
      <c r="AE1204" s="497"/>
      <c r="AF1204" s="482"/>
      <c r="AG1204" s="482">
        <f>AF1204-I1204</f>
        <v>-5400</v>
      </c>
      <c r="AH1204" s="655"/>
      <c r="AI1204" s="482"/>
      <c r="AJ1204" s="482"/>
      <c r="AK1204" s="549">
        <f>I1204*3</f>
        <v>16200</v>
      </c>
      <c r="AL1204" s="656"/>
      <c r="AR1204" s="656"/>
      <c r="AS1204" s="656"/>
      <c r="AT1204" s="660"/>
      <c r="AY1204" s="581">
        <f>I1204/24*3</f>
        <v>675</v>
      </c>
      <c r="AZ1204" s="662"/>
      <c r="BC1204" s="432">
        <f>AK1204</f>
        <v>16200</v>
      </c>
      <c r="BD1204" s="432">
        <f>AK1204</f>
        <v>16200</v>
      </c>
      <c r="BE1204" s="432">
        <f>I1204</f>
        <v>5400</v>
      </c>
      <c r="BF1204" s="432">
        <f>I1204/5</f>
        <v>1080</v>
      </c>
      <c r="BT1204" s="660"/>
      <c r="BV1204" s="660"/>
      <c r="CK1204" s="428">
        <f>BM1204+BL1204+BK1204+BJ1204+BS1204</f>
        <v>0</v>
      </c>
      <c r="CL1204" s="428">
        <f>CA1204+CB1204+CC1204+CD1204+CE1204+CG1204+CF1204</f>
        <v>0</v>
      </c>
      <c r="CM1204" s="428">
        <f>BY1204+BZ1204</f>
        <v>0</v>
      </c>
      <c r="CN1204" s="660"/>
      <c r="CO1204" s="660"/>
      <c r="CP1204" s="660"/>
      <c r="CT1204" s="660"/>
      <c r="CU1204" s="660"/>
      <c r="CV1204" s="660"/>
      <c r="CW1204" s="660"/>
      <c r="CX1204" s="660"/>
    </row>
    <row r="1205" s="437" customFormat="1" ht="31" customHeight="1" spans="1:102">
      <c r="A1205" s="703">
        <v>46059</v>
      </c>
      <c r="B1205" s="689" t="s">
        <v>2553</v>
      </c>
      <c r="C1205" s="704" t="s">
        <v>90</v>
      </c>
      <c r="D1205" s="437">
        <v>4500193286</v>
      </c>
      <c r="E1205" s="705">
        <v>70084811</v>
      </c>
      <c r="F1205" s="437" t="s">
        <v>6032</v>
      </c>
      <c r="G1205" s="706" t="s">
        <v>4564</v>
      </c>
      <c r="H1205" s="706" t="s">
        <v>3237</v>
      </c>
      <c r="I1205" s="706">
        <v>804</v>
      </c>
      <c r="J1205" s="706">
        <v>0</v>
      </c>
      <c r="K1205" s="706">
        <v>12</v>
      </c>
      <c r="L1205" s="712">
        <f t="shared" si="469"/>
        <v>67</v>
      </c>
      <c r="M1205" s="713">
        <v>46121</v>
      </c>
      <c r="N1205" s="713">
        <v>46118</v>
      </c>
      <c r="O1205" s="714"/>
      <c r="P1205" s="714"/>
      <c r="Q1205" s="706"/>
      <c r="R1205" s="718"/>
      <c r="S1205" s="718"/>
      <c r="T1205" s="718"/>
      <c r="U1205" s="718"/>
      <c r="V1205" s="649" t="s">
        <v>6033</v>
      </c>
      <c r="W1205" s="719" t="s">
        <v>2556</v>
      </c>
      <c r="X1205" s="649">
        <v>1.3094</v>
      </c>
      <c r="Y1205" s="723">
        <f>X1205*I1205</f>
        <v>1052.7576</v>
      </c>
      <c r="Z1205" s="706"/>
      <c r="AA1205" s="706"/>
      <c r="AB1205" s="706"/>
      <c r="AC1205" s="706"/>
      <c r="AD1205" s="689"/>
      <c r="AE1205" s="689"/>
      <c r="AF1205" s="706"/>
      <c r="AG1205" s="706"/>
      <c r="AH1205" s="728"/>
      <c r="AI1205" s="706"/>
      <c r="AJ1205" s="706"/>
      <c r="AK1205" s="706">
        <f>I1205*2</f>
        <v>1608</v>
      </c>
      <c r="AL1205" s="729"/>
      <c r="AR1205" s="729"/>
      <c r="AS1205" s="729"/>
      <c r="AT1205" s="734"/>
      <c r="AY1205" s="738"/>
      <c r="AZ1205" s="739"/>
      <c r="BT1205" s="734"/>
      <c r="BV1205" s="734"/>
      <c r="CN1205" s="734"/>
      <c r="CO1205" s="734"/>
      <c r="CP1205" s="734"/>
      <c r="CT1205" s="734"/>
      <c r="CU1205" s="734"/>
      <c r="CV1205" s="734"/>
      <c r="CW1205" s="734"/>
      <c r="CX1205" s="734"/>
    </row>
    <row r="1206" s="436" customFormat="1" ht="31" customHeight="1" spans="1:102">
      <c r="A1206" s="703">
        <v>46063</v>
      </c>
      <c r="B1206" s="689" t="s">
        <v>1822</v>
      </c>
      <c r="C1206" s="704" t="s">
        <v>726</v>
      </c>
      <c r="D1206" s="437">
        <v>4500192550</v>
      </c>
      <c r="E1206" s="705" t="s">
        <v>2987</v>
      </c>
      <c r="F1206" s="437" t="s">
        <v>6034</v>
      </c>
      <c r="G1206" s="706" t="s">
        <v>3161</v>
      </c>
      <c r="H1206" s="706" t="s">
        <v>3221</v>
      </c>
      <c r="I1206" s="711">
        <v>2500</v>
      </c>
      <c r="J1206" s="706">
        <v>0</v>
      </c>
      <c r="K1206" s="706">
        <v>50</v>
      </c>
      <c r="L1206" s="712">
        <f t="shared" si="469"/>
        <v>50</v>
      </c>
      <c r="M1206" s="713">
        <v>46121</v>
      </c>
      <c r="N1206" s="713">
        <v>46118</v>
      </c>
      <c r="O1206" s="714"/>
      <c r="P1206" s="714"/>
      <c r="Q1206" s="706"/>
      <c r="R1206" s="718"/>
      <c r="S1206" s="718"/>
      <c r="T1206" s="718"/>
      <c r="U1206" s="718"/>
      <c r="V1206" s="649" t="s">
        <v>6035</v>
      </c>
      <c r="W1206" s="719" t="s">
        <v>207</v>
      </c>
      <c r="X1206" s="649">
        <v>0.9719</v>
      </c>
      <c r="Y1206" s="723">
        <f>X1206*I1206</f>
        <v>2429.75</v>
      </c>
      <c r="Z1206" s="706"/>
      <c r="AA1206" s="706"/>
      <c r="AB1206" s="706"/>
      <c r="AC1206" s="706"/>
      <c r="AD1206" s="689"/>
      <c r="AE1206" s="689"/>
      <c r="AF1206" s="706"/>
      <c r="AG1206" s="706"/>
      <c r="AH1206" s="728"/>
      <c r="AI1206" s="706"/>
      <c r="AJ1206" s="706"/>
      <c r="AK1206" s="706"/>
      <c r="AL1206" s="729">
        <f>I1206</f>
        <v>2500</v>
      </c>
      <c r="AO1206" s="736"/>
      <c r="AR1206" s="729"/>
      <c r="AS1206" s="729"/>
      <c r="AT1206" s="734"/>
      <c r="AY1206" s="738"/>
      <c r="AZ1206" s="739"/>
      <c r="BK1206" s="741"/>
      <c r="BT1206" s="734"/>
      <c r="BV1206" s="734"/>
      <c r="CN1206" s="734"/>
      <c r="CO1206" s="734"/>
      <c r="CP1206" s="734"/>
      <c r="CT1206" s="734"/>
      <c r="CU1206" s="734"/>
      <c r="CV1206" s="734"/>
      <c r="CW1206" s="734"/>
      <c r="CX1206" s="734"/>
    </row>
    <row r="1207" s="432" customFormat="1" ht="31" customHeight="1" spans="1:102">
      <c r="A1207" s="633">
        <v>45978</v>
      </c>
      <c r="B1207" s="497" t="s">
        <v>1372</v>
      </c>
      <c r="C1207" s="634" t="s">
        <v>90</v>
      </c>
      <c r="D1207" s="432">
        <v>4500185961</v>
      </c>
      <c r="E1207" s="894" t="s">
        <v>3048</v>
      </c>
      <c r="F1207" s="432" t="s">
        <v>3049</v>
      </c>
      <c r="G1207" s="482" t="s">
        <v>5575</v>
      </c>
      <c r="H1207" s="482" t="s">
        <v>744</v>
      </c>
      <c r="I1207" s="482">
        <v>5400</v>
      </c>
      <c r="J1207" s="482">
        <v>0</v>
      </c>
      <c r="K1207" s="482">
        <v>75</v>
      </c>
      <c r="L1207" s="639">
        <f t="shared" ref="L1207:L1214" si="474">I1207/K1207</f>
        <v>72</v>
      </c>
      <c r="M1207" s="644">
        <v>46122</v>
      </c>
      <c r="N1207" s="644">
        <v>46118</v>
      </c>
      <c r="O1207" s="641"/>
      <c r="P1207" s="641"/>
      <c r="Q1207" s="482"/>
      <c r="R1207" s="647" t="s">
        <v>2432</v>
      </c>
      <c r="S1207" s="647" t="s">
        <v>66</v>
      </c>
      <c r="T1207" s="647" t="s">
        <v>66</v>
      </c>
      <c r="U1207" s="647"/>
      <c r="V1207" s="508" t="s">
        <v>2565</v>
      </c>
      <c r="W1207" s="650" t="s">
        <v>821</v>
      </c>
      <c r="X1207" s="508">
        <v>359.3436</v>
      </c>
      <c r="Y1207" s="651">
        <f>X1207*L1207</f>
        <v>25872.7392</v>
      </c>
      <c r="Z1207" s="482"/>
      <c r="AA1207" s="497" t="s">
        <v>1378</v>
      </c>
      <c r="AB1207" s="482" t="s">
        <v>76</v>
      </c>
      <c r="AC1207" s="482"/>
      <c r="AD1207" s="497"/>
      <c r="AE1207" s="497"/>
      <c r="AF1207" s="482"/>
      <c r="AG1207" s="482">
        <f>AF1207-I1207</f>
        <v>-5400</v>
      </c>
      <c r="AH1207" s="655"/>
      <c r="AI1207" s="482"/>
      <c r="AJ1207" s="482"/>
      <c r="AK1207" s="549">
        <f>I1207*3</f>
        <v>16200</v>
      </c>
      <c r="AL1207" s="656"/>
      <c r="AR1207" s="656"/>
      <c r="AS1207" s="656"/>
      <c r="AT1207" s="660"/>
      <c r="AY1207" s="581">
        <f>I1207/24*3</f>
        <v>675</v>
      </c>
      <c r="AZ1207" s="662"/>
      <c r="BC1207" s="432">
        <f>AK1207</f>
        <v>16200</v>
      </c>
      <c r="BD1207" s="432">
        <f>AK1207</f>
        <v>16200</v>
      </c>
      <c r="BE1207" s="432">
        <f>I1207</f>
        <v>5400</v>
      </c>
      <c r="BF1207" s="432">
        <f>I1207/5</f>
        <v>1080</v>
      </c>
      <c r="BT1207" s="660"/>
      <c r="BV1207" s="660"/>
      <c r="CK1207" s="428">
        <f t="shared" ref="CK1207:CK1217" si="475">BM1207+BL1207+BK1207+BJ1207+BS1207</f>
        <v>0</v>
      </c>
      <c r="CL1207" s="428">
        <f t="shared" ref="CL1207:CL1217" si="476">CA1207+CB1207+CC1207+CD1207+CE1207+CG1207+CF1207</f>
        <v>0</v>
      </c>
      <c r="CM1207" s="428">
        <f t="shared" ref="CM1207:CM1217" si="477">BY1207+BZ1207</f>
        <v>0</v>
      </c>
      <c r="CN1207" s="660"/>
      <c r="CO1207" s="660"/>
      <c r="CP1207" s="660"/>
      <c r="CT1207" s="660"/>
      <c r="CU1207" s="660"/>
      <c r="CV1207" s="660"/>
      <c r="CW1207" s="660"/>
      <c r="CX1207" s="660"/>
    </row>
    <row r="1208" s="432" customFormat="1" ht="31" customHeight="1" spans="1:102">
      <c r="A1208" s="633">
        <v>45978</v>
      </c>
      <c r="B1208" s="497" t="s">
        <v>1372</v>
      </c>
      <c r="C1208" s="634" t="s">
        <v>90</v>
      </c>
      <c r="D1208" s="432">
        <v>4500185964</v>
      </c>
      <c r="E1208" s="894" t="s">
        <v>3050</v>
      </c>
      <c r="F1208" s="432" t="s">
        <v>3051</v>
      </c>
      <c r="G1208" s="482" t="s">
        <v>5575</v>
      </c>
      <c r="H1208" s="482" t="s">
        <v>744</v>
      </c>
      <c r="I1208" s="482">
        <v>5400</v>
      </c>
      <c r="J1208" s="482">
        <v>0</v>
      </c>
      <c r="K1208" s="482">
        <v>75</v>
      </c>
      <c r="L1208" s="639">
        <f t="shared" si="474"/>
        <v>72</v>
      </c>
      <c r="M1208" s="644">
        <v>46122</v>
      </c>
      <c r="N1208" s="644">
        <v>46118</v>
      </c>
      <c r="O1208" s="641"/>
      <c r="P1208" s="641"/>
      <c r="Q1208" s="482"/>
      <c r="R1208" s="647" t="s">
        <v>2432</v>
      </c>
      <c r="S1208" s="647" t="s">
        <v>66</v>
      </c>
      <c r="T1208" s="647" t="s">
        <v>66</v>
      </c>
      <c r="U1208" s="647"/>
      <c r="V1208" s="508" t="s">
        <v>2565</v>
      </c>
      <c r="W1208" s="650" t="s">
        <v>821</v>
      </c>
      <c r="X1208" s="508">
        <v>359.3436</v>
      </c>
      <c r="Y1208" s="651">
        <f>X1208*L1208</f>
        <v>25872.7392</v>
      </c>
      <c r="Z1208" s="482"/>
      <c r="AA1208" s="497" t="s">
        <v>1378</v>
      </c>
      <c r="AB1208" s="482" t="s">
        <v>76</v>
      </c>
      <c r="AC1208" s="482"/>
      <c r="AD1208" s="497"/>
      <c r="AE1208" s="497"/>
      <c r="AF1208" s="482"/>
      <c r="AG1208" s="482">
        <f>AF1208-I1208</f>
        <v>-5400</v>
      </c>
      <c r="AH1208" s="655"/>
      <c r="AI1208" s="482"/>
      <c r="AJ1208" s="482"/>
      <c r="AK1208" s="549">
        <f>I1208*3</f>
        <v>16200</v>
      </c>
      <c r="AL1208" s="656"/>
      <c r="AR1208" s="656"/>
      <c r="AS1208" s="656"/>
      <c r="AT1208" s="660"/>
      <c r="AY1208" s="581">
        <f>I1208/24*3</f>
        <v>675</v>
      </c>
      <c r="AZ1208" s="662"/>
      <c r="BC1208" s="432">
        <f>AK1208</f>
        <v>16200</v>
      </c>
      <c r="BD1208" s="432">
        <f>AK1208</f>
        <v>16200</v>
      </c>
      <c r="BE1208" s="432">
        <f>I1208</f>
        <v>5400</v>
      </c>
      <c r="BF1208" s="432">
        <f>I1208/5</f>
        <v>1080</v>
      </c>
      <c r="BT1208" s="660"/>
      <c r="BV1208" s="660"/>
      <c r="CK1208" s="428">
        <f t="shared" si="475"/>
        <v>0</v>
      </c>
      <c r="CL1208" s="428">
        <f t="shared" si="476"/>
        <v>0</v>
      </c>
      <c r="CM1208" s="428">
        <f t="shared" si="477"/>
        <v>0</v>
      </c>
      <c r="CN1208" s="660"/>
      <c r="CO1208" s="660"/>
      <c r="CP1208" s="660"/>
      <c r="CT1208" s="660"/>
      <c r="CU1208" s="660"/>
      <c r="CV1208" s="660"/>
      <c r="CW1208" s="660"/>
      <c r="CX1208" s="660"/>
    </row>
    <row r="1209" s="433" customFormat="1" ht="31" customHeight="1" spans="1:102">
      <c r="A1209" s="633">
        <v>46038</v>
      </c>
      <c r="B1209" s="497" t="s">
        <v>2566</v>
      </c>
      <c r="C1209" s="635" t="s">
        <v>90</v>
      </c>
      <c r="D1209" s="432">
        <v>4500191650</v>
      </c>
      <c r="E1209" s="635">
        <v>384464406</v>
      </c>
      <c r="F1209" s="432" t="s">
        <v>6036</v>
      </c>
      <c r="G1209" s="482" t="s">
        <v>5469</v>
      </c>
      <c r="H1209" s="482" t="s">
        <v>5470</v>
      </c>
      <c r="I1209" s="482">
        <v>1200</v>
      </c>
      <c r="J1209" s="482">
        <v>0</v>
      </c>
      <c r="K1209" s="482">
        <v>6</v>
      </c>
      <c r="L1209" s="639">
        <f t="shared" si="474"/>
        <v>200</v>
      </c>
      <c r="M1209" s="640">
        <v>46122</v>
      </c>
      <c r="N1209" s="640">
        <v>46118</v>
      </c>
      <c r="O1209" s="641"/>
      <c r="P1209" s="641"/>
      <c r="Q1209" s="482"/>
      <c r="R1209" s="647" t="s">
        <v>403</v>
      </c>
      <c r="S1209" s="647" t="s">
        <v>96</v>
      </c>
      <c r="T1209" s="647" t="s">
        <v>2568</v>
      </c>
      <c r="U1209" s="647"/>
      <c r="V1209" s="508" t="s">
        <v>3054</v>
      </c>
      <c r="W1209" s="508" t="s">
        <v>1178</v>
      </c>
      <c r="X1209" s="508">
        <v>1.305</v>
      </c>
      <c r="Y1209" s="651">
        <f t="shared" ref="Y1209:Y1214" si="478">X1209*I1209</f>
        <v>1566</v>
      </c>
      <c r="Z1209" s="482"/>
      <c r="AA1209" s="521" t="s">
        <v>5469</v>
      </c>
      <c r="AB1209" s="482" t="s">
        <v>76</v>
      </c>
      <c r="AC1209" s="482"/>
      <c r="AD1209" s="497"/>
      <c r="AE1209" s="497"/>
      <c r="AF1209" s="482"/>
      <c r="AG1209" s="482"/>
      <c r="AH1209" s="655"/>
      <c r="AI1209" s="482"/>
      <c r="AJ1209" s="482"/>
      <c r="AK1209" s="482">
        <f>I1209*2</f>
        <v>2400</v>
      </c>
      <c r="AL1209" s="656"/>
      <c r="AM1209" s="427">
        <f>I1209*2</f>
        <v>2400</v>
      </c>
      <c r="AN1209" s="658"/>
      <c r="AO1209" s="661"/>
      <c r="AP1209" s="658"/>
      <c r="AQ1209" s="658"/>
      <c r="AR1209" s="543">
        <f>I1209*2</f>
        <v>2400</v>
      </c>
      <c r="AS1209" s="658"/>
      <c r="AT1209" s="660"/>
      <c r="AU1209" s="658"/>
      <c r="AV1209" s="658"/>
      <c r="AW1209" s="658"/>
      <c r="AX1209" s="658"/>
      <c r="AY1209" s="545">
        <f>I1209/24*2</f>
        <v>100</v>
      </c>
      <c r="AZ1209" s="662"/>
      <c r="BA1209" s="658"/>
      <c r="BB1209" s="658"/>
      <c r="BC1209" s="658"/>
      <c r="BD1209" s="658"/>
      <c r="BE1209" s="658"/>
      <c r="BF1209" s="658"/>
      <c r="BG1209" s="658"/>
      <c r="BH1209" s="658"/>
      <c r="BI1209" s="658"/>
      <c r="BJ1209" s="658"/>
      <c r="BK1209" s="658"/>
      <c r="BL1209" s="658"/>
      <c r="BM1209" s="658"/>
      <c r="BN1209" s="658"/>
      <c r="BO1209" s="658"/>
      <c r="BP1209" s="658"/>
      <c r="BQ1209" s="658"/>
      <c r="BR1209" s="658"/>
      <c r="BS1209" s="658"/>
      <c r="BT1209" s="660"/>
      <c r="BU1209" s="658"/>
      <c r="BV1209" s="660"/>
      <c r="BW1209" s="658"/>
      <c r="BX1209" s="658"/>
      <c r="BY1209" s="658"/>
      <c r="BZ1209" s="658"/>
      <c r="CA1209" s="658"/>
      <c r="CB1209" s="658"/>
      <c r="CC1209" s="658"/>
      <c r="CD1209" s="658"/>
      <c r="CE1209" s="658"/>
      <c r="CF1209" s="658"/>
      <c r="CG1209" s="658"/>
      <c r="CH1209" s="432">
        <f>I1209</f>
        <v>1200</v>
      </c>
      <c r="CI1209" s="432">
        <f>I1209</f>
        <v>1200</v>
      </c>
      <c r="CJ1209" s="432">
        <f>I1209</f>
        <v>1200</v>
      </c>
      <c r="CK1209" s="432">
        <f t="shared" si="475"/>
        <v>0</v>
      </c>
      <c r="CL1209" s="432">
        <f t="shared" si="476"/>
        <v>0</v>
      </c>
      <c r="CM1209" s="432">
        <f t="shared" si="477"/>
        <v>0</v>
      </c>
      <c r="CN1209" s="694"/>
      <c r="CO1209" s="694"/>
      <c r="CP1209" s="694"/>
      <c r="CT1209" s="694"/>
      <c r="CU1209" s="694"/>
      <c r="CV1209" s="694"/>
      <c r="CW1209" s="694"/>
      <c r="CX1209" s="694"/>
    </row>
    <row r="1210" s="433" customFormat="1" ht="31" customHeight="1" spans="1:102">
      <c r="A1210" s="633">
        <v>46038</v>
      </c>
      <c r="B1210" s="497" t="s">
        <v>2566</v>
      </c>
      <c r="C1210" s="635" t="s">
        <v>90</v>
      </c>
      <c r="D1210" s="432">
        <v>4500191650</v>
      </c>
      <c r="E1210" s="635">
        <v>384464510</v>
      </c>
      <c r="F1210" s="432" t="s">
        <v>6037</v>
      </c>
      <c r="G1210" s="482" t="s">
        <v>5469</v>
      </c>
      <c r="H1210" s="482" t="s">
        <v>5470</v>
      </c>
      <c r="I1210" s="482">
        <v>1200</v>
      </c>
      <c r="J1210" s="482">
        <v>0</v>
      </c>
      <c r="K1210" s="482">
        <v>6</v>
      </c>
      <c r="L1210" s="639">
        <f t="shared" si="474"/>
        <v>200</v>
      </c>
      <c r="M1210" s="640">
        <v>46122</v>
      </c>
      <c r="N1210" s="640">
        <v>46118</v>
      </c>
      <c r="O1210" s="641"/>
      <c r="P1210" s="641"/>
      <c r="Q1210" s="482"/>
      <c r="R1210" s="647" t="s">
        <v>403</v>
      </c>
      <c r="S1210" s="647" t="s">
        <v>96</v>
      </c>
      <c r="T1210" s="647" t="s">
        <v>2568</v>
      </c>
      <c r="U1210" s="647"/>
      <c r="V1210" s="508" t="s">
        <v>3054</v>
      </c>
      <c r="W1210" s="508" t="s">
        <v>1178</v>
      </c>
      <c r="X1210" s="508">
        <v>1.305</v>
      </c>
      <c r="Y1210" s="651">
        <f t="shared" si="478"/>
        <v>1566</v>
      </c>
      <c r="Z1210" s="482"/>
      <c r="AA1210" s="521" t="s">
        <v>5469</v>
      </c>
      <c r="AB1210" s="482" t="s">
        <v>76</v>
      </c>
      <c r="AC1210" s="482"/>
      <c r="AD1210" s="497"/>
      <c r="AE1210" s="497"/>
      <c r="AF1210" s="482"/>
      <c r="AG1210" s="482"/>
      <c r="AH1210" s="655"/>
      <c r="AI1210" s="482"/>
      <c r="AJ1210" s="482"/>
      <c r="AK1210" s="482">
        <f>I1210*2</f>
        <v>2400</v>
      </c>
      <c r="AL1210" s="656"/>
      <c r="AM1210" s="427">
        <f>I1210*2</f>
        <v>2400</v>
      </c>
      <c r="AN1210" s="658"/>
      <c r="AO1210" s="661"/>
      <c r="AP1210" s="658"/>
      <c r="AQ1210" s="658"/>
      <c r="AR1210" s="543">
        <f>I1210*2</f>
        <v>2400</v>
      </c>
      <c r="AS1210" s="658"/>
      <c r="AT1210" s="660"/>
      <c r="AU1210" s="658"/>
      <c r="AV1210" s="658"/>
      <c r="AW1210" s="658"/>
      <c r="AX1210" s="658"/>
      <c r="AY1210" s="545">
        <f>I1210/24*2</f>
        <v>100</v>
      </c>
      <c r="AZ1210" s="662"/>
      <c r="BA1210" s="658"/>
      <c r="BB1210" s="658"/>
      <c r="BC1210" s="658"/>
      <c r="BD1210" s="658"/>
      <c r="BE1210" s="658"/>
      <c r="BF1210" s="658"/>
      <c r="BG1210" s="658"/>
      <c r="BH1210" s="658"/>
      <c r="BI1210" s="658"/>
      <c r="BJ1210" s="658"/>
      <c r="BK1210" s="658"/>
      <c r="BL1210" s="658"/>
      <c r="BM1210" s="658"/>
      <c r="BN1210" s="658"/>
      <c r="BO1210" s="658"/>
      <c r="BP1210" s="658"/>
      <c r="BQ1210" s="658"/>
      <c r="BR1210" s="658"/>
      <c r="BS1210" s="658"/>
      <c r="BT1210" s="660"/>
      <c r="BU1210" s="658"/>
      <c r="BV1210" s="660"/>
      <c r="BW1210" s="658"/>
      <c r="BX1210" s="658"/>
      <c r="BY1210" s="658"/>
      <c r="BZ1210" s="658"/>
      <c r="CA1210" s="658"/>
      <c r="CB1210" s="658"/>
      <c r="CC1210" s="658"/>
      <c r="CD1210" s="658"/>
      <c r="CE1210" s="658"/>
      <c r="CF1210" s="658"/>
      <c r="CG1210" s="658"/>
      <c r="CH1210" s="432">
        <f>I1210</f>
        <v>1200</v>
      </c>
      <c r="CI1210" s="432">
        <f>I1210</f>
        <v>1200</v>
      </c>
      <c r="CJ1210" s="432">
        <f>I1210</f>
        <v>1200</v>
      </c>
      <c r="CK1210" s="432">
        <f t="shared" si="475"/>
        <v>0</v>
      </c>
      <c r="CL1210" s="432">
        <f t="shared" si="476"/>
        <v>0</v>
      </c>
      <c r="CM1210" s="432">
        <f t="shared" si="477"/>
        <v>0</v>
      </c>
      <c r="CN1210" s="694"/>
      <c r="CO1210" s="694"/>
      <c r="CP1210" s="694"/>
      <c r="CT1210" s="694"/>
      <c r="CU1210" s="694"/>
      <c r="CV1210" s="694"/>
      <c r="CW1210" s="694"/>
      <c r="CX1210" s="694"/>
    </row>
    <row r="1211" s="433" customFormat="1" ht="31" customHeight="1" spans="1:102">
      <c r="A1211" s="633">
        <v>46058</v>
      </c>
      <c r="B1211" s="497" t="s">
        <v>125</v>
      </c>
      <c r="C1211" s="635" t="s">
        <v>71</v>
      </c>
      <c r="D1211" s="432">
        <v>4500193165</v>
      </c>
      <c r="E1211" s="635">
        <v>21495502</v>
      </c>
      <c r="F1211" s="432" t="s">
        <v>6038</v>
      </c>
      <c r="G1211" s="482" t="s">
        <v>3206</v>
      </c>
      <c r="H1211" s="482" t="s">
        <v>4939</v>
      </c>
      <c r="I1211" s="645">
        <v>520</v>
      </c>
      <c r="J1211" s="482">
        <v>0</v>
      </c>
      <c r="K1211" s="482">
        <v>13</v>
      </c>
      <c r="L1211" s="639">
        <f t="shared" si="474"/>
        <v>40</v>
      </c>
      <c r="M1211" s="640">
        <v>46125</v>
      </c>
      <c r="N1211" s="640">
        <v>46121</v>
      </c>
      <c r="O1211" s="641"/>
      <c r="P1211" s="641"/>
      <c r="Q1211" s="482"/>
      <c r="R1211" s="647" t="s">
        <v>403</v>
      </c>
      <c r="S1211" s="647" t="s">
        <v>96</v>
      </c>
      <c r="T1211" s="647" t="s">
        <v>5912</v>
      </c>
      <c r="U1211" s="647"/>
      <c r="V1211" s="508" t="s">
        <v>6039</v>
      </c>
      <c r="W1211" s="508" t="s">
        <v>2893</v>
      </c>
      <c r="X1211" s="648">
        <v>0.9526</v>
      </c>
      <c r="Y1211" s="651">
        <f t="shared" si="478"/>
        <v>495.352</v>
      </c>
      <c r="Z1211" s="482"/>
      <c r="AA1211" s="521" t="s">
        <v>3206</v>
      </c>
      <c r="AB1211" s="482" t="s">
        <v>76</v>
      </c>
      <c r="AC1211" s="482"/>
      <c r="AD1211" s="497"/>
      <c r="AE1211" s="497"/>
      <c r="AF1211" s="482"/>
      <c r="AG1211" s="482"/>
      <c r="AH1211" s="655"/>
      <c r="AI1211" s="482"/>
      <c r="AJ1211" s="482"/>
      <c r="AK1211" s="482"/>
      <c r="AL1211" s="656">
        <f>I1211</f>
        <v>520</v>
      </c>
      <c r="AM1211" s="432"/>
      <c r="AN1211" s="658"/>
      <c r="AO1211" s="661"/>
      <c r="AP1211" s="658"/>
      <c r="AQ1211" s="432">
        <f>I1211</f>
        <v>520</v>
      </c>
      <c r="AR1211" s="657"/>
      <c r="AS1211" s="656">
        <f>I1211*2</f>
        <v>1040</v>
      </c>
      <c r="AT1211" s="660"/>
      <c r="AU1211" s="658"/>
      <c r="AV1211" s="658"/>
      <c r="AW1211" s="658"/>
      <c r="AX1211" s="658"/>
      <c r="AY1211" s="581">
        <f>I1211/24</f>
        <v>21.6666666666667</v>
      </c>
      <c r="AZ1211" s="662"/>
      <c r="BA1211" s="658"/>
      <c r="BB1211" s="658"/>
      <c r="BC1211" s="658"/>
      <c r="BD1211" s="658"/>
      <c r="BE1211" s="658"/>
      <c r="BF1211" s="658"/>
      <c r="BG1211" s="658"/>
      <c r="BH1211" s="658"/>
      <c r="BI1211" s="432">
        <f>I1211/13</f>
        <v>40</v>
      </c>
      <c r="BJ1211" s="658"/>
      <c r="BK1211" s="658"/>
      <c r="BL1211" s="658"/>
      <c r="BM1211" s="658"/>
      <c r="BN1211" s="658"/>
      <c r="BO1211" s="658"/>
      <c r="BP1211" s="658"/>
      <c r="BQ1211" s="658"/>
      <c r="BR1211" s="658"/>
      <c r="BS1211" s="658"/>
      <c r="BT1211" s="660"/>
      <c r="BU1211" s="658"/>
      <c r="BV1211" s="660"/>
      <c r="BW1211" s="658"/>
      <c r="BX1211" s="658"/>
      <c r="BY1211" s="658"/>
      <c r="BZ1211" s="658"/>
      <c r="CA1211" s="658"/>
      <c r="CB1211" s="658"/>
      <c r="CC1211" s="658"/>
      <c r="CD1211" s="658"/>
      <c r="CE1211" s="658"/>
      <c r="CF1211" s="658"/>
      <c r="CG1211" s="658"/>
      <c r="CH1211" s="432"/>
      <c r="CI1211" s="432"/>
      <c r="CJ1211" s="432"/>
      <c r="CK1211" s="432">
        <f t="shared" si="475"/>
        <v>0</v>
      </c>
      <c r="CL1211" s="432">
        <f t="shared" si="476"/>
        <v>0</v>
      </c>
      <c r="CM1211" s="432">
        <f t="shared" si="477"/>
        <v>0</v>
      </c>
      <c r="CN1211" s="694"/>
      <c r="CO1211" s="694"/>
      <c r="CP1211" s="694"/>
      <c r="CT1211" s="694"/>
      <c r="CU1211" s="694"/>
      <c r="CV1211" s="694"/>
      <c r="CW1211" s="694"/>
      <c r="CX1211" s="694"/>
    </row>
    <row r="1212" s="433" customFormat="1" ht="31" customHeight="1" spans="1:102">
      <c r="A1212" s="633">
        <v>46058</v>
      </c>
      <c r="B1212" s="497" t="s">
        <v>122</v>
      </c>
      <c r="C1212" s="635" t="s">
        <v>116</v>
      </c>
      <c r="D1212" s="432">
        <v>4500193164</v>
      </c>
      <c r="E1212" s="635">
        <v>21495501</v>
      </c>
      <c r="F1212" s="432" t="s">
        <v>6040</v>
      </c>
      <c r="G1212" s="482" t="s">
        <v>3206</v>
      </c>
      <c r="H1212" s="482" t="s">
        <v>4939</v>
      </c>
      <c r="I1212" s="645">
        <v>9776</v>
      </c>
      <c r="J1212" s="482">
        <v>0</v>
      </c>
      <c r="K1212" s="482">
        <v>13</v>
      </c>
      <c r="L1212" s="639">
        <f t="shared" si="474"/>
        <v>752</v>
      </c>
      <c r="M1212" s="640">
        <v>46125</v>
      </c>
      <c r="N1212" s="640">
        <v>46121</v>
      </c>
      <c r="O1212" s="641"/>
      <c r="P1212" s="641"/>
      <c r="Q1212" s="482"/>
      <c r="R1212" s="647" t="s">
        <v>403</v>
      </c>
      <c r="S1212" s="647" t="s">
        <v>96</v>
      </c>
      <c r="T1212" s="647" t="s">
        <v>5912</v>
      </c>
      <c r="U1212" s="647"/>
      <c r="V1212" s="508" t="s">
        <v>6041</v>
      </c>
      <c r="W1212" s="508" t="s">
        <v>2893</v>
      </c>
      <c r="X1212" s="648">
        <v>0.9423</v>
      </c>
      <c r="Y1212" s="651">
        <f t="shared" si="478"/>
        <v>9211.9248</v>
      </c>
      <c r="Z1212" s="482"/>
      <c r="AA1212" s="521" t="s">
        <v>3206</v>
      </c>
      <c r="AB1212" s="482" t="s">
        <v>76</v>
      </c>
      <c r="AC1212" s="482"/>
      <c r="AD1212" s="497"/>
      <c r="AE1212" s="497"/>
      <c r="AF1212" s="482"/>
      <c r="AG1212" s="482"/>
      <c r="AH1212" s="655"/>
      <c r="AI1212" s="482"/>
      <c r="AJ1212" s="482"/>
      <c r="AK1212" s="482"/>
      <c r="AL1212" s="656">
        <f>I1212</f>
        <v>9776</v>
      </c>
      <c r="AM1212" s="432"/>
      <c r="AN1212" s="658"/>
      <c r="AO1212" s="661"/>
      <c r="AP1212" s="658"/>
      <c r="AQ1212" s="432">
        <f>I1212</f>
        <v>9776</v>
      </c>
      <c r="AR1212" s="657"/>
      <c r="AS1212" s="656">
        <f>I1212*2</f>
        <v>19552</v>
      </c>
      <c r="AT1212" s="660"/>
      <c r="AU1212" s="658"/>
      <c r="AV1212" s="658"/>
      <c r="AW1212" s="658"/>
      <c r="AX1212" s="658"/>
      <c r="AY1212" s="581">
        <f>I1212/24</f>
        <v>407.333333333333</v>
      </c>
      <c r="AZ1212" s="662"/>
      <c r="BA1212" s="658"/>
      <c r="BB1212" s="658"/>
      <c r="BC1212" s="658"/>
      <c r="BD1212" s="658"/>
      <c r="BE1212" s="658"/>
      <c r="BF1212" s="658"/>
      <c r="BG1212" s="658"/>
      <c r="BH1212" s="658"/>
      <c r="BI1212" s="432">
        <f>I1212/13</f>
        <v>752</v>
      </c>
      <c r="BJ1212" s="658"/>
      <c r="BK1212" s="658"/>
      <c r="BL1212" s="658"/>
      <c r="BM1212" s="658"/>
      <c r="BN1212" s="658"/>
      <c r="BO1212" s="658"/>
      <c r="BP1212" s="658"/>
      <c r="BQ1212" s="658"/>
      <c r="BR1212" s="658"/>
      <c r="BS1212" s="658"/>
      <c r="BT1212" s="660"/>
      <c r="BU1212" s="658"/>
      <c r="BV1212" s="660"/>
      <c r="BW1212" s="658"/>
      <c r="BX1212" s="658"/>
      <c r="BY1212" s="658"/>
      <c r="BZ1212" s="658"/>
      <c r="CA1212" s="658"/>
      <c r="CB1212" s="658"/>
      <c r="CC1212" s="658"/>
      <c r="CD1212" s="658"/>
      <c r="CE1212" s="658"/>
      <c r="CF1212" s="658"/>
      <c r="CG1212" s="658"/>
      <c r="CH1212" s="432"/>
      <c r="CI1212" s="432"/>
      <c r="CJ1212" s="432"/>
      <c r="CK1212" s="432">
        <f t="shared" si="475"/>
        <v>0</v>
      </c>
      <c r="CL1212" s="432">
        <f t="shared" si="476"/>
        <v>0</v>
      </c>
      <c r="CM1212" s="432">
        <f t="shared" si="477"/>
        <v>0</v>
      </c>
      <c r="CN1212" s="694"/>
      <c r="CO1212" s="694"/>
      <c r="CP1212" s="694"/>
      <c r="CT1212" s="694"/>
      <c r="CU1212" s="694"/>
      <c r="CV1212" s="694"/>
      <c r="CW1212" s="694"/>
      <c r="CX1212" s="694"/>
    </row>
    <row r="1213" s="436" customFormat="1" ht="31" customHeight="1" spans="1:102">
      <c r="A1213" s="703">
        <v>46057</v>
      </c>
      <c r="B1213" s="689" t="s">
        <v>3056</v>
      </c>
      <c r="C1213" s="704" t="s">
        <v>749</v>
      </c>
      <c r="D1213" s="437">
        <v>4500193051</v>
      </c>
      <c r="E1213" s="705">
        <v>21214329</v>
      </c>
      <c r="F1213" s="437" t="s">
        <v>6042</v>
      </c>
      <c r="G1213" s="706" t="s">
        <v>3436</v>
      </c>
      <c r="H1213" s="706" t="s">
        <v>424</v>
      </c>
      <c r="I1213" s="706">
        <v>2196</v>
      </c>
      <c r="J1213" s="706">
        <v>0</v>
      </c>
      <c r="K1213" s="706">
        <v>6</v>
      </c>
      <c r="L1213" s="712">
        <f t="shared" si="474"/>
        <v>366</v>
      </c>
      <c r="M1213" s="713">
        <v>46126</v>
      </c>
      <c r="N1213" s="713">
        <v>46122</v>
      </c>
      <c r="O1213" s="714"/>
      <c r="P1213" s="714"/>
      <c r="Q1213" s="706"/>
      <c r="R1213" s="718"/>
      <c r="S1213" s="718"/>
      <c r="T1213" s="718"/>
      <c r="U1213" s="718"/>
      <c r="V1213" s="649" t="s">
        <v>6043</v>
      </c>
      <c r="W1213" s="719" t="s">
        <v>2322</v>
      </c>
      <c r="X1213" s="649">
        <v>6.7112</v>
      </c>
      <c r="Y1213" s="723">
        <f t="shared" si="478"/>
        <v>14737.7952</v>
      </c>
      <c r="Z1213" s="706"/>
      <c r="AA1213" s="689"/>
      <c r="AB1213" s="706"/>
      <c r="AC1213" s="706"/>
      <c r="AD1213" s="689"/>
      <c r="AE1213" s="689"/>
      <c r="AF1213" s="706"/>
      <c r="AG1213" s="706"/>
      <c r="AH1213" s="728"/>
      <c r="AI1213" s="706"/>
      <c r="AJ1213" s="706"/>
      <c r="AK1213" s="560"/>
      <c r="AL1213" s="729"/>
      <c r="AM1213" s="437"/>
      <c r="AN1213" s="437"/>
      <c r="AO1213" s="437"/>
      <c r="AP1213" s="437"/>
      <c r="AQ1213" s="437"/>
      <c r="AR1213" s="729"/>
      <c r="AS1213" s="729"/>
      <c r="AT1213" s="734"/>
      <c r="AU1213" s="437"/>
      <c r="AV1213" s="437"/>
      <c r="AW1213" s="437"/>
      <c r="AX1213" s="437"/>
      <c r="AY1213" s="738"/>
      <c r="AZ1213" s="739"/>
      <c r="BA1213" s="437"/>
      <c r="BB1213" s="437"/>
      <c r="BC1213" s="437"/>
      <c r="BD1213" s="437"/>
      <c r="BE1213" s="437"/>
      <c r="BF1213" s="437"/>
      <c r="BG1213" s="437"/>
      <c r="BH1213" s="437"/>
      <c r="BI1213" s="437"/>
      <c r="BJ1213" s="437"/>
      <c r="BK1213" s="437"/>
      <c r="BL1213" s="437"/>
      <c r="BM1213" s="437"/>
      <c r="BN1213" s="437"/>
      <c r="BO1213" s="437"/>
      <c r="BP1213" s="437"/>
      <c r="BQ1213" s="437"/>
      <c r="BR1213" s="437"/>
      <c r="BS1213" s="437"/>
      <c r="BT1213" s="734"/>
      <c r="BU1213" s="437"/>
      <c r="BV1213" s="734"/>
      <c r="BW1213" s="437"/>
      <c r="BX1213" s="437"/>
      <c r="BY1213" s="437"/>
      <c r="BZ1213" s="437"/>
      <c r="CA1213" s="437"/>
      <c r="CB1213" s="437"/>
      <c r="CC1213" s="437"/>
      <c r="CD1213" s="437"/>
      <c r="CE1213" s="437"/>
      <c r="CF1213" s="437"/>
      <c r="CG1213" s="437"/>
      <c r="CH1213" s="437"/>
      <c r="CI1213" s="437"/>
      <c r="CJ1213" s="437"/>
      <c r="CK1213" s="745"/>
      <c r="CL1213" s="745"/>
      <c r="CM1213" s="745"/>
      <c r="CN1213" s="734"/>
      <c r="CO1213" s="734"/>
      <c r="CP1213" s="734"/>
      <c r="CT1213" s="734"/>
      <c r="CU1213" s="734"/>
      <c r="CV1213" s="734"/>
      <c r="CW1213" s="734"/>
      <c r="CX1213" s="734"/>
    </row>
    <row r="1214" s="437" customFormat="1" ht="31" customHeight="1" spans="1:102">
      <c r="A1214" s="703">
        <v>46059</v>
      </c>
      <c r="B1214" s="689" t="s">
        <v>6044</v>
      </c>
      <c r="C1214" s="705" t="s">
        <v>249</v>
      </c>
      <c r="D1214" s="437">
        <v>4500193104</v>
      </c>
      <c r="E1214" s="705"/>
      <c r="F1214" s="437" t="s">
        <v>6045</v>
      </c>
      <c r="G1214" s="706">
        <v>77711</v>
      </c>
      <c r="H1214" s="706" t="s">
        <v>3151</v>
      </c>
      <c r="I1214" s="706">
        <v>15315</v>
      </c>
      <c r="J1214" s="706">
        <v>0</v>
      </c>
      <c r="K1214" s="706">
        <v>75</v>
      </c>
      <c r="L1214" s="712">
        <f t="shared" si="474"/>
        <v>204.2</v>
      </c>
      <c r="M1214" s="713">
        <v>46126</v>
      </c>
      <c r="N1214" s="713">
        <v>46122</v>
      </c>
      <c r="O1214" s="714"/>
      <c r="P1214" s="714"/>
      <c r="Q1214" s="706"/>
      <c r="R1214" s="718"/>
      <c r="S1214" s="718"/>
      <c r="T1214" s="718"/>
      <c r="U1214" s="718"/>
      <c r="V1214" s="649" t="s">
        <v>6046</v>
      </c>
      <c r="W1214" s="649" t="s">
        <v>347</v>
      </c>
      <c r="X1214" s="649">
        <v>0.8578</v>
      </c>
      <c r="Y1214" s="723">
        <f t="shared" si="478"/>
        <v>13137.207</v>
      </c>
      <c r="Z1214" s="706"/>
      <c r="AA1214" s="706"/>
      <c r="AB1214" s="706"/>
      <c r="AC1214" s="706"/>
      <c r="AD1214" s="706"/>
      <c r="AE1214" s="706"/>
      <c r="AF1214" s="706"/>
      <c r="AG1214" s="706"/>
      <c r="AH1214" s="728"/>
      <c r="AI1214" s="706"/>
      <c r="AJ1214" s="706"/>
      <c r="AK1214" s="706">
        <f>I1214*3</f>
        <v>45945</v>
      </c>
      <c r="AL1214" s="729"/>
      <c r="AM1214" s="731"/>
      <c r="AN1214" s="731"/>
      <c r="AO1214" s="737"/>
      <c r="AP1214" s="731"/>
      <c r="AQ1214" s="731"/>
      <c r="AR1214" s="729"/>
      <c r="AT1214" s="734"/>
      <c r="AU1214" s="729"/>
      <c r="AV1214" s="731"/>
      <c r="AW1214" s="731"/>
      <c r="AX1214" s="731"/>
      <c r="AY1214" s="738"/>
      <c r="AZ1214" s="739"/>
      <c r="BA1214" s="731"/>
      <c r="BB1214" s="731"/>
      <c r="BC1214" s="731"/>
      <c r="BD1214" s="731"/>
      <c r="BE1214" s="731"/>
      <c r="BF1214" s="731"/>
      <c r="BG1214" s="731"/>
      <c r="BH1214" s="731"/>
      <c r="BI1214" s="731"/>
      <c r="BJ1214" s="731"/>
      <c r="BK1214" s="742"/>
      <c r="BL1214" s="731"/>
      <c r="BM1214" s="731"/>
      <c r="BN1214" s="731"/>
      <c r="BO1214" s="731"/>
      <c r="BP1214" s="731"/>
      <c r="BQ1214" s="731"/>
      <c r="BR1214" s="731"/>
      <c r="BS1214" s="731"/>
      <c r="BT1214" s="734"/>
      <c r="BU1214" s="731"/>
      <c r="BV1214" s="734"/>
      <c r="BW1214" s="731"/>
      <c r="BX1214" s="731"/>
      <c r="BY1214" s="731"/>
      <c r="BZ1214" s="731"/>
      <c r="CA1214" s="731"/>
      <c r="CB1214" s="731"/>
      <c r="CC1214" s="731"/>
      <c r="CD1214" s="731"/>
      <c r="CE1214" s="731"/>
      <c r="CF1214" s="731"/>
      <c r="CG1214" s="731"/>
      <c r="CH1214" s="731"/>
      <c r="CI1214" s="731"/>
      <c r="CJ1214" s="731"/>
      <c r="CN1214" s="734"/>
      <c r="CO1214" s="734"/>
      <c r="CP1214" s="734"/>
      <c r="CT1214" s="734"/>
      <c r="CU1214" s="734"/>
      <c r="CV1214" s="734"/>
      <c r="CW1214" s="734"/>
      <c r="CX1214" s="734"/>
    </row>
    <row r="1215" s="432" customFormat="1" ht="31" customHeight="1" spans="1:102">
      <c r="A1215" s="633">
        <v>45978</v>
      </c>
      <c r="B1215" s="497" t="s">
        <v>1372</v>
      </c>
      <c r="C1215" s="634" t="s">
        <v>90</v>
      </c>
      <c r="D1215" s="432">
        <v>4500185965</v>
      </c>
      <c r="E1215" s="894" t="s">
        <v>3059</v>
      </c>
      <c r="F1215" s="432" t="s">
        <v>3060</v>
      </c>
      <c r="G1215" s="482" t="s">
        <v>5575</v>
      </c>
      <c r="H1215" s="482" t="s">
        <v>744</v>
      </c>
      <c r="I1215" s="482">
        <v>5400</v>
      </c>
      <c r="J1215" s="482">
        <v>0</v>
      </c>
      <c r="K1215" s="482">
        <v>75</v>
      </c>
      <c r="L1215" s="639">
        <f t="shared" ref="L1215:L1222" si="479">I1215/K1215</f>
        <v>72</v>
      </c>
      <c r="M1215" s="644">
        <v>46129</v>
      </c>
      <c r="N1215" s="644">
        <v>46125</v>
      </c>
      <c r="O1215" s="641"/>
      <c r="P1215" s="641"/>
      <c r="Q1215" s="482"/>
      <c r="R1215" s="647" t="s">
        <v>2432</v>
      </c>
      <c r="S1215" s="647" t="s">
        <v>66</v>
      </c>
      <c r="T1215" s="647" t="s">
        <v>66</v>
      </c>
      <c r="U1215" s="647"/>
      <c r="V1215" s="508" t="s">
        <v>2565</v>
      </c>
      <c r="W1215" s="650" t="s">
        <v>821</v>
      </c>
      <c r="X1215" s="508">
        <v>359.3436</v>
      </c>
      <c r="Y1215" s="651">
        <f>X1215*L1215</f>
        <v>25872.7392</v>
      </c>
      <c r="Z1215" s="482"/>
      <c r="AA1215" s="497" t="s">
        <v>1378</v>
      </c>
      <c r="AB1215" s="482" t="s">
        <v>76</v>
      </c>
      <c r="AC1215" s="482"/>
      <c r="AD1215" s="497"/>
      <c r="AE1215" s="497"/>
      <c r="AF1215" s="482"/>
      <c r="AG1215" s="482">
        <f t="shared" ref="AG1215:AG1222" si="480">AF1215-I1215</f>
        <v>-5400</v>
      </c>
      <c r="AH1215" s="655"/>
      <c r="AI1215" s="482"/>
      <c r="AJ1215" s="482"/>
      <c r="AK1215" s="549">
        <f>I1215*3</f>
        <v>16200</v>
      </c>
      <c r="AL1215" s="656"/>
      <c r="AR1215" s="656"/>
      <c r="AS1215" s="656"/>
      <c r="AT1215" s="660"/>
      <c r="AY1215" s="581">
        <f>I1215/24*3</f>
        <v>675</v>
      </c>
      <c r="AZ1215" s="662"/>
      <c r="BC1215" s="432">
        <f>AK1215</f>
        <v>16200</v>
      </c>
      <c r="BD1215" s="432">
        <f>AK1215</f>
        <v>16200</v>
      </c>
      <c r="BE1215" s="432">
        <f>I1215</f>
        <v>5400</v>
      </c>
      <c r="BF1215" s="432">
        <f>I1215/5</f>
        <v>1080</v>
      </c>
      <c r="BT1215" s="660"/>
      <c r="BV1215" s="660"/>
      <c r="CK1215" s="428">
        <f>BM1215+BL1215+BK1215+BJ1215+BS1215</f>
        <v>0</v>
      </c>
      <c r="CL1215" s="428">
        <f>CA1215+CB1215+CC1215+CD1215+CE1215+CG1215+CF1215</f>
        <v>0</v>
      </c>
      <c r="CM1215" s="428">
        <f>BY1215+BZ1215</f>
        <v>0</v>
      </c>
      <c r="CN1215" s="660"/>
      <c r="CO1215" s="660"/>
      <c r="CP1215" s="660"/>
      <c r="CT1215" s="660"/>
      <c r="CU1215" s="660"/>
      <c r="CV1215" s="660"/>
      <c r="CW1215" s="660"/>
      <c r="CX1215" s="660"/>
    </row>
    <row r="1216" s="432" customFormat="1" ht="31" customHeight="1" spans="1:102">
      <c r="A1216" s="633">
        <v>45978</v>
      </c>
      <c r="B1216" s="497" t="s">
        <v>1372</v>
      </c>
      <c r="C1216" s="634" t="s">
        <v>90</v>
      </c>
      <c r="D1216" s="432">
        <v>4500185966</v>
      </c>
      <c r="E1216" s="894" t="s">
        <v>3061</v>
      </c>
      <c r="F1216" s="432" t="s">
        <v>3062</v>
      </c>
      <c r="G1216" s="482" t="s">
        <v>5575</v>
      </c>
      <c r="H1216" s="482" t="s">
        <v>744</v>
      </c>
      <c r="I1216" s="482">
        <v>5400</v>
      </c>
      <c r="J1216" s="482">
        <v>0</v>
      </c>
      <c r="K1216" s="482">
        <v>75</v>
      </c>
      <c r="L1216" s="639">
        <f t="shared" si="479"/>
        <v>72</v>
      </c>
      <c r="M1216" s="644">
        <v>46129</v>
      </c>
      <c r="N1216" s="644">
        <v>46125</v>
      </c>
      <c r="O1216" s="641"/>
      <c r="P1216" s="641"/>
      <c r="Q1216" s="482"/>
      <c r="R1216" s="647" t="s">
        <v>2432</v>
      </c>
      <c r="S1216" s="647" t="s">
        <v>66</v>
      </c>
      <c r="T1216" s="647" t="s">
        <v>66</v>
      </c>
      <c r="U1216" s="647"/>
      <c r="V1216" s="508" t="s">
        <v>2565</v>
      </c>
      <c r="W1216" s="650" t="s">
        <v>821</v>
      </c>
      <c r="X1216" s="508">
        <v>359.3436</v>
      </c>
      <c r="Y1216" s="651">
        <f>X1216*L1216</f>
        <v>25872.7392</v>
      </c>
      <c r="Z1216" s="482"/>
      <c r="AA1216" s="497" t="s">
        <v>1378</v>
      </c>
      <c r="AB1216" s="482" t="s">
        <v>76</v>
      </c>
      <c r="AC1216" s="482"/>
      <c r="AD1216" s="497"/>
      <c r="AE1216" s="497"/>
      <c r="AF1216" s="482"/>
      <c r="AG1216" s="482">
        <f t="shared" si="480"/>
        <v>-5400</v>
      </c>
      <c r="AH1216" s="655"/>
      <c r="AI1216" s="482"/>
      <c r="AJ1216" s="482"/>
      <c r="AK1216" s="549">
        <f>I1216*3</f>
        <v>16200</v>
      </c>
      <c r="AL1216" s="656"/>
      <c r="AR1216" s="656"/>
      <c r="AS1216" s="656"/>
      <c r="AT1216" s="660"/>
      <c r="AY1216" s="581">
        <f>I1216/24*3</f>
        <v>675</v>
      </c>
      <c r="AZ1216" s="662"/>
      <c r="BC1216" s="432">
        <f>AK1216</f>
        <v>16200</v>
      </c>
      <c r="BD1216" s="432">
        <f>AK1216</f>
        <v>16200</v>
      </c>
      <c r="BE1216" s="432">
        <f>I1216</f>
        <v>5400</v>
      </c>
      <c r="BF1216" s="432">
        <f>I1216/5</f>
        <v>1080</v>
      </c>
      <c r="BT1216" s="660"/>
      <c r="BV1216" s="660"/>
      <c r="CK1216" s="428">
        <f>BM1216+BL1216+BK1216+BJ1216+BS1216</f>
        <v>0</v>
      </c>
      <c r="CL1216" s="428">
        <f>CA1216+CB1216+CC1216+CD1216+CE1216+CG1216+CF1216</f>
        <v>0</v>
      </c>
      <c r="CM1216" s="428">
        <f>BY1216+BZ1216</f>
        <v>0</v>
      </c>
      <c r="CN1216" s="660"/>
      <c r="CO1216" s="660"/>
      <c r="CP1216" s="660"/>
      <c r="CT1216" s="660"/>
      <c r="CU1216" s="660"/>
      <c r="CV1216" s="660"/>
      <c r="CW1216" s="660"/>
      <c r="CX1216" s="660"/>
    </row>
    <row r="1217" s="432" customFormat="1" ht="31" customHeight="1" spans="1:102">
      <c r="A1217" s="633">
        <v>45978</v>
      </c>
      <c r="B1217" s="497" t="s">
        <v>1372</v>
      </c>
      <c r="C1217" s="634" t="s">
        <v>90</v>
      </c>
      <c r="D1217" s="432">
        <v>4500185968</v>
      </c>
      <c r="E1217" s="894" t="s">
        <v>3063</v>
      </c>
      <c r="F1217" s="432" t="s">
        <v>3064</v>
      </c>
      <c r="G1217" s="482" t="s">
        <v>5575</v>
      </c>
      <c r="H1217" s="482" t="s">
        <v>744</v>
      </c>
      <c r="I1217" s="482">
        <v>5400</v>
      </c>
      <c r="J1217" s="482">
        <v>0</v>
      </c>
      <c r="K1217" s="482">
        <v>75</v>
      </c>
      <c r="L1217" s="639">
        <f t="shared" si="479"/>
        <v>72</v>
      </c>
      <c r="M1217" s="644">
        <v>46129</v>
      </c>
      <c r="N1217" s="644">
        <v>46125</v>
      </c>
      <c r="O1217" s="641"/>
      <c r="P1217" s="641"/>
      <c r="Q1217" s="482"/>
      <c r="R1217" s="647" t="s">
        <v>2432</v>
      </c>
      <c r="S1217" s="647" t="s">
        <v>66</v>
      </c>
      <c r="T1217" s="647" t="s">
        <v>66</v>
      </c>
      <c r="U1217" s="647"/>
      <c r="V1217" s="508" t="s">
        <v>2565</v>
      </c>
      <c r="W1217" s="650" t="s">
        <v>821</v>
      </c>
      <c r="X1217" s="508">
        <v>359.3436</v>
      </c>
      <c r="Y1217" s="651">
        <f>X1217*L1217</f>
        <v>25872.7392</v>
      </c>
      <c r="Z1217" s="482"/>
      <c r="AA1217" s="497" t="s">
        <v>1378</v>
      </c>
      <c r="AB1217" s="482" t="s">
        <v>76</v>
      </c>
      <c r="AC1217" s="482"/>
      <c r="AD1217" s="497"/>
      <c r="AE1217" s="497"/>
      <c r="AF1217" s="482"/>
      <c r="AG1217" s="482">
        <f t="shared" si="480"/>
        <v>-5400</v>
      </c>
      <c r="AH1217" s="655"/>
      <c r="AI1217" s="482"/>
      <c r="AJ1217" s="482"/>
      <c r="AK1217" s="549">
        <f>I1217*3</f>
        <v>16200</v>
      </c>
      <c r="AL1217" s="656"/>
      <c r="AR1217" s="656"/>
      <c r="AS1217" s="656"/>
      <c r="AT1217" s="660"/>
      <c r="AY1217" s="581">
        <f>I1217/24*3</f>
        <v>675</v>
      </c>
      <c r="AZ1217" s="662"/>
      <c r="BC1217" s="432">
        <f>AK1217</f>
        <v>16200</v>
      </c>
      <c r="BD1217" s="432">
        <f>AK1217</f>
        <v>16200</v>
      </c>
      <c r="BE1217" s="432">
        <f>I1217</f>
        <v>5400</v>
      </c>
      <c r="BF1217" s="432">
        <f>I1217/5</f>
        <v>1080</v>
      </c>
      <c r="BT1217" s="660"/>
      <c r="BV1217" s="660"/>
      <c r="CK1217" s="428">
        <f>BM1217+BL1217+BK1217+BJ1217+BS1217</f>
        <v>0</v>
      </c>
      <c r="CL1217" s="428">
        <f>CA1217+CB1217+CC1217+CD1217+CE1217+CG1217+CF1217</f>
        <v>0</v>
      </c>
      <c r="CM1217" s="428">
        <f>BY1217+BZ1217</f>
        <v>0</v>
      </c>
      <c r="CN1217" s="660"/>
      <c r="CO1217" s="660"/>
      <c r="CP1217" s="660"/>
      <c r="CT1217" s="660"/>
      <c r="CU1217" s="660"/>
      <c r="CV1217" s="660"/>
      <c r="CW1217" s="660"/>
      <c r="CX1217" s="660"/>
    </row>
    <row r="1218" s="433" customFormat="1" ht="31" customHeight="1" spans="1:102">
      <c r="A1218" s="633">
        <v>46051</v>
      </c>
      <c r="B1218" s="497" t="s">
        <v>1172</v>
      </c>
      <c r="C1218" s="635" t="s">
        <v>90</v>
      </c>
      <c r="D1218" s="432">
        <v>4500192264</v>
      </c>
      <c r="E1218" s="635">
        <v>16000291</v>
      </c>
      <c r="F1218" s="432" t="s">
        <v>6047</v>
      </c>
      <c r="G1218" s="482" t="s">
        <v>3272</v>
      </c>
      <c r="H1218" s="482" t="s">
        <v>3207</v>
      </c>
      <c r="I1218" s="646">
        <v>1196</v>
      </c>
      <c r="J1218" s="482">
        <v>0</v>
      </c>
      <c r="K1218" s="482">
        <v>13</v>
      </c>
      <c r="L1218" s="639">
        <f t="shared" si="479"/>
        <v>92</v>
      </c>
      <c r="M1218" s="640">
        <v>46129</v>
      </c>
      <c r="N1218" s="640">
        <v>46125</v>
      </c>
      <c r="O1218" s="641"/>
      <c r="P1218" s="641"/>
      <c r="Q1218" s="482"/>
      <c r="R1218" s="647" t="s">
        <v>6048</v>
      </c>
      <c r="S1218" s="647" t="s">
        <v>96</v>
      </c>
      <c r="T1218" s="647" t="s">
        <v>403</v>
      </c>
      <c r="U1218" s="647"/>
      <c r="V1218" s="508" t="s">
        <v>6049</v>
      </c>
      <c r="W1218" s="651" t="s">
        <v>1178</v>
      </c>
      <c r="X1218" s="648">
        <v>0.5528</v>
      </c>
      <c r="Y1218" s="651">
        <f>X1218*I1218</f>
        <v>661.1488</v>
      </c>
      <c r="Z1218" s="482"/>
      <c r="AA1218" s="497" t="s">
        <v>3272</v>
      </c>
      <c r="AB1218" s="482" t="s">
        <v>76</v>
      </c>
      <c r="AC1218" s="482"/>
      <c r="AD1218" s="497"/>
      <c r="AE1218" s="497"/>
      <c r="AF1218" s="482"/>
      <c r="AG1218" s="482">
        <f t="shared" si="480"/>
        <v>-1196</v>
      </c>
      <c r="AH1218" s="655"/>
      <c r="AI1218" s="482"/>
      <c r="AJ1218" s="482"/>
      <c r="AK1218" s="482">
        <f>I1218</f>
        <v>1196</v>
      </c>
      <c r="AL1218" s="656"/>
      <c r="AM1218" s="657">
        <f>I1218</f>
        <v>1196</v>
      </c>
      <c r="AN1218" s="657"/>
      <c r="AO1218" s="659"/>
      <c r="AP1218" s="657"/>
      <c r="AQ1218" s="657"/>
      <c r="AR1218" s="432">
        <f>I1218</f>
        <v>1196</v>
      </c>
      <c r="AS1218" s="656"/>
      <c r="AT1218" s="660"/>
      <c r="AU1218" s="658"/>
      <c r="AV1218" s="658"/>
      <c r="AW1218" s="658"/>
      <c r="AX1218" s="658"/>
      <c r="AY1218" s="581">
        <f>I1218/24</f>
        <v>49.8333333333333</v>
      </c>
      <c r="AZ1218" s="662"/>
      <c r="BA1218" s="657"/>
      <c r="BB1218" s="657"/>
      <c r="BC1218" s="657"/>
      <c r="BD1218" s="657"/>
      <c r="BE1218" s="657"/>
      <c r="BF1218" s="657"/>
      <c r="BG1218" s="657">
        <f>I1218/13</f>
        <v>92</v>
      </c>
      <c r="BH1218" s="657"/>
      <c r="BI1218" s="657"/>
      <c r="BJ1218" s="657"/>
      <c r="BK1218" s="693"/>
      <c r="BL1218" s="657"/>
      <c r="BM1218" s="657"/>
      <c r="BN1218" s="657"/>
      <c r="BO1218" s="657"/>
      <c r="BP1218" s="657"/>
      <c r="BQ1218" s="657"/>
      <c r="BR1218" s="657"/>
      <c r="BS1218" s="657"/>
      <c r="BT1218" s="660"/>
      <c r="BU1218" s="657"/>
      <c r="BV1218" s="660"/>
      <c r="BW1218" s="657"/>
      <c r="BX1218" s="657"/>
      <c r="BY1218" s="657"/>
      <c r="BZ1218" s="657"/>
      <c r="CA1218" s="657"/>
      <c r="CB1218" s="657"/>
      <c r="CC1218" s="657"/>
      <c r="CD1218" s="657"/>
      <c r="CE1218" s="657"/>
      <c r="CF1218" s="657"/>
      <c r="CG1218" s="657"/>
      <c r="CH1218" s="657"/>
      <c r="CI1218" s="657"/>
      <c r="CJ1218" s="657"/>
      <c r="CK1218" s="432">
        <f>BM1218+BL1218+BK1218+BJ1218+BS1218</f>
        <v>0</v>
      </c>
      <c r="CL1218" s="432">
        <f>CA1218+CB1218+CC1218+CD1218+CE1218+CG1218+CF1218</f>
        <v>0</v>
      </c>
      <c r="CM1218" s="432">
        <f>BY1218+BZ1218</f>
        <v>0</v>
      </c>
      <c r="CN1218" s="694"/>
      <c r="CO1218" s="694"/>
      <c r="CP1218" s="694"/>
      <c r="CT1218" s="694"/>
      <c r="CU1218" s="694"/>
      <c r="CV1218" s="694"/>
      <c r="CW1218" s="694"/>
      <c r="CX1218" s="694"/>
    </row>
    <row r="1219" s="432" customFormat="1" ht="31" customHeight="1" spans="1:102">
      <c r="A1219" s="633">
        <v>45978</v>
      </c>
      <c r="B1219" s="497" t="s">
        <v>1372</v>
      </c>
      <c r="C1219" s="634" t="s">
        <v>90</v>
      </c>
      <c r="D1219" s="432">
        <v>4500185970</v>
      </c>
      <c r="E1219" s="894" t="s">
        <v>3068</v>
      </c>
      <c r="F1219" s="432" t="s">
        <v>3069</v>
      </c>
      <c r="G1219" s="482" t="s">
        <v>5575</v>
      </c>
      <c r="H1219" s="482" t="s">
        <v>744</v>
      </c>
      <c r="I1219" s="482">
        <v>5400</v>
      </c>
      <c r="J1219" s="482">
        <v>0</v>
      </c>
      <c r="K1219" s="482">
        <v>75</v>
      </c>
      <c r="L1219" s="639">
        <f t="shared" si="479"/>
        <v>72</v>
      </c>
      <c r="M1219" s="644">
        <v>46135</v>
      </c>
      <c r="N1219" s="644">
        <v>46132</v>
      </c>
      <c r="O1219" s="641"/>
      <c r="P1219" s="641"/>
      <c r="Q1219" s="482"/>
      <c r="R1219" s="647" t="s">
        <v>2432</v>
      </c>
      <c r="S1219" s="647" t="s">
        <v>66</v>
      </c>
      <c r="T1219" s="647" t="s">
        <v>66</v>
      </c>
      <c r="U1219" s="647"/>
      <c r="V1219" s="508" t="s">
        <v>2565</v>
      </c>
      <c r="W1219" s="650" t="s">
        <v>821</v>
      </c>
      <c r="X1219" s="508">
        <v>359.3436</v>
      </c>
      <c r="Y1219" s="651">
        <f>X1219*L1219</f>
        <v>25872.7392</v>
      </c>
      <c r="Z1219" s="482"/>
      <c r="AA1219" s="497" t="s">
        <v>1378</v>
      </c>
      <c r="AB1219" s="482" t="s">
        <v>76</v>
      </c>
      <c r="AC1219" s="482"/>
      <c r="AD1219" s="497"/>
      <c r="AE1219" s="497"/>
      <c r="AF1219" s="482"/>
      <c r="AG1219" s="482">
        <f t="shared" si="480"/>
        <v>-5400</v>
      </c>
      <c r="AH1219" s="655"/>
      <c r="AI1219" s="482"/>
      <c r="AJ1219" s="482"/>
      <c r="AK1219" s="549">
        <f>I1219*3</f>
        <v>16200</v>
      </c>
      <c r="AL1219" s="656"/>
      <c r="AR1219" s="656"/>
      <c r="AS1219" s="656"/>
      <c r="AT1219" s="660"/>
      <c r="AY1219" s="581">
        <f>I1219/24*3</f>
        <v>675</v>
      </c>
      <c r="AZ1219" s="662"/>
      <c r="BC1219" s="432">
        <f>AK1219</f>
        <v>16200</v>
      </c>
      <c r="BD1219" s="432">
        <f>AK1219</f>
        <v>16200</v>
      </c>
      <c r="BE1219" s="432">
        <f>I1219</f>
        <v>5400</v>
      </c>
      <c r="BF1219" s="432">
        <f>I1219/5</f>
        <v>1080</v>
      </c>
      <c r="BT1219" s="660"/>
      <c r="BV1219" s="660"/>
      <c r="CK1219" s="428">
        <f>BM1219+BL1219+BK1219+BJ1219+BS1219</f>
        <v>0</v>
      </c>
      <c r="CL1219" s="428">
        <f>CA1219+CB1219+CC1219+CD1219+CE1219+CG1219+CF1219</f>
        <v>0</v>
      </c>
      <c r="CM1219" s="428">
        <f>BY1219+BZ1219</f>
        <v>0</v>
      </c>
      <c r="CN1219" s="660"/>
      <c r="CO1219" s="660"/>
      <c r="CP1219" s="660"/>
      <c r="CT1219" s="660"/>
      <c r="CU1219" s="660"/>
      <c r="CV1219" s="660"/>
      <c r="CW1219" s="660"/>
      <c r="CX1219" s="660"/>
    </row>
    <row r="1220" s="432" customFormat="1" ht="31" customHeight="1" spans="1:102">
      <c r="A1220" s="633">
        <v>45995</v>
      </c>
      <c r="B1220" s="497" t="s">
        <v>2489</v>
      </c>
      <c r="C1220" s="634" t="s">
        <v>90</v>
      </c>
      <c r="D1220" s="432">
        <v>4500186354</v>
      </c>
      <c r="E1220" s="635">
        <v>60260799</v>
      </c>
      <c r="F1220" s="432" t="s">
        <v>6050</v>
      </c>
      <c r="G1220" s="482" t="s">
        <v>4564</v>
      </c>
      <c r="H1220" s="482" t="s">
        <v>3237</v>
      </c>
      <c r="I1220" s="482">
        <v>2004</v>
      </c>
      <c r="J1220" s="482">
        <v>0</v>
      </c>
      <c r="K1220" s="482">
        <v>12</v>
      </c>
      <c r="L1220" s="639">
        <f t="shared" si="479"/>
        <v>167</v>
      </c>
      <c r="M1220" s="640">
        <v>46135</v>
      </c>
      <c r="N1220" s="640">
        <v>46132</v>
      </c>
      <c r="O1220" s="641"/>
      <c r="P1220" s="641"/>
      <c r="Q1220" s="482"/>
      <c r="R1220" s="647">
        <v>45995</v>
      </c>
      <c r="S1220" s="647" t="s">
        <v>66</v>
      </c>
      <c r="T1220" s="647" t="s">
        <v>2493</v>
      </c>
      <c r="U1220" s="647"/>
      <c r="V1220" s="508" t="s">
        <v>6051</v>
      </c>
      <c r="W1220" s="650" t="s">
        <v>2441</v>
      </c>
      <c r="X1220" s="508">
        <v>1.2871</v>
      </c>
      <c r="Y1220" s="651">
        <f>X1220*I1220</f>
        <v>2579.3484</v>
      </c>
      <c r="Z1220" s="482"/>
      <c r="AA1220" s="482" t="s">
        <v>5650</v>
      </c>
      <c r="AB1220" s="482" t="s">
        <v>76</v>
      </c>
      <c r="AC1220" s="482"/>
      <c r="AD1220" s="497"/>
      <c r="AE1220" s="497"/>
      <c r="AF1220" s="482"/>
      <c r="AG1220" s="482">
        <f t="shared" si="480"/>
        <v>-2004</v>
      </c>
      <c r="AH1220" s="655"/>
      <c r="AI1220" s="482"/>
      <c r="AJ1220" s="482"/>
      <c r="AK1220" s="482">
        <f>I1220*2</f>
        <v>4008</v>
      </c>
      <c r="AL1220" s="656"/>
      <c r="AM1220" s="432">
        <f>I1220*2</f>
        <v>4008</v>
      </c>
      <c r="AR1220" s="656">
        <f>I1220*2</f>
        <v>4008</v>
      </c>
      <c r="AS1220" s="656"/>
      <c r="AT1220" s="660"/>
      <c r="AY1220" s="581">
        <f>I1220/24*2</f>
        <v>167</v>
      </c>
      <c r="AZ1220" s="662"/>
      <c r="BT1220" s="660"/>
      <c r="BV1220" s="660"/>
      <c r="CH1220" s="432">
        <f>I1220</f>
        <v>2004</v>
      </c>
      <c r="CI1220" s="432">
        <f>I1220</f>
        <v>2004</v>
      </c>
      <c r="CJ1220" s="432">
        <f>I1220</f>
        <v>2004</v>
      </c>
      <c r="CK1220" s="432">
        <v>0</v>
      </c>
      <c r="CL1220" s="432">
        <v>0</v>
      </c>
      <c r="CM1220" s="432">
        <v>0</v>
      </c>
      <c r="CN1220" s="660"/>
      <c r="CO1220" s="660"/>
      <c r="CP1220" s="660"/>
      <c r="CT1220" s="660"/>
      <c r="CU1220" s="660"/>
      <c r="CV1220" s="660"/>
      <c r="CW1220" s="660"/>
      <c r="CX1220" s="660"/>
    </row>
    <row r="1221" s="432" customFormat="1" ht="31" customHeight="1" spans="1:102">
      <c r="A1221" s="633">
        <v>45995</v>
      </c>
      <c r="B1221" s="497" t="s">
        <v>2489</v>
      </c>
      <c r="C1221" s="634" t="s">
        <v>90</v>
      </c>
      <c r="D1221" s="432">
        <v>4500186354</v>
      </c>
      <c r="E1221" s="635">
        <v>60260799</v>
      </c>
      <c r="F1221" s="432" t="s">
        <v>3070</v>
      </c>
      <c r="G1221" s="482" t="s">
        <v>5627</v>
      </c>
      <c r="H1221" s="482" t="s">
        <v>5628</v>
      </c>
      <c r="I1221" s="482">
        <v>1600</v>
      </c>
      <c r="J1221" s="482">
        <v>0</v>
      </c>
      <c r="K1221" s="482">
        <v>8</v>
      </c>
      <c r="L1221" s="639">
        <f t="shared" si="479"/>
        <v>200</v>
      </c>
      <c r="M1221" s="640">
        <v>46135</v>
      </c>
      <c r="N1221" s="640">
        <v>46132</v>
      </c>
      <c r="O1221" s="641"/>
      <c r="P1221" s="641"/>
      <c r="Q1221" s="482"/>
      <c r="R1221" s="647">
        <v>45995</v>
      </c>
      <c r="S1221" s="647" t="s">
        <v>66</v>
      </c>
      <c r="T1221" s="647" t="s">
        <v>5629</v>
      </c>
      <c r="U1221" s="647"/>
      <c r="V1221" s="571" t="s">
        <v>3071</v>
      </c>
      <c r="W1221" s="650" t="s">
        <v>2441</v>
      </c>
      <c r="X1221" s="508">
        <v>4.0996</v>
      </c>
      <c r="Y1221" s="651">
        <f>X1221*I1221</f>
        <v>6559.36</v>
      </c>
      <c r="Z1221" s="482"/>
      <c r="AA1221" s="482" t="s">
        <v>2495</v>
      </c>
      <c r="AB1221" s="482" t="s">
        <v>76</v>
      </c>
      <c r="AC1221" s="482"/>
      <c r="AD1221" s="497"/>
      <c r="AE1221" s="497"/>
      <c r="AF1221" s="482"/>
      <c r="AG1221" s="482">
        <f t="shared" si="480"/>
        <v>-1600</v>
      </c>
      <c r="AH1221" s="655"/>
      <c r="AI1221" s="482"/>
      <c r="AJ1221" s="482"/>
      <c r="AK1221" s="482">
        <f>I1221*2</f>
        <v>3200</v>
      </c>
      <c r="AL1221" s="656"/>
      <c r="AM1221" s="432">
        <f>I1221*2</f>
        <v>3200</v>
      </c>
      <c r="AR1221" s="432">
        <f>I1221</f>
        <v>1600</v>
      </c>
      <c r="AS1221" s="656"/>
      <c r="AT1221" s="660"/>
      <c r="AY1221" s="663">
        <f>I1221/24*2</f>
        <v>133.333333333333</v>
      </c>
      <c r="AZ1221" s="662"/>
      <c r="BT1221" s="660"/>
      <c r="BV1221" s="660">
        <f>I1221</f>
        <v>1600</v>
      </c>
      <c r="CK1221" s="432">
        <f>BM1221+BL1221+BK1221+BJ1221+BS1221</f>
        <v>0</v>
      </c>
      <c r="CL1221" s="432">
        <f>CA1221+CB1221+CC1221+CD1221+CE1221+CG1221+CF1221</f>
        <v>0</v>
      </c>
      <c r="CM1221" s="432">
        <f>BY1221+BZ1221</f>
        <v>0</v>
      </c>
      <c r="CN1221" s="660"/>
      <c r="CO1221" s="660"/>
      <c r="CP1221" s="660"/>
      <c r="CT1221" s="660"/>
      <c r="CU1221" s="660"/>
      <c r="CV1221" s="660"/>
      <c r="CW1221" s="660"/>
      <c r="CX1221" s="660"/>
    </row>
    <row r="1222" s="424" customFormat="1" ht="31" customHeight="1" spans="1:102">
      <c r="A1222" s="633">
        <v>46017</v>
      </c>
      <c r="B1222" s="497" t="s">
        <v>5188</v>
      </c>
      <c r="C1222" s="634" t="s">
        <v>90</v>
      </c>
      <c r="D1222" s="432">
        <v>4500190084</v>
      </c>
      <c r="E1222" s="635">
        <v>49878306</v>
      </c>
      <c r="F1222" s="432" t="s">
        <v>6052</v>
      </c>
      <c r="G1222" s="482" t="s">
        <v>5191</v>
      </c>
      <c r="H1222" s="482" t="s">
        <v>3214</v>
      </c>
      <c r="I1222" s="645">
        <v>21180</v>
      </c>
      <c r="J1222" s="482">
        <v>0</v>
      </c>
      <c r="K1222" s="482">
        <v>6</v>
      </c>
      <c r="L1222" s="639">
        <f t="shared" si="479"/>
        <v>3530</v>
      </c>
      <c r="M1222" s="640">
        <v>46135</v>
      </c>
      <c r="N1222" s="640">
        <v>46132</v>
      </c>
      <c r="O1222" s="641"/>
      <c r="P1222" s="641"/>
      <c r="Q1222" s="482"/>
      <c r="R1222" s="647">
        <v>46017</v>
      </c>
      <c r="S1222" s="647" t="s">
        <v>96</v>
      </c>
      <c r="T1222" s="647" t="s">
        <v>6053</v>
      </c>
      <c r="U1222" s="647" t="s">
        <v>6054</v>
      </c>
      <c r="V1222" s="508" t="s">
        <v>6055</v>
      </c>
      <c r="W1222" s="651" t="s">
        <v>5195</v>
      </c>
      <c r="X1222" s="508">
        <v>0.5848</v>
      </c>
      <c r="Y1222" s="651">
        <f>X1222*I1222</f>
        <v>12386.064</v>
      </c>
      <c r="Z1222" s="482"/>
      <c r="AA1222" s="482" t="s">
        <v>5191</v>
      </c>
      <c r="AB1222" s="482" t="s">
        <v>76</v>
      </c>
      <c r="AC1222" s="482"/>
      <c r="AD1222" s="497"/>
      <c r="AE1222" s="497"/>
      <c r="AF1222" s="482"/>
      <c r="AG1222" s="482">
        <f t="shared" si="480"/>
        <v>-21180</v>
      </c>
      <c r="AH1222" s="655"/>
      <c r="AI1222" s="482"/>
      <c r="AJ1222" s="482"/>
      <c r="AK1222" s="482">
        <f>I1222</f>
        <v>21180</v>
      </c>
      <c r="AL1222" s="656"/>
      <c r="AM1222" s="432">
        <f>I1222</f>
        <v>21180</v>
      </c>
      <c r="AN1222" s="657"/>
      <c r="AO1222" s="661"/>
      <c r="AP1222" s="657"/>
      <c r="AQ1222" s="657"/>
      <c r="AR1222" s="656">
        <f>I1222</f>
        <v>21180</v>
      </c>
      <c r="AS1222" s="656"/>
      <c r="AT1222" s="660"/>
      <c r="AU1222" s="657"/>
      <c r="AV1222" s="657"/>
      <c r="AW1222" s="657"/>
      <c r="AX1222" s="657"/>
      <c r="AY1222" s="663">
        <f>I1222/24</f>
        <v>882.5</v>
      </c>
      <c r="AZ1222" s="662"/>
      <c r="BA1222" s="657"/>
      <c r="BB1222" s="657"/>
      <c r="BC1222" s="657"/>
      <c r="BD1222" s="657"/>
      <c r="BE1222" s="657"/>
      <c r="BF1222" s="657"/>
      <c r="BG1222" s="657"/>
      <c r="BH1222" s="657"/>
      <c r="BI1222" s="657"/>
      <c r="BJ1222" s="657"/>
      <c r="BK1222" s="657"/>
      <c r="BL1222" s="657"/>
      <c r="BM1222" s="657"/>
      <c r="BN1222" s="657"/>
      <c r="BO1222" s="657"/>
      <c r="BP1222" s="432">
        <f>L1222</f>
        <v>3530</v>
      </c>
      <c r="BQ1222" s="657"/>
      <c r="BR1222" s="657"/>
      <c r="BS1222" s="657"/>
      <c r="BT1222" s="660"/>
      <c r="BU1222" s="657"/>
      <c r="BV1222" s="660"/>
      <c r="BW1222" s="657"/>
      <c r="BX1222" s="657"/>
      <c r="BY1222" s="657"/>
      <c r="BZ1222" s="657"/>
      <c r="CA1222" s="657"/>
      <c r="CB1222" s="657"/>
      <c r="CC1222" s="657"/>
      <c r="CD1222" s="657"/>
      <c r="CE1222" s="657"/>
      <c r="CF1222" s="657"/>
      <c r="CG1222" s="657"/>
      <c r="CH1222" s="657"/>
      <c r="CI1222" s="657"/>
      <c r="CJ1222" s="657"/>
      <c r="CK1222" s="432">
        <f>BM1222+BL1222+BK1222+BJ1222+BS1222</f>
        <v>0</v>
      </c>
      <c r="CL1222" s="432">
        <f>CA1222+CB1222+CC1222+CD1222+CE1222+CG1222+CF1222</f>
        <v>0</v>
      </c>
      <c r="CM1222" s="432">
        <f>BY1222+BZ1222</f>
        <v>0</v>
      </c>
      <c r="CN1222" s="660"/>
      <c r="CO1222" s="660"/>
      <c r="CP1222" s="660"/>
      <c r="CT1222" s="660"/>
      <c r="CU1222" s="660"/>
      <c r="CV1222" s="660"/>
      <c r="CW1222" s="660"/>
      <c r="CX1222" s="660"/>
    </row>
    <row r="1223" s="432" customFormat="1" ht="31" customHeight="1" spans="1:102">
      <c r="A1223" s="633">
        <v>45978</v>
      </c>
      <c r="B1223" s="497" t="s">
        <v>1372</v>
      </c>
      <c r="C1223" s="634" t="s">
        <v>90</v>
      </c>
      <c r="D1223" s="432">
        <v>4500185971</v>
      </c>
      <c r="E1223" s="894" t="s">
        <v>3072</v>
      </c>
      <c r="F1223" s="432" t="s">
        <v>3073</v>
      </c>
      <c r="G1223" s="482" t="s">
        <v>5575</v>
      </c>
      <c r="H1223" s="482" t="s">
        <v>744</v>
      </c>
      <c r="I1223" s="482">
        <v>5400</v>
      </c>
      <c r="J1223" s="482">
        <v>0</v>
      </c>
      <c r="K1223" s="482">
        <v>75</v>
      </c>
      <c r="L1223" s="639">
        <f t="shared" ref="L1223:L1229" si="481">I1223/K1223</f>
        <v>72</v>
      </c>
      <c r="M1223" s="644">
        <v>46141</v>
      </c>
      <c r="N1223" s="644">
        <v>46137</v>
      </c>
      <c r="O1223" s="641"/>
      <c r="P1223" s="641"/>
      <c r="Q1223" s="482"/>
      <c r="R1223" s="647" t="s">
        <v>2432</v>
      </c>
      <c r="S1223" s="647" t="s">
        <v>66</v>
      </c>
      <c r="T1223" s="647" t="s">
        <v>66</v>
      </c>
      <c r="U1223" s="647"/>
      <c r="V1223" s="508" t="s">
        <v>2565</v>
      </c>
      <c r="W1223" s="650" t="s">
        <v>821</v>
      </c>
      <c r="X1223" s="508">
        <v>359.3436</v>
      </c>
      <c r="Y1223" s="651">
        <f>X1223*L1223</f>
        <v>25872.7392</v>
      </c>
      <c r="Z1223" s="482"/>
      <c r="AA1223" s="497" t="s">
        <v>1378</v>
      </c>
      <c r="AB1223" s="482" t="s">
        <v>76</v>
      </c>
      <c r="AC1223" s="482"/>
      <c r="AD1223" s="497"/>
      <c r="AE1223" s="497"/>
      <c r="AF1223" s="482"/>
      <c r="AG1223" s="482">
        <f t="shared" ref="AG1223:AG1228" si="482">AF1223-I1223</f>
        <v>-5400</v>
      </c>
      <c r="AH1223" s="655"/>
      <c r="AI1223" s="482"/>
      <c r="AJ1223" s="482"/>
      <c r="AK1223" s="549">
        <f>I1223*3</f>
        <v>16200</v>
      </c>
      <c r="AL1223" s="656"/>
      <c r="AR1223" s="656"/>
      <c r="AS1223" s="656"/>
      <c r="AT1223" s="660"/>
      <c r="AY1223" s="581">
        <f>I1223/24*3</f>
        <v>675</v>
      </c>
      <c r="AZ1223" s="662"/>
      <c r="BC1223" s="432">
        <f>AK1223</f>
        <v>16200</v>
      </c>
      <c r="BD1223" s="432">
        <f>AK1223</f>
        <v>16200</v>
      </c>
      <c r="BE1223" s="432">
        <f>I1223</f>
        <v>5400</v>
      </c>
      <c r="BF1223" s="432">
        <f>I1223/5</f>
        <v>1080</v>
      </c>
      <c r="BT1223" s="660"/>
      <c r="BV1223" s="660"/>
      <c r="CK1223" s="428">
        <f>BM1223+BL1223+BK1223+BJ1223+BS1223</f>
        <v>0</v>
      </c>
      <c r="CL1223" s="428">
        <f>CA1223+CB1223+CC1223+CD1223+CE1223+CG1223+CF1223</f>
        <v>0</v>
      </c>
      <c r="CM1223" s="428">
        <f>BY1223+BZ1223</f>
        <v>0</v>
      </c>
      <c r="CN1223" s="660"/>
      <c r="CO1223" s="660"/>
      <c r="CP1223" s="660"/>
      <c r="CT1223" s="660"/>
      <c r="CU1223" s="660"/>
      <c r="CV1223" s="660"/>
      <c r="CW1223" s="660"/>
      <c r="CX1223" s="660"/>
    </row>
    <row r="1224" s="432" customFormat="1" ht="31" customHeight="1" spans="1:102">
      <c r="A1224" s="633">
        <v>45978</v>
      </c>
      <c r="B1224" s="497" t="s">
        <v>1372</v>
      </c>
      <c r="C1224" s="634" t="s">
        <v>90</v>
      </c>
      <c r="D1224" s="432">
        <v>4500185973</v>
      </c>
      <c r="E1224" s="894" t="s">
        <v>3074</v>
      </c>
      <c r="F1224" s="432" t="s">
        <v>3075</v>
      </c>
      <c r="G1224" s="482" t="s">
        <v>5575</v>
      </c>
      <c r="H1224" s="482" t="s">
        <v>744</v>
      </c>
      <c r="I1224" s="482">
        <v>5400</v>
      </c>
      <c r="J1224" s="482">
        <v>0</v>
      </c>
      <c r="K1224" s="482">
        <v>75</v>
      </c>
      <c r="L1224" s="639">
        <f t="shared" si="481"/>
        <v>72</v>
      </c>
      <c r="M1224" s="644">
        <v>46142</v>
      </c>
      <c r="N1224" s="644">
        <v>46139</v>
      </c>
      <c r="O1224" s="641"/>
      <c r="P1224" s="641"/>
      <c r="Q1224" s="482"/>
      <c r="R1224" s="647" t="s">
        <v>2432</v>
      </c>
      <c r="S1224" s="647" t="s">
        <v>66</v>
      </c>
      <c r="T1224" s="647" t="s">
        <v>66</v>
      </c>
      <c r="U1224" s="647"/>
      <c r="V1224" s="508" t="s">
        <v>2565</v>
      </c>
      <c r="W1224" s="650" t="s">
        <v>821</v>
      </c>
      <c r="X1224" s="508">
        <v>359.3436</v>
      </c>
      <c r="Y1224" s="651">
        <f>X1224*L1224</f>
        <v>25872.7392</v>
      </c>
      <c r="Z1224" s="482"/>
      <c r="AA1224" s="497" t="s">
        <v>1378</v>
      </c>
      <c r="AB1224" s="482" t="s">
        <v>76</v>
      </c>
      <c r="AC1224" s="482"/>
      <c r="AD1224" s="497"/>
      <c r="AE1224" s="497"/>
      <c r="AF1224" s="482"/>
      <c r="AG1224" s="482">
        <f t="shared" si="482"/>
        <v>-5400</v>
      </c>
      <c r="AH1224" s="655"/>
      <c r="AI1224" s="482"/>
      <c r="AJ1224" s="482"/>
      <c r="AK1224" s="549">
        <f>I1224*3</f>
        <v>16200</v>
      </c>
      <c r="AL1224" s="656"/>
      <c r="AR1224" s="656"/>
      <c r="AS1224" s="656"/>
      <c r="AT1224" s="660"/>
      <c r="AY1224" s="581">
        <f>I1224/24*3</f>
        <v>675</v>
      </c>
      <c r="AZ1224" s="662"/>
      <c r="BC1224" s="432">
        <f>AK1224</f>
        <v>16200</v>
      </c>
      <c r="BD1224" s="432">
        <f>AK1224</f>
        <v>16200</v>
      </c>
      <c r="BE1224" s="432">
        <f>I1224</f>
        <v>5400</v>
      </c>
      <c r="BF1224" s="432">
        <f>I1224/5</f>
        <v>1080</v>
      </c>
      <c r="BT1224" s="660"/>
      <c r="BV1224" s="660"/>
      <c r="CK1224" s="428">
        <f>BM1224+BL1224+BK1224+BJ1224+BS1224</f>
        <v>0</v>
      </c>
      <c r="CL1224" s="428">
        <f>CA1224+CB1224+CC1224+CD1224+CE1224+CG1224+CF1224</f>
        <v>0</v>
      </c>
      <c r="CM1224" s="428">
        <f>BY1224+BZ1224</f>
        <v>0</v>
      </c>
      <c r="CN1224" s="660"/>
      <c r="CO1224" s="660"/>
      <c r="CP1224" s="660"/>
      <c r="CT1224" s="660"/>
      <c r="CU1224" s="660"/>
      <c r="CV1224" s="660"/>
      <c r="CW1224" s="660"/>
      <c r="CX1224" s="660"/>
    </row>
    <row r="1225" s="432" customFormat="1" ht="31" customHeight="1" spans="1:102">
      <c r="A1225" s="633">
        <v>45995</v>
      </c>
      <c r="B1225" s="497" t="s">
        <v>2489</v>
      </c>
      <c r="C1225" s="634" t="s">
        <v>90</v>
      </c>
      <c r="D1225" s="432">
        <v>4500186369</v>
      </c>
      <c r="E1225" s="635">
        <v>60260844</v>
      </c>
      <c r="F1225" s="432" t="s">
        <v>6056</v>
      </c>
      <c r="G1225" s="482" t="s">
        <v>4564</v>
      </c>
      <c r="H1225" s="482" t="s">
        <v>3237</v>
      </c>
      <c r="I1225" s="482">
        <v>2004</v>
      </c>
      <c r="J1225" s="482">
        <v>0</v>
      </c>
      <c r="K1225" s="482">
        <v>12</v>
      </c>
      <c r="L1225" s="639">
        <f t="shared" si="481"/>
        <v>167</v>
      </c>
      <c r="M1225" s="640">
        <v>46150</v>
      </c>
      <c r="N1225" s="640">
        <v>46146</v>
      </c>
      <c r="O1225" s="641"/>
      <c r="P1225" s="641"/>
      <c r="Q1225" s="482"/>
      <c r="R1225" s="647">
        <v>45995</v>
      </c>
      <c r="S1225" s="647" t="s">
        <v>66</v>
      </c>
      <c r="T1225" s="647" t="s">
        <v>2493</v>
      </c>
      <c r="U1225" s="647"/>
      <c r="V1225" s="508" t="s">
        <v>6057</v>
      </c>
      <c r="W1225" s="650" t="s">
        <v>2441</v>
      </c>
      <c r="X1225" s="508">
        <v>1.2871</v>
      </c>
      <c r="Y1225" s="651">
        <f>X1225*I1225</f>
        <v>2579.3484</v>
      </c>
      <c r="Z1225" s="482"/>
      <c r="AA1225" s="482" t="s">
        <v>5650</v>
      </c>
      <c r="AB1225" s="482" t="s">
        <v>76</v>
      </c>
      <c r="AC1225" s="482"/>
      <c r="AD1225" s="497"/>
      <c r="AE1225" s="497"/>
      <c r="AF1225" s="482"/>
      <c r="AG1225" s="482">
        <f t="shared" si="482"/>
        <v>-2004</v>
      </c>
      <c r="AH1225" s="655"/>
      <c r="AI1225" s="482"/>
      <c r="AJ1225" s="482"/>
      <c r="AK1225" s="482">
        <f>I1225*2</f>
        <v>4008</v>
      </c>
      <c r="AL1225" s="656"/>
      <c r="AM1225" s="432">
        <f>I1225*2</f>
        <v>4008</v>
      </c>
      <c r="AR1225" s="656">
        <f>I1225*2</f>
        <v>4008</v>
      </c>
      <c r="AS1225" s="656"/>
      <c r="AT1225" s="660"/>
      <c r="AY1225" s="581">
        <f>I1225/24*2</f>
        <v>167</v>
      </c>
      <c r="AZ1225" s="662"/>
      <c r="BT1225" s="660"/>
      <c r="BV1225" s="660"/>
      <c r="CH1225" s="432">
        <f>I1225</f>
        <v>2004</v>
      </c>
      <c r="CI1225" s="432">
        <f>I1225</f>
        <v>2004</v>
      </c>
      <c r="CJ1225" s="432">
        <f>I1225</f>
        <v>2004</v>
      </c>
      <c r="CK1225" s="432">
        <v>0</v>
      </c>
      <c r="CL1225" s="432">
        <v>0</v>
      </c>
      <c r="CM1225" s="432">
        <v>0</v>
      </c>
      <c r="CN1225" s="660"/>
      <c r="CO1225" s="660"/>
      <c r="CP1225" s="660"/>
      <c r="CT1225" s="660"/>
      <c r="CU1225" s="660"/>
      <c r="CV1225" s="660"/>
      <c r="CW1225" s="660"/>
      <c r="CX1225" s="660"/>
    </row>
    <row r="1226" s="432" customFormat="1" ht="31" customHeight="1" spans="1:102">
      <c r="A1226" s="633">
        <v>45995</v>
      </c>
      <c r="B1226" s="497" t="s">
        <v>2489</v>
      </c>
      <c r="C1226" s="634" t="s">
        <v>90</v>
      </c>
      <c r="D1226" s="432">
        <v>4500186369</v>
      </c>
      <c r="E1226" s="635">
        <v>60260844</v>
      </c>
      <c r="F1226" s="432" t="s">
        <v>3076</v>
      </c>
      <c r="G1226" s="482" t="s">
        <v>5627</v>
      </c>
      <c r="H1226" s="482" t="s">
        <v>5628</v>
      </c>
      <c r="I1226" s="482">
        <v>2000</v>
      </c>
      <c r="J1226" s="482">
        <v>0</v>
      </c>
      <c r="K1226" s="482">
        <v>8</v>
      </c>
      <c r="L1226" s="639">
        <f t="shared" si="481"/>
        <v>250</v>
      </c>
      <c r="M1226" s="640">
        <v>46150</v>
      </c>
      <c r="N1226" s="640">
        <v>46146</v>
      </c>
      <c r="O1226" s="641"/>
      <c r="P1226" s="641"/>
      <c r="Q1226" s="482"/>
      <c r="R1226" s="647">
        <v>45995</v>
      </c>
      <c r="S1226" s="647" t="s">
        <v>66</v>
      </c>
      <c r="T1226" s="647" t="s">
        <v>5629</v>
      </c>
      <c r="U1226" s="647"/>
      <c r="V1226" s="571" t="s">
        <v>3077</v>
      </c>
      <c r="W1226" s="650" t="s">
        <v>2441</v>
      </c>
      <c r="X1226" s="508">
        <v>4.097</v>
      </c>
      <c r="Y1226" s="651">
        <f>X1226*I1226</f>
        <v>8194</v>
      </c>
      <c r="Z1226" s="482"/>
      <c r="AA1226" s="482" t="s">
        <v>2495</v>
      </c>
      <c r="AB1226" s="482" t="s">
        <v>76</v>
      </c>
      <c r="AC1226" s="482"/>
      <c r="AD1226" s="497"/>
      <c r="AE1226" s="497"/>
      <c r="AF1226" s="482"/>
      <c r="AG1226" s="482">
        <f t="shared" si="482"/>
        <v>-2000</v>
      </c>
      <c r="AH1226" s="655"/>
      <c r="AI1226" s="482"/>
      <c r="AJ1226" s="482"/>
      <c r="AK1226" s="482">
        <f>I1226*2</f>
        <v>4000</v>
      </c>
      <c r="AL1226" s="656"/>
      <c r="AM1226" s="432">
        <f>I1226*2</f>
        <v>4000</v>
      </c>
      <c r="AR1226" s="432">
        <f>I1226</f>
        <v>2000</v>
      </c>
      <c r="AS1226" s="656"/>
      <c r="AT1226" s="660"/>
      <c r="AY1226" s="663">
        <f>I1226/24*2</f>
        <v>166.666666666667</v>
      </c>
      <c r="AZ1226" s="662"/>
      <c r="BT1226" s="660"/>
      <c r="BV1226" s="660">
        <f>I1226</f>
        <v>2000</v>
      </c>
      <c r="CK1226" s="432">
        <f>BM1226+BL1226+BK1226+BJ1226+BS1226</f>
        <v>0</v>
      </c>
      <c r="CL1226" s="432">
        <f>CA1226+CB1226+CC1226+CD1226+CE1226+CG1226+CF1226</f>
        <v>0</v>
      </c>
      <c r="CM1226" s="432">
        <f>BY1226+BZ1226</f>
        <v>0</v>
      </c>
      <c r="CN1226" s="660"/>
      <c r="CO1226" s="660"/>
      <c r="CP1226" s="660"/>
      <c r="CT1226" s="660"/>
      <c r="CU1226" s="660"/>
      <c r="CV1226" s="660"/>
      <c r="CW1226" s="660"/>
      <c r="CX1226" s="660"/>
    </row>
    <row r="1227" s="432" customFormat="1" ht="31" customHeight="1" spans="1:102">
      <c r="A1227" s="633">
        <v>45995</v>
      </c>
      <c r="B1227" s="497" t="s">
        <v>2489</v>
      </c>
      <c r="C1227" s="634" t="s">
        <v>90</v>
      </c>
      <c r="D1227" s="432">
        <v>4500186375</v>
      </c>
      <c r="E1227" s="635">
        <v>60260879</v>
      </c>
      <c r="F1227" s="432" t="s">
        <v>6058</v>
      </c>
      <c r="G1227" s="482" t="s">
        <v>4564</v>
      </c>
      <c r="H1227" s="482" t="s">
        <v>3237</v>
      </c>
      <c r="I1227" s="482">
        <v>2004</v>
      </c>
      <c r="J1227" s="482">
        <v>0</v>
      </c>
      <c r="K1227" s="482">
        <v>12</v>
      </c>
      <c r="L1227" s="639">
        <f t="shared" si="481"/>
        <v>167</v>
      </c>
      <c r="M1227" s="640">
        <v>46164</v>
      </c>
      <c r="N1227" s="640">
        <v>46160</v>
      </c>
      <c r="O1227" s="641"/>
      <c r="P1227" s="641"/>
      <c r="Q1227" s="482"/>
      <c r="R1227" s="647">
        <v>45995</v>
      </c>
      <c r="S1227" s="647" t="s">
        <v>66</v>
      </c>
      <c r="T1227" s="647" t="s">
        <v>2493</v>
      </c>
      <c r="U1227" s="647"/>
      <c r="V1227" s="508" t="s">
        <v>6059</v>
      </c>
      <c r="W1227" s="650" t="s">
        <v>2441</v>
      </c>
      <c r="X1227" s="508">
        <v>1.2871</v>
      </c>
      <c r="Y1227" s="651">
        <f>X1227*I1227</f>
        <v>2579.3484</v>
      </c>
      <c r="Z1227" s="482"/>
      <c r="AA1227" s="482" t="s">
        <v>5650</v>
      </c>
      <c r="AB1227" s="482" t="s">
        <v>76</v>
      </c>
      <c r="AC1227" s="482"/>
      <c r="AD1227" s="497"/>
      <c r="AE1227" s="497"/>
      <c r="AF1227" s="482"/>
      <c r="AG1227" s="482">
        <f t="shared" si="482"/>
        <v>-2004</v>
      </c>
      <c r="AH1227" s="655"/>
      <c r="AI1227" s="482"/>
      <c r="AJ1227" s="482"/>
      <c r="AK1227" s="482">
        <f>I1227*2</f>
        <v>4008</v>
      </c>
      <c r="AL1227" s="656"/>
      <c r="AM1227" s="432">
        <f>I1227*2</f>
        <v>4008</v>
      </c>
      <c r="AR1227" s="656">
        <f>I1227*2</f>
        <v>4008</v>
      </c>
      <c r="AS1227" s="656"/>
      <c r="AT1227" s="660"/>
      <c r="AY1227" s="581">
        <f>I1227/24*2</f>
        <v>167</v>
      </c>
      <c r="AZ1227" s="662"/>
      <c r="BT1227" s="660"/>
      <c r="BV1227" s="660"/>
      <c r="CH1227" s="432">
        <f>I1227</f>
        <v>2004</v>
      </c>
      <c r="CI1227" s="432">
        <f>I1227</f>
        <v>2004</v>
      </c>
      <c r="CJ1227" s="432">
        <f>I1227</f>
        <v>2004</v>
      </c>
      <c r="CK1227" s="432">
        <v>0</v>
      </c>
      <c r="CL1227" s="432">
        <v>0</v>
      </c>
      <c r="CM1227" s="432">
        <v>0</v>
      </c>
      <c r="CN1227" s="660"/>
      <c r="CO1227" s="660"/>
      <c r="CP1227" s="660"/>
      <c r="CT1227" s="660"/>
      <c r="CU1227" s="660"/>
      <c r="CV1227" s="660"/>
      <c r="CW1227" s="660"/>
      <c r="CX1227" s="660"/>
    </row>
    <row r="1228" s="432" customFormat="1" ht="31" customHeight="1" spans="1:102">
      <c r="A1228" s="633">
        <v>45995</v>
      </c>
      <c r="B1228" s="497" t="s">
        <v>2489</v>
      </c>
      <c r="C1228" s="634" t="s">
        <v>90</v>
      </c>
      <c r="D1228" s="432">
        <v>4500186375</v>
      </c>
      <c r="E1228" s="635">
        <v>60260879</v>
      </c>
      <c r="F1228" s="432" t="s">
        <v>3078</v>
      </c>
      <c r="G1228" s="482" t="s">
        <v>5627</v>
      </c>
      <c r="H1228" s="482" t="s">
        <v>5628</v>
      </c>
      <c r="I1228" s="482">
        <v>1600</v>
      </c>
      <c r="J1228" s="482">
        <v>0</v>
      </c>
      <c r="K1228" s="482">
        <v>8</v>
      </c>
      <c r="L1228" s="639">
        <f t="shared" si="481"/>
        <v>200</v>
      </c>
      <c r="M1228" s="640">
        <v>46164</v>
      </c>
      <c r="N1228" s="640">
        <v>46160</v>
      </c>
      <c r="O1228" s="641"/>
      <c r="P1228" s="641"/>
      <c r="Q1228" s="482"/>
      <c r="R1228" s="647">
        <v>45995</v>
      </c>
      <c r="S1228" s="647" t="s">
        <v>66</v>
      </c>
      <c r="T1228" s="647" t="s">
        <v>5629</v>
      </c>
      <c r="U1228" s="647"/>
      <c r="V1228" s="571" t="s">
        <v>2555</v>
      </c>
      <c r="W1228" s="650" t="s">
        <v>2441</v>
      </c>
      <c r="X1228" s="508">
        <v>4.0996</v>
      </c>
      <c r="Y1228" s="651">
        <f>X1228*I1228</f>
        <v>6559.36</v>
      </c>
      <c r="Z1228" s="482"/>
      <c r="AA1228" s="482" t="s">
        <v>2495</v>
      </c>
      <c r="AB1228" s="482" t="s">
        <v>76</v>
      </c>
      <c r="AC1228" s="482"/>
      <c r="AD1228" s="497"/>
      <c r="AE1228" s="497"/>
      <c r="AF1228" s="482"/>
      <c r="AG1228" s="482">
        <f t="shared" si="482"/>
        <v>-1600</v>
      </c>
      <c r="AH1228" s="655"/>
      <c r="AI1228" s="482"/>
      <c r="AJ1228" s="482"/>
      <c r="AK1228" s="482">
        <f>I1228*2</f>
        <v>3200</v>
      </c>
      <c r="AL1228" s="656"/>
      <c r="AM1228" s="432">
        <f>I1228*2</f>
        <v>3200</v>
      </c>
      <c r="AR1228" s="432">
        <f>I1228</f>
        <v>1600</v>
      </c>
      <c r="AS1228" s="656"/>
      <c r="AT1228" s="660"/>
      <c r="AY1228" s="663">
        <f>I1228/24*2</f>
        <v>133.333333333333</v>
      </c>
      <c r="AZ1228" s="662"/>
      <c r="BT1228" s="660"/>
      <c r="BV1228" s="660">
        <f>I1228</f>
        <v>1600</v>
      </c>
      <c r="CK1228" s="432">
        <f>BM1228+BL1228+BK1228+BJ1228+BS1228</f>
        <v>0</v>
      </c>
      <c r="CL1228" s="432">
        <f>CA1228+CB1228+CC1228+CD1228+CE1228+CG1228+CF1228</f>
        <v>0</v>
      </c>
      <c r="CM1228" s="432">
        <f>BY1228+BZ1228</f>
        <v>0</v>
      </c>
      <c r="CN1228" s="660"/>
      <c r="CO1228" s="660"/>
      <c r="CP1228" s="660"/>
      <c r="CT1228" s="660"/>
      <c r="CU1228" s="660"/>
      <c r="CV1228" s="660"/>
      <c r="CW1228" s="660"/>
      <c r="CX1228" s="660"/>
    </row>
    <row r="1229" s="433" customFormat="1" ht="31" customHeight="1" spans="1:102">
      <c r="A1229" s="633">
        <v>46048</v>
      </c>
      <c r="B1229" s="497" t="s">
        <v>5188</v>
      </c>
      <c r="C1229" s="634" t="s">
        <v>90</v>
      </c>
      <c r="D1229" s="432">
        <v>4500192272</v>
      </c>
      <c r="E1229" s="635">
        <v>49878308</v>
      </c>
      <c r="F1229" s="424" t="s">
        <v>6060</v>
      </c>
      <c r="G1229" s="482" t="s">
        <v>5191</v>
      </c>
      <c r="H1229" s="482" t="s">
        <v>3214</v>
      </c>
      <c r="I1229" s="645">
        <v>21180</v>
      </c>
      <c r="J1229" s="482">
        <v>0</v>
      </c>
      <c r="K1229" s="482">
        <v>6</v>
      </c>
      <c r="L1229" s="639">
        <f t="shared" si="481"/>
        <v>3530</v>
      </c>
      <c r="M1229" s="640">
        <v>46177</v>
      </c>
      <c r="N1229" s="640">
        <v>46174</v>
      </c>
      <c r="O1229" s="641"/>
      <c r="P1229" s="641"/>
      <c r="Q1229" s="482"/>
      <c r="R1229" s="647">
        <v>46048</v>
      </c>
      <c r="S1229" s="647" t="s">
        <v>96</v>
      </c>
      <c r="T1229" s="647" t="s">
        <v>6061</v>
      </c>
      <c r="U1229" s="647" t="s">
        <v>6062</v>
      </c>
      <c r="V1229" s="508" t="s">
        <v>6063</v>
      </c>
      <c r="W1229" s="650" t="s">
        <v>5195</v>
      </c>
      <c r="X1229" s="508">
        <v>0.5462</v>
      </c>
      <c r="Y1229" s="651">
        <f>X1229*I1229</f>
        <v>11568.516</v>
      </c>
      <c r="Z1229" s="482"/>
      <c r="AA1229" s="482" t="s">
        <v>5191</v>
      </c>
      <c r="AB1229" s="482" t="s">
        <v>76</v>
      </c>
      <c r="AC1229" s="482"/>
      <c r="AD1229" s="497"/>
      <c r="AE1229" s="758"/>
      <c r="AF1229" s="482"/>
      <c r="AG1229" s="482"/>
      <c r="AH1229" s="655"/>
      <c r="AI1229" s="482"/>
      <c r="AJ1229" s="482"/>
      <c r="AK1229" s="482">
        <f>I1229</f>
        <v>21180</v>
      </c>
      <c r="AL1229" s="656"/>
      <c r="AM1229" s="657"/>
      <c r="AN1229" s="657"/>
      <c r="AO1229" s="659"/>
      <c r="AP1229" s="657"/>
      <c r="AQ1229" s="657"/>
      <c r="AR1229" s="657"/>
      <c r="AS1229" s="656"/>
      <c r="AT1229" s="660"/>
      <c r="AU1229" s="657"/>
      <c r="AV1229" s="657"/>
      <c r="AW1229" s="657"/>
      <c r="AX1229" s="657"/>
      <c r="AY1229" s="663"/>
      <c r="AZ1229" s="662"/>
      <c r="BA1229" s="657"/>
      <c r="BB1229" s="657"/>
      <c r="BC1229" s="657"/>
      <c r="BD1229" s="657"/>
      <c r="BE1229" s="657"/>
      <c r="BF1229" s="657"/>
      <c r="BG1229" s="657"/>
      <c r="BH1229" s="657"/>
      <c r="BI1229" s="657"/>
      <c r="BJ1229" s="657"/>
      <c r="BK1229" s="693"/>
      <c r="BL1229" s="657"/>
      <c r="BM1229" s="657"/>
      <c r="BN1229" s="657"/>
      <c r="BO1229" s="657"/>
      <c r="BP1229" s="657"/>
      <c r="BQ1229" s="657"/>
      <c r="BR1229" s="657"/>
      <c r="BS1229" s="657"/>
      <c r="BT1229" s="660"/>
      <c r="BU1229" s="657"/>
      <c r="BV1229" s="660"/>
      <c r="BW1229" s="657"/>
      <c r="BX1229" s="657"/>
      <c r="BY1229" s="657"/>
      <c r="BZ1229" s="657"/>
      <c r="CA1229" s="657"/>
      <c r="CB1229" s="657"/>
      <c r="CC1229" s="657"/>
      <c r="CD1229" s="657"/>
      <c r="CE1229" s="657"/>
      <c r="CF1229" s="657"/>
      <c r="CG1229" s="657"/>
      <c r="CH1229" s="657"/>
      <c r="CI1229" s="657"/>
      <c r="CJ1229" s="657"/>
      <c r="CK1229" s="432">
        <f>BM1229+BL1229+BK1229+BJ1229+BS1229</f>
        <v>0</v>
      </c>
      <c r="CL1229" s="432">
        <f>CA1229+CB1229+CC1229+CD1229+CE1229+CG1229+CF1229</f>
        <v>0</v>
      </c>
      <c r="CM1229" s="432">
        <f>BY1229+BZ1229</f>
        <v>0</v>
      </c>
      <c r="CN1229" s="694"/>
      <c r="CO1229" s="694"/>
      <c r="CP1229" s="694"/>
      <c r="CT1229" s="694"/>
      <c r="CU1229" s="694"/>
      <c r="CV1229" s="694"/>
      <c r="CW1229" s="694"/>
      <c r="CX1229" s="694"/>
    </row>
    <row r="1230" s="425" customFormat="1" ht="31" customHeight="1" spans="1:102">
      <c r="A1230" s="746"/>
      <c r="B1230" s="473"/>
      <c r="C1230" s="458"/>
      <c r="E1230" s="458"/>
      <c r="F1230" s="458"/>
      <c r="G1230" s="747"/>
      <c r="H1230" s="458"/>
      <c r="I1230" s="482"/>
      <c r="J1230" s="458"/>
      <c r="K1230" s="458"/>
      <c r="L1230" s="462"/>
      <c r="M1230" s="463"/>
      <c r="N1230" s="463"/>
      <c r="O1230" s="464"/>
      <c r="P1230" s="464"/>
      <c r="Q1230" s="458"/>
      <c r="R1230" s="647"/>
      <c r="S1230" s="647"/>
      <c r="T1230" s="647"/>
      <c r="U1230" s="647"/>
      <c r="W1230" s="463"/>
      <c r="X1230" s="752"/>
      <c r="Z1230" s="458"/>
      <c r="AA1230" s="458"/>
      <c r="AB1230" s="458"/>
      <c r="AC1230" s="458"/>
      <c r="AE1230" s="450"/>
      <c r="AF1230" s="458"/>
      <c r="AG1230" s="464"/>
      <c r="AH1230" s="464"/>
      <c r="AI1230" s="655"/>
      <c r="AJ1230" s="482"/>
      <c r="AK1230" s="482"/>
      <c r="AO1230" s="495"/>
      <c r="AT1230" s="495"/>
      <c r="AY1230" s="498"/>
      <c r="BT1230" s="495"/>
      <c r="BV1230" s="495"/>
      <c r="CN1230" s="495"/>
      <c r="CO1230" s="495"/>
      <c r="CP1230" s="495"/>
      <c r="CT1230" s="495"/>
      <c r="CU1230" s="495"/>
      <c r="CV1230" s="495"/>
      <c r="CW1230" s="495"/>
      <c r="CX1230" s="495"/>
    </row>
    <row r="1231" s="425" customFormat="1" ht="31" customHeight="1" spans="1:102">
      <c r="A1231" s="746"/>
      <c r="B1231" s="473"/>
      <c r="C1231" s="458"/>
      <c r="E1231" s="458"/>
      <c r="F1231" s="458"/>
      <c r="G1231" s="747"/>
      <c r="H1231" s="458"/>
      <c r="I1231" s="751"/>
      <c r="J1231" s="458"/>
      <c r="K1231" s="458"/>
      <c r="L1231" s="462"/>
      <c r="M1231" s="463"/>
      <c r="N1231" s="463"/>
      <c r="O1231" s="464"/>
      <c r="P1231" s="464"/>
      <c r="Q1231" s="458"/>
      <c r="R1231" s="753"/>
      <c r="S1231" s="753"/>
      <c r="T1231" s="753"/>
      <c r="U1231" s="753"/>
      <c r="W1231" s="463"/>
      <c r="X1231" s="754"/>
      <c r="Y1231" s="480"/>
      <c r="Z1231" s="458"/>
      <c r="AA1231" s="458"/>
      <c r="AB1231" s="458"/>
      <c r="AC1231" s="458"/>
      <c r="AE1231" s="434"/>
      <c r="AF1231" s="458"/>
      <c r="AG1231" s="464"/>
      <c r="AH1231" s="464"/>
      <c r="AI1231" s="655"/>
      <c r="AJ1231" s="482"/>
      <c r="AK1231" s="482"/>
      <c r="AO1231" s="495"/>
      <c r="AQ1231" s="432">
        <f>I1231*2</f>
        <v>0</v>
      </c>
      <c r="AT1231" s="495"/>
      <c r="AY1231" s="498"/>
      <c r="BT1231" s="495"/>
      <c r="BV1231" s="495"/>
      <c r="CK1231" s="427"/>
      <c r="CL1231" s="427"/>
      <c r="CM1231" s="427"/>
      <c r="CN1231" s="495"/>
      <c r="CO1231" s="495"/>
      <c r="CP1231" s="495"/>
      <c r="CT1231" s="495"/>
      <c r="CU1231" s="495"/>
      <c r="CV1231" s="495"/>
      <c r="CW1231" s="495"/>
      <c r="CX1231" s="495"/>
    </row>
    <row r="1232" s="425" customFormat="1" ht="31" customHeight="1" spans="1:102">
      <c r="A1232" s="746"/>
      <c r="B1232" s="473"/>
      <c r="C1232" s="458"/>
      <c r="E1232" s="458"/>
      <c r="F1232" s="458"/>
      <c r="G1232" s="463"/>
      <c r="H1232" s="458"/>
      <c r="I1232" s="458"/>
      <c r="J1232" s="458"/>
      <c r="K1232" s="458"/>
      <c r="L1232" s="462"/>
      <c r="M1232" s="463"/>
      <c r="N1232" s="463"/>
      <c r="O1232" s="464"/>
      <c r="P1232" s="464"/>
      <c r="Q1232" s="458"/>
      <c r="R1232" s="753"/>
      <c r="S1232" s="753"/>
      <c r="T1232" s="753"/>
      <c r="U1232" s="753"/>
      <c r="W1232" s="463"/>
      <c r="X1232" s="752"/>
      <c r="Y1232" s="480"/>
      <c r="Z1232" s="458"/>
      <c r="AA1232" s="458"/>
      <c r="AB1232" s="458"/>
      <c r="AC1232" s="458"/>
      <c r="AO1232" s="495"/>
      <c r="AT1232" s="495"/>
      <c r="AY1232" s="498"/>
      <c r="BT1232" s="495"/>
      <c r="BV1232" s="495"/>
      <c r="CN1232" s="495"/>
      <c r="CO1232" s="495"/>
      <c r="CP1232" s="495"/>
      <c r="CT1232" s="495"/>
      <c r="CU1232" s="495"/>
      <c r="CV1232" s="495"/>
      <c r="CW1232" s="495"/>
      <c r="CX1232" s="495"/>
    </row>
    <row r="1233" s="424" customFormat="1" spans="1:102">
      <c r="A1233" s="438"/>
      <c r="E1233" s="439"/>
      <c r="X1233" s="440"/>
      <c r="Y1233" s="441"/>
      <c r="Z1233" s="442"/>
      <c r="AA1233" s="443"/>
      <c r="AB1233" s="444"/>
      <c r="AC1233" s="442"/>
      <c r="AF1233" s="445"/>
      <c r="AG1233" s="445"/>
      <c r="AH1233" s="446"/>
      <c r="AI1233" s="447"/>
      <c r="AJ1233" s="446"/>
      <c r="AO1233" s="448"/>
      <c r="AT1233" s="448"/>
      <c r="AY1233" s="449"/>
      <c r="BT1233" s="448"/>
      <c r="BV1233" s="448"/>
      <c r="CN1233" s="448"/>
      <c r="CO1233" s="448"/>
      <c r="CP1233" s="448"/>
      <c r="CT1233" s="448"/>
      <c r="CU1233" s="448"/>
      <c r="CV1233" s="448"/>
      <c r="CW1233" s="448"/>
      <c r="CX1233" s="448"/>
    </row>
    <row r="1234" s="424" customFormat="1" spans="1:102">
      <c r="A1234" s="438"/>
      <c r="C1234" s="450"/>
      <c r="E1234" s="439"/>
      <c r="G1234" s="693" t="s">
        <v>3080</v>
      </c>
      <c r="I1234" s="693">
        <f>SUM(I2:I1233)</f>
        <v>6967955</v>
      </c>
      <c r="J1234" s="450"/>
      <c r="K1234" s="450"/>
      <c r="L1234" s="450"/>
      <c r="M1234" s="450"/>
      <c r="N1234" s="450"/>
      <c r="O1234" s="450"/>
      <c r="P1234" s="450"/>
      <c r="Q1234" s="450"/>
      <c r="R1234" s="450"/>
      <c r="S1234" s="450"/>
      <c r="T1234" s="450"/>
      <c r="U1234" s="450"/>
      <c r="X1234" s="755"/>
      <c r="Y1234" s="759"/>
      <c r="Z1234" s="444"/>
      <c r="AA1234" s="443"/>
      <c r="AB1234" s="444"/>
      <c r="AC1234" s="444"/>
      <c r="AD1234" s="450"/>
      <c r="AE1234" s="450"/>
      <c r="AF1234" s="445"/>
      <c r="AG1234" s="445"/>
      <c r="AH1234" s="763"/>
      <c r="AI1234" s="764"/>
      <c r="AJ1234" s="763"/>
      <c r="AK1234" s="693">
        <f t="shared" ref="AK1234:AS1234" si="483">SUM(AK2:AK1233)</f>
        <v>5696262</v>
      </c>
      <c r="AL1234" s="693">
        <f t="shared" si="483"/>
        <v>2295377</v>
      </c>
      <c r="AM1234" s="693">
        <f t="shared" si="483"/>
        <v>4018161</v>
      </c>
      <c r="AN1234" s="693">
        <f t="shared" si="483"/>
        <v>226416</v>
      </c>
      <c r="AO1234" s="693">
        <f t="shared" si="483"/>
        <v>24000</v>
      </c>
      <c r="AP1234" s="693">
        <f t="shared" si="483"/>
        <v>309481</v>
      </c>
      <c r="AQ1234" s="693">
        <f t="shared" si="483"/>
        <v>1571194</v>
      </c>
      <c r="AR1234" s="693">
        <f t="shared" si="483"/>
        <v>4801858</v>
      </c>
      <c r="AS1234" s="693">
        <f t="shared" si="483"/>
        <v>1731652</v>
      </c>
      <c r="AT1234" s="766"/>
      <c r="AU1234" s="693"/>
      <c r="AV1234" s="693"/>
      <c r="AW1234" s="693"/>
      <c r="AX1234" s="693"/>
      <c r="AY1234" s="768">
        <f>SUM(AY2:AY1233)</f>
        <v>415648.583333333</v>
      </c>
      <c r="AZ1234" s="769"/>
      <c r="BA1234" s="693"/>
      <c r="BB1234" s="693">
        <f t="shared" ref="BB1234:BM1234" si="484">SUM(BB2:BB1233)</f>
        <v>142658</v>
      </c>
      <c r="BC1234" s="693">
        <f t="shared" si="484"/>
        <v>822450</v>
      </c>
      <c r="BD1234" s="693">
        <f t="shared" si="484"/>
        <v>822450</v>
      </c>
      <c r="BE1234" s="693">
        <f t="shared" si="484"/>
        <v>265250</v>
      </c>
      <c r="BF1234" s="693">
        <f t="shared" si="484"/>
        <v>57390</v>
      </c>
      <c r="BG1234" s="693">
        <f t="shared" si="484"/>
        <v>12613</v>
      </c>
      <c r="BH1234" s="693">
        <f t="shared" si="484"/>
        <v>4912</v>
      </c>
      <c r="BI1234" s="693">
        <f t="shared" si="484"/>
        <v>62176</v>
      </c>
      <c r="BJ1234" s="693">
        <f t="shared" si="484"/>
        <v>56506</v>
      </c>
      <c r="BK1234" s="693">
        <f t="shared" si="484"/>
        <v>6591</v>
      </c>
      <c r="BL1234" s="693">
        <f t="shared" si="484"/>
        <v>24050</v>
      </c>
      <c r="BM1234" s="693">
        <f t="shared" si="484"/>
        <v>120789</v>
      </c>
      <c r="BN1234" s="693"/>
      <c r="BO1234" s="693">
        <f>SUM(BO2:BO1233)</f>
        <v>58574</v>
      </c>
      <c r="BP1234" s="693">
        <f>SUM(BP2:BP1233)</f>
        <v>25527</v>
      </c>
      <c r="BQ1234" s="693">
        <f>SUM(BQ2:BQ1233)</f>
        <v>89306</v>
      </c>
      <c r="BR1234" s="693">
        <f>SUM(BR2:BR1233)</f>
        <v>93956</v>
      </c>
      <c r="BS1234" s="693">
        <f>SUM(BS2:BS1233)</f>
        <v>5148.24</v>
      </c>
      <c r="BT1234" s="766"/>
      <c r="BU1234" s="693">
        <f>SUM(BU2:BU1233)</f>
        <v>180194</v>
      </c>
      <c r="BV1234" s="766">
        <f>SUM(BV2:BV1233)</f>
        <v>27468</v>
      </c>
      <c r="BW1234" s="693">
        <f>SUM(BW2:BW1233)</f>
        <v>764</v>
      </c>
      <c r="BX1234" s="693">
        <f t="shared" ref="BX1234:CM1234" si="485">SUM(BX2:BX1233)</f>
        <v>0</v>
      </c>
      <c r="BY1234" s="693">
        <f t="shared" si="485"/>
        <v>28</v>
      </c>
      <c r="BZ1234" s="693">
        <f t="shared" si="485"/>
        <v>418</v>
      </c>
      <c r="CA1234" s="693">
        <f t="shared" si="485"/>
        <v>17</v>
      </c>
      <c r="CB1234" s="693">
        <f t="shared" si="485"/>
        <v>12</v>
      </c>
      <c r="CC1234" s="693">
        <f t="shared" si="485"/>
        <v>300</v>
      </c>
      <c r="CD1234" s="693">
        <f t="shared" si="485"/>
        <v>0</v>
      </c>
      <c r="CE1234" s="693">
        <f t="shared" si="485"/>
        <v>441</v>
      </c>
      <c r="CF1234" s="693">
        <f t="shared" si="485"/>
        <v>1108</v>
      </c>
      <c r="CG1234" s="693">
        <f t="shared" si="485"/>
        <v>280</v>
      </c>
      <c r="CH1234" s="693">
        <f t="shared" si="485"/>
        <v>230132</v>
      </c>
      <c r="CI1234" s="693">
        <f t="shared" si="485"/>
        <v>230132</v>
      </c>
      <c r="CJ1234" s="693">
        <f t="shared" si="485"/>
        <v>230132</v>
      </c>
      <c r="CK1234" s="693">
        <f t="shared" si="485"/>
        <v>213830.24</v>
      </c>
      <c r="CL1234" s="693">
        <f t="shared" si="485"/>
        <v>2158</v>
      </c>
      <c r="CM1234" s="693">
        <f t="shared" si="485"/>
        <v>446</v>
      </c>
      <c r="CN1234" s="766"/>
      <c r="CO1234" s="766">
        <f>SUM(CO2:CO1233)</f>
        <v>0</v>
      </c>
      <c r="CP1234" s="766">
        <f>SUM(CP2:CP1233)</f>
        <v>0</v>
      </c>
      <c r="CQ1234" s="693">
        <f>SUM(CQ2:CQ1233)</f>
        <v>0</v>
      </c>
      <c r="CR1234" s="693"/>
      <c r="CS1234" s="693">
        <f>SUM(CS2:CS1233)</f>
        <v>0</v>
      </c>
      <c r="CT1234" s="766"/>
      <c r="CU1234" s="766">
        <f>SUM(CU2:CU1233)</f>
        <v>0</v>
      </c>
      <c r="CV1234" s="766">
        <f>SUM(CV2:CV1233)</f>
        <v>0</v>
      </c>
      <c r="CW1234" s="766">
        <f>SUM(CW2:CW1233)</f>
        <v>0</v>
      </c>
      <c r="CX1234" s="448"/>
    </row>
    <row r="1235" s="434" customFormat="1" spans="1:102">
      <c r="A1235" s="748"/>
      <c r="E1235" s="749"/>
      <c r="V1235" s="749"/>
      <c r="X1235" s="756"/>
      <c r="Y1235" s="760"/>
      <c r="AA1235" s="758"/>
      <c r="AB1235" s="761"/>
      <c r="AF1235" s="762"/>
      <c r="AG1235" s="762"/>
      <c r="AI1235" s="765"/>
      <c r="AT1235" s="767"/>
      <c r="AY1235" s="770"/>
      <c r="BK1235" s="761"/>
      <c r="BT1235" s="767"/>
      <c r="BV1235" s="767"/>
      <c r="CN1235" s="767"/>
      <c r="CO1235" s="767"/>
      <c r="CP1235" s="767"/>
      <c r="CT1235" s="767"/>
      <c r="CU1235" s="767"/>
      <c r="CV1235" s="767"/>
      <c r="CW1235" s="767"/>
      <c r="CX1235" s="767"/>
    </row>
    <row r="1236" s="424" customFormat="1" spans="1:102">
      <c r="A1236" s="438"/>
      <c r="E1236" s="749"/>
      <c r="M1236" s="447"/>
      <c r="N1236" s="446"/>
      <c r="S1236" s="434"/>
      <c r="T1236" s="434"/>
      <c r="X1236" s="440"/>
      <c r="Y1236" s="441"/>
      <c r="Z1236" s="442"/>
      <c r="AA1236" s="443"/>
      <c r="AB1236" s="444"/>
      <c r="AC1236" s="442"/>
      <c r="AF1236" s="445"/>
      <c r="AG1236" s="445"/>
      <c r="AH1236" s="446"/>
      <c r="AT1236" s="448"/>
      <c r="AY1236" s="449"/>
      <c r="BK1236" s="450"/>
      <c r="BT1236" s="448"/>
      <c r="BV1236" s="448"/>
      <c r="CN1236" s="448"/>
      <c r="CO1236" s="448"/>
      <c r="CP1236" s="448"/>
      <c r="CT1236" s="448"/>
      <c r="CU1236" s="448"/>
      <c r="CV1236" s="448"/>
      <c r="CW1236" s="448"/>
      <c r="CX1236" s="448"/>
    </row>
    <row r="1237" s="424" customFormat="1" spans="1:102">
      <c r="A1237" s="438"/>
      <c r="E1237" s="439"/>
      <c r="X1237" s="440"/>
      <c r="Y1237" s="441"/>
      <c r="Z1237" s="442"/>
      <c r="AA1237" s="443"/>
      <c r="AB1237" s="444"/>
      <c r="AC1237" s="442"/>
      <c r="AI1237" s="445"/>
      <c r="AJ1237" s="445"/>
      <c r="AK1237" s="446"/>
      <c r="AL1237" s="447"/>
      <c r="AM1237" s="446"/>
      <c r="AT1237" s="448"/>
      <c r="AY1237" s="449"/>
      <c r="BK1237" s="450"/>
      <c r="BT1237" s="448"/>
      <c r="BV1237" s="448"/>
      <c r="CN1237" s="448"/>
      <c r="CO1237" s="448"/>
      <c r="CP1237" s="448"/>
      <c r="CT1237" s="448"/>
      <c r="CU1237" s="448"/>
      <c r="CV1237" s="448"/>
      <c r="CW1237" s="448"/>
      <c r="CX1237" s="448"/>
    </row>
    <row r="1238" s="424" customFormat="1" ht="11" customHeight="1" spans="1:102">
      <c r="A1238" s="438"/>
      <c r="E1238" s="439"/>
      <c r="X1238" s="440"/>
      <c r="Y1238" s="441"/>
      <c r="Z1238" s="442"/>
      <c r="AA1238" s="443"/>
      <c r="AB1238" s="444"/>
      <c r="AC1238" s="442"/>
      <c r="AI1238" s="445"/>
      <c r="AJ1238" s="445"/>
      <c r="AK1238" s="446"/>
      <c r="AL1238" s="447"/>
      <c r="AM1238" s="446"/>
      <c r="AT1238" s="448"/>
      <c r="AY1238" s="449"/>
      <c r="BK1238" s="450"/>
      <c r="BT1238" s="448"/>
      <c r="BV1238" s="448"/>
      <c r="CN1238" s="448"/>
      <c r="CO1238" s="448"/>
      <c r="CP1238" s="448"/>
      <c r="CT1238" s="448"/>
      <c r="CU1238" s="448"/>
      <c r="CV1238" s="448"/>
      <c r="CW1238" s="448"/>
      <c r="CX1238" s="448"/>
    </row>
    <row r="1239" s="424" customFormat="1" spans="1:102">
      <c r="A1239" s="438"/>
      <c r="E1239" s="439"/>
      <c r="X1239" s="440"/>
      <c r="Y1239" s="441"/>
      <c r="Z1239" s="442"/>
      <c r="AA1239" s="443"/>
      <c r="AC1239" s="442"/>
      <c r="AH1239" s="750"/>
      <c r="AI1239" s="445"/>
      <c r="AJ1239" s="445"/>
      <c r="AK1239" s="446"/>
      <c r="AL1239" s="447"/>
      <c r="AM1239" s="446"/>
      <c r="AT1239" s="448"/>
      <c r="AY1239" s="449"/>
      <c r="BK1239" s="450"/>
      <c r="BT1239" s="448"/>
      <c r="BV1239" s="448"/>
      <c r="CN1239" s="448"/>
      <c r="CO1239" s="448"/>
      <c r="CP1239" s="448"/>
      <c r="CT1239" s="448"/>
      <c r="CU1239" s="448"/>
      <c r="CV1239" s="448"/>
      <c r="CW1239" s="448"/>
      <c r="CX1239" s="448"/>
    </row>
    <row r="1240" s="424" customFormat="1" spans="1:102">
      <c r="A1240" s="438"/>
      <c r="E1240" s="439"/>
      <c r="G1240" s="424" t="s">
        <v>2362</v>
      </c>
      <c r="U1240" s="757"/>
      <c r="X1240" s="440"/>
      <c r="Y1240" s="441"/>
      <c r="Z1240" s="442"/>
      <c r="AA1240" s="443"/>
      <c r="AB1240" s="444"/>
      <c r="AC1240" s="442"/>
      <c r="AF1240" s="445"/>
      <c r="AG1240" s="445"/>
      <c r="AH1240" s="446"/>
      <c r="AI1240" s="447"/>
      <c r="AJ1240" s="446"/>
      <c r="AO1240" s="448"/>
      <c r="AT1240" s="448"/>
      <c r="AY1240" s="449"/>
      <c r="BK1240" s="450"/>
      <c r="BT1240" s="448"/>
      <c r="BV1240" s="448"/>
      <c r="CN1240" s="448"/>
      <c r="CO1240" s="448"/>
      <c r="CP1240" s="448"/>
      <c r="CT1240" s="448"/>
      <c r="CU1240" s="448"/>
      <c r="CV1240" s="448"/>
      <c r="CW1240" s="448"/>
      <c r="CX1240" s="448"/>
    </row>
    <row r="1241" s="424" customFormat="1" spans="1:102">
      <c r="A1241" s="438"/>
      <c r="E1241" s="439"/>
      <c r="X1241" s="440"/>
      <c r="Y1241" s="441"/>
      <c r="Z1241" s="442"/>
      <c r="AA1241" s="443"/>
      <c r="AB1241" s="444"/>
      <c r="AC1241" s="442"/>
      <c r="AF1241" s="445"/>
      <c r="AG1241" s="445"/>
      <c r="AH1241" s="446"/>
      <c r="AI1241" s="447"/>
      <c r="AJ1241" s="446"/>
      <c r="AO1241" s="448"/>
      <c r="AT1241" s="448"/>
      <c r="AY1241" s="449"/>
      <c r="BK1241" s="450"/>
      <c r="BT1241" s="448"/>
      <c r="BV1241" s="448"/>
      <c r="CN1241" s="448"/>
      <c r="CO1241" s="448"/>
      <c r="CP1241" s="448"/>
      <c r="CT1241" s="448"/>
      <c r="CU1241" s="448"/>
      <c r="CV1241" s="448"/>
      <c r="CW1241" s="448"/>
      <c r="CX1241" s="448"/>
    </row>
    <row r="1242" s="424" customFormat="1" ht="4" customHeight="1" spans="1:102">
      <c r="A1242" s="438"/>
      <c r="E1242" s="439"/>
      <c r="L1242" s="440"/>
      <c r="M1242" s="441"/>
      <c r="N1242" s="442"/>
      <c r="O1242" s="443"/>
      <c r="P1242" s="444"/>
      <c r="Q1242" s="442"/>
      <c r="S1242" s="445"/>
      <c r="T1242" s="445"/>
      <c r="AA1242" s="439"/>
      <c r="AE1242" s="445"/>
      <c r="AH1242" s="446"/>
      <c r="AI1242" s="447"/>
      <c r="AJ1242" s="446"/>
      <c r="AT1242" s="448"/>
      <c r="AY1242" s="449"/>
      <c r="BK1242" s="450"/>
      <c r="BT1242" s="448"/>
      <c r="BV1242" s="448"/>
      <c r="CN1242" s="448"/>
      <c r="CO1242" s="448"/>
      <c r="CP1242" s="448"/>
      <c r="CT1242" s="448"/>
      <c r="CU1242" s="448"/>
      <c r="CV1242" s="448"/>
      <c r="CW1242" s="448"/>
      <c r="CX1242" s="448"/>
    </row>
    <row r="1243" s="424" customFormat="1" spans="1:102">
      <c r="A1243" s="438"/>
      <c r="E1243" s="439"/>
      <c r="L1243" s="440"/>
      <c r="M1243" s="441"/>
      <c r="N1243" s="442"/>
      <c r="O1243" s="443"/>
      <c r="P1243" s="444"/>
      <c r="Q1243" s="442"/>
      <c r="S1243" s="445"/>
      <c r="T1243" s="445"/>
      <c r="AA1243" s="439"/>
      <c r="AE1243" s="445"/>
      <c r="AH1243" s="446"/>
      <c r="AI1243" s="447"/>
      <c r="AJ1243" s="446"/>
      <c r="AT1243" s="448"/>
      <c r="AV1243" s="448"/>
      <c r="AY1243" s="449"/>
      <c r="BK1243" s="450"/>
      <c r="BT1243" s="448"/>
      <c r="BV1243" s="448"/>
      <c r="CN1243" s="448"/>
      <c r="CO1243" s="448"/>
      <c r="CP1243" s="448"/>
      <c r="CT1243" s="448"/>
      <c r="CU1243" s="448"/>
      <c r="CV1243" s="448"/>
      <c r="CW1243" s="448"/>
      <c r="CX1243" s="448"/>
    </row>
    <row r="1244" s="424" customFormat="1" spans="1:102">
      <c r="A1244" s="438"/>
      <c r="E1244" s="439"/>
      <c r="L1244" s="440"/>
      <c r="M1244" s="441"/>
      <c r="N1244" s="442"/>
      <c r="O1244" s="443"/>
      <c r="P1244" s="444"/>
      <c r="Q1244" s="442"/>
      <c r="S1244" s="445"/>
      <c r="T1244" s="445"/>
      <c r="X1244" s="440"/>
      <c r="Y1244" s="441"/>
      <c r="Z1244" s="442"/>
      <c r="AA1244" s="443"/>
      <c r="AB1244" s="444"/>
      <c r="AC1244" s="442"/>
      <c r="AE1244" s="445"/>
      <c r="AF1244" s="445"/>
      <c r="AG1244" s="445"/>
      <c r="AH1244" s="446"/>
      <c r="AI1244" s="447"/>
      <c r="AJ1244" s="446"/>
      <c r="AO1244" s="448"/>
      <c r="AT1244" s="448"/>
      <c r="AV1244" s="448"/>
      <c r="AY1244" s="449"/>
      <c r="BK1244" s="450"/>
      <c r="BT1244" s="448"/>
      <c r="BV1244" s="448"/>
      <c r="CN1244" s="448"/>
      <c r="CO1244" s="448"/>
      <c r="CP1244" s="448"/>
      <c r="CT1244" s="448"/>
      <c r="CU1244" s="448"/>
      <c r="CV1244" s="448"/>
      <c r="CW1244" s="448"/>
      <c r="CX1244" s="448"/>
    </row>
    <row r="1245" s="424" customFormat="1" spans="1:102">
      <c r="A1245" s="438"/>
      <c r="E1245" s="439"/>
      <c r="L1245" s="440"/>
      <c r="M1245" s="441"/>
      <c r="N1245" s="442"/>
      <c r="O1245" s="443"/>
      <c r="P1245" s="444"/>
      <c r="Q1245" s="442"/>
      <c r="S1245" s="445"/>
      <c r="T1245" s="445"/>
      <c r="X1245" s="440"/>
      <c r="Y1245" s="441"/>
      <c r="Z1245" s="442"/>
      <c r="AA1245" s="443"/>
      <c r="AB1245" s="444"/>
      <c r="AC1245" s="442"/>
      <c r="AE1245" s="445"/>
      <c r="AF1245" s="445"/>
      <c r="AG1245" s="445"/>
      <c r="AH1245" s="446"/>
      <c r="AI1245" s="447"/>
      <c r="AJ1245" s="446"/>
      <c r="AO1245" s="448"/>
      <c r="AT1245" s="448"/>
      <c r="AY1245" s="449"/>
      <c r="BK1245" s="450"/>
      <c r="BT1245" s="448"/>
      <c r="BV1245" s="448"/>
      <c r="CN1245" s="448"/>
      <c r="CO1245" s="448"/>
      <c r="CP1245" s="448"/>
      <c r="CT1245" s="448"/>
      <c r="CU1245" s="448"/>
      <c r="CV1245" s="448"/>
      <c r="CW1245" s="448"/>
      <c r="CX1245" s="448"/>
    </row>
    <row r="1246" spans="24:51">
      <c r="X1246" s="442"/>
      <c r="Y1246" s="443"/>
      <c r="Z1246" s="444"/>
      <c r="AA1246" s="442"/>
      <c r="AB1246" s="424"/>
      <c r="AC1246" s="424"/>
      <c r="AD1246" s="445"/>
      <c r="AE1246" s="445"/>
      <c r="AF1246" s="446"/>
      <c r="AG1246" s="447"/>
      <c r="AI1246" s="424"/>
      <c r="AJ1246" s="424"/>
      <c r="AM1246" s="448"/>
      <c r="AO1246" s="424"/>
      <c r="AR1246" s="448"/>
      <c r="AT1246" s="424"/>
      <c r="AW1246" s="449"/>
      <c r="AY1246" s="424"/>
    </row>
    <row r="1247" spans="24:51">
      <c r="X1247" s="442"/>
      <c r="Y1247" s="443"/>
      <c r="Z1247" s="444"/>
      <c r="AA1247" s="442"/>
      <c r="AB1247" s="424"/>
      <c r="AC1247" s="424"/>
      <c r="AD1247" s="445"/>
      <c r="AE1247" s="445"/>
      <c r="AF1247" s="446"/>
      <c r="AG1247" s="447"/>
      <c r="AI1247" s="424"/>
      <c r="AJ1247" s="424"/>
      <c r="AM1247" s="448"/>
      <c r="AO1247" s="424"/>
      <c r="AR1247" s="448"/>
      <c r="AT1247" s="424"/>
      <c r="AW1247" s="449"/>
      <c r="AY1247" s="424"/>
    </row>
    <row r="1248" spans="24:51">
      <c r="X1248" s="442"/>
      <c r="Y1248" s="443"/>
      <c r="Z1248" s="443"/>
      <c r="AA1248" s="442"/>
      <c r="AB1248" s="424"/>
      <c r="AC1248" s="424"/>
      <c r="AD1248" s="445"/>
      <c r="AE1248" s="445"/>
      <c r="AF1248" s="446"/>
      <c r="AG1248" s="447"/>
      <c r="AI1248" s="424"/>
      <c r="AJ1248" s="424"/>
      <c r="AM1248" s="448"/>
      <c r="AO1248" s="424"/>
      <c r="AR1248" s="448"/>
      <c r="AT1248" s="424"/>
      <c r="AW1248" s="449"/>
      <c r="AY1248" s="424"/>
    </row>
    <row r="1249" spans="24:51">
      <c r="X1249" s="442"/>
      <c r="Y1249" s="443"/>
      <c r="Z1249" s="444"/>
      <c r="AA1249" s="442"/>
      <c r="AB1249" s="424"/>
      <c r="AC1249" s="424"/>
      <c r="AD1249" s="445"/>
      <c r="AE1249" s="445"/>
      <c r="AF1249" s="446"/>
      <c r="AG1249" s="447"/>
      <c r="AI1249" s="424"/>
      <c r="AJ1249" s="424"/>
      <c r="AM1249" s="448"/>
      <c r="AO1249" s="424"/>
      <c r="AR1249" s="448"/>
      <c r="AT1249" s="424"/>
      <c r="AW1249" s="449"/>
      <c r="AY1249" s="424"/>
    </row>
    <row r="1250" spans="24:51">
      <c r="X1250" s="442"/>
      <c r="Y1250" s="443"/>
      <c r="Z1250" s="444"/>
      <c r="AA1250" s="442"/>
      <c r="AB1250" s="424"/>
      <c r="AC1250" s="424"/>
      <c r="AD1250" s="445"/>
      <c r="AE1250" s="445"/>
      <c r="AF1250" s="446"/>
      <c r="AG1250" s="447"/>
      <c r="AI1250" s="424"/>
      <c r="AJ1250" s="424"/>
      <c r="AM1250" s="448"/>
      <c r="AO1250" s="424"/>
      <c r="AR1250" s="448"/>
      <c r="AT1250" s="424"/>
      <c r="AW1250" s="449"/>
      <c r="AY1250" s="424"/>
    </row>
    <row r="1251" spans="24:51">
      <c r="X1251" s="442"/>
      <c r="Y1251" s="443"/>
      <c r="Z1251" s="444"/>
      <c r="AA1251" s="442"/>
      <c r="AB1251" s="424"/>
      <c r="AC1251" s="424"/>
      <c r="AD1251" s="445"/>
      <c r="AE1251" s="445"/>
      <c r="AF1251" s="446"/>
      <c r="AG1251" s="447"/>
      <c r="AI1251" s="424"/>
      <c r="AJ1251" s="424"/>
      <c r="AM1251" s="448"/>
      <c r="AO1251" s="424"/>
      <c r="AR1251" s="448"/>
      <c r="AT1251" s="424"/>
      <c r="AW1251" s="449"/>
      <c r="AY1251" s="424"/>
    </row>
    <row r="1254" spans="7:7">
      <c r="G1254" s="750"/>
    </row>
    <row r="1255" spans="7:7">
      <c r="G1255" s="750"/>
    </row>
    <row r="1256" spans="10:15">
      <c r="J1256" s="448"/>
      <c r="O1256" s="449"/>
    </row>
    <row r="1263" spans="4:4">
      <c r="D1263" s="424" t="s">
        <v>2362</v>
      </c>
    </row>
    <row r="1266" spans="7:7">
      <c r="G1266" s="424" t="s">
        <v>3079</v>
      </c>
    </row>
    <row r="1270" spans="14:14">
      <c r="N1270" s="424" t="s">
        <v>2362</v>
      </c>
    </row>
  </sheetData>
  <sheetProtection selectLockedCells="1" autoFilter="0"/>
  <autoFilter xmlns:etc="http://www.wps.cn/officeDocument/2017/etCustomData" ref="A1:XFD1234" etc:filterBottomFollowUsedRange="0">
    <extLst/>
  </autoFilter>
  <sortState ref="AD2:AG982">
    <sortCondition ref="AF929"/>
  </sortState>
  <mergeCells count="8">
    <mergeCell ref="V558:V559"/>
    <mergeCell ref="V560:V561"/>
    <mergeCell ref="V562:V563"/>
    <mergeCell ref="V577:V578"/>
    <mergeCell ref="V579:V580"/>
    <mergeCell ref="V581:V582"/>
    <mergeCell ref="V585:V586"/>
    <mergeCell ref="V635:V636"/>
  </mergeCells>
  <conditionalFormatting sqref="R1:U1">
    <cfRule type="cellIs" dxfId="0" priority="17204" operator="equal">
      <formula>"欠"</formula>
    </cfRule>
  </conditionalFormatting>
  <conditionalFormatting sqref="AB1:AC1">
    <cfRule type="cellIs" dxfId="0" priority="17181" operator="equal">
      <formula>"未完成"</formula>
    </cfRule>
  </conditionalFormatting>
  <conditionalFormatting sqref="AF1:AJ1">
    <cfRule type="cellIs" dxfId="1" priority="17202" operator="equal">
      <formula>"未完成"</formula>
    </cfRule>
    <cfRule type="cellIs" dxfId="0" priority="17203" operator="equal">
      <formula>"未完成"</formula>
    </cfRule>
  </conditionalFormatting>
  <conditionalFormatting sqref="AI6:AJ6">
    <cfRule type="cellIs" dxfId="1" priority="9515" operator="equal">
      <formula>"未完成"</formula>
    </cfRule>
    <cfRule type="cellIs" dxfId="0" priority="9523" operator="equal">
      <formula>"未完成"</formula>
    </cfRule>
  </conditionalFormatting>
  <conditionalFormatting sqref="AI7:AJ7">
    <cfRule type="cellIs" dxfId="1" priority="9514" operator="equal">
      <formula>"未完成"</formula>
    </cfRule>
    <cfRule type="cellIs" dxfId="0" priority="9522" operator="equal">
      <formula>"未完成"</formula>
    </cfRule>
  </conditionalFormatting>
  <conditionalFormatting sqref="AK7">
    <cfRule type="cellIs" dxfId="0" priority="9506" operator="equal">
      <formula>"欠"</formula>
    </cfRule>
  </conditionalFormatting>
  <conditionalFormatting sqref="AI8:AJ8">
    <cfRule type="cellIs" dxfId="1" priority="9513" operator="equal">
      <formula>"未完成"</formula>
    </cfRule>
    <cfRule type="cellIs" dxfId="0" priority="9521" operator="equal">
      <formula>"未完成"</formula>
    </cfRule>
  </conditionalFormatting>
  <conditionalFormatting sqref="AK8">
    <cfRule type="cellIs" dxfId="0" priority="9505" operator="equal">
      <formula>"欠"</formula>
    </cfRule>
  </conditionalFormatting>
  <conditionalFormatting sqref="AI9:AJ9">
    <cfRule type="cellIs" dxfId="1" priority="9512" operator="equal">
      <formula>"未完成"</formula>
    </cfRule>
    <cfRule type="cellIs" dxfId="0" priority="9520" operator="equal">
      <formula>"未完成"</formula>
    </cfRule>
  </conditionalFormatting>
  <conditionalFormatting sqref="AK9">
    <cfRule type="cellIs" dxfId="0" priority="9504" operator="equal">
      <formula>"欠"</formula>
    </cfRule>
  </conditionalFormatting>
  <conditionalFormatting sqref="AI10:AJ10">
    <cfRule type="cellIs" dxfId="1" priority="9511" operator="equal">
      <formula>"未完成"</formula>
    </cfRule>
    <cfRule type="cellIs" dxfId="0" priority="9519" operator="equal">
      <formula>"未完成"</formula>
    </cfRule>
  </conditionalFormatting>
  <conditionalFormatting sqref="AI11:AJ11">
    <cfRule type="cellIs" dxfId="1" priority="9510" operator="equal">
      <formula>"未完成"</formula>
    </cfRule>
    <cfRule type="cellIs" dxfId="0" priority="9518" operator="equal">
      <formula>"未完成"</formula>
    </cfRule>
  </conditionalFormatting>
  <conditionalFormatting sqref="AK11">
    <cfRule type="cellIs" dxfId="0" priority="9502" operator="equal">
      <formula>"欠"</formula>
    </cfRule>
  </conditionalFormatting>
  <conditionalFormatting sqref="AI12:AJ12">
    <cfRule type="cellIs" dxfId="1" priority="9509" operator="equal">
      <formula>"未完成"</formula>
    </cfRule>
    <cfRule type="cellIs" dxfId="0" priority="9517" operator="equal">
      <formula>"未完成"</formula>
    </cfRule>
  </conditionalFormatting>
  <conditionalFormatting sqref="AK12">
    <cfRule type="cellIs" dxfId="0" priority="9501" operator="equal">
      <formula>"欠"</formula>
    </cfRule>
  </conditionalFormatting>
  <conditionalFormatting sqref="AI13:AJ13">
    <cfRule type="cellIs" dxfId="1" priority="9508" operator="equal">
      <formula>"未完成"</formula>
    </cfRule>
    <cfRule type="cellIs" dxfId="0" priority="9516" operator="equal">
      <formula>"未完成"</formula>
    </cfRule>
  </conditionalFormatting>
  <conditionalFormatting sqref="AK13">
    <cfRule type="cellIs" dxfId="0" priority="9500" operator="equal">
      <formula>"欠"</formula>
    </cfRule>
  </conditionalFormatting>
  <conditionalFormatting sqref="AI14:AJ14">
    <cfRule type="cellIs" dxfId="1" priority="9465" operator="equal">
      <formula>"未完成"</formula>
    </cfRule>
    <cfRule type="cellIs" dxfId="0" priority="9467" operator="equal">
      <formula>"未完成"</formula>
    </cfRule>
  </conditionalFormatting>
  <conditionalFormatting sqref="AI15:AJ15">
    <cfRule type="cellIs" dxfId="1" priority="9464" operator="equal">
      <formula>"未完成"</formula>
    </cfRule>
    <cfRule type="cellIs" dxfId="0" priority="9466" operator="equal">
      <formula>"未完成"</formula>
    </cfRule>
  </conditionalFormatting>
  <conditionalFormatting sqref="R16">
    <cfRule type="cellIs" dxfId="0" priority="8973" operator="equal">
      <formula>"欠"</formula>
    </cfRule>
  </conditionalFormatting>
  <conditionalFormatting sqref="S16">
    <cfRule type="cellIs" dxfId="0" priority="8951" operator="equal">
      <formula>"欠"</formula>
    </cfRule>
  </conditionalFormatting>
  <conditionalFormatting sqref="T16:U16">
    <cfRule type="cellIs" dxfId="0" priority="8929" operator="equal">
      <formula>"欠"</formula>
    </cfRule>
  </conditionalFormatting>
  <conditionalFormatting sqref="AI16:AJ16">
    <cfRule type="cellIs" dxfId="1" priority="8885" operator="equal">
      <formula>"未完成"</formula>
    </cfRule>
    <cfRule type="cellIs" dxfId="0" priority="8907" operator="equal">
      <formula>"未完成"</formula>
    </cfRule>
  </conditionalFormatting>
  <conditionalFormatting sqref="R17">
    <cfRule type="cellIs" dxfId="0" priority="8972" operator="equal">
      <formula>"欠"</formula>
    </cfRule>
  </conditionalFormatting>
  <conditionalFormatting sqref="S17">
    <cfRule type="cellIs" dxfId="0" priority="8950" operator="equal">
      <formula>"欠"</formula>
    </cfRule>
  </conditionalFormatting>
  <conditionalFormatting sqref="T17:U17">
    <cfRule type="cellIs" dxfId="0" priority="8928" operator="equal">
      <formula>"欠"</formula>
    </cfRule>
  </conditionalFormatting>
  <conditionalFormatting sqref="AI17:AJ17">
    <cfRule type="cellIs" dxfId="1" priority="8884" operator="equal">
      <formula>"未完成"</formula>
    </cfRule>
    <cfRule type="cellIs" dxfId="0" priority="8906" operator="equal">
      <formula>"未完成"</formula>
    </cfRule>
  </conditionalFormatting>
  <conditionalFormatting sqref="R18">
    <cfRule type="cellIs" dxfId="0" priority="8971" operator="equal">
      <formula>"欠"</formula>
    </cfRule>
  </conditionalFormatting>
  <conditionalFormatting sqref="S18">
    <cfRule type="cellIs" dxfId="0" priority="8949" operator="equal">
      <formula>"欠"</formula>
    </cfRule>
  </conditionalFormatting>
  <conditionalFormatting sqref="T18:U18">
    <cfRule type="cellIs" dxfId="0" priority="8927" operator="equal">
      <formula>"欠"</formula>
    </cfRule>
  </conditionalFormatting>
  <conditionalFormatting sqref="AI18:AJ18">
    <cfRule type="cellIs" dxfId="1" priority="8883" operator="equal">
      <formula>"未完成"</formula>
    </cfRule>
    <cfRule type="cellIs" dxfId="0" priority="8905" operator="equal">
      <formula>"未完成"</formula>
    </cfRule>
  </conditionalFormatting>
  <conditionalFormatting sqref="R19">
    <cfRule type="cellIs" dxfId="0" priority="8970" operator="equal">
      <formula>"欠"</formula>
    </cfRule>
  </conditionalFormatting>
  <conditionalFormatting sqref="S19">
    <cfRule type="cellIs" dxfId="0" priority="8948" operator="equal">
      <formula>"欠"</formula>
    </cfRule>
  </conditionalFormatting>
  <conditionalFormatting sqref="T19:U19">
    <cfRule type="cellIs" dxfId="0" priority="8926" operator="equal">
      <formula>"欠"</formula>
    </cfRule>
  </conditionalFormatting>
  <conditionalFormatting sqref="AI19:AJ19">
    <cfRule type="cellIs" dxfId="1" priority="8882" operator="equal">
      <formula>"未完成"</formula>
    </cfRule>
    <cfRule type="cellIs" dxfId="0" priority="8904" operator="equal">
      <formula>"未完成"</formula>
    </cfRule>
  </conditionalFormatting>
  <conditionalFormatting sqref="R20">
    <cfRule type="cellIs" dxfId="0" priority="8969" operator="equal">
      <formula>"欠"</formula>
    </cfRule>
  </conditionalFormatting>
  <conditionalFormatting sqref="S20">
    <cfRule type="cellIs" dxfId="0" priority="8947" operator="equal">
      <formula>"欠"</formula>
    </cfRule>
  </conditionalFormatting>
  <conditionalFormatting sqref="T20:U20">
    <cfRule type="cellIs" dxfId="0" priority="8925" operator="equal">
      <formula>"欠"</formula>
    </cfRule>
  </conditionalFormatting>
  <conditionalFormatting sqref="AI20:AJ20">
    <cfRule type="cellIs" dxfId="1" priority="8881" operator="equal">
      <formula>"未完成"</formula>
    </cfRule>
    <cfRule type="cellIs" dxfId="0" priority="8903" operator="equal">
      <formula>"未完成"</formula>
    </cfRule>
  </conditionalFormatting>
  <conditionalFormatting sqref="R21">
    <cfRule type="cellIs" dxfId="0" priority="8968" operator="equal">
      <formula>"欠"</formula>
    </cfRule>
  </conditionalFormatting>
  <conditionalFormatting sqref="S21">
    <cfRule type="cellIs" dxfId="0" priority="8946" operator="equal">
      <formula>"欠"</formula>
    </cfRule>
  </conditionalFormatting>
  <conditionalFormatting sqref="T21:U21">
    <cfRule type="cellIs" dxfId="0" priority="8924" operator="equal">
      <formula>"欠"</formula>
    </cfRule>
  </conditionalFormatting>
  <conditionalFormatting sqref="AI21:AJ21">
    <cfRule type="cellIs" dxfId="1" priority="8880" operator="equal">
      <formula>"未完成"</formula>
    </cfRule>
    <cfRule type="cellIs" dxfId="0" priority="8902" operator="equal">
      <formula>"未完成"</formula>
    </cfRule>
  </conditionalFormatting>
  <conditionalFormatting sqref="R22">
    <cfRule type="cellIs" dxfId="0" priority="8967" operator="equal">
      <formula>"欠"</formula>
    </cfRule>
  </conditionalFormatting>
  <conditionalFormatting sqref="S22">
    <cfRule type="cellIs" dxfId="0" priority="8945" operator="equal">
      <formula>"欠"</formula>
    </cfRule>
  </conditionalFormatting>
  <conditionalFormatting sqref="T22:U22">
    <cfRule type="cellIs" dxfId="0" priority="8923" operator="equal">
      <formula>"欠"</formula>
    </cfRule>
  </conditionalFormatting>
  <conditionalFormatting sqref="AI22:AJ22">
    <cfRule type="cellIs" dxfId="1" priority="8879" operator="equal">
      <formula>"未完成"</formula>
    </cfRule>
    <cfRule type="cellIs" dxfId="0" priority="8901" operator="equal">
      <formula>"未完成"</formula>
    </cfRule>
  </conditionalFormatting>
  <conditionalFormatting sqref="R23">
    <cfRule type="cellIs" dxfId="0" priority="8966" operator="equal">
      <formula>"欠"</formula>
    </cfRule>
  </conditionalFormatting>
  <conditionalFormatting sqref="S23">
    <cfRule type="cellIs" dxfId="0" priority="8944" operator="equal">
      <formula>"欠"</formula>
    </cfRule>
  </conditionalFormatting>
  <conditionalFormatting sqref="T23:U23">
    <cfRule type="cellIs" dxfId="0" priority="8922" operator="equal">
      <formula>"欠"</formula>
    </cfRule>
  </conditionalFormatting>
  <conditionalFormatting sqref="AI23:AJ23">
    <cfRule type="cellIs" dxfId="1" priority="8878" operator="equal">
      <formula>"未完成"</formula>
    </cfRule>
    <cfRule type="cellIs" dxfId="0" priority="8900" operator="equal">
      <formula>"未完成"</formula>
    </cfRule>
  </conditionalFormatting>
  <conditionalFormatting sqref="R24">
    <cfRule type="cellIs" dxfId="0" priority="8965" operator="equal">
      <formula>"欠"</formula>
    </cfRule>
  </conditionalFormatting>
  <conditionalFormatting sqref="S24">
    <cfRule type="cellIs" dxfId="0" priority="8943" operator="equal">
      <formula>"欠"</formula>
    </cfRule>
  </conditionalFormatting>
  <conditionalFormatting sqref="T24:U24">
    <cfRule type="cellIs" dxfId="0" priority="8921" operator="equal">
      <formula>"欠"</formula>
    </cfRule>
  </conditionalFormatting>
  <conditionalFormatting sqref="AI24:AJ24">
    <cfRule type="cellIs" dxfId="1" priority="8877" operator="equal">
      <formula>"未完成"</formula>
    </cfRule>
    <cfRule type="cellIs" dxfId="0" priority="8899" operator="equal">
      <formula>"未完成"</formula>
    </cfRule>
  </conditionalFormatting>
  <conditionalFormatting sqref="R25">
    <cfRule type="cellIs" dxfId="0" priority="8964" operator="equal">
      <formula>"欠"</formula>
    </cfRule>
  </conditionalFormatting>
  <conditionalFormatting sqref="S25">
    <cfRule type="cellIs" dxfId="0" priority="8942" operator="equal">
      <formula>"欠"</formula>
    </cfRule>
  </conditionalFormatting>
  <conditionalFormatting sqref="T25:U25">
    <cfRule type="cellIs" dxfId="0" priority="8920" operator="equal">
      <formula>"欠"</formula>
    </cfRule>
  </conditionalFormatting>
  <conditionalFormatting sqref="AI25:AJ25">
    <cfRule type="cellIs" dxfId="1" priority="8876" operator="equal">
      <formula>"未完成"</formula>
    </cfRule>
    <cfRule type="cellIs" dxfId="0" priority="8898" operator="equal">
      <formula>"未完成"</formula>
    </cfRule>
  </conditionalFormatting>
  <conditionalFormatting sqref="R26">
    <cfRule type="cellIs" dxfId="0" priority="8963" operator="equal">
      <formula>"欠"</formula>
    </cfRule>
  </conditionalFormatting>
  <conditionalFormatting sqref="S26">
    <cfRule type="cellIs" dxfId="0" priority="8941" operator="equal">
      <formula>"欠"</formula>
    </cfRule>
  </conditionalFormatting>
  <conditionalFormatting sqref="T26:U26">
    <cfRule type="cellIs" dxfId="0" priority="8919" operator="equal">
      <formula>"欠"</formula>
    </cfRule>
  </conditionalFormatting>
  <conditionalFormatting sqref="AI26:AJ26">
    <cfRule type="cellIs" dxfId="1" priority="8875" operator="equal">
      <formula>"未完成"</formula>
    </cfRule>
    <cfRule type="cellIs" dxfId="0" priority="8897" operator="equal">
      <formula>"未完成"</formula>
    </cfRule>
  </conditionalFormatting>
  <conditionalFormatting sqref="R27">
    <cfRule type="cellIs" dxfId="0" priority="8962" operator="equal">
      <formula>"欠"</formula>
    </cfRule>
  </conditionalFormatting>
  <conditionalFormatting sqref="S27">
    <cfRule type="cellIs" dxfId="0" priority="8940" operator="equal">
      <formula>"欠"</formula>
    </cfRule>
  </conditionalFormatting>
  <conditionalFormatting sqref="T27:U27">
    <cfRule type="cellIs" dxfId="0" priority="8918" operator="equal">
      <formula>"欠"</formula>
    </cfRule>
  </conditionalFormatting>
  <conditionalFormatting sqref="AI27:AJ27">
    <cfRule type="cellIs" dxfId="1" priority="8874" operator="equal">
      <formula>"未完成"</formula>
    </cfRule>
    <cfRule type="cellIs" dxfId="0" priority="8896" operator="equal">
      <formula>"未完成"</formula>
    </cfRule>
  </conditionalFormatting>
  <conditionalFormatting sqref="R28">
    <cfRule type="cellIs" dxfId="0" priority="8961" operator="equal">
      <formula>"欠"</formula>
    </cfRule>
  </conditionalFormatting>
  <conditionalFormatting sqref="S28">
    <cfRule type="cellIs" dxfId="0" priority="8939" operator="equal">
      <formula>"欠"</formula>
    </cfRule>
  </conditionalFormatting>
  <conditionalFormatting sqref="T28:U28">
    <cfRule type="cellIs" dxfId="0" priority="8917" operator="equal">
      <formula>"欠"</formula>
    </cfRule>
  </conditionalFormatting>
  <conditionalFormatting sqref="AI28:AJ28">
    <cfRule type="cellIs" dxfId="1" priority="8873" operator="equal">
      <formula>"未完成"</formula>
    </cfRule>
    <cfRule type="cellIs" dxfId="0" priority="8895" operator="equal">
      <formula>"未完成"</formula>
    </cfRule>
  </conditionalFormatting>
  <conditionalFormatting sqref="R29">
    <cfRule type="cellIs" dxfId="0" priority="8960" operator="equal">
      <formula>"欠"</formula>
    </cfRule>
  </conditionalFormatting>
  <conditionalFormatting sqref="S29">
    <cfRule type="cellIs" dxfId="0" priority="8938" operator="equal">
      <formula>"欠"</formula>
    </cfRule>
  </conditionalFormatting>
  <conditionalFormatting sqref="T29:U29">
    <cfRule type="cellIs" dxfId="0" priority="8916" operator="equal">
      <formula>"欠"</formula>
    </cfRule>
  </conditionalFormatting>
  <conditionalFormatting sqref="AI29:AJ29">
    <cfRule type="cellIs" dxfId="1" priority="8872" operator="equal">
      <formula>"未完成"</formula>
    </cfRule>
    <cfRule type="cellIs" dxfId="0" priority="8894" operator="equal">
      <formula>"未完成"</formula>
    </cfRule>
  </conditionalFormatting>
  <conditionalFormatting sqref="R30">
    <cfRule type="cellIs" dxfId="0" priority="8959" operator="equal">
      <formula>"欠"</formula>
    </cfRule>
  </conditionalFormatting>
  <conditionalFormatting sqref="S30">
    <cfRule type="cellIs" dxfId="0" priority="8937" operator="equal">
      <formula>"欠"</formula>
    </cfRule>
  </conditionalFormatting>
  <conditionalFormatting sqref="T30:U30">
    <cfRule type="cellIs" dxfId="0" priority="8915" operator="equal">
      <formula>"欠"</formula>
    </cfRule>
  </conditionalFormatting>
  <conditionalFormatting sqref="AI30:AJ30">
    <cfRule type="cellIs" dxfId="1" priority="8871" operator="equal">
      <formula>"未完成"</formula>
    </cfRule>
    <cfRule type="cellIs" dxfId="0" priority="8893" operator="equal">
      <formula>"未完成"</formula>
    </cfRule>
  </conditionalFormatting>
  <conditionalFormatting sqref="R31">
    <cfRule type="cellIs" dxfId="0" priority="8958" operator="equal">
      <formula>"欠"</formula>
    </cfRule>
  </conditionalFormatting>
  <conditionalFormatting sqref="S31">
    <cfRule type="cellIs" dxfId="0" priority="8936" operator="equal">
      <formula>"欠"</formula>
    </cfRule>
  </conditionalFormatting>
  <conditionalFormatting sqref="T31:U31">
    <cfRule type="cellIs" dxfId="0" priority="8914" operator="equal">
      <formula>"欠"</formula>
    </cfRule>
  </conditionalFormatting>
  <conditionalFormatting sqref="AI31:AJ31">
    <cfRule type="cellIs" dxfId="1" priority="8870" operator="equal">
      <formula>"未完成"</formula>
    </cfRule>
    <cfRule type="cellIs" dxfId="0" priority="8892" operator="equal">
      <formula>"未完成"</formula>
    </cfRule>
  </conditionalFormatting>
  <conditionalFormatting sqref="R32">
    <cfRule type="cellIs" dxfId="0" priority="8957" operator="equal">
      <formula>"欠"</formula>
    </cfRule>
  </conditionalFormatting>
  <conditionalFormatting sqref="S32">
    <cfRule type="cellIs" dxfId="0" priority="8935" operator="equal">
      <formula>"欠"</formula>
    </cfRule>
  </conditionalFormatting>
  <conditionalFormatting sqref="T32:U32">
    <cfRule type="cellIs" dxfId="0" priority="8913" operator="equal">
      <formula>"欠"</formula>
    </cfRule>
  </conditionalFormatting>
  <conditionalFormatting sqref="AI32:AJ32">
    <cfRule type="cellIs" dxfId="1" priority="8869" operator="equal">
      <formula>"未完成"</formula>
    </cfRule>
    <cfRule type="cellIs" dxfId="0" priority="8891" operator="equal">
      <formula>"未完成"</formula>
    </cfRule>
  </conditionalFormatting>
  <conditionalFormatting sqref="R33">
    <cfRule type="cellIs" dxfId="0" priority="8956" operator="equal">
      <formula>"欠"</formula>
    </cfRule>
  </conditionalFormatting>
  <conditionalFormatting sqref="S33">
    <cfRule type="cellIs" dxfId="0" priority="8934" operator="equal">
      <formula>"欠"</formula>
    </cfRule>
  </conditionalFormatting>
  <conditionalFormatting sqref="T33:U33">
    <cfRule type="cellIs" dxfId="0" priority="8912" operator="equal">
      <formula>"欠"</formula>
    </cfRule>
  </conditionalFormatting>
  <conditionalFormatting sqref="AI33:AJ33">
    <cfRule type="cellIs" dxfId="1" priority="8868" operator="equal">
      <formula>"未完成"</formula>
    </cfRule>
    <cfRule type="cellIs" dxfId="0" priority="8890" operator="equal">
      <formula>"未完成"</formula>
    </cfRule>
  </conditionalFormatting>
  <conditionalFormatting sqref="R34">
    <cfRule type="cellIs" dxfId="0" priority="8955" operator="equal">
      <formula>"欠"</formula>
    </cfRule>
  </conditionalFormatting>
  <conditionalFormatting sqref="S34">
    <cfRule type="cellIs" dxfId="0" priority="8933" operator="equal">
      <formula>"欠"</formula>
    </cfRule>
  </conditionalFormatting>
  <conditionalFormatting sqref="T34:U34">
    <cfRule type="cellIs" dxfId="0" priority="8911" operator="equal">
      <formula>"欠"</formula>
    </cfRule>
  </conditionalFormatting>
  <conditionalFormatting sqref="AI34:AJ34">
    <cfRule type="cellIs" dxfId="1" priority="8867" operator="equal">
      <formula>"未完成"</formula>
    </cfRule>
    <cfRule type="cellIs" dxfId="0" priority="8889" operator="equal">
      <formula>"未完成"</formula>
    </cfRule>
  </conditionalFormatting>
  <conditionalFormatting sqref="R35">
    <cfRule type="cellIs" dxfId="0" priority="8954" operator="equal">
      <formula>"欠"</formula>
    </cfRule>
  </conditionalFormatting>
  <conditionalFormatting sqref="S35">
    <cfRule type="cellIs" dxfId="0" priority="8932" operator="equal">
      <formula>"欠"</formula>
    </cfRule>
  </conditionalFormatting>
  <conditionalFormatting sqref="T35:U35">
    <cfRule type="cellIs" dxfId="0" priority="8910" operator="equal">
      <formula>"欠"</formula>
    </cfRule>
  </conditionalFormatting>
  <conditionalFormatting sqref="AI35:AJ35">
    <cfRule type="cellIs" dxfId="1" priority="8866" operator="equal">
      <formula>"未完成"</formula>
    </cfRule>
    <cfRule type="cellIs" dxfId="0" priority="8888" operator="equal">
      <formula>"未完成"</formula>
    </cfRule>
  </conditionalFormatting>
  <conditionalFormatting sqref="R36">
    <cfRule type="cellIs" dxfId="0" priority="8953" operator="equal">
      <formula>"欠"</formula>
    </cfRule>
  </conditionalFormatting>
  <conditionalFormatting sqref="S36">
    <cfRule type="cellIs" dxfId="0" priority="8931" operator="equal">
      <formula>"欠"</formula>
    </cfRule>
  </conditionalFormatting>
  <conditionalFormatting sqref="T36:U36">
    <cfRule type="cellIs" dxfId="0" priority="8909" operator="equal">
      <formula>"欠"</formula>
    </cfRule>
  </conditionalFormatting>
  <conditionalFormatting sqref="AI36:AJ36">
    <cfRule type="cellIs" dxfId="1" priority="8865" operator="equal">
      <formula>"未完成"</formula>
    </cfRule>
    <cfRule type="cellIs" dxfId="0" priority="8887" operator="equal">
      <formula>"未完成"</formula>
    </cfRule>
  </conditionalFormatting>
  <conditionalFormatting sqref="R37">
    <cfRule type="cellIs" dxfId="0" priority="8952" operator="equal">
      <formula>"欠"</formula>
    </cfRule>
  </conditionalFormatting>
  <conditionalFormatting sqref="S37">
    <cfRule type="cellIs" dxfId="0" priority="8930" operator="equal">
      <formula>"欠"</formula>
    </cfRule>
  </conditionalFormatting>
  <conditionalFormatting sqref="T37:U37">
    <cfRule type="cellIs" dxfId="0" priority="8908" operator="equal">
      <formula>"欠"</formula>
    </cfRule>
  </conditionalFormatting>
  <conditionalFormatting sqref="AI37:AJ37">
    <cfRule type="cellIs" dxfId="1" priority="8864" operator="equal">
      <formula>"未完成"</formula>
    </cfRule>
    <cfRule type="cellIs" dxfId="0" priority="8886" operator="equal">
      <formula>"未完成"</formula>
    </cfRule>
  </conditionalFormatting>
  <conditionalFormatting sqref="R38">
    <cfRule type="cellIs" dxfId="0" priority="8841" operator="equal">
      <formula>"欠"</formula>
    </cfRule>
  </conditionalFormatting>
  <conditionalFormatting sqref="S38">
    <cfRule type="cellIs" dxfId="0" priority="8836" operator="equal">
      <formula>"欠"</formula>
    </cfRule>
  </conditionalFormatting>
  <conditionalFormatting sqref="T38:U38">
    <cfRule type="cellIs" dxfId="0" priority="8831" operator="equal">
      <formula>"欠"</formula>
    </cfRule>
  </conditionalFormatting>
  <conditionalFormatting sqref="AI38:AJ38">
    <cfRule type="cellIs" dxfId="1" priority="8821" operator="equal">
      <formula>"未完成"</formula>
    </cfRule>
    <cfRule type="cellIs" dxfId="0" priority="8826" operator="equal">
      <formula>"未完成"</formula>
    </cfRule>
  </conditionalFormatting>
  <conditionalFormatting sqref="R39">
    <cfRule type="cellIs" dxfId="0" priority="8840" operator="equal">
      <formula>"欠"</formula>
    </cfRule>
  </conditionalFormatting>
  <conditionalFormatting sqref="S39">
    <cfRule type="cellIs" dxfId="0" priority="8835" operator="equal">
      <formula>"欠"</formula>
    </cfRule>
  </conditionalFormatting>
  <conditionalFormatting sqref="T39:U39">
    <cfRule type="cellIs" dxfId="0" priority="8830" operator="equal">
      <formula>"欠"</formula>
    </cfRule>
  </conditionalFormatting>
  <conditionalFormatting sqref="AI39:AJ39">
    <cfRule type="cellIs" dxfId="1" priority="8820" operator="equal">
      <formula>"未完成"</formula>
    </cfRule>
    <cfRule type="cellIs" dxfId="0" priority="8825" operator="equal">
      <formula>"未完成"</formula>
    </cfRule>
  </conditionalFormatting>
  <conditionalFormatting sqref="R40">
    <cfRule type="cellIs" dxfId="0" priority="8839" operator="equal">
      <formula>"欠"</formula>
    </cfRule>
  </conditionalFormatting>
  <conditionalFormatting sqref="S40">
    <cfRule type="cellIs" dxfId="0" priority="8834" operator="equal">
      <formula>"欠"</formula>
    </cfRule>
  </conditionalFormatting>
  <conditionalFormatting sqref="AI40:AJ40">
    <cfRule type="cellIs" dxfId="1" priority="8819" operator="equal">
      <formula>"未完成"</formula>
    </cfRule>
    <cfRule type="cellIs" dxfId="0" priority="8824" operator="equal">
      <formula>"未完成"</formula>
    </cfRule>
  </conditionalFormatting>
  <conditionalFormatting sqref="R41">
    <cfRule type="cellIs" dxfId="0" priority="8838" operator="equal">
      <formula>"欠"</formula>
    </cfRule>
  </conditionalFormatting>
  <conditionalFormatting sqref="S41">
    <cfRule type="cellIs" dxfId="0" priority="8833" operator="equal">
      <formula>"欠"</formula>
    </cfRule>
  </conditionalFormatting>
  <conditionalFormatting sqref="U41">
    <cfRule type="cellIs" dxfId="0" priority="8828" operator="equal">
      <formula>"欠"</formula>
    </cfRule>
  </conditionalFormatting>
  <conditionalFormatting sqref="AI41:AJ41">
    <cfRule type="cellIs" dxfId="1" priority="8818" operator="equal">
      <formula>"未完成"</formula>
    </cfRule>
    <cfRule type="cellIs" dxfId="0" priority="8823" operator="equal">
      <formula>"未完成"</formula>
    </cfRule>
  </conditionalFormatting>
  <conditionalFormatting sqref="R42">
    <cfRule type="cellIs" dxfId="0" priority="8837" operator="equal">
      <formula>"欠"</formula>
    </cfRule>
  </conditionalFormatting>
  <conditionalFormatting sqref="S42">
    <cfRule type="cellIs" dxfId="0" priority="8832" operator="equal">
      <formula>"欠"</formula>
    </cfRule>
  </conditionalFormatting>
  <conditionalFormatting sqref="T42:U42">
    <cfRule type="cellIs" dxfId="0" priority="8827" operator="equal">
      <formula>"欠"</formula>
    </cfRule>
  </conditionalFormatting>
  <conditionalFormatting sqref="AI42:AJ42">
    <cfRule type="cellIs" dxfId="1" priority="8817" operator="equal">
      <formula>"未完成"</formula>
    </cfRule>
    <cfRule type="cellIs" dxfId="0" priority="8822" operator="equal">
      <formula>"未完成"</formula>
    </cfRule>
  </conditionalFormatting>
  <conditionalFormatting sqref="R43">
    <cfRule type="cellIs" dxfId="0" priority="8757" operator="equal">
      <formula>"欠"</formula>
    </cfRule>
  </conditionalFormatting>
  <conditionalFormatting sqref="S43">
    <cfRule type="cellIs" dxfId="0" priority="8748" operator="equal">
      <formula>"欠"</formula>
    </cfRule>
  </conditionalFormatting>
  <conditionalFormatting sqref="T43:U43">
    <cfRule type="cellIs" dxfId="0" priority="8739" operator="equal">
      <formula>"欠"</formula>
    </cfRule>
  </conditionalFormatting>
  <conditionalFormatting sqref="AD43:AE43">
    <cfRule type="cellIs" dxfId="0" priority="8766" operator="equal">
      <formula>"未完成"</formula>
    </cfRule>
  </conditionalFormatting>
  <conditionalFormatting sqref="AI43:AJ43">
    <cfRule type="cellIs" dxfId="1" priority="8721" operator="equal">
      <formula>"未完成"</formula>
    </cfRule>
    <cfRule type="cellIs" dxfId="0" priority="8730" operator="equal">
      <formula>"未完成"</formula>
    </cfRule>
  </conditionalFormatting>
  <conditionalFormatting sqref="R44">
    <cfRule type="cellIs" dxfId="0" priority="8756" operator="equal">
      <formula>"欠"</formula>
    </cfRule>
  </conditionalFormatting>
  <conditionalFormatting sqref="S44">
    <cfRule type="cellIs" dxfId="0" priority="8747" operator="equal">
      <formula>"欠"</formula>
    </cfRule>
  </conditionalFormatting>
  <conditionalFormatting sqref="T44:U44">
    <cfRule type="cellIs" dxfId="0" priority="8738" operator="equal">
      <formula>"欠"</formula>
    </cfRule>
  </conditionalFormatting>
  <conditionalFormatting sqref="AD44:AE44">
    <cfRule type="cellIs" dxfId="0" priority="8765" operator="equal">
      <formula>"未完成"</formula>
    </cfRule>
  </conditionalFormatting>
  <conditionalFormatting sqref="AI44:AJ44">
    <cfRule type="cellIs" dxfId="1" priority="8720" operator="equal">
      <formula>"未完成"</formula>
    </cfRule>
    <cfRule type="cellIs" dxfId="0" priority="8729" operator="equal">
      <formula>"未完成"</formula>
    </cfRule>
  </conditionalFormatting>
  <conditionalFormatting sqref="R45">
    <cfRule type="cellIs" dxfId="0" priority="8755" operator="equal">
      <formula>"欠"</formula>
    </cfRule>
  </conditionalFormatting>
  <conditionalFormatting sqref="S45">
    <cfRule type="cellIs" dxfId="0" priority="8746" operator="equal">
      <formula>"欠"</formula>
    </cfRule>
  </conditionalFormatting>
  <conditionalFormatting sqref="T45:U45">
    <cfRule type="cellIs" dxfId="0" priority="8737" operator="equal">
      <formula>"欠"</formula>
    </cfRule>
  </conditionalFormatting>
  <conditionalFormatting sqref="AD45:AE45">
    <cfRule type="cellIs" dxfId="0" priority="8764" operator="equal">
      <formula>"未完成"</formula>
    </cfRule>
  </conditionalFormatting>
  <conditionalFormatting sqref="AI45:AJ45">
    <cfRule type="cellIs" dxfId="1" priority="8719" operator="equal">
      <formula>"未完成"</formula>
    </cfRule>
    <cfRule type="cellIs" dxfId="0" priority="8728" operator="equal">
      <formula>"未完成"</formula>
    </cfRule>
  </conditionalFormatting>
  <conditionalFormatting sqref="R46">
    <cfRule type="cellIs" dxfId="0" priority="8754" operator="equal">
      <formula>"欠"</formula>
    </cfRule>
  </conditionalFormatting>
  <conditionalFormatting sqref="S46">
    <cfRule type="cellIs" dxfId="0" priority="8745" operator="equal">
      <formula>"欠"</formula>
    </cfRule>
  </conditionalFormatting>
  <conditionalFormatting sqref="T46:U46">
    <cfRule type="cellIs" dxfId="0" priority="8736" operator="equal">
      <formula>"欠"</formula>
    </cfRule>
  </conditionalFormatting>
  <conditionalFormatting sqref="AD46:AE46">
    <cfRule type="cellIs" dxfId="0" priority="8763" operator="equal">
      <formula>"未完成"</formula>
    </cfRule>
  </conditionalFormatting>
  <conditionalFormatting sqref="AI46:AJ46">
    <cfRule type="cellIs" dxfId="1" priority="8718" operator="equal">
      <formula>"未完成"</formula>
    </cfRule>
    <cfRule type="cellIs" dxfId="0" priority="8727" operator="equal">
      <formula>"未完成"</formula>
    </cfRule>
  </conditionalFormatting>
  <conditionalFormatting sqref="R47">
    <cfRule type="cellIs" dxfId="0" priority="8753" operator="equal">
      <formula>"欠"</formula>
    </cfRule>
  </conditionalFormatting>
  <conditionalFormatting sqref="S47">
    <cfRule type="cellIs" dxfId="0" priority="8744" operator="equal">
      <formula>"欠"</formula>
    </cfRule>
  </conditionalFormatting>
  <conditionalFormatting sqref="T47:U47">
    <cfRule type="cellIs" dxfId="0" priority="8735" operator="equal">
      <formula>"欠"</formula>
    </cfRule>
  </conditionalFormatting>
  <conditionalFormatting sqref="AD47:AE47">
    <cfRule type="cellIs" dxfId="0" priority="8762" operator="equal">
      <formula>"未完成"</formula>
    </cfRule>
  </conditionalFormatting>
  <conditionalFormatting sqref="AI47:AJ47">
    <cfRule type="cellIs" dxfId="1" priority="8717" operator="equal">
      <formula>"未完成"</formula>
    </cfRule>
    <cfRule type="cellIs" dxfId="0" priority="8726" operator="equal">
      <formula>"未完成"</formula>
    </cfRule>
  </conditionalFormatting>
  <conditionalFormatting sqref="R48">
    <cfRule type="cellIs" dxfId="0" priority="8752" operator="equal">
      <formula>"欠"</formula>
    </cfRule>
  </conditionalFormatting>
  <conditionalFormatting sqref="S48">
    <cfRule type="cellIs" dxfId="0" priority="8743" operator="equal">
      <formula>"欠"</formula>
    </cfRule>
  </conditionalFormatting>
  <conditionalFormatting sqref="T48:U48">
    <cfRule type="cellIs" dxfId="0" priority="8734" operator="equal">
      <formula>"欠"</formula>
    </cfRule>
  </conditionalFormatting>
  <conditionalFormatting sqref="AD48:AE48">
    <cfRule type="cellIs" dxfId="0" priority="8761" operator="equal">
      <formula>"未完成"</formula>
    </cfRule>
  </conditionalFormatting>
  <conditionalFormatting sqref="AI48:AJ48">
    <cfRule type="cellIs" dxfId="1" priority="8716" operator="equal">
      <formula>"未完成"</formula>
    </cfRule>
    <cfRule type="cellIs" dxfId="0" priority="8725" operator="equal">
      <formula>"未完成"</formula>
    </cfRule>
  </conditionalFormatting>
  <conditionalFormatting sqref="R49">
    <cfRule type="cellIs" dxfId="0" priority="8751" operator="equal">
      <formula>"欠"</formula>
    </cfRule>
  </conditionalFormatting>
  <conditionalFormatting sqref="S49">
    <cfRule type="cellIs" dxfId="0" priority="8742" operator="equal">
      <formula>"欠"</formula>
    </cfRule>
  </conditionalFormatting>
  <conditionalFormatting sqref="T49:U49">
    <cfRule type="cellIs" dxfId="0" priority="8733" operator="equal">
      <formula>"欠"</formula>
    </cfRule>
  </conditionalFormatting>
  <conditionalFormatting sqref="AD49:AE49">
    <cfRule type="cellIs" dxfId="0" priority="8760" operator="equal">
      <formula>"未完成"</formula>
    </cfRule>
  </conditionalFormatting>
  <conditionalFormatting sqref="AI49:AJ49">
    <cfRule type="cellIs" dxfId="1" priority="8715" operator="equal">
      <formula>"未完成"</formula>
    </cfRule>
    <cfRule type="cellIs" dxfId="0" priority="8724" operator="equal">
      <formula>"未完成"</formula>
    </cfRule>
  </conditionalFormatting>
  <conditionalFormatting sqref="R50">
    <cfRule type="cellIs" dxfId="0" priority="8750" operator="equal">
      <formula>"欠"</formula>
    </cfRule>
  </conditionalFormatting>
  <conditionalFormatting sqref="S50">
    <cfRule type="cellIs" dxfId="0" priority="8741" operator="equal">
      <formula>"欠"</formula>
    </cfRule>
  </conditionalFormatting>
  <conditionalFormatting sqref="T50:U50">
    <cfRule type="cellIs" dxfId="0" priority="8732" operator="equal">
      <formula>"欠"</formula>
    </cfRule>
  </conditionalFormatting>
  <conditionalFormatting sqref="AD50:AE50">
    <cfRule type="cellIs" dxfId="0" priority="8759" operator="equal">
      <formula>"未完成"</formula>
    </cfRule>
  </conditionalFormatting>
  <conditionalFormatting sqref="AI50:AJ50">
    <cfRule type="cellIs" dxfId="1" priority="8714" operator="equal">
      <formula>"未完成"</formula>
    </cfRule>
    <cfRule type="cellIs" dxfId="0" priority="8723" operator="equal">
      <formula>"未完成"</formula>
    </cfRule>
  </conditionalFormatting>
  <conditionalFormatting sqref="R51">
    <cfRule type="cellIs" dxfId="0" priority="8749" operator="equal">
      <formula>"欠"</formula>
    </cfRule>
  </conditionalFormatting>
  <conditionalFormatting sqref="S51">
    <cfRule type="cellIs" dxfId="0" priority="8740" operator="equal">
      <formula>"欠"</formula>
    </cfRule>
  </conditionalFormatting>
  <conditionalFormatting sqref="T51:U51">
    <cfRule type="cellIs" dxfId="0" priority="8731" operator="equal">
      <formula>"欠"</formula>
    </cfRule>
  </conditionalFormatting>
  <conditionalFormatting sqref="AD51:AE51">
    <cfRule type="cellIs" dxfId="0" priority="8758" operator="equal">
      <formula>"未完成"</formula>
    </cfRule>
  </conditionalFormatting>
  <conditionalFormatting sqref="AI51:AJ51">
    <cfRule type="cellIs" dxfId="1" priority="8713" operator="equal">
      <formula>"未完成"</formula>
    </cfRule>
    <cfRule type="cellIs" dxfId="0" priority="8722" operator="equal">
      <formula>"未完成"</formula>
    </cfRule>
  </conditionalFormatting>
  <conditionalFormatting sqref="R52">
    <cfRule type="cellIs" dxfId="0" priority="8711" operator="equal">
      <formula>"欠"</formula>
    </cfRule>
  </conditionalFormatting>
  <conditionalFormatting sqref="S52">
    <cfRule type="cellIs" dxfId="0" priority="8710" operator="equal">
      <formula>"欠"</formula>
    </cfRule>
  </conditionalFormatting>
  <conditionalFormatting sqref="T52:U52">
    <cfRule type="cellIs" dxfId="0" priority="8709" operator="equal">
      <formula>"欠"</formula>
    </cfRule>
  </conditionalFormatting>
  <conditionalFormatting sqref="AD52:AE52">
    <cfRule type="cellIs" dxfId="0" priority="8712" operator="equal">
      <formula>"未完成"</formula>
    </cfRule>
  </conditionalFormatting>
  <conditionalFormatting sqref="AI52:AJ52">
    <cfRule type="cellIs" dxfId="1" priority="8707" operator="equal">
      <formula>"未完成"</formula>
    </cfRule>
    <cfRule type="cellIs" dxfId="0" priority="8708" operator="equal">
      <formula>"未完成"</formula>
    </cfRule>
  </conditionalFormatting>
  <conditionalFormatting sqref="R53">
    <cfRule type="cellIs" dxfId="0" priority="8637" operator="equal">
      <formula>"欠"</formula>
    </cfRule>
  </conditionalFormatting>
  <conditionalFormatting sqref="S53">
    <cfRule type="cellIs" dxfId="0" priority="8614" operator="equal">
      <formula>"欠"</formula>
    </cfRule>
  </conditionalFormatting>
  <conditionalFormatting sqref="T53:U53">
    <cfRule type="cellIs" dxfId="0" priority="8591" operator="equal">
      <formula>"欠"</formula>
    </cfRule>
  </conditionalFormatting>
  <conditionalFormatting sqref="AD53:AE53">
    <cfRule type="cellIs" dxfId="0" priority="8660" operator="equal">
      <formula>"未完成"</formula>
    </cfRule>
  </conditionalFormatting>
  <conditionalFormatting sqref="AI53:AJ53">
    <cfRule type="cellIs" dxfId="1" priority="8545" operator="equal">
      <formula>"未完成"</formula>
    </cfRule>
    <cfRule type="cellIs" dxfId="0" priority="8568" operator="equal">
      <formula>"未完成"</formula>
    </cfRule>
  </conditionalFormatting>
  <conditionalFormatting sqref="R54">
    <cfRule type="cellIs" dxfId="0" priority="8636" operator="equal">
      <formula>"欠"</formula>
    </cfRule>
  </conditionalFormatting>
  <conditionalFormatting sqref="S54">
    <cfRule type="cellIs" dxfId="0" priority="8613" operator="equal">
      <formula>"欠"</formula>
    </cfRule>
  </conditionalFormatting>
  <conditionalFormatting sqref="T54:U54">
    <cfRule type="cellIs" dxfId="0" priority="8590" operator="equal">
      <formula>"欠"</formula>
    </cfRule>
  </conditionalFormatting>
  <conditionalFormatting sqref="AD54:AE54">
    <cfRule type="cellIs" dxfId="0" priority="8659" operator="equal">
      <formula>"未完成"</formula>
    </cfRule>
  </conditionalFormatting>
  <conditionalFormatting sqref="AI54:AJ54">
    <cfRule type="cellIs" dxfId="1" priority="8544" operator="equal">
      <formula>"未完成"</formula>
    </cfRule>
    <cfRule type="cellIs" dxfId="0" priority="8567" operator="equal">
      <formula>"未完成"</formula>
    </cfRule>
  </conditionalFormatting>
  <conditionalFormatting sqref="R55">
    <cfRule type="cellIs" dxfId="0" priority="8635" operator="equal">
      <formula>"欠"</formula>
    </cfRule>
  </conditionalFormatting>
  <conditionalFormatting sqref="S55">
    <cfRule type="cellIs" dxfId="0" priority="8612" operator="equal">
      <formula>"欠"</formula>
    </cfRule>
  </conditionalFormatting>
  <conditionalFormatting sqref="T55:U55">
    <cfRule type="cellIs" dxfId="0" priority="8589" operator="equal">
      <formula>"欠"</formula>
    </cfRule>
  </conditionalFormatting>
  <conditionalFormatting sqref="AD55:AE55">
    <cfRule type="cellIs" dxfId="0" priority="8658" operator="equal">
      <formula>"未完成"</formula>
    </cfRule>
  </conditionalFormatting>
  <conditionalFormatting sqref="AI55:AJ55">
    <cfRule type="cellIs" dxfId="1" priority="8543" operator="equal">
      <formula>"未完成"</formula>
    </cfRule>
    <cfRule type="cellIs" dxfId="0" priority="8566" operator="equal">
      <formula>"未完成"</formula>
    </cfRule>
  </conditionalFormatting>
  <conditionalFormatting sqref="R56">
    <cfRule type="cellIs" dxfId="0" priority="8634" operator="equal">
      <formula>"欠"</formula>
    </cfRule>
  </conditionalFormatting>
  <conditionalFormatting sqref="S56">
    <cfRule type="cellIs" dxfId="0" priority="8611" operator="equal">
      <formula>"欠"</formula>
    </cfRule>
  </conditionalFormatting>
  <conditionalFormatting sqref="T56:U56">
    <cfRule type="cellIs" dxfId="0" priority="8588" operator="equal">
      <formula>"欠"</formula>
    </cfRule>
  </conditionalFormatting>
  <conditionalFormatting sqref="AD56:AE56">
    <cfRule type="cellIs" dxfId="0" priority="8657" operator="equal">
      <formula>"未完成"</formula>
    </cfRule>
  </conditionalFormatting>
  <conditionalFormatting sqref="AI56:AJ56">
    <cfRule type="cellIs" dxfId="1" priority="8542" operator="equal">
      <formula>"未完成"</formula>
    </cfRule>
    <cfRule type="cellIs" dxfId="0" priority="8565" operator="equal">
      <formula>"未完成"</formula>
    </cfRule>
  </conditionalFormatting>
  <conditionalFormatting sqref="R57">
    <cfRule type="cellIs" dxfId="0" priority="8633" operator="equal">
      <formula>"欠"</formula>
    </cfRule>
  </conditionalFormatting>
  <conditionalFormatting sqref="S57">
    <cfRule type="cellIs" dxfId="0" priority="8610" operator="equal">
      <formula>"欠"</formula>
    </cfRule>
  </conditionalFormatting>
  <conditionalFormatting sqref="T57:U57">
    <cfRule type="cellIs" dxfId="0" priority="8587" operator="equal">
      <formula>"欠"</formula>
    </cfRule>
  </conditionalFormatting>
  <conditionalFormatting sqref="AD57:AE57">
    <cfRule type="cellIs" dxfId="0" priority="8656" operator="equal">
      <formula>"未完成"</formula>
    </cfRule>
  </conditionalFormatting>
  <conditionalFormatting sqref="AI57:AJ57">
    <cfRule type="cellIs" dxfId="1" priority="8541" operator="equal">
      <formula>"未完成"</formula>
    </cfRule>
    <cfRule type="cellIs" dxfId="0" priority="8564" operator="equal">
      <formula>"未完成"</formula>
    </cfRule>
  </conditionalFormatting>
  <conditionalFormatting sqref="R58">
    <cfRule type="cellIs" dxfId="0" priority="8632" operator="equal">
      <formula>"欠"</formula>
    </cfRule>
  </conditionalFormatting>
  <conditionalFormatting sqref="S58">
    <cfRule type="cellIs" dxfId="0" priority="8609" operator="equal">
      <formula>"欠"</formula>
    </cfRule>
  </conditionalFormatting>
  <conditionalFormatting sqref="T58:U58">
    <cfRule type="cellIs" dxfId="0" priority="8586" operator="equal">
      <formula>"欠"</formula>
    </cfRule>
  </conditionalFormatting>
  <conditionalFormatting sqref="AD58:AE58">
    <cfRule type="cellIs" dxfId="0" priority="8655" operator="equal">
      <formula>"未完成"</formula>
    </cfRule>
  </conditionalFormatting>
  <conditionalFormatting sqref="AI58:AJ58">
    <cfRule type="cellIs" dxfId="1" priority="8540" operator="equal">
      <formula>"未完成"</formula>
    </cfRule>
    <cfRule type="cellIs" dxfId="0" priority="8563" operator="equal">
      <formula>"未完成"</formula>
    </cfRule>
  </conditionalFormatting>
  <conditionalFormatting sqref="R59">
    <cfRule type="cellIs" dxfId="0" priority="8631" operator="equal">
      <formula>"欠"</formula>
    </cfRule>
  </conditionalFormatting>
  <conditionalFormatting sqref="S59">
    <cfRule type="cellIs" dxfId="0" priority="8608" operator="equal">
      <formula>"欠"</formula>
    </cfRule>
  </conditionalFormatting>
  <conditionalFormatting sqref="T59:U59">
    <cfRule type="cellIs" dxfId="0" priority="8585" operator="equal">
      <formula>"欠"</formula>
    </cfRule>
  </conditionalFormatting>
  <conditionalFormatting sqref="AD59:AE59">
    <cfRule type="cellIs" dxfId="0" priority="8654" operator="equal">
      <formula>"未完成"</formula>
    </cfRule>
  </conditionalFormatting>
  <conditionalFormatting sqref="AI59:AJ59">
    <cfRule type="cellIs" dxfId="1" priority="8539" operator="equal">
      <formula>"未完成"</formula>
    </cfRule>
    <cfRule type="cellIs" dxfId="0" priority="8562" operator="equal">
      <formula>"未完成"</formula>
    </cfRule>
  </conditionalFormatting>
  <conditionalFormatting sqref="R60">
    <cfRule type="cellIs" dxfId="0" priority="8630" operator="equal">
      <formula>"欠"</formula>
    </cfRule>
  </conditionalFormatting>
  <conditionalFormatting sqref="S60">
    <cfRule type="cellIs" dxfId="0" priority="8607" operator="equal">
      <formula>"欠"</formula>
    </cfRule>
  </conditionalFormatting>
  <conditionalFormatting sqref="T60:U60">
    <cfRule type="cellIs" dxfId="0" priority="8584" operator="equal">
      <formula>"欠"</formula>
    </cfRule>
  </conditionalFormatting>
  <conditionalFormatting sqref="AD60:AE60">
    <cfRule type="cellIs" dxfId="0" priority="8653" operator="equal">
      <formula>"未完成"</formula>
    </cfRule>
  </conditionalFormatting>
  <conditionalFormatting sqref="AI60:AJ60">
    <cfRule type="cellIs" dxfId="1" priority="8538" operator="equal">
      <formula>"未完成"</formula>
    </cfRule>
    <cfRule type="cellIs" dxfId="0" priority="8561" operator="equal">
      <formula>"未完成"</formula>
    </cfRule>
  </conditionalFormatting>
  <conditionalFormatting sqref="R61">
    <cfRule type="cellIs" dxfId="0" priority="8629" operator="equal">
      <formula>"欠"</formula>
    </cfRule>
  </conditionalFormatting>
  <conditionalFormatting sqref="S61">
    <cfRule type="cellIs" dxfId="0" priority="8606" operator="equal">
      <formula>"欠"</formula>
    </cfRule>
  </conditionalFormatting>
  <conditionalFormatting sqref="T61:U61">
    <cfRule type="cellIs" dxfId="0" priority="8583" operator="equal">
      <formula>"欠"</formula>
    </cfRule>
  </conditionalFormatting>
  <conditionalFormatting sqref="AD61:AE61">
    <cfRule type="cellIs" dxfId="0" priority="8652" operator="equal">
      <formula>"未完成"</formula>
    </cfRule>
  </conditionalFormatting>
  <conditionalFormatting sqref="AI61:AJ61">
    <cfRule type="cellIs" dxfId="1" priority="8537" operator="equal">
      <formula>"未完成"</formula>
    </cfRule>
    <cfRule type="cellIs" dxfId="0" priority="8560" operator="equal">
      <formula>"未完成"</formula>
    </cfRule>
  </conditionalFormatting>
  <conditionalFormatting sqref="R62">
    <cfRule type="cellIs" dxfId="0" priority="8628" operator="equal">
      <formula>"欠"</formula>
    </cfRule>
  </conditionalFormatting>
  <conditionalFormatting sqref="S62">
    <cfRule type="cellIs" dxfId="0" priority="8605" operator="equal">
      <formula>"欠"</formula>
    </cfRule>
  </conditionalFormatting>
  <conditionalFormatting sqref="T62:U62">
    <cfRule type="cellIs" dxfId="0" priority="8582" operator="equal">
      <formula>"欠"</formula>
    </cfRule>
  </conditionalFormatting>
  <conditionalFormatting sqref="AD62:AE62">
    <cfRule type="cellIs" dxfId="0" priority="8651" operator="equal">
      <formula>"未完成"</formula>
    </cfRule>
  </conditionalFormatting>
  <conditionalFormatting sqref="AI62:AJ62">
    <cfRule type="cellIs" dxfId="1" priority="8536" operator="equal">
      <formula>"未完成"</formula>
    </cfRule>
    <cfRule type="cellIs" dxfId="0" priority="8559" operator="equal">
      <formula>"未完成"</formula>
    </cfRule>
  </conditionalFormatting>
  <conditionalFormatting sqref="R63">
    <cfRule type="cellIs" dxfId="0" priority="8627" operator="equal">
      <formula>"欠"</formula>
    </cfRule>
  </conditionalFormatting>
  <conditionalFormatting sqref="S63">
    <cfRule type="cellIs" dxfId="0" priority="8604" operator="equal">
      <formula>"欠"</formula>
    </cfRule>
  </conditionalFormatting>
  <conditionalFormatting sqref="T63:U63">
    <cfRule type="cellIs" dxfId="0" priority="8581" operator="equal">
      <formula>"欠"</formula>
    </cfRule>
  </conditionalFormatting>
  <conditionalFormatting sqref="AD63:AE63">
    <cfRule type="cellIs" dxfId="0" priority="8650" operator="equal">
      <formula>"未完成"</formula>
    </cfRule>
  </conditionalFormatting>
  <conditionalFormatting sqref="AI63:AJ63">
    <cfRule type="cellIs" dxfId="1" priority="8535" operator="equal">
      <formula>"未完成"</formula>
    </cfRule>
    <cfRule type="cellIs" dxfId="0" priority="8558" operator="equal">
      <formula>"未完成"</formula>
    </cfRule>
  </conditionalFormatting>
  <conditionalFormatting sqref="R64">
    <cfRule type="cellIs" dxfId="0" priority="8626" operator="equal">
      <formula>"欠"</formula>
    </cfRule>
  </conditionalFormatting>
  <conditionalFormatting sqref="S64">
    <cfRule type="cellIs" dxfId="0" priority="8603" operator="equal">
      <formula>"欠"</formula>
    </cfRule>
  </conditionalFormatting>
  <conditionalFormatting sqref="T64:U64">
    <cfRule type="cellIs" dxfId="0" priority="8580" operator="equal">
      <formula>"欠"</formula>
    </cfRule>
  </conditionalFormatting>
  <conditionalFormatting sqref="AD64:AE64">
    <cfRule type="cellIs" dxfId="0" priority="8649" operator="equal">
      <formula>"未完成"</formula>
    </cfRule>
  </conditionalFormatting>
  <conditionalFormatting sqref="AI64:AJ64">
    <cfRule type="cellIs" dxfId="1" priority="8534" operator="equal">
      <formula>"未完成"</formula>
    </cfRule>
    <cfRule type="cellIs" dxfId="0" priority="8557" operator="equal">
      <formula>"未完成"</formula>
    </cfRule>
  </conditionalFormatting>
  <conditionalFormatting sqref="R65">
    <cfRule type="cellIs" dxfId="0" priority="8625" operator="equal">
      <formula>"欠"</formula>
    </cfRule>
  </conditionalFormatting>
  <conditionalFormatting sqref="S65">
    <cfRule type="cellIs" dxfId="0" priority="8602" operator="equal">
      <formula>"欠"</formula>
    </cfRule>
  </conditionalFormatting>
  <conditionalFormatting sqref="T65:U65">
    <cfRule type="cellIs" dxfId="0" priority="8579" operator="equal">
      <formula>"欠"</formula>
    </cfRule>
  </conditionalFormatting>
  <conditionalFormatting sqref="AD65:AE65">
    <cfRule type="cellIs" dxfId="0" priority="8648" operator="equal">
      <formula>"未完成"</formula>
    </cfRule>
  </conditionalFormatting>
  <conditionalFormatting sqref="AI65:AJ65">
    <cfRule type="cellIs" dxfId="1" priority="8533" operator="equal">
      <formula>"未完成"</formula>
    </cfRule>
    <cfRule type="cellIs" dxfId="0" priority="8556" operator="equal">
      <formula>"未完成"</formula>
    </cfRule>
  </conditionalFormatting>
  <conditionalFormatting sqref="R66">
    <cfRule type="cellIs" dxfId="0" priority="8624" operator="equal">
      <formula>"欠"</formula>
    </cfRule>
  </conditionalFormatting>
  <conditionalFormatting sqref="S66">
    <cfRule type="cellIs" dxfId="0" priority="8601" operator="equal">
      <formula>"欠"</formula>
    </cfRule>
  </conditionalFormatting>
  <conditionalFormatting sqref="T66:U66">
    <cfRule type="cellIs" dxfId="0" priority="8578" operator="equal">
      <formula>"欠"</formula>
    </cfRule>
  </conditionalFormatting>
  <conditionalFormatting sqref="AD66:AE66">
    <cfRule type="cellIs" dxfId="0" priority="8647" operator="equal">
      <formula>"未完成"</formula>
    </cfRule>
  </conditionalFormatting>
  <conditionalFormatting sqref="AI66:AJ66">
    <cfRule type="cellIs" dxfId="1" priority="8532" operator="equal">
      <formula>"未完成"</formula>
    </cfRule>
    <cfRule type="cellIs" dxfId="0" priority="8555" operator="equal">
      <formula>"未完成"</formula>
    </cfRule>
  </conditionalFormatting>
  <conditionalFormatting sqref="R67">
    <cfRule type="cellIs" dxfId="0" priority="8623" operator="equal">
      <formula>"欠"</formula>
    </cfRule>
  </conditionalFormatting>
  <conditionalFormatting sqref="S67">
    <cfRule type="cellIs" dxfId="0" priority="8600" operator="equal">
      <formula>"欠"</formula>
    </cfRule>
  </conditionalFormatting>
  <conditionalFormatting sqref="T67:U67">
    <cfRule type="cellIs" dxfId="0" priority="8577" operator="equal">
      <formula>"欠"</formula>
    </cfRule>
  </conditionalFormatting>
  <conditionalFormatting sqref="AD67:AE67">
    <cfRule type="cellIs" dxfId="0" priority="8646" operator="equal">
      <formula>"未完成"</formula>
    </cfRule>
  </conditionalFormatting>
  <conditionalFormatting sqref="AI67:AJ67">
    <cfRule type="cellIs" dxfId="1" priority="8531" operator="equal">
      <formula>"未完成"</formula>
    </cfRule>
    <cfRule type="cellIs" dxfId="0" priority="8554" operator="equal">
      <formula>"未完成"</formula>
    </cfRule>
  </conditionalFormatting>
  <conditionalFormatting sqref="R68">
    <cfRule type="cellIs" dxfId="0" priority="8622" operator="equal">
      <formula>"欠"</formula>
    </cfRule>
  </conditionalFormatting>
  <conditionalFormatting sqref="S68">
    <cfRule type="cellIs" dxfId="0" priority="8599" operator="equal">
      <formula>"欠"</formula>
    </cfRule>
  </conditionalFormatting>
  <conditionalFormatting sqref="T68:U68">
    <cfRule type="cellIs" dxfId="0" priority="8576" operator="equal">
      <formula>"欠"</formula>
    </cfRule>
  </conditionalFormatting>
  <conditionalFormatting sqref="AD68:AE68">
    <cfRule type="cellIs" dxfId="0" priority="8645" operator="equal">
      <formula>"未完成"</formula>
    </cfRule>
  </conditionalFormatting>
  <conditionalFormatting sqref="AI68:AJ68">
    <cfRule type="cellIs" dxfId="1" priority="8530" operator="equal">
      <formula>"未完成"</formula>
    </cfRule>
    <cfRule type="cellIs" dxfId="0" priority="8553" operator="equal">
      <formula>"未完成"</formula>
    </cfRule>
  </conditionalFormatting>
  <conditionalFormatting sqref="R69">
    <cfRule type="cellIs" dxfId="0" priority="8621" operator="equal">
      <formula>"欠"</formula>
    </cfRule>
  </conditionalFormatting>
  <conditionalFormatting sqref="S69">
    <cfRule type="cellIs" dxfId="0" priority="8598" operator="equal">
      <formula>"欠"</formula>
    </cfRule>
  </conditionalFormatting>
  <conditionalFormatting sqref="T69:U69">
    <cfRule type="cellIs" dxfId="0" priority="8575" operator="equal">
      <formula>"欠"</formula>
    </cfRule>
  </conditionalFormatting>
  <conditionalFormatting sqref="AD69:AE69">
    <cfRule type="cellIs" dxfId="0" priority="8644" operator="equal">
      <formula>"未完成"</formula>
    </cfRule>
  </conditionalFormatting>
  <conditionalFormatting sqref="AI69:AJ69">
    <cfRule type="cellIs" dxfId="1" priority="8529" operator="equal">
      <formula>"未完成"</formula>
    </cfRule>
    <cfRule type="cellIs" dxfId="0" priority="8552" operator="equal">
      <formula>"未完成"</formula>
    </cfRule>
  </conditionalFormatting>
  <conditionalFormatting sqref="R70">
    <cfRule type="cellIs" dxfId="0" priority="8620" operator="equal">
      <formula>"欠"</formula>
    </cfRule>
  </conditionalFormatting>
  <conditionalFormatting sqref="S70">
    <cfRule type="cellIs" dxfId="0" priority="8597" operator="equal">
      <formula>"欠"</formula>
    </cfRule>
  </conditionalFormatting>
  <conditionalFormatting sqref="T70:U70">
    <cfRule type="cellIs" dxfId="0" priority="8574" operator="equal">
      <formula>"欠"</formula>
    </cfRule>
  </conditionalFormatting>
  <conditionalFormatting sqref="AI70:AJ70">
    <cfRule type="cellIs" dxfId="1" priority="8528" operator="equal">
      <formula>"未完成"</formula>
    </cfRule>
    <cfRule type="cellIs" dxfId="0" priority="8551" operator="equal">
      <formula>"未完成"</formula>
    </cfRule>
  </conditionalFormatting>
  <conditionalFormatting sqref="R71">
    <cfRule type="cellIs" dxfId="0" priority="8619" operator="equal">
      <formula>"欠"</formula>
    </cfRule>
  </conditionalFormatting>
  <conditionalFormatting sqref="S71">
    <cfRule type="cellIs" dxfId="0" priority="8596" operator="equal">
      <formula>"欠"</formula>
    </cfRule>
  </conditionalFormatting>
  <conditionalFormatting sqref="T71:U71">
    <cfRule type="cellIs" dxfId="0" priority="8573" operator="equal">
      <formula>"欠"</formula>
    </cfRule>
  </conditionalFormatting>
  <conditionalFormatting sqref="AI71:AJ71">
    <cfRule type="cellIs" dxfId="1" priority="8527" operator="equal">
      <formula>"未完成"</formula>
    </cfRule>
    <cfRule type="cellIs" dxfId="0" priority="8550" operator="equal">
      <formula>"未完成"</formula>
    </cfRule>
  </conditionalFormatting>
  <conditionalFormatting sqref="R72">
    <cfRule type="cellIs" dxfId="0" priority="8618" operator="equal">
      <formula>"欠"</formula>
    </cfRule>
  </conditionalFormatting>
  <conditionalFormatting sqref="S72">
    <cfRule type="cellIs" dxfId="0" priority="8595" operator="equal">
      <formula>"欠"</formula>
    </cfRule>
  </conditionalFormatting>
  <conditionalFormatting sqref="T72:U72">
    <cfRule type="cellIs" dxfId="0" priority="8572" operator="equal">
      <formula>"欠"</formula>
    </cfRule>
  </conditionalFormatting>
  <conditionalFormatting sqref="AI72:AJ72">
    <cfRule type="cellIs" dxfId="1" priority="8526" operator="equal">
      <formula>"未完成"</formula>
    </cfRule>
    <cfRule type="cellIs" dxfId="0" priority="8549" operator="equal">
      <formula>"未完成"</formula>
    </cfRule>
  </conditionalFormatting>
  <conditionalFormatting sqref="R73">
    <cfRule type="cellIs" dxfId="0" priority="8617" operator="equal">
      <formula>"欠"</formula>
    </cfRule>
  </conditionalFormatting>
  <conditionalFormatting sqref="S73">
    <cfRule type="cellIs" dxfId="0" priority="8594" operator="equal">
      <formula>"欠"</formula>
    </cfRule>
  </conditionalFormatting>
  <conditionalFormatting sqref="T73:U73">
    <cfRule type="cellIs" dxfId="0" priority="8571" operator="equal">
      <formula>"欠"</formula>
    </cfRule>
  </conditionalFormatting>
  <conditionalFormatting sqref="AI73:AJ73">
    <cfRule type="cellIs" dxfId="1" priority="8525" operator="equal">
      <formula>"未完成"</formula>
    </cfRule>
    <cfRule type="cellIs" dxfId="0" priority="8548" operator="equal">
      <formula>"未完成"</formula>
    </cfRule>
  </conditionalFormatting>
  <conditionalFormatting sqref="R74">
    <cfRule type="cellIs" dxfId="0" priority="8616" operator="equal">
      <formula>"欠"</formula>
    </cfRule>
  </conditionalFormatting>
  <conditionalFormatting sqref="S74">
    <cfRule type="cellIs" dxfId="0" priority="8593" operator="equal">
      <formula>"欠"</formula>
    </cfRule>
  </conditionalFormatting>
  <conditionalFormatting sqref="T74:U74">
    <cfRule type="cellIs" dxfId="0" priority="8570" operator="equal">
      <formula>"欠"</formula>
    </cfRule>
  </conditionalFormatting>
  <conditionalFormatting sqref="AI74:AJ74">
    <cfRule type="cellIs" dxfId="1" priority="8524" operator="equal">
      <formula>"未完成"</formula>
    </cfRule>
    <cfRule type="cellIs" dxfId="0" priority="8547" operator="equal">
      <formula>"未完成"</formula>
    </cfRule>
  </conditionalFormatting>
  <conditionalFormatting sqref="R75">
    <cfRule type="cellIs" dxfId="0" priority="8615" operator="equal">
      <formula>"欠"</formula>
    </cfRule>
  </conditionalFormatting>
  <conditionalFormatting sqref="S75">
    <cfRule type="cellIs" dxfId="0" priority="8592" operator="equal">
      <formula>"欠"</formula>
    </cfRule>
  </conditionalFormatting>
  <conditionalFormatting sqref="T75:U75">
    <cfRule type="cellIs" dxfId="0" priority="8569" operator="equal">
      <formula>"欠"</formula>
    </cfRule>
  </conditionalFormatting>
  <conditionalFormatting sqref="AI75:AJ75">
    <cfRule type="cellIs" dxfId="1" priority="8523" operator="equal">
      <formula>"未完成"</formula>
    </cfRule>
    <cfRule type="cellIs" dxfId="0" priority="8546" operator="equal">
      <formula>"未完成"</formula>
    </cfRule>
  </conditionalFormatting>
  <conditionalFormatting sqref="R76">
    <cfRule type="cellIs" dxfId="0" priority="8408" operator="equal">
      <formula>"欠"</formula>
    </cfRule>
  </conditionalFormatting>
  <conditionalFormatting sqref="S76">
    <cfRule type="cellIs" dxfId="0" priority="8407" operator="equal">
      <formula>"欠"</formula>
    </cfRule>
  </conditionalFormatting>
  <conditionalFormatting sqref="T76:U76">
    <cfRule type="cellIs" dxfId="0" priority="8406" operator="equal">
      <formula>"欠"</formula>
    </cfRule>
  </conditionalFormatting>
  <conditionalFormatting sqref="AI76:AJ76">
    <cfRule type="cellIs" dxfId="1" priority="8404" operator="equal">
      <formula>"未完成"</formula>
    </cfRule>
    <cfRule type="cellIs" dxfId="0" priority="8405" operator="equal">
      <formula>"未完成"</formula>
    </cfRule>
  </conditionalFormatting>
  <conditionalFormatting sqref="R77">
    <cfRule type="cellIs" dxfId="0" priority="8389" operator="equal">
      <formula>"欠"</formula>
    </cfRule>
  </conditionalFormatting>
  <conditionalFormatting sqref="S77">
    <cfRule type="cellIs" dxfId="0" priority="8375" operator="equal">
      <formula>"欠"</formula>
    </cfRule>
  </conditionalFormatting>
  <conditionalFormatting sqref="T77:U77">
    <cfRule type="cellIs" dxfId="0" priority="8361" operator="equal">
      <formula>"欠"</formula>
    </cfRule>
  </conditionalFormatting>
  <conditionalFormatting sqref="AI77:AJ77">
    <cfRule type="cellIs" dxfId="1" priority="8333" operator="equal">
      <formula>"未完成"</formula>
    </cfRule>
    <cfRule type="cellIs" dxfId="0" priority="8347" operator="equal">
      <formula>"未完成"</formula>
    </cfRule>
  </conditionalFormatting>
  <conditionalFormatting sqref="R78">
    <cfRule type="cellIs" dxfId="0" priority="8388" operator="equal">
      <formula>"欠"</formula>
    </cfRule>
  </conditionalFormatting>
  <conditionalFormatting sqref="S78">
    <cfRule type="cellIs" dxfId="0" priority="8374" operator="equal">
      <formula>"欠"</formula>
    </cfRule>
  </conditionalFormatting>
  <conditionalFormatting sqref="T78:U78">
    <cfRule type="cellIs" dxfId="0" priority="8360" operator="equal">
      <formula>"欠"</formula>
    </cfRule>
  </conditionalFormatting>
  <conditionalFormatting sqref="AI78:AJ78">
    <cfRule type="cellIs" dxfId="1" priority="8332" operator="equal">
      <formula>"未完成"</formula>
    </cfRule>
    <cfRule type="cellIs" dxfId="0" priority="8346" operator="equal">
      <formula>"未完成"</formula>
    </cfRule>
  </conditionalFormatting>
  <conditionalFormatting sqref="R79">
    <cfRule type="cellIs" dxfId="0" priority="8387" operator="equal">
      <formula>"欠"</formula>
    </cfRule>
  </conditionalFormatting>
  <conditionalFormatting sqref="S79">
    <cfRule type="cellIs" dxfId="0" priority="8373" operator="equal">
      <formula>"欠"</formula>
    </cfRule>
  </conditionalFormatting>
  <conditionalFormatting sqref="T79:U79">
    <cfRule type="cellIs" dxfId="0" priority="8359" operator="equal">
      <formula>"欠"</formula>
    </cfRule>
  </conditionalFormatting>
  <conditionalFormatting sqref="AI79:AJ79">
    <cfRule type="cellIs" dxfId="1" priority="8331" operator="equal">
      <formula>"未完成"</formula>
    </cfRule>
    <cfRule type="cellIs" dxfId="0" priority="8345" operator="equal">
      <formula>"未完成"</formula>
    </cfRule>
  </conditionalFormatting>
  <conditionalFormatting sqref="R80">
    <cfRule type="cellIs" dxfId="0" priority="8386" operator="equal">
      <formula>"欠"</formula>
    </cfRule>
  </conditionalFormatting>
  <conditionalFormatting sqref="S80">
    <cfRule type="cellIs" dxfId="0" priority="8372" operator="equal">
      <formula>"欠"</formula>
    </cfRule>
  </conditionalFormatting>
  <conditionalFormatting sqref="T80:U80">
    <cfRule type="cellIs" dxfId="0" priority="8358" operator="equal">
      <formula>"欠"</formula>
    </cfRule>
  </conditionalFormatting>
  <conditionalFormatting sqref="AI80:AJ80">
    <cfRule type="cellIs" dxfId="1" priority="8330" operator="equal">
      <formula>"未完成"</formula>
    </cfRule>
    <cfRule type="cellIs" dxfId="0" priority="8344" operator="equal">
      <formula>"未完成"</formula>
    </cfRule>
  </conditionalFormatting>
  <conditionalFormatting sqref="R81">
    <cfRule type="cellIs" dxfId="0" priority="8385" operator="equal">
      <formula>"欠"</formula>
    </cfRule>
  </conditionalFormatting>
  <conditionalFormatting sqref="S81">
    <cfRule type="cellIs" dxfId="0" priority="8371" operator="equal">
      <formula>"欠"</formula>
    </cfRule>
  </conditionalFormatting>
  <conditionalFormatting sqref="T81:U81">
    <cfRule type="cellIs" dxfId="0" priority="8357" operator="equal">
      <formula>"欠"</formula>
    </cfRule>
  </conditionalFormatting>
  <conditionalFormatting sqref="AI81:AJ81">
    <cfRule type="cellIs" dxfId="1" priority="8329" operator="equal">
      <formula>"未完成"</formula>
    </cfRule>
    <cfRule type="cellIs" dxfId="0" priority="8343" operator="equal">
      <formula>"未完成"</formula>
    </cfRule>
  </conditionalFormatting>
  <conditionalFormatting sqref="R82">
    <cfRule type="cellIs" dxfId="0" priority="8384" operator="equal">
      <formula>"欠"</formula>
    </cfRule>
  </conditionalFormatting>
  <conditionalFormatting sqref="S82">
    <cfRule type="cellIs" dxfId="0" priority="8370" operator="equal">
      <formula>"欠"</formula>
    </cfRule>
  </conditionalFormatting>
  <conditionalFormatting sqref="T82:U82">
    <cfRule type="cellIs" dxfId="0" priority="8356" operator="equal">
      <formula>"欠"</formula>
    </cfRule>
  </conditionalFormatting>
  <conditionalFormatting sqref="AI82:AJ82">
    <cfRule type="cellIs" dxfId="1" priority="8328" operator="equal">
      <formula>"未完成"</formula>
    </cfRule>
    <cfRule type="cellIs" dxfId="0" priority="8342" operator="equal">
      <formula>"未完成"</formula>
    </cfRule>
  </conditionalFormatting>
  <conditionalFormatting sqref="R83">
    <cfRule type="cellIs" dxfId="0" priority="8383" operator="equal">
      <formula>"欠"</formula>
    </cfRule>
  </conditionalFormatting>
  <conditionalFormatting sqref="S83">
    <cfRule type="cellIs" dxfId="0" priority="8369" operator="equal">
      <formula>"欠"</formula>
    </cfRule>
  </conditionalFormatting>
  <conditionalFormatting sqref="T83:U83">
    <cfRule type="cellIs" dxfId="0" priority="8355" operator="equal">
      <formula>"欠"</formula>
    </cfRule>
  </conditionalFormatting>
  <conditionalFormatting sqref="AI83:AJ83">
    <cfRule type="cellIs" dxfId="1" priority="8327" operator="equal">
      <formula>"未完成"</formula>
    </cfRule>
    <cfRule type="cellIs" dxfId="0" priority="8341" operator="equal">
      <formula>"未完成"</formula>
    </cfRule>
  </conditionalFormatting>
  <conditionalFormatting sqref="R84">
    <cfRule type="cellIs" dxfId="0" priority="8382" operator="equal">
      <formula>"欠"</formula>
    </cfRule>
  </conditionalFormatting>
  <conditionalFormatting sqref="S84">
    <cfRule type="cellIs" dxfId="0" priority="8368" operator="equal">
      <formula>"欠"</formula>
    </cfRule>
  </conditionalFormatting>
  <conditionalFormatting sqref="T84:U84">
    <cfRule type="cellIs" dxfId="0" priority="8354" operator="equal">
      <formula>"欠"</formula>
    </cfRule>
  </conditionalFormatting>
  <conditionalFormatting sqref="AI84:AJ84">
    <cfRule type="cellIs" dxfId="1" priority="8326" operator="equal">
      <formula>"未完成"</formula>
    </cfRule>
    <cfRule type="cellIs" dxfId="0" priority="8340" operator="equal">
      <formula>"未完成"</formula>
    </cfRule>
  </conditionalFormatting>
  <conditionalFormatting sqref="R85">
    <cfRule type="cellIs" dxfId="0" priority="8381" operator="equal">
      <formula>"欠"</formula>
    </cfRule>
  </conditionalFormatting>
  <conditionalFormatting sqref="S85">
    <cfRule type="cellIs" dxfId="0" priority="8367" operator="equal">
      <formula>"欠"</formula>
    </cfRule>
  </conditionalFormatting>
  <conditionalFormatting sqref="T85:U85">
    <cfRule type="cellIs" dxfId="0" priority="8353" operator="equal">
      <formula>"欠"</formula>
    </cfRule>
  </conditionalFormatting>
  <conditionalFormatting sqref="AI85:AJ85">
    <cfRule type="cellIs" dxfId="1" priority="8325" operator="equal">
      <formula>"未完成"</formula>
    </cfRule>
    <cfRule type="cellIs" dxfId="0" priority="8339" operator="equal">
      <formula>"未完成"</formula>
    </cfRule>
  </conditionalFormatting>
  <conditionalFormatting sqref="R86">
    <cfRule type="cellIs" dxfId="0" priority="8380" operator="equal">
      <formula>"欠"</formula>
    </cfRule>
  </conditionalFormatting>
  <conditionalFormatting sqref="S86">
    <cfRule type="cellIs" dxfId="0" priority="8366" operator="equal">
      <formula>"欠"</formula>
    </cfRule>
  </conditionalFormatting>
  <conditionalFormatting sqref="T86:U86">
    <cfRule type="cellIs" dxfId="0" priority="8352" operator="equal">
      <formula>"欠"</formula>
    </cfRule>
  </conditionalFormatting>
  <conditionalFormatting sqref="AI86:AJ86">
    <cfRule type="cellIs" dxfId="1" priority="8324" operator="equal">
      <formula>"未完成"</formula>
    </cfRule>
    <cfRule type="cellIs" dxfId="0" priority="8338" operator="equal">
      <formula>"未完成"</formula>
    </cfRule>
  </conditionalFormatting>
  <conditionalFormatting sqref="R87">
    <cfRule type="cellIs" dxfId="0" priority="8379" operator="equal">
      <formula>"欠"</formula>
    </cfRule>
  </conditionalFormatting>
  <conditionalFormatting sqref="S87">
    <cfRule type="cellIs" dxfId="0" priority="8365" operator="equal">
      <formula>"欠"</formula>
    </cfRule>
  </conditionalFormatting>
  <conditionalFormatting sqref="T87:U87">
    <cfRule type="cellIs" dxfId="0" priority="8351" operator="equal">
      <formula>"欠"</formula>
    </cfRule>
  </conditionalFormatting>
  <conditionalFormatting sqref="AI87:AJ87">
    <cfRule type="cellIs" dxfId="1" priority="8323" operator="equal">
      <formula>"未完成"</formula>
    </cfRule>
    <cfRule type="cellIs" dxfId="0" priority="8337" operator="equal">
      <formula>"未完成"</formula>
    </cfRule>
  </conditionalFormatting>
  <conditionalFormatting sqref="R88">
    <cfRule type="cellIs" dxfId="0" priority="8378" operator="equal">
      <formula>"欠"</formula>
    </cfRule>
  </conditionalFormatting>
  <conditionalFormatting sqref="S88">
    <cfRule type="cellIs" dxfId="0" priority="8364" operator="equal">
      <formula>"欠"</formula>
    </cfRule>
  </conditionalFormatting>
  <conditionalFormatting sqref="T88:U88">
    <cfRule type="cellIs" dxfId="0" priority="8350" operator="equal">
      <formula>"欠"</formula>
    </cfRule>
  </conditionalFormatting>
  <conditionalFormatting sqref="AI88:AJ88">
    <cfRule type="cellIs" dxfId="1" priority="8322" operator="equal">
      <formula>"未完成"</formula>
    </cfRule>
    <cfRule type="cellIs" dxfId="0" priority="8336" operator="equal">
      <formula>"未完成"</formula>
    </cfRule>
  </conditionalFormatting>
  <conditionalFormatting sqref="R89">
    <cfRule type="cellIs" dxfId="0" priority="8377" operator="equal">
      <formula>"欠"</formula>
    </cfRule>
  </conditionalFormatting>
  <conditionalFormatting sqref="S89">
    <cfRule type="cellIs" dxfId="0" priority="8363" operator="equal">
      <formula>"欠"</formula>
    </cfRule>
  </conditionalFormatting>
  <conditionalFormatting sqref="T89:U89">
    <cfRule type="cellIs" dxfId="0" priority="8349" operator="equal">
      <formula>"欠"</formula>
    </cfRule>
  </conditionalFormatting>
  <conditionalFormatting sqref="AI89:AJ89">
    <cfRule type="cellIs" dxfId="1" priority="8321" operator="equal">
      <formula>"未完成"</formula>
    </cfRule>
    <cfRule type="cellIs" dxfId="0" priority="8335" operator="equal">
      <formula>"未完成"</formula>
    </cfRule>
  </conditionalFormatting>
  <conditionalFormatting sqref="R90">
    <cfRule type="cellIs" dxfId="0" priority="8376" operator="equal">
      <formula>"欠"</formula>
    </cfRule>
  </conditionalFormatting>
  <conditionalFormatting sqref="S90">
    <cfRule type="cellIs" dxfId="0" priority="8362" operator="equal">
      <formula>"欠"</formula>
    </cfRule>
  </conditionalFormatting>
  <conditionalFormatting sqref="T90:U90">
    <cfRule type="cellIs" dxfId="0" priority="8348" operator="equal">
      <formula>"欠"</formula>
    </cfRule>
  </conditionalFormatting>
  <conditionalFormatting sqref="AI90:AJ90">
    <cfRule type="cellIs" dxfId="1" priority="8320" operator="equal">
      <formula>"未完成"</formula>
    </cfRule>
    <cfRule type="cellIs" dxfId="0" priority="8334" operator="equal">
      <formula>"未完成"</formula>
    </cfRule>
  </conditionalFormatting>
  <conditionalFormatting sqref="R91">
    <cfRule type="cellIs" dxfId="0" priority="8281" operator="equal">
      <formula>"欠"</formula>
    </cfRule>
  </conditionalFormatting>
  <conditionalFormatting sqref="S91">
    <cfRule type="cellIs" dxfId="0" priority="8273" operator="equal">
      <formula>"欠"</formula>
    </cfRule>
  </conditionalFormatting>
  <conditionalFormatting sqref="T91:U91">
    <cfRule type="cellIs" dxfId="0" priority="8265" operator="equal">
      <formula>"欠"</formula>
    </cfRule>
  </conditionalFormatting>
  <conditionalFormatting sqref="AI91:AJ91">
    <cfRule type="cellIs" dxfId="1" priority="8249" operator="equal">
      <formula>"未完成"</formula>
    </cfRule>
    <cfRule type="cellIs" dxfId="0" priority="8257" operator="equal">
      <formula>"未完成"</formula>
    </cfRule>
  </conditionalFormatting>
  <conditionalFormatting sqref="R92">
    <cfRule type="cellIs" dxfId="0" priority="8280" operator="equal">
      <formula>"欠"</formula>
    </cfRule>
  </conditionalFormatting>
  <conditionalFormatting sqref="S92">
    <cfRule type="cellIs" dxfId="0" priority="8272" operator="equal">
      <formula>"欠"</formula>
    </cfRule>
  </conditionalFormatting>
  <conditionalFormatting sqref="T92:U92">
    <cfRule type="cellIs" dxfId="0" priority="8264" operator="equal">
      <formula>"欠"</formula>
    </cfRule>
  </conditionalFormatting>
  <conditionalFormatting sqref="AI92:AJ92">
    <cfRule type="cellIs" dxfId="1" priority="8248" operator="equal">
      <formula>"未完成"</formula>
    </cfRule>
    <cfRule type="cellIs" dxfId="0" priority="8256" operator="equal">
      <formula>"未完成"</formula>
    </cfRule>
  </conditionalFormatting>
  <conditionalFormatting sqref="R93">
    <cfRule type="cellIs" dxfId="0" priority="8279" operator="equal">
      <formula>"欠"</formula>
    </cfRule>
  </conditionalFormatting>
  <conditionalFormatting sqref="S93">
    <cfRule type="cellIs" dxfId="0" priority="8271" operator="equal">
      <formula>"欠"</formula>
    </cfRule>
  </conditionalFormatting>
  <conditionalFormatting sqref="T93:U93">
    <cfRule type="cellIs" dxfId="0" priority="8263" operator="equal">
      <formula>"欠"</formula>
    </cfRule>
  </conditionalFormatting>
  <conditionalFormatting sqref="AI93:AJ93">
    <cfRule type="cellIs" dxfId="1" priority="8247" operator="equal">
      <formula>"未完成"</formula>
    </cfRule>
    <cfRule type="cellIs" dxfId="0" priority="8255" operator="equal">
      <formula>"未完成"</formula>
    </cfRule>
  </conditionalFormatting>
  <conditionalFormatting sqref="R94">
    <cfRule type="cellIs" dxfId="0" priority="8278" operator="equal">
      <formula>"欠"</formula>
    </cfRule>
  </conditionalFormatting>
  <conditionalFormatting sqref="S94">
    <cfRule type="cellIs" dxfId="0" priority="8270" operator="equal">
      <formula>"欠"</formula>
    </cfRule>
  </conditionalFormatting>
  <conditionalFormatting sqref="T94:U94">
    <cfRule type="cellIs" dxfId="0" priority="8262" operator="equal">
      <formula>"欠"</formula>
    </cfRule>
  </conditionalFormatting>
  <conditionalFormatting sqref="AI94:AJ94">
    <cfRule type="cellIs" dxfId="1" priority="8246" operator="equal">
      <formula>"未完成"</formula>
    </cfRule>
    <cfRule type="cellIs" dxfId="0" priority="8254" operator="equal">
      <formula>"未完成"</formula>
    </cfRule>
  </conditionalFormatting>
  <conditionalFormatting sqref="R95">
    <cfRule type="cellIs" dxfId="0" priority="8277" operator="equal">
      <formula>"欠"</formula>
    </cfRule>
  </conditionalFormatting>
  <conditionalFormatting sqref="S95">
    <cfRule type="cellIs" dxfId="0" priority="8269" operator="equal">
      <formula>"欠"</formula>
    </cfRule>
  </conditionalFormatting>
  <conditionalFormatting sqref="T95:U95">
    <cfRule type="cellIs" dxfId="0" priority="8261" operator="equal">
      <formula>"欠"</formula>
    </cfRule>
  </conditionalFormatting>
  <conditionalFormatting sqref="AI95:AJ95">
    <cfRule type="cellIs" dxfId="1" priority="8245" operator="equal">
      <formula>"未完成"</formula>
    </cfRule>
    <cfRule type="cellIs" dxfId="0" priority="8253" operator="equal">
      <formula>"未完成"</formula>
    </cfRule>
  </conditionalFormatting>
  <conditionalFormatting sqref="R96">
    <cfRule type="cellIs" dxfId="0" priority="8276" operator="equal">
      <formula>"欠"</formula>
    </cfRule>
  </conditionalFormatting>
  <conditionalFormatting sqref="S96">
    <cfRule type="cellIs" dxfId="0" priority="8268" operator="equal">
      <formula>"欠"</formula>
    </cfRule>
  </conditionalFormatting>
  <conditionalFormatting sqref="T96:U96">
    <cfRule type="cellIs" dxfId="0" priority="8260" operator="equal">
      <formula>"欠"</formula>
    </cfRule>
  </conditionalFormatting>
  <conditionalFormatting sqref="AI96:AJ96">
    <cfRule type="cellIs" dxfId="1" priority="8244" operator="equal">
      <formula>"未完成"</formula>
    </cfRule>
    <cfRule type="cellIs" dxfId="0" priority="8252" operator="equal">
      <formula>"未完成"</formula>
    </cfRule>
  </conditionalFormatting>
  <conditionalFormatting sqref="R97">
    <cfRule type="cellIs" dxfId="0" priority="8275" operator="equal">
      <formula>"欠"</formula>
    </cfRule>
  </conditionalFormatting>
  <conditionalFormatting sqref="S97">
    <cfRule type="cellIs" dxfId="0" priority="8267" operator="equal">
      <formula>"欠"</formula>
    </cfRule>
  </conditionalFormatting>
  <conditionalFormatting sqref="T97:U97">
    <cfRule type="cellIs" dxfId="0" priority="8259" operator="equal">
      <formula>"欠"</formula>
    </cfRule>
  </conditionalFormatting>
  <conditionalFormatting sqref="AI97:AJ97">
    <cfRule type="cellIs" dxfId="1" priority="8243" operator="equal">
      <formula>"未完成"</formula>
    </cfRule>
    <cfRule type="cellIs" dxfId="0" priority="8251" operator="equal">
      <formula>"未完成"</formula>
    </cfRule>
  </conditionalFormatting>
  <conditionalFormatting sqref="R98">
    <cfRule type="cellIs" dxfId="0" priority="8274" operator="equal">
      <formula>"欠"</formula>
    </cfRule>
  </conditionalFormatting>
  <conditionalFormatting sqref="S98">
    <cfRule type="cellIs" dxfId="0" priority="8266" operator="equal">
      <formula>"欠"</formula>
    </cfRule>
  </conditionalFormatting>
  <conditionalFormatting sqref="T98:U98">
    <cfRule type="cellIs" dxfId="0" priority="8258" operator="equal">
      <formula>"欠"</formula>
    </cfRule>
  </conditionalFormatting>
  <conditionalFormatting sqref="AI98:AJ98">
    <cfRule type="cellIs" dxfId="1" priority="8242" operator="equal">
      <formula>"未完成"</formula>
    </cfRule>
    <cfRule type="cellIs" dxfId="0" priority="8250" operator="equal">
      <formula>"未完成"</formula>
    </cfRule>
  </conditionalFormatting>
  <conditionalFormatting sqref="R99">
    <cfRule type="cellIs" dxfId="0" priority="7287" operator="equal">
      <formula>"欠"</formula>
    </cfRule>
  </conditionalFormatting>
  <conditionalFormatting sqref="S99">
    <cfRule type="cellIs" dxfId="0" priority="7264" operator="equal">
      <formula>"欠"</formula>
    </cfRule>
  </conditionalFormatting>
  <conditionalFormatting sqref="T99:U99">
    <cfRule type="cellIs" dxfId="0" priority="7241" operator="equal">
      <formula>"欠"</formula>
    </cfRule>
  </conditionalFormatting>
  <conditionalFormatting sqref="AI99:AJ99">
    <cfRule type="cellIs" dxfId="1" priority="7195" operator="equal">
      <formula>"未完成"</formula>
    </cfRule>
    <cfRule type="cellIs" dxfId="0" priority="7218" operator="equal">
      <formula>"未完成"</formula>
    </cfRule>
  </conditionalFormatting>
  <conditionalFormatting sqref="R100">
    <cfRule type="cellIs" dxfId="0" priority="7286" operator="equal">
      <formula>"欠"</formula>
    </cfRule>
  </conditionalFormatting>
  <conditionalFormatting sqref="S100">
    <cfRule type="cellIs" dxfId="0" priority="7263" operator="equal">
      <formula>"欠"</formula>
    </cfRule>
  </conditionalFormatting>
  <conditionalFormatting sqref="T100:U100">
    <cfRule type="cellIs" dxfId="0" priority="7240" operator="equal">
      <formula>"欠"</formula>
    </cfRule>
  </conditionalFormatting>
  <conditionalFormatting sqref="AI100:AJ100">
    <cfRule type="cellIs" dxfId="1" priority="7194" operator="equal">
      <formula>"未完成"</formula>
    </cfRule>
    <cfRule type="cellIs" dxfId="0" priority="7217" operator="equal">
      <formula>"未完成"</formula>
    </cfRule>
  </conditionalFormatting>
  <conditionalFormatting sqref="R101">
    <cfRule type="cellIs" dxfId="0" priority="7285" operator="equal">
      <formula>"欠"</formula>
    </cfRule>
  </conditionalFormatting>
  <conditionalFormatting sqref="S101">
    <cfRule type="cellIs" dxfId="0" priority="7262" operator="equal">
      <formula>"欠"</formula>
    </cfRule>
  </conditionalFormatting>
  <conditionalFormatting sqref="T101:U101">
    <cfRule type="cellIs" dxfId="0" priority="7239" operator="equal">
      <formula>"欠"</formula>
    </cfRule>
  </conditionalFormatting>
  <conditionalFormatting sqref="AI101:AJ101">
    <cfRule type="cellIs" dxfId="1" priority="7193" operator="equal">
      <formula>"未完成"</formula>
    </cfRule>
    <cfRule type="cellIs" dxfId="0" priority="7216" operator="equal">
      <formula>"未完成"</formula>
    </cfRule>
  </conditionalFormatting>
  <conditionalFormatting sqref="R102">
    <cfRule type="cellIs" dxfId="0" priority="7284" operator="equal">
      <formula>"欠"</formula>
    </cfRule>
  </conditionalFormatting>
  <conditionalFormatting sqref="S102">
    <cfRule type="cellIs" dxfId="0" priority="7261" operator="equal">
      <formula>"欠"</formula>
    </cfRule>
  </conditionalFormatting>
  <conditionalFormatting sqref="T102:U102">
    <cfRule type="cellIs" dxfId="0" priority="7238" operator="equal">
      <formula>"欠"</formula>
    </cfRule>
  </conditionalFormatting>
  <conditionalFormatting sqref="AI102:AJ102">
    <cfRule type="cellIs" dxfId="1" priority="7192" operator="equal">
      <formula>"未完成"</formula>
    </cfRule>
    <cfRule type="cellIs" dxfId="0" priority="7215" operator="equal">
      <formula>"未完成"</formula>
    </cfRule>
  </conditionalFormatting>
  <conditionalFormatting sqref="R103">
    <cfRule type="cellIs" dxfId="0" priority="7283" operator="equal">
      <formula>"欠"</formula>
    </cfRule>
  </conditionalFormatting>
  <conditionalFormatting sqref="S103">
    <cfRule type="cellIs" dxfId="0" priority="7260" operator="equal">
      <formula>"欠"</formula>
    </cfRule>
  </conditionalFormatting>
  <conditionalFormatting sqref="T103:U103">
    <cfRule type="cellIs" dxfId="0" priority="7237" operator="equal">
      <formula>"欠"</formula>
    </cfRule>
  </conditionalFormatting>
  <conditionalFormatting sqref="AI103:AJ103">
    <cfRule type="cellIs" dxfId="1" priority="7191" operator="equal">
      <formula>"未完成"</formula>
    </cfRule>
    <cfRule type="cellIs" dxfId="0" priority="7214" operator="equal">
      <formula>"未完成"</formula>
    </cfRule>
  </conditionalFormatting>
  <conditionalFormatting sqref="R104">
    <cfRule type="cellIs" dxfId="0" priority="7282" operator="equal">
      <formula>"欠"</formula>
    </cfRule>
  </conditionalFormatting>
  <conditionalFormatting sqref="S104">
    <cfRule type="cellIs" dxfId="0" priority="7259" operator="equal">
      <formula>"欠"</formula>
    </cfRule>
  </conditionalFormatting>
  <conditionalFormatting sqref="T104:U104">
    <cfRule type="cellIs" dxfId="0" priority="7236" operator="equal">
      <formula>"欠"</formula>
    </cfRule>
  </conditionalFormatting>
  <conditionalFormatting sqref="AI104:AJ104">
    <cfRule type="cellIs" dxfId="1" priority="7190" operator="equal">
      <formula>"未完成"</formula>
    </cfRule>
    <cfRule type="cellIs" dxfId="0" priority="7213" operator="equal">
      <formula>"未完成"</formula>
    </cfRule>
  </conditionalFormatting>
  <conditionalFormatting sqref="R105">
    <cfRule type="cellIs" dxfId="0" priority="7281" operator="equal">
      <formula>"欠"</formula>
    </cfRule>
  </conditionalFormatting>
  <conditionalFormatting sqref="S105">
    <cfRule type="cellIs" dxfId="0" priority="7258" operator="equal">
      <formula>"欠"</formula>
    </cfRule>
  </conditionalFormatting>
  <conditionalFormatting sqref="T105:U105">
    <cfRule type="cellIs" dxfId="0" priority="7235" operator="equal">
      <formula>"欠"</formula>
    </cfRule>
  </conditionalFormatting>
  <conditionalFormatting sqref="AI105:AJ105">
    <cfRule type="cellIs" dxfId="1" priority="7189" operator="equal">
      <formula>"未完成"</formula>
    </cfRule>
    <cfRule type="cellIs" dxfId="0" priority="7212" operator="equal">
      <formula>"未完成"</formula>
    </cfRule>
  </conditionalFormatting>
  <conditionalFormatting sqref="R106">
    <cfRule type="cellIs" dxfId="0" priority="7280" operator="equal">
      <formula>"欠"</formula>
    </cfRule>
  </conditionalFormatting>
  <conditionalFormatting sqref="S106">
    <cfRule type="cellIs" dxfId="0" priority="7257" operator="equal">
      <formula>"欠"</formula>
    </cfRule>
  </conditionalFormatting>
  <conditionalFormatting sqref="T106:U106">
    <cfRule type="cellIs" dxfId="0" priority="7234" operator="equal">
      <formula>"欠"</formula>
    </cfRule>
  </conditionalFormatting>
  <conditionalFormatting sqref="AI106:AJ106">
    <cfRule type="cellIs" dxfId="1" priority="7188" operator="equal">
      <formula>"未完成"</formula>
    </cfRule>
    <cfRule type="cellIs" dxfId="0" priority="7211" operator="equal">
      <formula>"未完成"</formula>
    </cfRule>
  </conditionalFormatting>
  <conditionalFormatting sqref="R107">
    <cfRule type="cellIs" dxfId="0" priority="7279" operator="equal">
      <formula>"欠"</formula>
    </cfRule>
  </conditionalFormatting>
  <conditionalFormatting sqref="S107">
    <cfRule type="cellIs" dxfId="0" priority="7256" operator="equal">
      <formula>"欠"</formula>
    </cfRule>
  </conditionalFormatting>
  <conditionalFormatting sqref="T107:U107">
    <cfRule type="cellIs" dxfId="0" priority="7233" operator="equal">
      <formula>"欠"</formula>
    </cfRule>
  </conditionalFormatting>
  <conditionalFormatting sqref="AI107:AJ107">
    <cfRule type="cellIs" dxfId="1" priority="7187" operator="equal">
      <formula>"未完成"</formula>
    </cfRule>
    <cfRule type="cellIs" dxfId="0" priority="7210" operator="equal">
      <formula>"未完成"</formula>
    </cfRule>
  </conditionalFormatting>
  <conditionalFormatting sqref="R108">
    <cfRule type="cellIs" dxfId="0" priority="7278" operator="equal">
      <formula>"欠"</formula>
    </cfRule>
  </conditionalFormatting>
  <conditionalFormatting sqref="S108">
    <cfRule type="cellIs" dxfId="0" priority="7255" operator="equal">
      <formula>"欠"</formula>
    </cfRule>
  </conditionalFormatting>
  <conditionalFormatting sqref="T108:U108">
    <cfRule type="cellIs" dxfId="0" priority="7232" operator="equal">
      <formula>"欠"</formula>
    </cfRule>
  </conditionalFormatting>
  <conditionalFormatting sqref="AI108:AJ108">
    <cfRule type="cellIs" dxfId="1" priority="7186" operator="equal">
      <formula>"未完成"</formula>
    </cfRule>
    <cfRule type="cellIs" dxfId="0" priority="7209" operator="equal">
      <formula>"未完成"</formula>
    </cfRule>
  </conditionalFormatting>
  <conditionalFormatting sqref="R109">
    <cfRule type="cellIs" dxfId="0" priority="7277" operator="equal">
      <formula>"欠"</formula>
    </cfRule>
  </conditionalFormatting>
  <conditionalFormatting sqref="S109">
    <cfRule type="cellIs" dxfId="0" priority="7254" operator="equal">
      <formula>"欠"</formula>
    </cfRule>
  </conditionalFormatting>
  <conditionalFormatting sqref="T109:U109">
    <cfRule type="cellIs" dxfId="0" priority="7231" operator="equal">
      <formula>"欠"</formula>
    </cfRule>
  </conditionalFormatting>
  <conditionalFormatting sqref="AI109:AJ109">
    <cfRule type="cellIs" dxfId="1" priority="7185" operator="equal">
      <formula>"未完成"</formula>
    </cfRule>
    <cfRule type="cellIs" dxfId="0" priority="7208" operator="equal">
      <formula>"未完成"</formula>
    </cfRule>
  </conditionalFormatting>
  <conditionalFormatting sqref="R110">
    <cfRule type="cellIs" dxfId="0" priority="7276" operator="equal">
      <formula>"欠"</formula>
    </cfRule>
  </conditionalFormatting>
  <conditionalFormatting sqref="S110">
    <cfRule type="cellIs" dxfId="0" priority="7253" operator="equal">
      <formula>"欠"</formula>
    </cfRule>
  </conditionalFormatting>
  <conditionalFormatting sqref="T110:U110">
    <cfRule type="cellIs" dxfId="0" priority="7230" operator="equal">
      <formula>"欠"</formula>
    </cfRule>
  </conditionalFormatting>
  <conditionalFormatting sqref="AI110:AJ110">
    <cfRule type="cellIs" dxfId="1" priority="7184" operator="equal">
      <formula>"未完成"</formula>
    </cfRule>
    <cfRule type="cellIs" dxfId="0" priority="7207" operator="equal">
      <formula>"未完成"</formula>
    </cfRule>
  </conditionalFormatting>
  <conditionalFormatting sqref="R111">
    <cfRule type="cellIs" dxfId="0" priority="7275" operator="equal">
      <formula>"欠"</formula>
    </cfRule>
  </conditionalFormatting>
  <conditionalFormatting sqref="S111">
    <cfRule type="cellIs" dxfId="0" priority="7252" operator="equal">
      <formula>"欠"</formula>
    </cfRule>
  </conditionalFormatting>
  <conditionalFormatting sqref="T111:U111">
    <cfRule type="cellIs" dxfId="0" priority="7229" operator="equal">
      <formula>"欠"</formula>
    </cfRule>
  </conditionalFormatting>
  <conditionalFormatting sqref="AI111:AJ111">
    <cfRule type="cellIs" dxfId="1" priority="7183" operator="equal">
      <formula>"未完成"</formula>
    </cfRule>
    <cfRule type="cellIs" dxfId="0" priority="7206" operator="equal">
      <formula>"未完成"</formula>
    </cfRule>
  </conditionalFormatting>
  <conditionalFormatting sqref="R112">
    <cfRule type="cellIs" dxfId="0" priority="7274" operator="equal">
      <formula>"欠"</formula>
    </cfRule>
  </conditionalFormatting>
  <conditionalFormatting sqref="S112">
    <cfRule type="cellIs" dxfId="0" priority="7251" operator="equal">
      <formula>"欠"</formula>
    </cfRule>
  </conditionalFormatting>
  <conditionalFormatting sqref="T112:U112">
    <cfRule type="cellIs" dxfId="0" priority="7228" operator="equal">
      <formula>"欠"</formula>
    </cfRule>
  </conditionalFormatting>
  <conditionalFormatting sqref="AI112:AJ112">
    <cfRule type="cellIs" dxfId="1" priority="7182" operator="equal">
      <formula>"未完成"</formula>
    </cfRule>
    <cfRule type="cellIs" dxfId="0" priority="7205" operator="equal">
      <formula>"未完成"</formula>
    </cfRule>
  </conditionalFormatting>
  <conditionalFormatting sqref="R113">
    <cfRule type="cellIs" dxfId="0" priority="7273" operator="equal">
      <formula>"欠"</formula>
    </cfRule>
  </conditionalFormatting>
  <conditionalFormatting sqref="S113">
    <cfRule type="cellIs" dxfId="0" priority="7250" operator="equal">
      <formula>"欠"</formula>
    </cfRule>
  </conditionalFormatting>
  <conditionalFormatting sqref="T113:U113">
    <cfRule type="cellIs" dxfId="0" priority="7227" operator="equal">
      <formula>"欠"</formula>
    </cfRule>
  </conditionalFormatting>
  <conditionalFormatting sqref="AI113:AJ113">
    <cfRule type="cellIs" dxfId="1" priority="7181" operator="equal">
      <formula>"未完成"</formula>
    </cfRule>
    <cfRule type="cellIs" dxfId="0" priority="7204" operator="equal">
      <formula>"未完成"</formula>
    </cfRule>
  </conditionalFormatting>
  <conditionalFormatting sqref="R114">
    <cfRule type="cellIs" dxfId="0" priority="7272" operator="equal">
      <formula>"欠"</formula>
    </cfRule>
  </conditionalFormatting>
  <conditionalFormatting sqref="S114">
    <cfRule type="cellIs" dxfId="0" priority="7249" operator="equal">
      <formula>"欠"</formula>
    </cfRule>
  </conditionalFormatting>
  <conditionalFormatting sqref="T114:U114">
    <cfRule type="cellIs" dxfId="0" priority="7226" operator="equal">
      <formula>"欠"</formula>
    </cfRule>
  </conditionalFormatting>
  <conditionalFormatting sqref="AI114:AJ114">
    <cfRule type="cellIs" dxfId="1" priority="7180" operator="equal">
      <formula>"未完成"</formula>
    </cfRule>
    <cfRule type="cellIs" dxfId="0" priority="7203" operator="equal">
      <formula>"未完成"</formula>
    </cfRule>
  </conditionalFormatting>
  <conditionalFormatting sqref="R115">
    <cfRule type="cellIs" dxfId="0" priority="7271" operator="equal">
      <formula>"欠"</formula>
    </cfRule>
  </conditionalFormatting>
  <conditionalFormatting sqref="S115">
    <cfRule type="cellIs" dxfId="0" priority="7248" operator="equal">
      <formula>"欠"</formula>
    </cfRule>
  </conditionalFormatting>
  <conditionalFormatting sqref="T115:U115">
    <cfRule type="cellIs" dxfId="0" priority="7225" operator="equal">
      <formula>"欠"</formula>
    </cfRule>
  </conditionalFormatting>
  <conditionalFormatting sqref="AI115:AJ115">
    <cfRule type="cellIs" dxfId="1" priority="7179" operator="equal">
      <formula>"未完成"</formula>
    </cfRule>
    <cfRule type="cellIs" dxfId="0" priority="7202" operator="equal">
      <formula>"未完成"</formula>
    </cfRule>
  </conditionalFormatting>
  <conditionalFormatting sqref="R116">
    <cfRule type="cellIs" dxfId="0" priority="7270" operator="equal">
      <formula>"欠"</formula>
    </cfRule>
  </conditionalFormatting>
  <conditionalFormatting sqref="S116">
    <cfRule type="cellIs" dxfId="0" priority="7247" operator="equal">
      <formula>"欠"</formula>
    </cfRule>
  </conditionalFormatting>
  <conditionalFormatting sqref="T116:U116">
    <cfRule type="cellIs" dxfId="0" priority="7224" operator="equal">
      <formula>"欠"</formula>
    </cfRule>
  </conditionalFormatting>
  <conditionalFormatting sqref="AI116:AJ116">
    <cfRule type="cellIs" dxfId="1" priority="7178" operator="equal">
      <formula>"未完成"</formula>
    </cfRule>
    <cfRule type="cellIs" dxfId="0" priority="7201" operator="equal">
      <formula>"未完成"</formula>
    </cfRule>
  </conditionalFormatting>
  <conditionalFormatting sqref="R117">
    <cfRule type="cellIs" dxfId="0" priority="7269" operator="equal">
      <formula>"欠"</formula>
    </cfRule>
  </conditionalFormatting>
  <conditionalFormatting sqref="S117">
    <cfRule type="cellIs" dxfId="0" priority="7246" operator="equal">
      <formula>"欠"</formula>
    </cfRule>
  </conditionalFormatting>
  <conditionalFormatting sqref="T117:U117">
    <cfRule type="cellIs" dxfId="0" priority="7223" operator="equal">
      <formula>"欠"</formula>
    </cfRule>
  </conditionalFormatting>
  <conditionalFormatting sqref="AI117:AJ117">
    <cfRule type="cellIs" dxfId="1" priority="7177" operator="equal">
      <formula>"未完成"</formula>
    </cfRule>
    <cfRule type="cellIs" dxfId="0" priority="7200" operator="equal">
      <formula>"未完成"</formula>
    </cfRule>
  </conditionalFormatting>
  <conditionalFormatting sqref="R118">
    <cfRule type="cellIs" dxfId="0" priority="7268" operator="equal">
      <formula>"欠"</formula>
    </cfRule>
  </conditionalFormatting>
  <conditionalFormatting sqref="S118">
    <cfRule type="cellIs" dxfId="0" priority="7245" operator="equal">
      <formula>"欠"</formula>
    </cfRule>
  </conditionalFormatting>
  <conditionalFormatting sqref="T118:U118">
    <cfRule type="cellIs" dxfId="0" priority="7222" operator="equal">
      <formula>"欠"</formula>
    </cfRule>
  </conditionalFormatting>
  <conditionalFormatting sqref="AI118:AJ118">
    <cfRule type="cellIs" dxfId="1" priority="7176" operator="equal">
      <formula>"未完成"</formula>
    </cfRule>
    <cfRule type="cellIs" dxfId="0" priority="7199" operator="equal">
      <formula>"未完成"</formula>
    </cfRule>
  </conditionalFormatting>
  <conditionalFormatting sqref="R119">
    <cfRule type="cellIs" dxfId="0" priority="7267" operator="equal">
      <formula>"欠"</formula>
    </cfRule>
  </conditionalFormatting>
  <conditionalFormatting sqref="S119">
    <cfRule type="cellIs" dxfId="0" priority="7244" operator="equal">
      <formula>"欠"</formula>
    </cfRule>
  </conditionalFormatting>
  <conditionalFormatting sqref="T119:U119">
    <cfRule type="cellIs" dxfId="0" priority="7221" operator="equal">
      <formula>"欠"</formula>
    </cfRule>
  </conditionalFormatting>
  <conditionalFormatting sqref="AI119:AJ119">
    <cfRule type="cellIs" dxfId="1" priority="7175" operator="equal">
      <formula>"未完成"</formula>
    </cfRule>
    <cfRule type="cellIs" dxfId="0" priority="7198" operator="equal">
      <formula>"未完成"</formula>
    </cfRule>
  </conditionalFormatting>
  <conditionalFormatting sqref="R120">
    <cfRule type="cellIs" dxfId="0" priority="7266" operator="equal">
      <formula>"欠"</formula>
    </cfRule>
  </conditionalFormatting>
  <conditionalFormatting sqref="S120">
    <cfRule type="cellIs" dxfId="0" priority="7243" operator="equal">
      <formula>"欠"</formula>
    </cfRule>
  </conditionalFormatting>
  <conditionalFormatting sqref="T120:U120">
    <cfRule type="cellIs" dxfId="0" priority="7220" operator="equal">
      <formula>"欠"</formula>
    </cfRule>
  </conditionalFormatting>
  <conditionalFormatting sqref="AI120:AJ120">
    <cfRule type="cellIs" dxfId="1" priority="7174" operator="equal">
      <formula>"未完成"</formula>
    </cfRule>
    <cfRule type="cellIs" dxfId="0" priority="7197" operator="equal">
      <formula>"未完成"</formula>
    </cfRule>
  </conditionalFormatting>
  <conditionalFormatting sqref="R121">
    <cfRule type="cellIs" dxfId="0" priority="7265" operator="equal">
      <formula>"欠"</formula>
    </cfRule>
  </conditionalFormatting>
  <conditionalFormatting sqref="S121">
    <cfRule type="cellIs" dxfId="0" priority="7242" operator="equal">
      <formula>"欠"</formula>
    </cfRule>
  </conditionalFormatting>
  <conditionalFormatting sqref="T121:U121">
    <cfRule type="cellIs" dxfId="0" priority="7219" operator="equal">
      <formula>"欠"</formula>
    </cfRule>
  </conditionalFormatting>
  <conditionalFormatting sqref="AI121:AJ121">
    <cfRule type="cellIs" dxfId="1" priority="7173" operator="equal">
      <formula>"未完成"</formula>
    </cfRule>
    <cfRule type="cellIs" dxfId="0" priority="7196" operator="equal">
      <formula>"未完成"</formula>
    </cfRule>
  </conditionalFormatting>
  <conditionalFormatting sqref="R122">
    <cfRule type="cellIs" dxfId="0" priority="7127" operator="equal">
      <formula>"欠"</formula>
    </cfRule>
  </conditionalFormatting>
  <conditionalFormatting sqref="S122">
    <cfRule type="cellIs" dxfId="0" priority="7119" operator="equal">
      <formula>"欠"</formula>
    </cfRule>
  </conditionalFormatting>
  <conditionalFormatting sqref="T122:U122">
    <cfRule type="cellIs" dxfId="0" priority="7111" operator="equal">
      <formula>"欠"</formula>
    </cfRule>
  </conditionalFormatting>
  <conditionalFormatting sqref="AI122:AJ122">
    <cfRule type="cellIs" dxfId="1" priority="7095" operator="equal">
      <formula>"未完成"</formula>
    </cfRule>
    <cfRule type="cellIs" dxfId="0" priority="7103" operator="equal">
      <formula>"未完成"</formula>
    </cfRule>
  </conditionalFormatting>
  <conditionalFormatting sqref="R123">
    <cfRule type="cellIs" dxfId="0" priority="7126" operator="equal">
      <formula>"欠"</formula>
    </cfRule>
  </conditionalFormatting>
  <conditionalFormatting sqref="S123">
    <cfRule type="cellIs" dxfId="0" priority="7118" operator="equal">
      <formula>"欠"</formula>
    </cfRule>
  </conditionalFormatting>
  <conditionalFormatting sqref="T123:U123">
    <cfRule type="cellIs" dxfId="0" priority="7110" operator="equal">
      <formula>"欠"</formula>
    </cfRule>
  </conditionalFormatting>
  <conditionalFormatting sqref="AI123:AJ123">
    <cfRule type="cellIs" dxfId="1" priority="7094" operator="equal">
      <formula>"未完成"</formula>
    </cfRule>
    <cfRule type="cellIs" dxfId="0" priority="7102" operator="equal">
      <formula>"未完成"</formula>
    </cfRule>
  </conditionalFormatting>
  <conditionalFormatting sqref="R124">
    <cfRule type="cellIs" dxfId="0" priority="7125" operator="equal">
      <formula>"欠"</formula>
    </cfRule>
  </conditionalFormatting>
  <conditionalFormatting sqref="S124">
    <cfRule type="cellIs" dxfId="0" priority="7117" operator="equal">
      <formula>"欠"</formula>
    </cfRule>
  </conditionalFormatting>
  <conditionalFormatting sqref="T124:U124">
    <cfRule type="cellIs" dxfId="0" priority="7109" operator="equal">
      <formula>"欠"</formula>
    </cfRule>
  </conditionalFormatting>
  <conditionalFormatting sqref="AI124:AJ124">
    <cfRule type="cellIs" dxfId="1" priority="7093" operator="equal">
      <formula>"未完成"</formula>
    </cfRule>
    <cfRule type="cellIs" dxfId="0" priority="7101" operator="equal">
      <formula>"未完成"</formula>
    </cfRule>
  </conditionalFormatting>
  <conditionalFormatting sqref="R125">
    <cfRule type="cellIs" dxfId="0" priority="7124" operator="equal">
      <formula>"欠"</formula>
    </cfRule>
  </conditionalFormatting>
  <conditionalFormatting sqref="S125">
    <cfRule type="cellIs" dxfId="0" priority="7116" operator="equal">
      <formula>"欠"</formula>
    </cfRule>
  </conditionalFormatting>
  <conditionalFormatting sqref="T125:U125">
    <cfRule type="cellIs" dxfId="0" priority="7108" operator="equal">
      <formula>"欠"</formula>
    </cfRule>
  </conditionalFormatting>
  <conditionalFormatting sqref="AI125:AJ125">
    <cfRule type="cellIs" dxfId="1" priority="7092" operator="equal">
      <formula>"未完成"</formula>
    </cfRule>
    <cfRule type="cellIs" dxfId="0" priority="7100" operator="equal">
      <formula>"未完成"</formula>
    </cfRule>
  </conditionalFormatting>
  <conditionalFormatting sqref="R126">
    <cfRule type="cellIs" dxfId="0" priority="7123" operator="equal">
      <formula>"欠"</formula>
    </cfRule>
  </conditionalFormatting>
  <conditionalFormatting sqref="S126">
    <cfRule type="cellIs" dxfId="0" priority="7115" operator="equal">
      <formula>"欠"</formula>
    </cfRule>
  </conditionalFormatting>
  <conditionalFormatting sqref="T126:U126">
    <cfRule type="cellIs" dxfId="0" priority="7107" operator="equal">
      <formula>"欠"</formula>
    </cfRule>
  </conditionalFormatting>
  <conditionalFormatting sqref="AI126:AJ126">
    <cfRule type="cellIs" dxfId="1" priority="7091" operator="equal">
      <formula>"未完成"</formula>
    </cfRule>
    <cfRule type="cellIs" dxfId="0" priority="7099" operator="equal">
      <formula>"未完成"</formula>
    </cfRule>
  </conditionalFormatting>
  <conditionalFormatting sqref="R127">
    <cfRule type="cellIs" dxfId="0" priority="7122" operator="equal">
      <formula>"欠"</formula>
    </cfRule>
  </conditionalFormatting>
  <conditionalFormatting sqref="S127">
    <cfRule type="cellIs" dxfId="0" priority="7114" operator="equal">
      <formula>"欠"</formula>
    </cfRule>
  </conditionalFormatting>
  <conditionalFormatting sqref="T127:U127">
    <cfRule type="cellIs" dxfId="0" priority="7106" operator="equal">
      <formula>"欠"</formula>
    </cfRule>
  </conditionalFormatting>
  <conditionalFormatting sqref="AI127:AJ127">
    <cfRule type="cellIs" dxfId="1" priority="7090" operator="equal">
      <formula>"未完成"</formula>
    </cfRule>
    <cfRule type="cellIs" dxfId="0" priority="7098" operator="equal">
      <formula>"未完成"</formula>
    </cfRule>
  </conditionalFormatting>
  <conditionalFormatting sqref="R128">
    <cfRule type="cellIs" dxfId="0" priority="7121" operator="equal">
      <formula>"欠"</formula>
    </cfRule>
  </conditionalFormatting>
  <conditionalFormatting sqref="S128">
    <cfRule type="cellIs" dxfId="0" priority="7113" operator="equal">
      <formula>"欠"</formula>
    </cfRule>
  </conditionalFormatting>
  <conditionalFormatting sqref="T128:U128">
    <cfRule type="cellIs" dxfId="0" priority="7105" operator="equal">
      <formula>"欠"</formula>
    </cfRule>
  </conditionalFormatting>
  <conditionalFormatting sqref="AI128:AJ128">
    <cfRule type="cellIs" dxfId="1" priority="7089" operator="equal">
      <formula>"未完成"</formula>
    </cfRule>
    <cfRule type="cellIs" dxfId="0" priority="7097" operator="equal">
      <formula>"未完成"</formula>
    </cfRule>
  </conditionalFormatting>
  <conditionalFormatting sqref="R129">
    <cfRule type="cellIs" dxfId="0" priority="7120" operator="equal">
      <formula>"欠"</formula>
    </cfRule>
  </conditionalFormatting>
  <conditionalFormatting sqref="S129">
    <cfRule type="cellIs" dxfId="0" priority="7112" operator="equal">
      <formula>"欠"</formula>
    </cfRule>
  </conditionalFormatting>
  <conditionalFormatting sqref="T129:U129">
    <cfRule type="cellIs" dxfId="0" priority="7104" operator="equal">
      <formula>"欠"</formula>
    </cfRule>
  </conditionalFormatting>
  <conditionalFormatting sqref="AI129:AJ129">
    <cfRule type="cellIs" dxfId="1" priority="7088" operator="equal">
      <formula>"未完成"</formula>
    </cfRule>
    <cfRule type="cellIs" dxfId="0" priority="7096" operator="equal">
      <formula>"未完成"</formula>
    </cfRule>
  </conditionalFormatting>
  <conditionalFormatting sqref="R130">
    <cfRule type="cellIs" dxfId="0" priority="7083" operator="equal">
      <formula>"欠"</formula>
    </cfRule>
  </conditionalFormatting>
  <conditionalFormatting sqref="S130">
    <cfRule type="cellIs" dxfId="0" priority="7080" operator="equal">
      <formula>"欠"</formula>
    </cfRule>
  </conditionalFormatting>
  <conditionalFormatting sqref="T130:U130">
    <cfRule type="cellIs" dxfId="0" priority="7077" operator="equal">
      <formula>"欠"</formula>
    </cfRule>
  </conditionalFormatting>
  <conditionalFormatting sqref="AI130:AJ130">
    <cfRule type="cellIs" dxfId="1" priority="7071" operator="equal">
      <formula>"未完成"</formula>
    </cfRule>
    <cfRule type="cellIs" dxfId="0" priority="7074" operator="equal">
      <formula>"未完成"</formula>
    </cfRule>
  </conditionalFormatting>
  <conditionalFormatting sqref="R131">
    <cfRule type="cellIs" dxfId="0" priority="7082" operator="equal">
      <formula>"欠"</formula>
    </cfRule>
  </conditionalFormatting>
  <conditionalFormatting sqref="S131">
    <cfRule type="cellIs" dxfId="0" priority="7079" operator="equal">
      <formula>"欠"</formula>
    </cfRule>
  </conditionalFormatting>
  <conditionalFormatting sqref="T131:U131">
    <cfRule type="cellIs" dxfId="0" priority="7076" operator="equal">
      <formula>"欠"</formula>
    </cfRule>
  </conditionalFormatting>
  <conditionalFormatting sqref="AI131:AJ131">
    <cfRule type="cellIs" dxfId="1" priority="7070" operator="equal">
      <formula>"未完成"</formula>
    </cfRule>
    <cfRule type="cellIs" dxfId="0" priority="7073" operator="equal">
      <formula>"未完成"</formula>
    </cfRule>
  </conditionalFormatting>
  <conditionalFormatting sqref="R132">
    <cfRule type="cellIs" dxfId="0" priority="7014" operator="equal">
      <formula>"欠"</formula>
    </cfRule>
  </conditionalFormatting>
  <conditionalFormatting sqref="S132">
    <cfRule type="cellIs" dxfId="0" priority="6995" operator="equal">
      <formula>"欠"</formula>
    </cfRule>
  </conditionalFormatting>
  <conditionalFormatting sqref="T132:U132">
    <cfRule type="cellIs" dxfId="0" priority="6976" operator="equal">
      <formula>"欠"</formula>
    </cfRule>
  </conditionalFormatting>
  <conditionalFormatting sqref="AI132:AJ132">
    <cfRule type="cellIs" dxfId="1" priority="6938" operator="equal">
      <formula>"未完成"</formula>
    </cfRule>
    <cfRule type="cellIs" dxfId="0" priority="6957" operator="equal">
      <formula>"未完成"</formula>
    </cfRule>
  </conditionalFormatting>
  <conditionalFormatting sqref="R133">
    <cfRule type="cellIs" dxfId="0" priority="7013" operator="equal">
      <formula>"欠"</formula>
    </cfRule>
  </conditionalFormatting>
  <conditionalFormatting sqref="S133">
    <cfRule type="cellIs" dxfId="0" priority="6994" operator="equal">
      <formula>"欠"</formula>
    </cfRule>
  </conditionalFormatting>
  <conditionalFormatting sqref="T133:U133">
    <cfRule type="cellIs" dxfId="0" priority="6975" operator="equal">
      <formula>"欠"</formula>
    </cfRule>
  </conditionalFormatting>
  <conditionalFormatting sqref="AI133:AJ133">
    <cfRule type="cellIs" dxfId="1" priority="6937" operator="equal">
      <formula>"未完成"</formula>
    </cfRule>
    <cfRule type="cellIs" dxfId="0" priority="6956" operator="equal">
      <formula>"未完成"</formula>
    </cfRule>
  </conditionalFormatting>
  <conditionalFormatting sqref="R134">
    <cfRule type="cellIs" dxfId="0" priority="7012" operator="equal">
      <formula>"欠"</formula>
    </cfRule>
  </conditionalFormatting>
  <conditionalFormatting sqref="S134">
    <cfRule type="cellIs" dxfId="0" priority="6993" operator="equal">
      <formula>"欠"</formula>
    </cfRule>
  </conditionalFormatting>
  <conditionalFormatting sqref="T134:U134">
    <cfRule type="cellIs" dxfId="0" priority="6974" operator="equal">
      <formula>"欠"</formula>
    </cfRule>
  </conditionalFormatting>
  <conditionalFormatting sqref="AI134:AJ134">
    <cfRule type="cellIs" dxfId="1" priority="6936" operator="equal">
      <formula>"未完成"</formula>
    </cfRule>
    <cfRule type="cellIs" dxfId="0" priority="6955" operator="equal">
      <formula>"未完成"</formula>
    </cfRule>
  </conditionalFormatting>
  <conditionalFormatting sqref="R135">
    <cfRule type="cellIs" dxfId="0" priority="7011" operator="equal">
      <formula>"欠"</formula>
    </cfRule>
  </conditionalFormatting>
  <conditionalFormatting sqref="S135">
    <cfRule type="cellIs" dxfId="0" priority="6992" operator="equal">
      <formula>"欠"</formula>
    </cfRule>
  </conditionalFormatting>
  <conditionalFormatting sqref="T135:U135">
    <cfRule type="cellIs" dxfId="0" priority="6973" operator="equal">
      <formula>"欠"</formula>
    </cfRule>
  </conditionalFormatting>
  <conditionalFormatting sqref="AI135:AJ135">
    <cfRule type="cellIs" dxfId="1" priority="6935" operator="equal">
      <formula>"未完成"</formula>
    </cfRule>
    <cfRule type="cellIs" dxfId="0" priority="6954" operator="equal">
      <formula>"未完成"</formula>
    </cfRule>
  </conditionalFormatting>
  <conditionalFormatting sqref="R136">
    <cfRule type="cellIs" dxfId="0" priority="7010" operator="equal">
      <formula>"欠"</formula>
    </cfRule>
  </conditionalFormatting>
  <conditionalFormatting sqref="S136">
    <cfRule type="cellIs" dxfId="0" priority="6991" operator="equal">
      <formula>"欠"</formula>
    </cfRule>
  </conditionalFormatting>
  <conditionalFormatting sqref="T136:U136">
    <cfRule type="cellIs" dxfId="0" priority="6972" operator="equal">
      <formula>"欠"</formula>
    </cfRule>
  </conditionalFormatting>
  <conditionalFormatting sqref="AI136:AJ136">
    <cfRule type="cellIs" dxfId="1" priority="6934" operator="equal">
      <formula>"未完成"</formula>
    </cfRule>
    <cfRule type="cellIs" dxfId="0" priority="6953" operator="equal">
      <formula>"未完成"</formula>
    </cfRule>
  </conditionalFormatting>
  <conditionalFormatting sqref="R137">
    <cfRule type="cellIs" dxfId="0" priority="7009" operator="equal">
      <formula>"欠"</formula>
    </cfRule>
  </conditionalFormatting>
  <conditionalFormatting sqref="S137">
    <cfRule type="cellIs" dxfId="0" priority="6990" operator="equal">
      <formula>"欠"</formula>
    </cfRule>
  </conditionalFormatting>
  <conditionalFormatting sqref="T137:U137">
    <cfRule type="cellIs" dxfId="0" priority="6971" operator="equal">
      <formula>"欠"</formula>
    </cfRule>
  </conditionalFormatting>
  <conditionalFormatting sqref="AI137:AJ137">
    <cfRule type="cellIs" dxfId="1" priority="6933" operator="equal">
      <formula>"未完成"</formula>
    </cfRule>
    <cfRule type="cellIs" dxfId="0" priority="6952" operator="equal">
      <formula>"未完成"</formula>
    </cfRule>
  </conditionalFormatting>
  <conditionalFormatting sqref="R138">
    <cfRule type="cellIs" dxfId="0" priority="7008" operator="equal">
      <formula>"欠"</formula>
    </cfRule>
  </conditionalFormatting>
  <conditionalFormatting sqref="S138">
    <cfRule type="cellIs" dxfId="0" priority="6989" operator="equal">
      <formula>"欠"</formula>
    </cfRule>
  </conditionalFormatting>
  <conditionalFormatting sqref="T138:U138">
    <cfRule type="cellIs" dxfId="0" priority="6970" operator="equal">
      <formula>"欠"</formula>
    </cfRule>
  </conditionalFormatting>
  <conditionalFormatting sqref="AI138:AJ138">
    <cfRule type="cellIs" dxfId="1" priority="6932" operator="equal">
      <formula>"未完成"</formula>
    </cfRule>
    <cfRule type="cellIs" dxfId="0" priority="6951" operator="equal">
      <formula>"未完成"</formula>
    </cfRule>
  </conditionalFormatting>
  <conditionalFormatting sqref="R139">
    <cfRule type="cellIs" dxfId="0" priority="7007" operator="equal">
      <formula>"欠"</formula>
    </cfRule>
  </conditionalFormatting>
  <conditionalFormatting sqref="S139">
    <cfRule type="cellIs" dxfId="0" priority="6988" operator="equal">
      <formula>"欠"</formula>
    </cfRule>
  </conditionalFormatting>
  <conditionalFormatting sqref="T139:U139">
    <cfRule type="cellIs" dxfId="0" priority="6969" operator="equal">
      <formula>"欠"</formula>
    </cfRule>
  </conditionalFormatting>
  <conditionalFormatting sqref="AI139:AJ139">
    <cfRule type="cellIs" dxfId="1" priority="6931" operator="equal">
      <formula>"未完成"</formula>
    </cfRule>
    <cfRule type="cellIs" dxfId="0" priority="6950" operator="equal">
      <formula>"未完成"</formula>
    </cfRule>
  </conditionalFormatting>
  <conditionalFormatting sqref="R140">
    <cfRule type="cellIs" dxfId="0" priority="7005" operator="equal">
      <formula>"欠"</formula>
    </cfRule>
  </conditionalFormatting>
  <conditionalFormatting sqref="S140">
    <cfRule type="cellIs" dxfId="0" priority="6986" operator="equal">
      <formula>"欠"</formula>
    </cfRule>
  </conditionalFormatting>
  <conditionalFormatting sqref="T140:U140">
    <cfRule type="cellIs" dxfId="0" priority="6967" operator="equal">
      <formula>"欠"</formula>
    </cfRule>
  </conditionalFormatting>
  <conditionalFormatting sqref="AI140:AJ140">
    <cfRule type="cellIs" dxfId="1" priority="6929" operator="equal">
      <formula>"未完成"</formula>
    </cfRule>
    <cfRule type="cellIs" dxfId="0" priority="6948" operator="equal">
      <formula>"未完成"</formula>
    </cfRule>
  </conditionalFormatting>
  <conditionalFormatting sqref="R141">
    <cfRule type="cellIs" dxfId="0" priority="7004" operator="equal">
      <formula>"欠"</formula>
    </cfRule>
  </conditionalFormatting>
  <conditionalFormatting sqref="S141">
    <cfRule type="cellIs" dxfId="0" priority="6985" operator="equal">
      <formula>"欠"</formula>
    </cfRule>
  </conditionalFormatting>
  <conditionalFormatting sqref="T141:U141">
    <cfRule type="cellIs" dxfId="0" priority="6966" operator="equal">
      <formula>"欠"</formula>
    </cfRule>
  </conditionalFormatting>
  <conditionalFormatting sqref="AI141:AJ141">
    <cfRule type="cellIs" dxfId="1" priority="6928" operator="equal">
      <formula>"未完成"</formula>
    </cfRule>
    <cfRule type="cellIs" dxfId="0" priority="6947" operator="equal">
      <formula>"未完成"</formula>
    </cfRule>
  </conditionalFormatting>
  <conditionalFormatting sqref="R142">
    <cfRule type="cellIs" dxfId="0" priority="7003" operator="equal">
      <formula>"欠"</formula>
    </cfRule>
  </conditionalFormatting>
  <conditionalFormatting sqref="S142">
    <cfRule type="cellIs" dxfId="0" priority="6984" operator="equal">
      <formula>"欠"</formula>
    </cfRule>
  </conditionalFormatting>
  <conditionalFormatting sqref="T142:U142">
    <cfRule type="cellIs" dxfId="0" priority="6965" operator="equal">
      <formula>"欠"</formula>
    </cfRule>
  </conditionalFormatting>
  <conditionalFormatting sqref="AI142:AJ142">
    <cfRule type="cellIs" dxfId="1" priority="6927" operator="equal">
      <formula>"未完成"</formula>
    </cfRule>
    <cfRule type="cellIs" dxfId="0" priority="6946" operator="equal">
      <formula>"未完成"</formula>
    </cfRule>
  </conditionalFormatting>
  <conditionalFormatting sqref="R143">
    <cfRule type="cellIs" dxfId="0" priority="7002" operator="equal">
      <formula>"欠"</formula>
    </cfRule>
  </conditionalFormatting>
  <conditionalFormatting sqref="S143">
    <cfRule type="cellIs" dxfId="0" priority="6983" operator="equal">
      <formula>"欠"</formula>
    </cfRule>
  </conditionalFormatting>
  <conditionalFormatting sqref="T143:U143">
    <cfRule type="cellIs" dxfId="0" priority="6964" operator="equal">
      <formula>"欠"</formula>
    </cfRule>
  </conditionalFormatting>
  <conditionalFormatting sqref="AI143:AJ143">
    <cfRule type="cellIs" dxfId="1" priority="6926" operator="equal">
      <formula>"未完成"</formula>
    </cfRule>
    <cfRule type="cellIs" dxfId="0" priority="6945" operator="equal">
      <formula>"未完成"</formula>
    </cfRule>
  </conditionalFormatting>
  <conditionalFormatting sqref="R144">
    <cfRule type="cellIs" dxfId="0" priority="7001" operator="equal">
      <formula>"欠"</formula>
    </cfRule>
  </conditionalFormatting>
  <conditionalFormatting sqref="S144">
    <cfRule type="cellIs" dxfId="0" priority="6982" operator="equal">
      <formula>"欠"</formula>
    </cfRule>
  </conditionalFormatting>
  <conditionalFormatting sqref="T144:U144">
    <cfRule type="cellIs" dxfId="0" priority="6963" operator="equal">
      <formula>"欠"</formula>
    </cfRule>
  </conditionalFormatting>
  <conditionalFormatting sqref="AI144:AJ144">
    <cfRule type="cellIs" dxfId="1" priority="6925" operator="equal">
      <formula>"未完成"</formula>
    </cfRule>
    <cfRule type="cellIs" dxfId="0" priority="6944" operator="equal">
      <formula>"未完成"</formula>
    </cfRule>
  </conditionalFormatting>
  <conditionalFormatting sqref="R145">
    <cfRule type="cellIs" dxfId="0" priority="7000" operator="equal">
      <formula>"欠"</formula>
    </cfRule>
  </conditionalFormatting>
  <conditionalFormatting sqref="S145">
    <cfRule type="cellIs" dxfId="0" priority="6981" operator="equal">
      <formula>"欠"</formula>
    </cfRule>
  </conditionalFormatting>
  <conditionalFormatting sqref="T145:U145">
    <cfRule type="cellIs" dxfId="0" priority="6962" operator="equal">
      <formula>"欠"</formula>
    </cfRule>
  </conditionalFormatting>
  <conditionalFormatting sqref="AI145:AJ145">
    <cfRule type="cellIs" dxfId="1" priority="6924" operator="equal">
      <formula>"未完成"</formula>
    </cfRule>
    <cfRule type="cellIs" dxfId="0" priority="6943" operator="equal">
      <formula>"未完成"</formula>
    </cfRule>
  </conditionalFormatting>
  <conditionalFormatting sqref="R146">
    <cfRule type="cellIs" dxfId="0" priority="6999" operator="equal">
      <formula>"欠"</formula>
    </cfRule>
  </conditionalFormatting>
  <conditionalFormatting sqref="S146">
    <cfRule type="cellIs" dxfId="0" priority="6980" operator="equal">
      <formula>"欠"</formula>
    </cfRule>
  </conditionalFormatting>
  <conditionalFormatting sqref="T146:U146">
    <cfRule type="cellIs" dxfId="0" priority="6961" operator="equal">
      <formula>"欠"</formula>
    </cfRule>
  </conditionalFormatting>
  <conditionalFormatting sqref="AI146:AJ146">
    <cfRule type="cellIs" dxfId="1" priority="6923" operator="equal">
      <formula>"未完成"</formula>
    </cfRule>
    <cfRule type="cellIs" dxfId="0" priority="6942" operator="equal">
      <formula>"未完成"</formula>
    </cfRule>
  </conditionalFormatting>
  <conditionalFormatting sqref="R147">
    <cfRule type="cellIs" dxfId="0" priority="6998" operator="equal">
      <formula>"欠"</formula>
    </cfRule>
  </conditionalFormatting>
  <conditionalFormatting sqref="S147">
    <cfRule type="cellIs" dxfId="0" priority="6979" operator="equal">
      <formula>"欠"</formula>
    </cfRule>
  </conditionalFormatting>
  <conditionalFormatting sqref="T147:U147">
    <cfRule type="cellIs" dxfId="0" priority="6960" operator="equal">
      <formula>"欠"</formula>
    </cfRule>
  </conditionalFormatting>
  <conditionalFormatting sqref="AI147:AJ147">
    <cfRule type="cellIs" dxfId="1" priority="6922" operator="equal">
      <formula>"未完成"</formula>
    </cfRule>
    <cfRule type="cellIs" dxfId="0" priority="6941" operator="equal">
      <formula>"未完成"</formula>
    </cfRule>
  </conditionalFormatting>
  <conditionalFormatting sqref="R148">
    <cfRule type="cellIs" dxfId="0" priority="6997" operator="equal">
      <formula>"欠"</formula>
    </cfRule>
  </conditionalFormatting>
  <conditionalFormatting sqref="S148">
    <cfRule type="cellIs" dxfId="0" priority="6978" operator="equal">
      <formula>"欠"</formula>
    </cfRule>
  </conditionalFormatting>
  <conditionalFormatting sqref="T148:U148">
    <cfRule type="cellIs" dxfId="0" priority="6959" operator="equal">
      <formula>"欠"</formula>
    </cfRule>
  </conditionalFormatting>
  <conditionalFormatting sqref="AI148:AJ148">
    <cfRule type="cellIs" dxfId="1" priority="6921" operator="equal">
      <formula>"未完成"</formula>
    </cfRule>
    <cfRule type="cellIs" dxfId="0" priority="6940" operator="equal">
      <formula>"未完成"</formula>
    </cfRule>
  </conditionalFormatting>
  <conditionalFormatting sqref="R149">
    <cfRule type="cellIs" dxfId="0" priority="6996" operator="equal">
      <formula>"欠"</formula>
    </cfRule>
  </conditionalFormatting>
  <conditionalFormatting sqref="S149">
    <cfRule type="cellIs" dxfId="0" priority="6977" operator="equal">
      <formula>"欠"</formula>
    </cfRule>
  </conditionalFormatting>
  <conditionalFormatting sqref="T149:U149">
    <cfRule type="cellIs" dxfId="0" priority="6958" operator="equal">
      <formula>"欠"</formula>
    </cfRule>
  </conditionalFormatting>
  <conditionalFormatting sqref="AI149:AJ149">
    <cfRule type="cellIs" dxfId="1" priority="6920" operator="equal">
      <formula>"未完成"</formula>
    </cfRule>
    <cfRule type="cellIs" dxfId="0" priority="6939" operator="equal">
      <formula>"未完成"</formula>
    </cfRule>
  </conditionalFormatting>
  <conditionalFormatting sqref="R150">
    <cfRule type="cellIs" dxfId="0" priority="6882" operator="equal">
      <formula>"欠"</formula>
    </cfRule>
  </conditionalFormatting>
  <conditionalFormatting sqref="S150">
    <cfRule type="cellIs" dxfId="0" priority="6861" operator="equal">
      <formula>"欠"</formula>
    </cfRule>
  </conditionalFormatting>
  <conditionalFormatting sqref="T150:U150">
    <cfRule type="cellIs" dxfId="0" priority="6840" operator="equal">
      <formula>"欠"</formula>
    </cfRule>
  </conditionalFormatting>
  <conditionalFormatting sqref="AI150:AJ150">
    <cfRule type="cellIs" dxfId="1" priority="6798" operator="equal">
      <formula>"未完成"</formula>
    </cfRule>
    <cfRule type="cellIs" dxfId="0" priority="6819" operator="equal">
      <formula>"未完成"</formula>
    </cfRule>
  </conditionalFormatting>
  <conditionalFormatting sqref="R151">
    <cfRule type="cellIs" dxfId="0" priority="6881" operator="equal">
      <formula>"欠"</formula>
    </cfRule>
  </conditionalFormatting>
  <conditionalFormatting sqref="S151">
    <cfRule type="cellIs" dxfId="0" priority="6860" operator="equal">
      <formula>"欠"</formula>
    </cfRule>
  </conditionalFormatting>
  <conditionalFormatting sqref="T151:U151">
    <cfRule type="cellIs" dxfId="0" priority="6839" operator="equal">
      <formula>"欠"</formula>
    </cfRule>
  </conditionalFormatting>
  <conditionalFormatting sqref="AI151:AJ151">
    <cfRule type="cellIs" dxfId="1" priority="6797" operator="equal">
      <formula>"未完成"</formula>
    </cfRule>
    <cfRule type="cellIs" dxfId="0" priority="6818" operator="equal">
      <formula>"未完成"</formula>
    </cfRule>
  </conditionalFormatting>
  <conditionalFormatting sqref="R152">
    <cfRule type="cellIs" dxfId="0" priority="6880" operator="equal">
      <formula>"欠"</formula>
    </cfRule>
  </conditionalFormatting>
  <conditionalFormatting sqref="S152">
    <cfRule type="cellIs" dxfId="0" priority="6859" operator="equal">
      <formula>"欠"</formula>
    </cfRule>
  </conditionalFormatting>
  <conditionalFormatting sqref="T152:U152">
    <cfRule type="cellIs" dxfId="0" priority="6838" operator="equal">
      <formula>"欠"</formula>
    </cfRule>
  </conditionalFormatting>
  <conditionalFormatting sqref="AI152:AJ152">
    <cfRule type="cellIs" dxfId="1" priority="6796" operator="equal">
      <formula>"未完成"</formula>
    </cfRule>
    <cfRule type="cellIs" dxfId="0" priority="6817" operator="equal">
      <formula>"未完成"</formula>
    </cfRule>
  </conditionalFormatting>
  <conditionalFormatting sqref="R153">
    <cfRule type="cellIs" dxfId="0" priority="6862" operator="equal">
      <formula>"欠"</formula>
    </cfRule>
  </conditionalFormatting>
  <conditionalFormatting sqref="S153">
    <cfRule type="cellIs" dxfId="0" priority="6841" operator="equal">
      <formula>"欠"</formula>
    </cfRule>
  </conditionalFormatting>
  <conditionalFormatting sqref="T153:U153">
    <cfRule type="cellIs" dxfId="0" priority="6820" operator="equal">
      <formula>"欠"</formula>
    </cfRule>
  </conditionalFormatting>
  <conditionalFormatting sqref="AI153:AJ153">
    <cfRule type="cellIs" dxfId="1" priority="6778" operator="equal">
      <formula>"未完成"</formula>
    </cfRule>
    <cfRule type="cellIs" dxfId="0" priority="6799" operator="equal">
      <formula>"未完成"</formula>
    </cfRule>
  </conditionalFormatting>
  <conditionalFormatting sqref="R154">
    <cfRule type="cellIs" dxfId="0" priority="6879" operator="equal">
      <formula>"欠"</formula>
    </cfRule>
  </conditionalFormatting>
  <conditionalFormatting sqref="S154">
    <cfRule type="cellIs" dxfId="0" priority="6858" operator="equal">
      <formula>"欠"</formula>
    </cfRule>
  </conditionalFormatting>
  <conditionalFormatting sqref="T154:U154">
    <cfRule type="cellIs" dxfId="0" priority="6837" operator="equal">
      <formula>"欠"</formula>
    </cfRule>
  </conditionalFormatting>
  <conditionalFormatting sqref="AI154:AJ154">
    <cfRule type="cellIs" dxfId="1" priority="6795" operator="equal">
      <formula>"未完成"</formula>
    </cfRule>
    <cfRule type="cellIs" dxfId="0" priority="6816" operator="equal">
      <formula>"未完成"</formula>
    </cfRule>
  </conditionalFormatting>
  <conditionalFormatting sqref="R155">
    <cfRule type="cellIs" dxfId="0" priority="6878" operator="equal">
      <formula>"欠"</formula>
    </cfRule>
  </conditionalFormatting>
  <conditionalFormatting sqref="S155">
    <cfRule type="cellIs" dxfId="0" priority="6857" operator="equal">
      <formula>"欠"</formula>
    </cfRule>
  </conditionalFormatting>
  <conditionalFormatting sqref="T155:U155">
    <cfRule type="cellIs" dxfId="0" priority="6836" operator="equal">
      <formula>"欠"</formula>
    </cfRule>
  </conditionalFormatting>
  <conditionalFormatting sqref="AI155:AJ155">
    <cfRule type="cellIs" dxfId="1" priority="6794" operator="equal">
      <formula>"未完成"</formula>
    </cfRule>
    <cfRule type="cellIs" dxfId="0" priority="6815" operator="equal">
      <formula>"未完成"</formula>
    </cfRule>
  </conditionalFormatting>
  <conditionalFormatting sqref="R156">
    <cfRule type="cellIs" dxfId="0" priority="6877" operator="equal">
      <formula>"欠"</formula>
    </cfRule>
  </conditionalFormatting>
  <conditionalFormatting sqref="S156">
    <cfRule type="cellIs" dxfId="0" priority="6856" operator="equal">
      <formula>"欠"</formula>
    </cfRule>
  </conditionalFormatting>
  <conditionalFormatting sqref="T156:U156">
    <cfRule type="cellIs" dxfId="0" priority="6835" operator="equal">
      <formula>"欠"</formula>
    </cfRule>
  </conditionalFormatting>
  <conditionalFormatting sqref="AI156:AJ156">
    <cfRule type="cellIs" dxfId="1" priority="6793" operator="equal">
      <formula>"未完成"</formula>
    </cfRule>
    <cfRule type="cellIs" dxfId="0" priority="6814" operator="equal">
      <formula>"未完成"</formula>
    </cfRule>
  </conditionalFormatting>
  <conditionalFormatting sqref="R157">
    <cfRule type="cellIs" dxfId="0" priority="6876" operator="equal">
      <formula>"欠"</formula>
    </cfRule>
  </conditionalFormatting>
  <conditionalFormatting sqref="S157">
    <cfRule type="cellIs" dxfId="0" priority="6855" operator="equal">
      <formula>"欠"</formula>
    </cfRule>
  </conditionalFormatting>
  <conditionalFormatting sqref="T157:U157">
    <cfRule type="cellIs" dxfId="0" priority="6834" operator="equal">
      <formula>"欠"</formula>
    </cfRule>
  </conditionalFormatting>
  <conditionalFormatting sqref="AI157:AJ157">
    <cfRule type="cellIs" dxfId="1" priority="6792" operator="equal">
      <formula>"未完成"</formula>
    </cfRule>
    <cfRule type="cellIs" dxfId="0" priority="6813" operator="equal">
      <formula>"未完成"</formula>
    </cfRule>
  </conditionalFormatting>
  <conditionalFormatting sqref="R158">
    <cfRule type="cellIs" dxfId="0" priority="6875" operator="equal">
      <formula>"欠"</formula>
    </cfRule>
  </conditionalFormatting>
  <conditionalFormatting sqref="S158">
    <cfRule type="cellIs" dxfId="0" priority="6854" operator="equal">
      <formula>"欠"</formula>
    </cfRule>
  </conditionalFormatting>
  <conditionalFormatting sqref="T158:U158">
    <cfRule type="cellIs" dxfId="0" priority="6833" operator="equal">
      <formula>"欠"</formula>
    </cfRule>
  </conditionalFormatting>
  <conditionalFormatting sqref="AI158:AJ158">
    <cfRule type="cellIs" dxfId="1" priority="6791" operator="equal">
      <formula>"未完成"</formula>
    </cfRule>
    <cfRule type="cellIs" dxfId="0" priority="6812" operator="equal">
      <formula>"未完成"</formula>
    </cfRule>
  </conditionalFormatting>
  <conditionalFormatting sqref="R159">
    <cfRule type="cellIs" dxfId="0" priority="6874" operator="equal">
      <formula>"欠"</formula>
    </cfRule>
  </conditionalFormatting>
  <conditionalFormatting sqref="S159">
    <cfRule type="cellIs" dxfId="0" priority="6853" operator="equal">
      <formula>"欠"</formula>
    </cfRule>
  </conditionalFormatting>
  <conditionalFormatting sqref="T159:U159">
    <cfRule type="cellIs" dxfId="0" priority="6832" operator="equal">
      <formula>"欠"</formula>
    </cfRule>
  </conditionalFormatting>
  <conditionalFormatting sqref="AI159:AJ159">
    <cfRule type="cellIs" dxfId="1" priority="6790" operator="equal">
      <formula>"未完成"</formula>
    </cfRule>
    <cfRule type="cellIs" dxfId="0" priority="6811" operator="equal">
      <formula>"未完成"</formula>
    </cfRule>
  </conditionalFormatting>
  <conditionalFormatting sqref="R160">
    <cfRule type="cellIs" dxfId="0" priority="6873" operator="equal">
      <formula>"欠"</formula>
    </cfRule>
  </conditionalFormatting>
  <conditionalFormatting sqref="S160">
    <cfRule type="cellIs" dxfId="0" priority="6852" operator="equal">
      <formula>"欠"</formula>
    </cfRule>
  </conditionalFormatting>
  <conditionalFormatting sqref="T160:U160">
    <cfRule type="cellIs" dxfId="0" priority="6831" operator="equal">
      <formula>"欠"</formula>
    </cfRule>
  </conditionalFormatting>
  <conditionalFormatting sqref="AI160:AJ160">
    <cfRule type="cellIs" dxfId="1" priority="6789" operator="equal">
      <formula>"未完成"</formula>
    </cfRule>
    <cfRule type="cellIs" dxfId="0" priority="6810" operator="equal">
      <formula>"未完成"</formula>
    </cfRule>
  </conditionalFormatting>
  <conditionalFormatting sqref="AI161:AJ161">
    <cfRule type="cellIs" dxfId="1" priority="6788" operator="equal">
      <formula>"未完成"</formula>
    </cfRule>
    <cfRule type="cellIs" dxfId="0" priority="6809" operator="equal">
      <formula>"未完成"</formula>
    </cfRule>
  </conditionalFormatting>
  <conditionalFormatting sqref="AI162:AJ162">
    <cfRule type="cellIs" dxfId="1" priority="6500" operator="equal">
      <formula>"未完成"</formula>
    </cfRule>
    <cfRule type="cellIs" dxfId="0" priority="6502" operator="equal">
      <formula>"未完成"</formula>
    </cfRule>
  </conditionalFormatting>
  <conditionalFormatting sqref="AI163:AJ163">
    <cfRule type="cellIs" dxfId="1" priority="6499" operator="equal">
      <formula>"未完成"</formula>
    </cfRule>
    <cfRule type="cellIs" dxfId="0" priority="6501" operator="equal">
      <formula>"未完成"</formula>
    </cfRule>
  </conditionalFormatting>
  <conditionalFormatting sqref="R164">
    <cfRule type="cellIs" dxfId="0" priority="6871" operator="equal">
      <formula>"欠"</formula>
    </cfRule>
  </conditionalFormatting>
  <conditionalFormatting sqref="S164">
    <cfRule type="cellIs" dxfId="0" priority="6850" operator="equal">
      <formula>"欠"</formula>
    </cfRule>
  </conditionalFormatting>
  <conditionalFormatting sqref="T164:U164">
    <cfRule type="cellIs" dxfId="0" priority="6829" operator="equal">
      <formula>"欠"</formula>
    </cfRule>
  </conditionalFormatting>
  <conditionalFormatting sqref="AI164:AJ164">
    <cfRule type="cellIs" dxfId="1" priority="6787" operator="equal">
      <formula>"未完成"</formula>
    </cfRule>
    <cfRule type="cellIs" dxfId="0" priority="6808" operator="equal">
      <formula>"未完成"</formula>
    </cfRule>
  </conditionalFormatting>
  <conditionalFormatting sqref="R165">
    <cfRule type="cellIs" dxfId="0" priority="6870" operator="equal">
      <formula>"欠"</formula>
    </cfRule>
  </conditionalFormatting>
  <conditionalFormatting sqref="S165">
    <cfRule type="cellIs" dxfId="0" priority="6849" operator="equal">
      <formula>"欠"</formula>
    </cfRule>
  </conditionalFormatting>
  <conditionalFormatting sqref="T165:U165">
    <cfRule type="cellIs" dxfId="0" priority="6828" operator="equal">
      <formula>"欠"</formula>
    </cfRule>
  </conditionalFormatting>
  <conditionalFormatting sqref="AI165:AJ165">
    <cfRule type="cellIs" dxfId="1" priority="6786" operator="equal">
      <formula>"未完成"</formula>
    </cfRule>
    <cfRule type="cellIs" dxfId="0" priority="6807" operator="equal">
      <formula>"未完成"</formula>
    </cfRule>
  </conditionalFormatting>
  <conditionalFormatting sqref="R166">
    <cfRule type="cellIs" dxfId="0" priority="6869" operator="equal">
      <formula>"欠"</formula>
    </cfRule>
  </conditionalFormatting>
  <conditionalFormatting sqref="S166">
    <cfRule type="cellIs" dxfId="0" priority="6848" operator="equal">
      <formula>"欠"</formula>
    </cfRule>
  </conditionalFormatting>
  <conditionalFormatting sqref="T166:U166">
    <cfRule type="cellIs" dxfId="0" priority="6827" operator="equal">
      <formula>"欠"</formula>
    </cfRule>
  </conditionalFormatting>
  <conditionalFormatting sqref="AI166:AJ166">
    <cfRule type="cellIs" dxfId="1" priority="6785" operator="equal">
      <formula>"未完成"</formula>
    </cfRule>
    <cfRule type="cellIs" dxfId="0" priority="6806" operator="equal">
      <formula>"未完成"</formula>
    </cfRule>
  </conditionalFormatting>
  <conditionalFormatting sqref="R167">
    <cfRule type="cellIs" dxfId="0" priority="6868" operator="equal">
      <formula>"欠"</formula>
    </cfRule>
  </conditionalFormatting>
  <conditionalFormatting sqref="S167">
    <cfRule type="cellIs" dxfId="0" priority="6847" operator="equal">
      <formula>"欠"</formula>
    </cfRule>
  </conditionalFormatting>
  <conditionalFormatting sqref="T167:U167">
    <cfRule type="cellIs" dxfId="0" priority="6826" operator="equal">
      <formula>"欠"</formula>
    </cfRule>
  </conditionalFormatting>
  <conditionalFormatting sqref="AI167:AJ167">
    <cfRule type="cellIs" dxfId="1" priority="6784" operator="equal">
      <formula>"未完成"</formula>
    </cfRule>
    <cfRule type="cellIs" dxfId="0" priority="6805" operator="equal">
      <formula>"未完成"</formula>
    </cfRule>
  </conditionalFormatting>
  <conditionalFormatting sqref="R168">
    <cfRule type="cellIs" dxfId="0" priority="6867" operator="equal">
      <formula>"欠"</formula>
    </cfRule>
  </conditionalFormatting>
  <conditionalFormatting sqref="S168">
    <cfRule type="cellIs" dxfId="0" priority="6846" operator="equal">
      <formula>"欠"</formula>
    </cfRule>
  </conditionalFormatting>
  <conditionalFormatting sqref="T168:U168">
    <cfRule type="cellIs" dxfId="0" priority="6825" operator="equal">
      <formula>"欠"</formula>
    </cfRule>
  </conditionalFormatting>
  <conditionalFormatting sqref="AI168:AJ168">
    <cfRule type="cellIs" dxfId="1" priority="6783" operator="equal">
      <formula>"未完成"</formula>
    </cfRule>
    <cfRule type="cellIs" dxfId="0" priority="6804" operator="equal">
      <formula>"未完成"</formula>
    </cfRule>
  </conditionalFormatting>
  <conditionalFormatting sqref="R169">
    <cfRule type="cellIs" dxfId="0" priority="6866" operator="equal">
      <formula>"欠"</formula>
    </cfRule>
  </conditionalFormatting>
  <conditionalFormatting sqref="S169">
    <cfRule type="cellIs" dxfId="0" priority="6845" operator="equal">
      <formula>"欠"</formula>
    </cfRule>
  </conditionalFormatting>
  <conditionalFormatting sqref="T169:U169">
    <cfRule type="cellIs" dxfId="0" priority="6824" operator="equal">
      <formula>"欠"</formula>
    </cfRule>
  </conditionalFormatting>
  <conditionalFormatting sqref="AI169:AJ169">
    <cfRule type="cellIs" dxfId="1" priority="6782" operator="equal">
      <formula>"未完成"</formula>
    </cfRule>
    <cfRule type="cellIs" dxfId="0" priority="6803" operator="equal">
      <formula>"未完成"</formula>
    </cfRule>
  </conditionalFormatting>
  <conditionalFormatting sqref="R170">
    <cfRule type="cellIs" dxfId="0" priority="6865" operator="equal">
      <formula>"欠"</formula>
    </cfRule>
  </conditionalFormatting>
  <conditionalFormatting sqref="S170">
    <cfRule type="cellIs" dxfId="0" priority="6844" operator="equal">
      <formula>"欠"</formula>
    </cfRule>
  </conditionalFormatting>
  <conditionalFormatting sqref="T170:U170">
    <cfRule type="cellIs" dxfId="0" priority="6823" operator="equal">
      <formula>"欠"</formula>
    </cfRule>
  </conditionalFormatting>
  <conditionalFormatting sqref="AI170:AJ170">
    <cfRule type="cellIs" dxfId="1" priority="6781" operator="equal">
      <formula>"未完成"</formula>
    </cfRule>
    <cfRule type="cellIs" dxfId="0" priority="6802" operator="equal">
      <formula>"未完成"</formula>
    </cfRule>
  </conditionalFormatting>
  <conditionalFormatting sqref="R171">
    <cfRule type="cellIs" dxfId="0" priority="6864" operator="equal">
      <formula>"欠"</formula>
    </cfRule>
  </conditionalFormatting>
  <conditionalFormatting sqref="S171">
    <cfRule type="cellIs" dxfId="0" priority="6843" operator="equal">
      <formula>"欠"</formula>
    </cfRule>
  </conditionalFormatting>
  <conditionalFormatting sqref="T171:U171">
    <cfRule type="cellIs" dxfId="0" priority="6822" operator="equal">
      <formula>"欠"</formula>
    </cfRule>
  </conditionalFormatting>
  <conditionalFormatting sqref="AI171:AJ171">
    <cfRule type="cellIs" dxfId="1" priority="6780" operator="equal">
      <formula>"未完成"</formula>
    </cfRule>
    <cfRule type="cellIs" dxfId="0" priority="6801" operator="equal">
      <formula>"未完成"</formula>
    </cfRule>
  </conditionalFormatting>
  <conditionalFormatting sqref="R172">
    <cfRule type="cellIs" dxfId="0" priority="6863" operator="equal">
      <formula>"欠"</formula>
    </cfRule>
  </conditionalFormatting>
  <conditionalFormatting sqref="S172">
    <cfRule type="cellIs" dxfId="0" priority="6842" operator="equal">
      <formula>"欠"</formula>
    </cfRule>
  </conditionalFormatting>
  <conditionalFormatting sqref="T172:U172">
    <cfRule type="cellIs" dxfId="0" priority="6821" operator="equal">
      <formula>"欠"</formula>
    </cfRule>
  </conditionalFormatting>
  <conditionalFormatting sqref="AI172:AJ172">
    <cfRule type="cellIs" dxfId="1" priority="6779" operator="equal">
      <formula>"未完成"</formula>
    </cfRule>
    <cfRule type="cellIs" dxfId="0" priority="6800" operator="equal">
      <formula>"未完成"</formula>
    </cfRule>
  </conditionalFormatting>
  <conditionalFormatting sqref="R173">
    <cfRule type="cellIs" dxfId="0" priority="7084" operator="equal">
      <formula>"欠"</formula>
    </cfRule>
  </conditionalFormatting>
  <conditionalFormatting sqref="S173">
    <cfRule type="cellIs" dxfId="0" priority="7081" operator="equal">
      <formula>"欠"</formula>
    </cfRule>
  </conditionalFormatting>
  <conditionalFormatting sqref="T173:U173">
    <cfRule type="cellIs" dxfId="0" priority="7078" operator="equal">
      <formula>"欠"</formula>
    </cfRule>
  </conditionalFormatting>
  <conditionalFormatting sqref="AI173:AJ173">
    <cfRule type="cellIs" dxfId="1" priority="7072" operator="equal">
      <formula>"未完成"</formula>
    </cfRule>
    <cfRule type="cellIs" dxfId="0" priority="7075" operator="equal">
      <formula>"未完成"</formula>
    </cfRule>
  </conditionalFormatting>
  <conditionalFormatting sqref="R174">
    <cfRule type="cellIs" dxfId="0" priority="7006" operator="equal">
      <formula>"欠"</formula>
    </cfRule>
  </conditionalFormatting>
  <conditionalFormatting sqref="S174">
    <cfRule type="cellIs" dxfId="0" priority="6987" operator="equal">
      <formula>"欠"</formula>
    </cfRule>
  </conditionalFormatting>
  <conditionalFormatting sqref="T174:U174">
    <cfRule type="cellIs" dxfId="0" priority="6968" operator="equal">
      <formula>"欠"</formula>
    </cfRule>
  </conditionalFormatting>
  <conditionalFormatting sqref="AI174:AJ174">
    <cfRule type="cellIs" dxfId="1" priority="6930" operator="equal">
      <formula>"未完成"</formula>
    </cfRule>
    <cfRule type="cellIs" dxfId="0" priority="6949" operator="equal">
      <formula>"未完成"</formula>
    </cfRule>
  </conditionalFormatting>
  <conditionalFormatting sqref="R175">
    <cfRule type="cellIs" dxfId="0" priority="6772" operator="equal">
      <formula>"欠"</formula>
    </cfRule>
  </conditionalFormatting>
  <conditionalFormatting sqref="S175">
    <cfRule type="cellIs" dxfId="0" priority="6767" operator="equal">
      <formula>"欠"</formula>
    </cfRule>
  </conditionalFormatting>
  <conditionalFormatting sqref="T175:U175">
    <cfRule type="cellIs" dxfId="0" priority="6762" operator="equal">
      <formula>"欠"</formula>
    </cfRule>
  </conditionalFormatting>
  <conditionalFormatting sqref="AI175:AJ175">
    <cfRule type="cellIs" dxfId="1" priority="6752" operator="equal">
      <formula>"未完成"</formula>
    </cfRule>
    <cfRule type="cellIs" dxfId="0" priority="6757" operator="equal">
      <formula>"未完成"</formula>
    </cfRule>
  </conditionalFormatting>
  <conditionalFormatting sqref="R176">
    <cfRule type="cellIs" dxfId="0" priority="6771" operator="equal">
      <formula>"欠"</formula>
    </cfRule>
  </conditionalFormatting>
  <conditionalFormatting sqref="S176">
    <cfRule type="cellIs" dxfId="0" priority="6766" operator="equal">
      <formula>"欠"</formula>
    </cfRule>
  </conditionalFormatting>
  <conditionalFormatting sqref="T176:U176">
    <cfRule type="cellIs" dxfId="0" priority="6761" operator="equal">
      <formula>"欠"</formula>
    </cfRule>
  </conditionalFormatting>
  <conditionalFormatting sqref="AI176:AJ176">
    <cfRule type="cellIs" dxfId="1" priority="6751" operator="equal">
      <formula>"未完成"</formula>
    </cfRule>
    <cfRule type="cellIs" dxfId="0" priority="6756" operator="equal">
      <formula>"未完成"</formula>
    </cfRule>
  </conditionalFormatting>
  <conditionalFormatting sqref="R177">
    <cfRule type="cellIs" dxfId="0" priority="6770" operator="equal">
      <formula>"欠"</formula>
    </cfRule>
  </conditionalFormatting>
  <conditionalFormatting sqref="S177">
    <cfRule type="cellIs" dxfId="0" priority="6765" operator="equal">
      <formula>"欠"</formula>
    </cfRule>
  </conditionalFormatting>
  <conditionalFormatting sqref="T177:U177">
    <cfRule type="cellIs" dxfId="0" priority="6760" operator="equal">
      <formula>"欠"</formula>
    </cfRule>
  </conditionalFormatting>
  <conditionalFormatting sqref="AI177:AJ177">
    <cfRule type="cellIs" dxfId="1" priority="6750" operator="equal">
      <formula>"未完成"</formula>
    </cfRule>
    <cfRule type="cellIs" dxfId="0" priority="6755" operator="equal">
      <formula>"未完成"</formula>
    </cfRule>
  </conditionalFormatting>
  <conditionalFormatting sqref="R178">
    <cfRule type="cellIs" dxfId="0" priority="6769" operator="equal">
      <formula>"欠"</formula>
    </cfRule>
  </conditionalFormatting>
  <conditionalFormatting sqref="S178">
    <cfRule type="cellIs" dxfId="0" priority="6764" operator="equal">
      <formula>"欠"</formula>
    </cfRule>
  </conditionalFormatting>
  <conditionalFormatting sqref="T178:U178">
    <cfRule type="cellIs" dxfId="0" priority="6759" operator="equal">
      <formula>"欠"</formula>
    </cfRule>
  </conditionalFormatting>
  <conditionalFormatting sqref="AI178:AJ178">
    <cfRule type="cellIs" dxfId="1" priority="6749" operator="equal">
      <formula>"未完成"</formula>
    </cfRule>
    <cfRule type="cellIs" dxfId="0" priority="6754" operator="equal">
      <formula>"未完成"</formula>
    </cfRule>
  </conditionalFormatting>
  <conditionalFormatting sqref="R179">
    <cfRule type="cellIs" dxfId="0" priority="6768" operator="equal">
      <formula>"欠"</formula>
    </cfRule>
  </conditionalFormatting>
  <conditionalFormatting sqref="S179">
    <cfRule type="cellIs" dxfId="0" priority="6763" operator="equal">
      <formula>"欠"</formula>
    </cfRule>
  </conditionalFormatting>
  <conditionalFormatting sqref="T179:U179">
    <cfRule type="cellIs" dxfId="0" priority="6758" operator="equal">
      <formula>"欠"</formula>
    </cfRule>
  </conditionalFormatting>
  <conditionalFormatting sqref="AI179:AJ179">
    <cfRule type="cellIs" dxfId="1" priority="6748" operator="equal">
      <formula>"未完成"</formula>
    </cfRule>
    <cfRule type="cellIs" dxfId="0" priority="6753" operator="equal">
      <formula>"未完成"</formula>
    </cfRule>
  </conditionalFormatting>
  <conditionalFormatting sqref="R180">
    <cfRule type="cellIs" dxfId="0" priority="6746" operator="equal">
      <formula>"欠"</formula>
    </cfRule>
  </conditionalFormatting>
  <conditionalFormatting sqref="S180">
    <cfRule type="cellIs" dxfId="0" priority="6745" operator="equal">
      <formula>"欠"</formula>
    </cfRule>
  </conditionalFormatting>
  <conditionalFormatting sqref="T180:U180">
    <cfRule type="cellIs" dxfId="0" priority="6744" operator="equal">
      <formula>"欠"</formula>
    </cfRule>
  </conditionalFormatting>
  <conditionalFormatting sqref="AI180:AJ180">
    <cfRule type="cellIs" dxfId="1" priority="6742" operator="equal">
      <formula>"未完成"</formula>
    </cfRule>
    <cfRule type="cellIs" dxfId="0" priority="6743" operator="equal">
      <formula>"未完成"</formula>
    </cfRule>
  </conditionalFormatting>
  <conditionalFormatting sqref="R181">
    <cfRule type="cellIs" dxfId="0" priority="6684" operator="equal">
      <formula>"欠"</formula>
    </cfRule>
  </conditionalFormatting>
  <conditionalFormatting sqref="S181">
    <cfRule type="cellIs" dxfId="0" priority="6682" operator="equal">
      <formula>"欠"</formula>
    </cfRule>
  </conditionalFormatting>
  <conditionalFormatting sqref="T181:U181">
    <cfRule type="cellIs" dxfId="0" priority="6680" operator="equal">
      <formula>"欠"</formula>
    </cfRule>
  </conditionalFormatting>
  <conditionalFormatting sqref="AI181:AJ181">
    <cfRule type="cellIs" dxfId="1" priority="6676" operator="equal">
      <formula>"未完成"</formula>
    </cfRule>
    <cfRule type="cellIs" dxfId="0" priority="6678" operator="equal">
      <formula>"未完成"</formula>
    </cfRule>
  </conditionalFormatting>
  <conditionalFormatting sqref="R182">
    <cfRule type="cellIs" dxfId="0" priority="6683" operator="equal">
      <formula>"欠"</formula>
    </cfRule>
  </conditionalFormatting>
  <conditionalFormatting sqref="S182">
    <cfRule type="cellIs" dxfId="0" priority="6681" operator="equal">
      <formula>"欠"</formula>
    </cfRule>
  </conditionalFormatting>
  <conditionalFormatting sqref="T182:U182">
    <cfRule type="cellIs" dxfId="0" priority="6679" operator="equal">
      <formula>"欠"</formula>
    </cfRule>
  </conditionalFormatting>
  <conditionalFormatting sqref="AI182:AJ182">
    <cfRule type="cellIs" dxfId="1" priority="6675" operator="equal">
      <formula>"未完成"</formula>
    </cfRule>
    <cfRule type="cellIs" dxfId="0" priority="6677" operator="equal">
      <formula>"未完成"</formula>
    </cfRule>
  </conditionalFormatting>
  <conditionalFormatting sqref="R183">
    <cfRule type="cellIs" dxfId="0" priority="6657" operator="equal">
      <formula>"欠"</formula>
    </cfRule>
  </conditionalFormatting>
  <conditionalFormatting sqref="S183">
    <cfRule type="cellIs" dxfId="0" priority="6640" operator="equal">
      <formula>"欠"</formula>
    </cfRule>
  </conditionalFormatting>
  <conditionalFormatting sqref="T183:U183">
    <cfRule type="cellIs" dxfId="0" priority="6623" operator="equal">
      <formula>"欠"</formula>
    </cfRule>
  </conditionalFormatting>
  <conditionalFormatting sqref="AI183:AJ183">
    <cfRule type="cellIs" dxfId="1" priority="6589" operator="equal">
      <formula>"未完成"</formula>
    </cfRule>
    <cfRule type="cellIs" dxfId="0" priority="6606" operator="equal">
      <formula>"未完成"</formula>
    </cfRule>
  </conditionalFormatting>
  <conditionalFormatting sqref="R184">
    <cfRule type="cellIs" dxfId="0" priority="6656" operator="equal">
      <formula>"欠"</formula>
    </cfRule>
  </conditionalFormatting>
  <conditionalFormatting sqref="S184">
    <cfRule type="cellIs" dxfId="0" priority="6639" operator="equal">
      <formula>"欠"</formula>
    </cfRule>
  </conditionalFormatting>
  <conditionalFormatting sqref="T184:U184">
    <cfRule type="cellIs" dxfId="0" priority="6622" operator="equal">
      <formula>"欠"</formula>
    </cfRule>
  </conditionalFormatting>
  <conditionalFormatting sqref="AI184:AJ184">
    <cfRule type="cellIs" dxfId="1" priority="6588" operator="equal">
      <formula>"未完成"</formula>
    </cfRule>
    <cfRule type="cellIs" dxfId="0" priority="6605" operator="equal">
      <formula>"未完成"</formula>
    </cfRule>
  </conditionalFormatting>
  <conditionalFormatting sqref="R185">
    <cfRule type="cellIs" dxfId="0" priority="6655" operator="equal">
      <formula>"欠"</formula>
    </cfRule>
  </conditionalFormatting>
  <conditionalFormatting sqref="S185">
    <cfRule type="cellIs" dxfId="0" priority="6638" operator="equal">
      <formula>"欠"</formula>
    </cfRule>
  </conditionalFormatting>
  <conditionalFormatting sqref="T185:U185">
    <cfRule type="cellIs" dxfId="0" priority="6621" operator="equal">
      <formula>"欠"</formula>
    </cfRule>
  </conditionalFormatting>
  <conditionalFormatting sqref="AI185:AJ185">
    <cfRule type="cellIs" dxfId="1" priority="6587" operator="equal">
      <formula>"未完成"</formula>
    </cfRule>
    <cfRule type="cellIs" dxfId="0" priority="6604" operator="equal">
      <formula>"未完成"</formula>
    </cfRule>
  </conditionalFormatting>
  <conditionalFormatting sqref="R186">
    <cfRule type="cellIs" dxfId="0" priority="6654" operator="equal">
      <formula>"欠"</formula>
    </cfRule>
  </conditionalFormatting>
  <conditionalFormatting sqref="S186">
    <cfRule type="cellIs" dxfId="0" priority="6637" operator="equal">
      <formula>"欠"</formula>
    </cfRule>
  </conditionalFormatting>
  <conditionalFormatting sqref="T186:U186">
    <cfRule type="cellIs" dxfId="0" priority="6620" operator="equal">
      <formula>"欠"</formula>
    </cfRule>
  </conditionalFormatting>
  <conditionalFormatting sqref="AI186:AJ186">
    <cfRule type="cellIs" dxfId="1" priority="6586" operator="equal">
      <formula>"未完成"</formula>
    </cfRule>
    <cfRule type="cellIs" dxfId="0" priority="6603" operator="equal">
      <formula>"未完成"</formula>
    </cfRule>
  </conditionalFormatting>
  <conditionalFormatting sqref="R187">
    <cfRule type="cellIs" dxfId="0" priority="6653" operator="equal">
      <formula>"欠"</formula>
    </cfRule>
  </conditionalFormatting>
  <conditionalFormatting sqref="S187">
    <cfRule type="cellIs" dxfId="0" priority="6636" operator="equal">
      <formula>"欠"</formula>
    </cfRule>
  </conditionalFormatting>
  <conditionalFormatting sqref="T187:U187">
    <cfRule type="cellIs" dxfId="0" priority="6619" operator="equal">
      <formula>"欠"</formula>
    </cfRule>
  </conditionalFormatting>
  <conditionalFormatting sqref="AI187:AJ187">
    <cfRule type="cellIs" dxfId="1" priority="6585" operator="equal">
      <formula>"未完成"</formula>
    </cfRule>
    <cfRule type="cellIs" dxfId="0" priority="6602" operator="equal">
      <formula>"未完成"</formula>
    </cfRule>
  </conditionalFormatting>
  <conditionalFormatting sqref="R188">
    <cfRule type="cellIs" dxfId="0" priority="6652" operator="equal">
      <formula>"欠"</formula>
    </cfRule>
  </conditionalFormatting>
  <conditionalFormatting sqref="S188">
    <cfRule type="cellIs" dxfId="0" priority="6635" operator="equal">
      <formula>"欠"</formula>
    </cfRule>
  </conditionalFormatting>
  <conditionalFormatting sqref="T188:U188">
    <cfRule type="cellIs" dxfId="0" priority="6618" operator="equal">
      <formula>"欠"</formula>
    </cfRule>
  </conditionalFormatting>
  <conditionalFormatting sqref="AI188:AJ188">
    <cfRule type="cellIs" dxfId="1" priority="6584" operator="equal">
      <formula>"未完成"</formula>
    </cfRule>
    <cfRule type="cellIs" dxfId="0" priority="6601" operator="equal">
      <formula>"未完成"</formula>
    </cfRule>
  </conditionalFormatting>
  <conditionalFormatting sqref="R189">
    <cfRule type="cellIs" dxfId="0" priority="6651" operator="equal">
      <formula>"欠"</formula>
    </cfRule>
  </conditionalFormatting>
  <conditionalFormatting sqref="S189">
    <cfRule type="cellIs" dxfId="0" priority="6634" operator="equal">
      <formula>"欠"</formula>
    </cfRule>
  </conditionalFormatting>
  <conditionalFormatting sqref="T189:U189">
    <cfRule type="cellIs" dxfId="0" priority="6617" operator="equal">
      <formula>"欠"</formula>
    </cfRule>
  </conditionalFormatting>
  <conditionalFormatting sqref="AI189:AJ189">
    <cfRule type="cellIs" dxfId="1" priority="6583" operator="equal">
      <formula>"未完成"</formula>
    </cfRule>
    <cfRule type="cellIs" dxfId="0" priority="6600" operator="equal">
      <formula>"未完成"</formula>
    </cfRule>
  </conditionalFormatting>
  <conditionalFormatting sqref="R190">
    <cfRule type="cellIs" dxfId="0" priority="6650" operator="equal">
      <formula>"欠"</formula>
    </cfRule>
  </conditionalFormatting>
  <conditionalFormatting sqref="S190">
    <cfRule type="cellIs" dxfId="0" priority="6633" operator="equal">
      <formula>"欠"</formula>
    </cfRule>
  </conditionalFormatting>
  <conditionalFormatting sqref="T190:U190">
    <cfRule type="cellIs" dxfId="0" priority="6616" operator="equal">
      <formula>"欠"</formula>
    </cfRule>
  </conditionalFormatting>
  <conditionalFormatting sqref="AI190:AJ190">
    <cfRule type="cellIs" dxfId="1" priority="6582" operator="equal">
      <formula>"未完成"</formula>
    </cfRule>
    <cfRule type="cellIs" dxfId="0" priority="6599" operator="equal">
      <formula>"未完成"</formula>
    </cfRule>
  </conditionalFormatting>
  <conditionalFormatting sqref="R191">
    <cfRule type="cellIs" dxfId="0" priority="6649" operator="equal">
      <formula>"欠"</formula>
    </cfRule>
  </conditionalFormatting>
  <conditionalFormatting sqref="S191">
    <cfRule type="cellIs" dxfId="0" priority="6632" operator="equal">
      <formula>"欠"</formula>
    </cfRule>
  </conditionalFormatting>
  <conditionalFormatting sqref="T191:U191">
    <cfRule type="cellIs" dxfId="0" priority="6615" operator="equal">
      <formula>"欠"</formula>
    </cfRule>
  </conditionalFormatting>
  <conditionalFormatting sqref="AI191:AJ191">
    <cfRule type="cellIs" dxfId="1" priority="6581" operator="equal">
      <formula>"未完成"</formula>
    </cfRule>
    <cfRule type="cellIs" dxfId="0" priority="6598" operator="equal">
      <formula>"未完成"</formula>
    </cfRule>
  </conditionalFormatting>
  <conditionalFormatting sqref="R192">
    <cfRule type="cellIs" dxfId="0" priority="6648" operator="equal">
      <formula>"欠"</formula>
    </cfRule>
  </conditionalFormatting>
  <conditionalFormatting sqref="S192">
    <cfRule type="cellIs" dxfId="0" priority="6631" operator="equal">
      <formula>"欠"</formula>
    </cfRule>
  </conditionalFormatting>
  <conditionalFormatting sqref="T192:U192">
    <cfRule type="cellIs" dxfId="0" priority="6614" operator="equal">
      <formula>"欠"</formula>
    </cfRule>
  </conditionalFormatting>
  <conditionalFormatting sqref="AI192:AJ192">
    <cfRule type="cellIs" dxfId="1" priority="6580" operator="equal">
      <formula>"未完成"</formula>
    </cfRule>
    <cfRule type="cellIs" dxfId="0" priority="6597" operator="equal">
      <formula>"未完成"</formula>
    </cfRule>
  </conditionalFormatting>
  <conditionalFormatting sqref="R193">
    <cfRule type="cellIs" dxfId="0" priority="6647" operator="equal">
      <formula>"欠"</formula>
    </cfRule>
  </conditionalFormatting>
  <conditionalFormatting sqref="S193">
    <cfRule type="cellIs" dxfId="0" priority="6630" operator="equal">
      <formula>"欠"</formula>
    </cfRule>
  </conditionalFormatting>
  <conditionalFormatting sqref="T193:U193">
    <cfRule type="cellIs" dxfId="0" priority="6613" operator="equal">
      <formula>"欠"</formula>
    </cfRule>
  </conditionalFormatting>
  <conditionalFormatting sqref="AI193:AJ193">
    <cfRule type="cellIs" dxfId="1" priority="6579" operator="equal">
      <formula>"未完成"</formula>
    </cfRule>
    <cfRule type="cellIs" dxfId="0" priority="6596" operator="equal">
      <formula>"未完成"</formula>
    </cfRule>
  </conditionalFormatting>
  <conditionalFormatting sqref="R194">
    <cfRule type="cellIs" dxfId="0" priority="6646" operator="equal">
      <formula>"欠"</formula>
    </cfRule>
  </conditionalFormatting>
  <conditionalFormatting sqref="S194">
    <cfRule type="cellIs" dxfId="0" priority="6629" operator="equal">
      <formula>"欠"</formula>
    </cfRule>
  </conditionalFormatting>
  <conditionalFormatting sqref="T194:U194">
    <cfRule type="cellIs" dxfId="0" priority="6612" operator="equal">
      <formula>"欠"</formula>
    </cfRule>
  </conditionalFormatting>
  <conditionalFormatting sqref="AI194:AJ194">
    <cfRule type="cellIs" dxfId="1" priority="6578" operator="equal">
      <formula>"未完成"</formula>
    </cfRule>
    <cfRule type="cellIs" dxfId="0" priority="6595" operator="equal">
      <formula>"未完成"</formula>
    </cfRule>
  </conditionalFormatting>
  <conditionalFormatting sqref="R195">
    <cfRule type="cellIs" dxfId="0" priority="6645" operator="equal">
      <formula>"欠"</formula>
    </cfRule>
  </conditionalFormatting>
  <conditionalFormatting sqref="S195">
    <cfRule type="cellIs" dxfId="0" priority="6628" operator="equal">
      <formula>"欠"</formula>
    </cfRule>
  </conditionalFormatting>
  <conditionalFormatting sqref="T195:U195">
    <cfRule type="cellIs" dxfId="0" priority="6611" operator="equal">
      <formula>"欠"</formula>
    </cfRule>
  </conditionalFormatting>
  <conditionalFormatting sqref="AI195:AJ195">
    <cfRule type="cellIs" dxfId="1" priority="6577" operator="equal">
      <formula>"未完成"</formula>
    </cfRule>
    <cfRule type="cellIs" dxfId="0" priority="6594" operator="equal">
      <formula>"未完成"</formula>
    </cfRule>
  </conditionalFormatting>
  <conditionalFormatting sqref="R196">
    <cfRule type="cellIs" dxfId="0" priority="6644" operator="equal">
      <formula>"欠"</formula>
    </cfRule>
  </conditionalFormatting>
  <conditionalFormatting sqref="S196">
    <cfRule type="cellIs" dxfId="0" priority="6627" operator="equal">
      <formula>"欠"</formula>
    </cfRule>
  </conditionalFormatting>
  <conditionalFormatting sqref="T196:U196">
    <cfRule type="cellIs" dxfId="0" priority="6610" operator="equal">
      <formula>"欠"</formula>
    </cfRule>
  </conditionalFormatting>
  <conditionalFormatting sqref="AI196:AJ196">
    <cfRule type="cellIs" dxfId="1" priority="6576" operator="equal">
      <formula>"未完成"</formula>
    </cfRule>
    <cfRule type="cellIs" dxfId="0" priority="6593" operator="equal">
      <formula>"未完成"</formula>
    </cfRule>
  </conditionalFormatting>
  <conditionalFormatting sqref="R197">
    <cfRule type="cellIs" dxfId="0" priority="6643" operator="equal">
      <formula>"欠"</formula>
    </cfRule>
  </conditionalFormatting>
  <conditionalFormatting sqref="S197">
    <cfRule type="cellIs" dxfId="0" priority="6626" operator="equal">
      <formula>"欠"</formula>
    </cfRule>
  </conditionalFormatting>
  <conditionalFormatting sqref="T197:U197">
    <cfRule type="cellIs" dxfId="0" priority="6609" operator="equal">
      <formula>"欠"</formula>
    </cfRule>
  </conditionalFormatting>
  <conditionalFormatting sqref="AI197:AJ197">
    <cfRule type="cellIs" dxfId="1" priority="6575" operator="equal">
      <formula>"未完成"</formula>
    </cfRule>
    <cfRule type="cellIs" dxfId="0" priority="6592" operator="equal">
      <formula>"未完成"</formula>
    </cfRule>
  </conditionalFormatting>
  <conditionalFormatting sqref="R198">
    <cfRule type="cellIs" dxfId="0" priority="6642" operator="equal">
      <formula>"欠"</formula>
    </cfRule>
  </conditionalFormatting>
  <conditionalFormatting sqref="S198">
    <cfRule type="cellIs" dxfId="0" priority="6625" operator="equal">
      <formula>"欠"</formula>
    </cfRule>
  </conditionalFormatting>
  <conditionalFormatting sqref="T198:U198">
    <cfRule type="cellIs" dxfId="0" priority="6608" operator="equal">
      <formula>"欠"</formula>
    </cfRule>
  </conditionalFormatting>
  <conditionalFormatting sqref="AI198:AJ198">
    <cfRule type="cellIs" dxfId="1" priority="6574" operator="equal">
      <formula>"未完成"</formula>
    </cfRule>
    <cfRule type="cellIs" dxfId="0" priority="6591" operator="equal">
      <formula>"未完成"</formula>
    </cfRule>
  </conditionalFormatting>
  <conditionalFormatting sqref="R199">
    <cfRule type="cellIs" dxfId="0" priority="6641" operator="equal">
      <formula>"欠"</formula>
    </cfRule>
  </conditionalFormatting>
  <conditionalFormatting sqref="S199">
    <cfRule type="cellIs" dxfId="0" priority="6624" operator="equal">
      <formula>"欠"</formula>
    </cfRule>
  </conditionalFormatting>
  <conditionalFormatting sqref="T199:U199">
    <cfRule type="cellIs" dxfId="0" priority="6607" operator="equal">
      <formula>"欠"</formula>
    </cfRule>
  </conditionalFormatting>
  <conditionalFormatting sqref="AI199:AJ199">
    <cfRule type="cellIs" dxfId="1" priority="6573" operator="equal">
      <formula>"未完成"</formula>
    </cfRule>
    <cfRule type="cellIs" dxfId="0" priority="6590" operator="equal">
      <formula>"未完成"</formula>
    </cfRule>
  </conditionalFormatting>
  <conditionalFormatting sqref="R200">
    <cfRule type="cellIs" dxfId="0" priority="6472" operator="equal">
      <formula>"欠"</formula>
    </cfRule>
  </conditionalFormatting>
  <conditionalFormatting sqref="S200">
    <cfRule type="cellIs" dxfId="0" priority="6446" operator="equal">
      <formula>"欠"</formula>
    </cfRule>
  </conditionalFormatting>
  <conditionalFormatting sqref="T200:U200">
    <cfRule type="cellIs" dxfId="0" priority="6420" operator="equal">
      <formula>"欠"</formula>
    </cfRule>
  </conditionalFormatting>
  <conditionalFormatting sqref="AI200:AJ200">
    <cfRule type="cellIs" dxfId="1" priority="6368" operator="equal">
      <formula>"未完成"</formula>
    </cfRule>
    <cfRule type="cellIs" dxfId="0" priority="6394" operator="equal">
      <formula>"未完成"</formula>
    </cfRule>
  </conditionalFormatting>
  <conditionalFormatting sqref="R201">
    <cfRule type="cellIs" dxfId="0" priority="6471" operator="equal">
      <formula>"欠"</formula>
    </cfRule>
  </conditionalFormatting>
  <conditionalFormatting sqref="S201">
    <cfRule type="cellIs" dxfId="0" priority="6445" operator="equal">
      <formula>"欠"</formula>
    </cfRule>
  </conditionalFormatting>
  <conditionalFormatting sqref="T201:U201">
    <cfRule type="cellIs" dxfId="0" priority="6419" operator="equal">
      <formula>"欠"</formula>
    </cfRule>
  </conditionalFormatting>
  <conditionalFormatting sqref="AI201:AJ201">
    <cfRule type="cellIs" dxfId="1" priority="6367" operator="equal">
      <formula>"未完成"</formula>
    </cfRule>
    <cfRule type="cellIs" dxfId="0" priority="6393" operator="equal">
      <formula>"未完成"</formula>
    </cfRule>
  </conditionalFormatting>
  <conditionalFormatting sqref="R202">
    <cfRule type="cellIs" dxfId="0" priority="6470" operator="equal">
      <formula>"欠"</formula>
    </cfRule>
  </conditionalFormatting>
  <conditionalFormatting sqref="S202">
    <cfRule type="cellIs" dxfId="0" priority="6444" operator="equal">
      <formula>"欠"</formula>
    </cfRule>
  </conditionalFormatting>
  <conditionalFormatting sqref="T202:U202">
    <cfRule type="cellIs" dxfId="0" priority="6418" operator="equal">
      <formula>"欠"</formula>
    </cfRule>
  </conditionalFormatting>
  <conditionalFormatting sqref="AI202:AJ202">
    <cfRule type="cellIs" dxfId="1" priority="6366" operator="equal">
      <formula>"未完成"</formula>
    </cfRule>
    <cfRule type="cellIs" dxfId="0" priority="6392" operator="equal">
      <formula>"未完成"</formula>
    </cfRule>
  </conditionalFormatting>
  <conditionalFormatting sqref="R203">
    <cfRule type="cellIs" dxfId="0" priority="6469" operator="equal">
      <formula>"欠"</formula>
    </cfRule>
  </conditionalFormatting>
  <conditionalFormatting sqref="S203">
    <cfRule type="cellIs" dxfId="0" priority="6443" operator="equal">
      <formula>"欠"</formula>
    </cfRule>
  </conditionalFormatting>
  <conditionalFormatting sqref="T203:U203">
    <cfRule type="cellIs" dxfId="0" priority="6417" operator="equal">
      <formula>"欠"</formula>
    </cfRule>
  </conditionalFormatting>
  <conditionalFormatting sqref="AI203:AJ203">
    <cfRule type="cellIs" dxfId="1" priority="6365" operator="equal">
      <formula>"未完成"</formula>
    </cfRule>
    <cfRule type="cellIs" dxfId="0" priority="6391" operator="equal">
      <formula>"未完成"</formula>
    </cfRule>
  </conditionalFormatting>
  <conditionalFormatting sqref="R204">
    <cfRule type="cellIs" dxfId="0" priority="6468" operator="equal">
      <formula>"欠"</formula>
    </cfRule>
  </conditionalFormatting>
  <conditionalFormatting sqref="S204">
    <cfRule type="cellIs" dxfId="0" priority="6442" operator="equal">
      <formula>"欠"</formula>
    </cfRule>
  </conditionalFormatting>
  <conditionalFormatting sqref="T204:U204">
    <cfRule type="cellIs" dxfId="0" priority="6416" operator="equal">
      <formula>"欠"</formula>
    </cfRule>
  </conditionalFormatting>
  <conditionalFormatting sqref="AI204:AJ204">
    <cfRule type="cellIs" dxfId="1" priority="6364" operator="equal">
      <formula>"未完成"</formula>
    </cfRule>
    <cfRule type="cellIs" dxfId="0" priority="6390" operator="equal">
      <formula>"未完成"</formula>
    </cfRule>
  </conditionalFormatting>
  <conditionalFormatting sqref="R205">
    <cfRule type="cellIs" dxfId="0" priority="6467" operator="equal">
      <formula>"欠"</formula>
    </cfRule>
  </conditionalFormatting>
  <conditionalFormatting sqref="S205">
    <cfRule type="cellIs" dxfId="0" priority="6441" operator="equal">
      <formula>"欠"</formula>
    </cfRule>
  </conditionalFormatting>
  <conditionalFormatting sqref="T205:U205">
    <cfRule type="cellIs" dxfId="0" priority="6415" operator="equal">
      <formula>"欠"</formula>
    </cfRule>
  </conditionalFormatting>
  <conditionalFormatting sqref="AI205:AJ205">
    <cfRule type="cellIs" dxfId="1" priority="6363" operator="equal">
      <formula>"未完成"</formula>
    </cfRule>
    <cfRule type="cellIs" dxfId="0" priority="6389" operator="equal">
      <formula>"未完成"</formula>
    </cfRule>
  </conditionalFormatting>
  <conditionalFormatting sqref="R206">
    <cfRule type="cellIs" dxfId="0" priority="6466" operator="equal">
      <formula>"欠"</formula>
    </cfRule>
  </conditionalFormatting>
  <conditionalFormatting sqref="S206">
    <cfRule type="cellIs" dxfId="0" priority="6440" operator="equal">
      <formula>"欠"</formula>
    </cfRule>
  </conditionalFormatting>
  <conditionalFormatting sqref="T206:U206">
    <cfRule type="cellIs" dxfId="0" priority="6414" operator="equal">
      <formula>"欠"</formula>
    </cfRule>
  </conditionalFormatting>
  <conditionalFormatting sqref="AI206:AJ206">
    <cfRule type="cellIs" dxfId="1" priority="6362" operator="equal">
      <formula>"未完成"</formula>
    </cfRule>
    <cfRule type="cellIs" dxfId="0" priority="6388" operator="equal">
      <formula>"未完成"</formula>
    </cfRule>
  </conditionalFormatting>
  <conditionalFormatting sqref="R207">
    <cfRule type="cellIs" dxfId="0" priority="6465" operator="equal">
      <formula>"欠"</formula>
    </cfRule>
  </conditionalFormatting>
  <conditionalFormatting sqref="S207">
    <cfRule type="cellIs" dxfId="0" priority="6439" operator="equal">
      <formula>"欠"</formula>
    </cfRule>
  </conditionalFormatting>
  <conditionalFormatting sqref="T207:U207">
    <cfRule type="cellIs" dxfId="0" priority="6413" operator="equal">
      <formula>"欠"</formula>
    </cfRule>
  </conditionalFormatting>
  <conditionalFormatting sqref="AI207:AJ207">
    <cfRule type="cellIs" dxfId="1" priority="6361" operator="equal">
      <formula>"未完成"</formula>
    </cfRule>
    <cfRule type="cellIs" dxfId="0" priority="6387" operator="equal">
      <formula>"未完成"</formula>
    </cfRule>
  </conditionalFormatting>
  <conditionalFormatting sqref="R208">
    <cfRule type="cellIs" dxfId="0" priority="6464" operator="equal">
      <formula>"欠"</formula>
    </cfRule>
  </conditionalFormatting>
  <conditionalFormatting sqref="S208">
    <cfRule type="cellIs" dxfId="0" priority="6438" operator="equal">
      <formula>"欠"</formula>
    </cfRule>
  </conditionalFormatting>
  <conditionalFormatting sqref="T208:U208">
    <cfRule type="cellIs" dxfId="0" priority="6412" operator="equal">
      <formula>"欠"</formula>
    </cfRule>
  </conditionalFormatting>
  <conditionalFormatting sqref="AI208:AJ208">
    <cfRule type="cellIs" dxfId="1" priority="6360" operator="equal">
      <formula>"未完成"</formula>
    </cfRule>
    <cfRule type="cellIs" dxfId="0" priority="6386" operator="equal">
      <formula>"未完成"</formula>
    </cfRule>
  </conditionalFormatting>
  <conditionalFormatting sqref="R209">
    <cfRule type="cellIs" dxfId="0" priority="6463" operator="equal">
      <formula>"欠"</formula>
    </cfRule>
  </conditionalFormatting>
  <conditionalFormatting sqref="S209">
    <cfRule type="cellIs" dxfId="0" priority="6437" operator="equal">
      <formula>"欠"</formula>
    </cfRule>
  </conditionalFormatting>
  <conditionalFormatting sqref="T209:U209">
    <cfRule type="cellIs" dxfId="0" priority="6411" operator="equal">
      <formula>"欠"</formula>
    </cfRule>
  </conditionalFormatting>
  <conditionalFormatting sqref="AI209:AJ209">
    <cfRule type="cellIs" dxfId="1" priority="6359" operator="equal">
      <formula>"未完成"</formula>
    </cfRule>
    <cfRule type="cellIs" dxfId="0" priority="6385" operator="equal">
      <formula>"未完成"</formula>
    </cfRule>
  </conditionalFormatting>
  <conditionalFormatting sqref="R210">
    <cfRule type="cellIs" dxfId="0" priority="6462" operator="equal">
      <formula>"欠"</formula>
    </cfRule>
  </conditionalFormatting>
  <conditionalFormatting sqref="S210">
    <cfRule type="cellIs" dxfId="0" priority="6436" operator="equal">
      <formula>"欠"</formula>
    </cfRule>
  </conditionalFormatting>
  <conditionalFormatting sqref="T210:U210">
    <cfRule type="cellIs" dxfId="0" priority="6410" operator="equal">
      <formula>"欠"</formula>
    </cfRule>
  </conditionalFormatting>
  <conditionalFormatting sqref="AI210:AJ210">
    <cfRule type="cellIs" dxfId="1" priority="6358" operator="equal">
      <formula>"未完成"</formula>
    </cfRule>
    <cfRule type="cellIs" dxfId="0" priority="6384" operator="equal">
      <formula>"未完成"</formula>
    </cfRule>
  </conditionalFormatting>
  <conditionalFormatting sqref="R211">
    <cfRule type="cellIs" dxfId="0" priority="6461" operator="equal">
      <formula>"欠"</formula>
    </cfRule>
  </conditionalFormatting>
  <conditionalFormatting sqref="S211">
    <cfRule type="cellIs" dxfId="0" priority="6435" operator="equal">
      <formula>"欠"</formula>
    </cfRule>
  </conditionalFormatting>
  <conditionalFormatting sqref="T211:U211">
    <cfRule type="cellIs" dxfId="0" priority="6409" operator="equal">
      <formula>"欠"</formula>
    </cfRule>
  </conditionalFormatting>
  <conditionalFormatting sqref="AI211:AJ211">
    <cfRule type="cellIs" dxfId="1" priority="6357" operator="equal">
      <formula>"未完成"</formula>
    </cfRule>
    <cfRule type="cellIs" dxfId="0" priority="6383" operator="equal">
      <formula>"未完成"</formula>
    </cfRule>
  </conditionalFormatting>
  <conditionalFormatting sqref="R212">
    <cfRule type="cellIs" dxfId="0" priority="6460" operator="equal">
      <formula>"欠"</formula>
    </cfRule>
  </conditionalFormatting>
  <conditionalFormatting sqref="S212">
    <cfRule type="cellIs" dxfId="0" priority="6434" operator="equal">
      <formula>"欠"</formula>
    </cfRule>
  </conditionalFormatting>
  <conditionalFormatting sqref="T212:U212">
    <cfRule type="cellIs" dxfId="0" priority="6408" operator="equal">
      <formula>"欠"</formula>
    </cfRule>
  </conditionalFormatting>
  <conditionalFormatting sqref="AI212:AJ212">
    <cfRule type="cellIs" dxfId="1" priority="6356" operator="equal">
      <formula>"未完成"</formula>
    </cfRule>
    <cfRule type="cellIs" dxfId="0" priority="6382" operator="equal">
      <formula>"未完成"</formula>
    </cfRule>
  </conditionalFormatting>
  <conditionalFormatting sqref="R213">
    <cfRule type="cellIs" dxfId="0" priority="6459" operator="equal">
      <formula>"欠"</formula>
    </cfRule>
  </conditionalFormatting>
  <conditionalFormatting sqref="S213">
    <cfRule type="cellIs" dxfId="0" priority="6433" operator="equal">
      <formula>"欠"</formula>
    </cfRule>
  </conditionalFormatting>
  <conditionalFormatting sqref="T213:U213">
    <cfRule type="cellIs" dxfId="0" priority="6407" operator="equal">
      <formula>"欠"</formula>
    </cfRule>
  </conditionalFormatting>
  <conditionalFormatting sqref="AI213:AJ213">
    <cfRule type="cellIs" dxfId="1" priority="6355" operator="equal">
      <formula>"未完成"</formula>
    </cfRule>
    <cfRule type="cellIs" dxfId="0" priority="6381" operator="equal">
      <formula>"未完成"</formula>
    </cfRule>
  </conditionalFormatting>
  <conditionalFormatting sqref="R214">
    <cfRule type="cellIs" dxfId="0" priority="6458" operator="equal">
      <formula>"欠"</formula>
    </cfRule>
  </conditionalFormatting>
  <conditionalFormatting sqref="S214">
    <cfRule type="cellIs" dxfId="0" priority="6432" operator="equal">
      <formula>"欠"</formula>
    </cfRule>
  </conditionalFormatting>
  <conditionalFormatting sqref="T214:U214">
    <cfRule type="cellIs" dxfId="0" priority="6406" operator="equal">
      <formula>"欠"</formula>
    </cfRule>
  </conditionalFormatting>
  <conditionalFormatting sqref="AI214:AJ214">
    <cfRule type="cellIs" dxfId="1" priority="6354" operator="equal">
      <formula>"未完成"</formula>
    </cfRule>
    <cfRule type="cellIs" dxfId="0" priority="6380" operator="equal">
      <formula>"未完成"</formula>
    </cfRule>
  </conditionalFormatting>
  <conditionalFormatting sqref="R215">
    <cfRule type="cellIs" dxfId="0" priority="6457" operator="equal">
      <formula>"欠"</formula>
    </cfRule>
  </conditionalFormatting>
  <conditionalFormatting sqref="S215">
    <cfRule type="cellIs" dxfId="0" priority="6431" operator="equal">
      <formula>"欠"</formula>
    </cfRule>
  </conditionalFormatting>
  <conditionalFormatting sqref="T215:U215">
    <cfRule type="cellIs" dxfId="0" priority="6405" operator="equal">
      <formula>"欠"</formula>
    </cfRule>
  </conditionalFormatting>
  <conditionalFormatting sqref="AI215:AJ215">
    <cfRule type="cellIs" dxfId="1" priority="6353" operator="equal">
      <formula>"未完成"</formula>
    </cfRule>
    <cfRule type="cellIs" dxfId="0" priority="6379" operator="equal">
      <formula>"未完成"</formula>
    </cfRule>
  </conditionalFormatting>
  <conditionalFormatting sqref="R216">
    <cfRule type="cellIs" dxfId="0" priority="6456" operator="equal">
      <formula>"欠"</formula>
    </cfRule>
  </conditionalFormatting>
  <conditionalFormatting sqref="S216">
    <cfRule type="cellIs" dxfId="0" priority="6430" operator="equal">
      <formula>"欠"</formula>
    </cfRule>
  </conditionalFormatting>
  <conditionalFormatting sqref="T216:U216">
    <cfRule type="cellIs" dxfId="0" priority="6404" operator="equal">
      <formula>"欠"</formula>
    </cfRule>
  </conditionalFormatting>
  <conditionalFormatting sqref="AI216:AJ216">
    <cfRule type="cellIs" dxfId="1" priority="6352" operator="equal">
      <formula>"未完成"</formula>
    </cfRule>
    <cfRule type="cellIs" dxfId="0" priority="6378" operator="equal">
      <formula>"未完成"</formula>
    </cfRule>
  </conditionalFormatting>
  <conditionalFormatting sqref="R217">
    <cfRule type="cellIs" dxfId="0" priority="6455" operator="equal">
      <formula>"欠"</formula>
    </cfRule>
  </conditionalFormatting>
  <conditionalFormatting sqref="S217">
    <cfRule type="cellIs" dxfId="0" priority="6429" operator="equal">
      <formula>"欠"</formula>
    </cfRule>
  </conditionalFormatting>
  <conditionalFormatting sqref="T217:U217">
    <cfRule type="cellIs" dxfId="0" priority="6403" operator="equal">
      <formula>"欠"</formula>
    </cfRule>
  </conditionalFormatting>
  <conditionalFormatting sqref="AI217:AJ217">
    <cfRule type="cellIs" dxfId="1" priority="6351" operator="equal">
      <formula>"未完成"</formula>
    </cfRule>
    <cfRule type="cellIs" dxfId="0" priority="6377" operator="equal">
      <formula>"未完成"</formula>
    </cfRule>
  </conditionalFormatting>
  <conditionalFormatting sqref="R218">
    <cfRule type="cellIs" dxfId="0" priority="6454" operator="equal">
      <formula>"欠"</formula>
    </cfRule>
  </conditionalFormatting>
  <conditionalFormatting sqref="S218">
    <cfRule type="cellIs" dxfId="0" priority="6428" operator="equal">
      <formula>"欠"</formula>
    </cfRule>
  </conditionalFormatting>
  <conditionalFormatting sqref="T218:U218">
    <cfRule type="cellIs" dxfId="0" priority="6402" operator="equal">
      <formula>"欠"</formula>
    </cfRule>
  </conditionalFormatting>
  <conditionalFormatting sqref="AI218:AJ218">
    <cfRule type="cellIs" dxfId="1" priority="6350" operator="equal">
      <formula>"未完成"</formula>
    </cfRule>
    <cfRule type="cellIs" dxfId="0" priority="6376" operator="equal">
      <formula>"未完成"</formula>
    </cfRule>
  </conditionalFormatting>
  <conditionalFormatting sqref="R219">
    <cfRule type="cellIs" dxfId="0" priority="6453" operator="equal">
      <formula>"欠"</formula>
    </cfRule>
  </conditionalFormatting>
  <conditionalFormatting sqref="S219">
    <cfRule type="cellIs" dxfId="0" priority="6427" operator="equal">
      <formula>"欠"</formula>
    </cfRule>
  </conditionalFormatting>
  <conditionalFormatting sqref="T219:U219">
    <cfRule type="cellIs" dxfId="0" priority="6401" operator="equal">
      <formula>"欠"</formula>
    </cfRule>
  </conditionalFormatting>
  <conditionalFormatting sqref="AI219:AJ219">
    <cfRule type="cellIs" dxfId="1" priority="6349" operator="equal">
      <formula>"未完成"</formula>
    </cfRule>
    <cfRule type="cellIs" dxfId="0" priority="6375" operator="equal">
      <formula>"未完成"</formula>
    </cfRule>
  </conditionalFormatting>
  <conditionalFormatting sqref="R220">
    <cfRule type="cellIs" dxfId="0" priority="6452" operator="equal">
      <formula>"欠"</formula>
    </cfRule>
  </conditionalFormatting>
  <conditionalFormatting sqref="S220">
    <cfRule type="cellIs" dxfId="0" priority="6426" operator="equal">
      <formula>"欠"</formula>
    </cfRule>
  </conditionalFormatting>
  <conditionalFormatting sqref="T220:U220">
    <cfRule type="cellIs" dxfId="0" priority="6400" operator="equal">
      <formula>"欠"</formula>
    </cfRule>
  </conditionalFormatting>
  <conditionalFormatting sqref="AI220:AJ220">
    <cfRule type="cellIs" dxfId="1" priority="6348" operator="equal">
      <formula>"未完成"</formula>
    </cfRule>
    <cfRule type="cellIs" dxfId="0" priority="6374" operator="equal">
      <formula>"未完成"</formula>
    </cfRule>
  </conditionalFormatting>
  <conditionalFormatting sqref="R221">
    <cfRule type="cellIs" dxfId="0" priority="6451" operator="equal">
      <formula>"欠"</formula>
    </cfRule>
  </conditionalFormatting>
  <conditionalFormatting sqref="S221">
    <cfRule type="cellIs" dxfId="0" priority="6425" operator="equal">
      <formula>"欠"</formula>
    </cfRule>
  </conditionalFormatting>
  <conditionalFormatting sqref="T221:U221">
    <cfRule type="cellIs" dxfId="0" priority="6399" operator="equal">
      <formula>"欠"</formula>
    </cfRule>
  </conditionalFormatting>
  <conditionalFormatting sqref="AI221:AJ221">
    <cfRule type="cellIs" dxfId="1" priority="6347" operator="equal">
      <formula>"未完成"</formula>
    </cfRule>
    <cfRule type="cellIs" dxfId="0" priority="6373" operator="equal">
      <formula>"未完成"</formula>
    </cfRule>
  </conditionalFormatting>
  <conditionalFormatting sqref="R222">
    <cfRule type="cellIs" dxfId="0" priority="6450" operator="equal">
      <formula>"欠"</formula>
    </cfRule>
  </conditionalFormatting>
  <conditionalFormatting sqref="S222">
    <cfRule type="cellIs" dxfId="0" priority="6424" operator="equal">
      <formula>"欠"</formula>
    </cfRule>
  </conditionalFormatting>
  <conditionalFormatting sqref="T222:U222">
    <cfRule type="cellIs" dxfId="0" priority="6398" operator="equal">
      <formula>"欠"</formula>
    </cfRule>
  </conditionalFormatting>
  <conditionalFormatting sqref="AI222:AJ222">
    <cfRule type="cellIs" dxfId="1" priority="6346" operator="equal">
      <formula>"未完成"</formula>
    </cfRule>
    <cfRule type="cellIs" dxfId="0" priority="6372" operator="equal">
      <formula>"未完成"</formula>
    </cfRule>
  </conditionalFormatting>
  <conditionalFormatting sqref="R223">
    <cfRule type="cellIs" dxfId="0" priority="6449" operator="equal">
      <formula>"欠"</formula>
    </cfRule>
  </conditionalFormatting>
  <conditionalFormatting sqref="S223">
    <cfRule type="cellIs" dxfId="0" priority="6423" operator="equal">
      <formula>"欠"</formula>
    </cfRule>
  </conditionalFormatting>
  <conditionalFormatting sqref="T223:U223">
    <cfRule type="cellIs" dxfId="0" priority="6397" operator="equal">
      <formula>"欠"</formula>
    </cfRule>
  </conditionalFormatting>
  <conditionalFormatting sqref="AI223:AJ223">
    <cfRule type="cellIs" dxfId="1" priority="6345" operator="equal">
      <formula>"未完成"</formula>
    </cfRule>
    <cfRule type="cellIs" dxfId="0" priority="6371" operator="equal">
      <formula>"未完成"</formula>
    </cfRule>
  </conditionalFormatting>
  <conditionalFormatting sqref="R224">
    <cfRule type="cellIs" dxfId="0" priority="6448" operator="equal">
      <formula>"欠"</formula>
    </cfRule>
  </conditionalFormatting>
  <conditionalFormatting sqref="S224">
    <cfRule type="cellIs" dxfId="0" priority="6422" operator="equal">
      <formula>"欠"</formula>
    </cfRule>
  </conditionalFormatting>
  <conditionalFormatting sqref="T224:U224">
    <cfRule type="cellIs" dxfId="0" priority="6396" operator="equal">
      <formula>"欠"</formula>
    </cfRule>
  </conditionalFormatting>
  <conditionalFormatting sqref="AI224:AJ224">
    <cfRule type="cellIs" dxfId="1" priority="6344" operator="equal">
      <formula>"未完成"</formula>
    </cfRule>
    <cfRule type="cellIs" dxfId="0" priority="6370" operator="equal">
      <formula>"未完成"</formula>
    </cfRule>
  </conditionalFormatting>
  <conditionalFormatting sqref="R225">
    <cfRule type="cellIs" dxfId="0" priority="6447" operator="equal">
      <formula>"欠"</formula>
    </cfRule>
  </conditionalFormatting>
  <conditionalFormatting sqref="S225">
    <cfRule type="cellIs" dxfId="0" priority="6421" operator="equal">
      <formula>"欠"</formula>
    </cfRule>
  </conditionalFormatting>
  <conditionalFormatting sqref="T225:U225">
    <cfRule type="cellIs" dxfId="0" priority="6395" operator="equal">
      <formula>"欠"</formula>
    </cfRule>
  </conditionalFormatting>
  <conditionalFormatting sqref="AI225:AJ225">
    <cfRule type="cellIs" dxfId="1" priority="6343" operator="equal">
      <formula>"未完成"</formula>
    </cfRule>
    <cfRule type="cellIs" dxfId="0" priority="6369" operator="equal">
      <formula>"未完成"</formula>
    </cfRule>
  </conditionalFormatting>
  <conditionalFormatting sqref="R226">
    <cfRule type="cellIs" dxfId="0" priority="6319" operator="equal">
      <formula>"欠"</formula>
    </cfRule>
  </conditionalFormatting>
  <conditionalFormatting sqref="S226">
    <cfRule type="cellIs" dxfId="0" priority="6306" operator="equal">
      <formula>"欠"</formula>
    </cfRule>
  </conditionalFormatting>
  <conditionalFormatting sqref="T226:U226">
    <cfRule type="cellIs" dxfId="0" priority="6293" operator="equal">
      <formula>"欠"</formula>
    </cfRule>
  </conditionalFormatting>
  <conditionalFormatting sqref="AD226:AE226">
    <cfRule type="cellIs" dxfId="0" priority="6332" operator="equal">
      <formula>"未完成"</formula>
    </cfRule>
  </conditionalFormatting>
  <conditionalFormatting sqref="AI226:AJ226">
    <cfRule type="cellIs" dxfId="1" priority="6267" operator="equal">
      <formula>"未完成"</formula>
    </cfRule>
    <cfRule type="cellIs" dxfId="0" priority="6280" operator="equal">
      <formula>"未完成"</formula>
    </cfRule>
  </conditionalFormatting>
  <conditionalFormatting sqref="R227">
    <cfRule type="cellIs" dxfId="0" priority="6318" operator="equal">
      <formula>"欠"</formula>
    </cfRule>
  </conditionalFormatting>
  <conditionalFormatting sqref="S227">
    <cfRule type="cellIs" dxfId="0" priority="6305" operator="equal">
      <formula>"欠"</formula>
    </cfRule>
  </conditionalFormatting>
  <conditionalFormatting sqref="T227:U227">
    <cfRule type="cellIs" dxfId="0" priority="6292" operator="equal">
      <formula>"欠"</formula>
    </cfRule>
  </conditionalFormatting>
  <conditionalFormatting sqref="AI227:AJ227">
    <cfRule type="cellIs" dxfId="1" priority="6266" operator="equal">
      <formula>"未完成"</formula>
    </cfRule>
    <cfRule type="cellIs" dxfId="0" priority="6279" operator="equal">
      <formula>"未完成"</formula>
    </cfRule>
  </conditionalFormatting>
  <conditionalFormatting sqref="R228">
    <cfRule type="cellIs" dxfId="0" priority="6317" operator="equal">
      <formula>"欠"</formula>
    </cfRule>
  </conditionalFormatting>
  <conditionalFormatting sqref="S228">
    <cfRule type="cellIs" dxfId="0" priority="6304" operator="equal">
      <formula>"欠"</formula>
    </cfRule>
  </conditionalFormatting>
  <conditionalFormatting sqref="T228:U228">
    <cfRule type="cellIs" dxfId="0" priority="6291" operator="equal">
      <formula>"欠"</formula>
    </cfRule>
  </conditionalFormatting>
  <conditionalFormatting sqref="AI228:AJ228">
    <cfRule type="cellIs" dxfId="1" priority="6265" operator="equal">
      <formula>"未完成"</formula>
    </cfRule>
    <cfRule type="cellIs" dxfId="0" priority="6278" operator="equal">
      <formula>"未完成"</formula>
    </cfRule>
  </conditionalFormatting>
  <conditionalFormatting sqref="R229">
    <cfRule type="cellIs" dxfId="0" priority="6316" operator="equal">
      <formula>"欠"</formula>
    </cfRule>
  </conditionalFormatting>
  <conditionalFormatting sqref="S229">
    <cfRule type="cellIs" dxfId="0" priority="6303" operator="equal">
      <formula>"欠"</formula>
    </cfRule>
  </conditionalFormatting>
  <conditionalFormatting sqref="T229:U229">
    <cfRule type="cellIs" dxfId="0" priority="6290" operator="equal">
      <formula>"欠"</formula>
    </cfRule>
  </conditionalFormatting>
  <conditionalFormatting sqref="AI229:AJ229">
    <cfRule type="cellIs" dxfId="1" priority="6264" operator="equal">
      <formula>"未完成"</formula>
    </cfRule>
    <cfRule type="cellIs" dxfId="0" priority="6277" operator="equal">
      <formula>"未完成"</formula>
    </cfRule>
  </conditionalFormatting>
  <conditionalFormatting sqref="R230">
    <cfRule type="cellIs" dxfId="0" priority="6315" operator="equal">
      <formula>"欠"</formula>
    </cfRule>
  </conditionalFormatting>
  <conditionalFormatting sqref="S230">
    <cfRule type="cellIs" dxfId="0" priority="6302" operator="equal">
      <formula>"欠"</formula>
    </cfRule>
  </conditionalFormatting>
  <conditionalFormatting sqref="T230:U230">
    <cfRule type="cellIs" dxfId="0" priority="6289" operator="equal">
      <formula>"欠"</formula>
    </cfRule>
  </conditionalFormatting>
  <conditionalFormatting sqref="AI230:AJ230">
    <cfRule type="cellIs" dxfId="1" priority="6263" operator="equal">
      <formula>"未完成"</formula>
    </cfRule>
    <cfRule type="cellIs" dxfId="0" priority="6276" operator="equal">
      <formula>"未完成"</formula>
    </cfRule>
  </conditionalFormatting>
  <conditionalFormatting sqref="R231">
    <cfRule type="cellIs" dxfId="0" priority="6314" operator="equal">
      <formula>"欠"</formula>
    </cfRule>
  </conditionalFormatting>
  <conditionalFormatting sqref="S231">
    <cfRule type="cellIs" dxfId="0" priority="6301" operator="equal">
      <formula>"欠"</formula>
    </cfRule>
  </conditionalFormatting>
  <conditionalFormatting sqref="T231:U231">
    <cfRule type="cellIs" dxfId="0" priority="6288" operator="equal">
      <formula>"欠"</formula>
    </cfRule>
  </conditionalFormatting>
  <conditionalFormatting sqref="AI231:AJ231">
    <cfRule type="cellIs" dxfId="1" priority="6262" operator="equal">
      <formula>"未完成"</formula>
    </cfRule>
    <cfRule type="cellIs" dxfId="0" priority="6275" operator="equal">
      <formula>"未完成"</formula>
    </cfRule>
  </conditionalFormatting>
  <conditionalFormatting sqref="R232">
    <cfRule type="cellIs" dxfId="0" priority="6313" operator="equal">
      <formula>"欠"</formula>
    </cfRule>
  </conditionalFormatting>
  <conditionalFormatting sqref="S232">
    <cfRule type="cellIs" dxfId="0" priority="6300" operator="equal">
      <formula>"欠"</formula>
    </cfRule>
  </conditionalFormatting>
  <conditionalFormatting sqref="T232:U232">
    <cfRule type="cellIs" dxfId="0" priority="6287" operator="equal">
      <formula>"欠"</formula>
    </cfRule>
  </conditionalFormatting>
  <conditionalFormatting sqref="AI232:AJ232">
    <cfRule type="cellIs" dxfId="1" priority="6261" operator="equal">
      <formula>"未完成"</formula>
    </cfRule>
    <cfRule type="cellIs" dxfId="0" priority="6274" operator="equal">
      <formula>"未完成"</formula>
    </cfRule>
  </conditionalFormatting>
  <conditionalFormatting sqref="R233">
    <cfRule type="cellIs" dxfId="0" priority="6312" operator="equal">
      <formula>"欠"</formula>
    </cfRule>
  </conditionalFormatting>
  <conditionalFormatting sqref="S233">
    <cfRule type="cellIs" dxfId="0" priority="6299" operator="equal">
      <formula>"欠"</formula>
    </cfRule>
  </conditionalFormatting>
  <conditionalFormatting sqref="T233:U233">
    <cfRule type="cellIs" dxfId="0" priority="6286" operator="equal">
      <formula>"欠"</formula>
    </cfRule>
  </conditionalFormatting>
  <conditionalFormatting sqref="AI233:AJ233">
    <cfRule type="cellIs" dxfId="1" priority="6260" operator="equal">
      <formula>"未完成"</formula>
    </cfRule>
    <cfRule type="cellIs" dxfId="0" priority="6273" operator="equal">
      <formula>"未完成"</formula>
    </cfRule>
  </conditionalFormatting>
  <conditionalFormatting sqref="R234">
    <cfRule type="cellIs" dxfId="0" priority="6311" operator="equal">
      <formula>"欠"</formula>
    </cfRule>
  </conditionalFormatting>
  <conditionalFormatting sqref="S234">
    <cfRule type="cellIs" dxfId="0" priority="6298" operator="equal">
      <formula>"欠"</formula>
    </cfRule>
  </conditionalFormatting>
  <conditionalFormatting sqref="T234:U234">
    <cfRule type="cellIs" dxfId="0" priority="6285" operator="equal">
      <formula>"欠"</formula>
    </cfRule>
  </conditionalFormatting>
  <conditionalFormatting sqref="AI234:AJ234">
    <cfRule type="cellIs" dxfId="1" priority="6259" operator="equal">
      <formula>"未完成"</formula>
    </cfRule>
    <cfRule type="cellIs" dxfId="0" priority="6272" operator="equal">
      <formula>"未完成"</formula>
    </cfRule>
  </conditionalFormatting>
  <conditionalFormatting sqref="R235">
    <cfRule type="cellIs" dxfId="0" priority="6310" operator="equal">
      <formula>"欠"</formula>
    </cfRule>
  </conditionalFormatting>
  <conditionalFormatting sqref="S235">
    <cfRule type="cellIs" dxfId="0" priority="6297" operator="equal">
      <formula>"欠"</formula>
    </cfRule>
  </conditionalFormatting>
  <conditionalFormatting sqref="T235:U235">
    <cfRule type="cellIs" dxfId="0" priority="6284" operator="equal">
      <formula>"欠"</formula>
    </cfRule>
  </conditionalFormatting>
  <conditionalFormatting sqref="AI235:AJ235">
    <cfRule type="cellIs" dxfId="1" priority="6258" operator="equal">
      <formula>"未完成"</formula>
    </cfRule>
    <cfRule type="cellIs" dxfId="0" priority="6271" operator="equal">
      <formula>"未完成"</formula>
    </cfRule>
  </conditionalFormatting>
  <conditionalFormatting sqref="R236">
    <cfRule type="cellIs" dxfId="0" priority="6309" operator="equal">
      <formula>"欠"</formula>
    </cfRule>
  </conditionalFormatting>
  <conditionalFormatting sqref="S236">
    <cfRule type="cellIs" dxfId="0" priority="6296" operator="equal">
      <formula>"欠"</formula>
    </cfRule>
  </conditionalFormatting>
  <conditionalFormatting sqref="T236:U236">
    <cfRule type="cellIs" dxfId="0" priority="6283" operator="equal">
      <formula>"欠"</formula>
    </cfRule>
  </conditionalFormatting>
  <conditionalFormatting sqref="AI236:AJ236">
    <cfRule type="cellIs" dxfId="1" priority="6257" operator="equal">
      <formula>"未完成"</formula>
    </cfRule>
    <cfRule type="cellIs" dxfId="0" priority="6270" operator="equal">
      <formula>"未完成"</formula>
    </cfRule>
  </conditionalFormatting>
  <conditionalFormatting sqref="R237">
    <cfRule type="cellIs" dxfId="0" priority="6308" operator="equal">
      <formula>"欠"</formula>
    </cfRule>
  </conditionalFormatting>
  <conditionalFormatting sqref="S237">
    <cfRule type="cellIs" dxfId="0" priority="6295" operator="equal">
      <formula>"欠"</formula>
    </cfRule>
  </conditionalFormatting>
  <conditionalFormatting sqref="T237:U237">
    <cfRule type="cellIs" dxfId="0" priority="6282" operator="equal">
      <formula>"欠"</formula>
    </cfRule>
  </conditionalFormatting>
  <conditionalFormatting sqref="AI237:AJ237">
    <cfRule type="cellIs" dxfId="1" priority="6256" operator="equal">
      <formula>"未完成"</formula>
    </cfRule>
    <cfRule type="cellIs" dxfId="0" priority="6269" operator="equal">
      <formula>"未完成"</formula>
    </cfRule>
  </conditionalFormatting>
  <conditionalFormatting sqref="R238">
    <cfRule type="cellIs" dxfId="0" priority="6307" operator="equal">
      <formula>"欠"</formula>
    </cfRule>
  </conditionalFormatting>
  <conditionalFormatting sqref="S238">
    <cfRule type="cellIs" dxfId="0" priority="6294" operator="equal">
      <formula>"欠"</formula>
    </cfRule>
  </conditionalFormatting>
  <conditionalFormatting sqref="T238:U238">
    <cfRule type="cellIs" dxfId="0" priority="6281" operator="equal">
      <formula>"欠"</formula>
    </cfRule>
  </conditionalFormatting>
  <conditionalFormatting sqref="AI238:AJ238">
    <cfRule type="cellIs" dxfId="1" priority="6255" operator="equal">
      <formula>"未完成"</formula>
    </cfRule>
    <cfRule type="cellIs" dxfId="0" priority="6268" operator="equal">
      <formula>"未完成"</formula>
    </cfRule>
  </conditionalFormatting>
  <conditionalFormatting sqref="R239">
    <cfRule type="cellIs" dxfId="0" priority="6164" operator="equal">
      <formula>"欠"</formula>
    </cfRule>
  </conditionalFormatting>
  <conditionalFormatting sqref="S239">
    <cfRule type="cellIs" dxfId="0" priority="6143" operator="equal">
      <formula>"欠"</formula>
    </cfRule>
  </conditionalFormatting>
  <conditionalFormatting sqref="T239:U239">
    <cfRule type="cellIs" dxfId="0" priority="6122" operator="equal">
      <formula>"欠"</formula>
    </cfRule>
  </conditionalFormatting>
  <conditionalFormatting sqref="AI239:AJ239">
    <cfRule type="cellIs" dxfId="1" priority="6080" operator="equal">
      <formula>"未完成"</formula>
    </cfRule>
    <cfRule type="cellIs" dxfId="0" priority="6101" operator="equal">
      <formula>"未完成"</formula>
    </cfRule>
  </conditionalFormatting>
  <conditionalFormatting sqref="R240">
    <cfRule type="cellIs" dxfId="0" priority="6163" operator="equal">
      <formula>"欠"</formula>
    </cfRule>
  </conditionalFormatting>
  <conditionalFormatting sqref="S240">
    <cfRule type="cellIs" dxfId="0" priority="6142" operator="equal">
      <formula>"欠"</formula>
    </cfRule>
  </conditionalFormatting>
  <conditionalFormatting sqref="T240:U240">
    <cfRule type="cellIs" dxfId="0" priority="6121" operator="equal">
      <formula>"欠"</formula>
    </cfRule>
  </conditionalFormatting>
  <conditionalFormatting sqref="AI240:AJ240">
    <cfRule type="cellIs" dxfId="1" priority="6079" operator="equal">
      <formula>"未完成"</formula>
    </cfRule>
    <cfRule type="cellIs" dxfId="0" priority="6100" operator="equal">
      <formula>"未完成"</formula>
    </cfRule>
  </conditionalFormatting>
  <conditionalFormatting sqref="R241">
    <cfRule type="cellIs" dxfId="0" priority="6162" operator="equal">
      <formula>"欠"</formula>
    </cfRule>
  </conditionalFormatting>
  <conditionalFormatting sqref="S241">
    <cfRule type="cellIs" dxfId="0" priority="6141" operator="equal">
      <formula>"欠"</formula>
    </cfRule>
  </conditionalFormatting>
  <conditionalFormatting sqref="T241:U241">
    <cfRule type="cellIs" dxfId="0" priority="6120" operator="equal">
      <formula>"欠"</formula>
    </cfRule>
  </conditionalFormatting>
  <conditionalFormatting sqref="AI241:AJ241">
    <cfRule type="cellIs" dxfId="1" priority="6078" operator="equal">
      <formula>"未完成"</formula>
    </cfRule>
    <cfRule type="cellIs" dxfId="0" priority="6099" operator="equal">
      <formula>"未完成"</formula>
    </cfRule>
  </conditionalFormatting>
  <conditionalFormatting sqref="R242">
    <cfRule type="cellIs" dxfId="0" priority="6161" operator="equal">
      <formula>"欠"</formula>
    </cfRule>
  </conditionalFormatting>
  <conditionalFormatting sqref="S242">
    <cfRule type="cellIs" dxfId="0" priority="6140" operator="equal">
      <formula>"欠"</formula>
    </cfRule>
  </conditionalFormatting>
  <conditionalFormatting sqref="T242:U242">
    <cfRule type="cellIs" dxfId="0" priority="6119" operator="equal">
      <formula>"欠"</formula>
    </cfRule>
  </conditionalFormatting>
  <conditionalFormatting sqref="AI242:AJ242">
    <cfRule type="cellIs" dxfId="1" priority="6077" operator="equal">
      <formula>"未完成"</formula>
    </cfRule>
    <cfRule type="cellIs" dxfId="0" priority="6098" operator="equal">
      <formula>"未完成"</formula>
    </cfRule>
  </conditionalFormatting>
  <conditionalFormatting sqref="R243">
    <cfRule type="cellIs" dxfId="0" priority="6160" operator="equal">
      <formula>"欠"</formula>
    </cfRule>
  </conditionalFormatting>
  <conditionalFormatting sqref="S243">
    <cfRule type="cellIs" dxfId="0" priority="6139" operator="equal">
      <formula>"欠"</formula>
    </cfRule>
  </conditionalFormatting>
  <conditionalFormatting sqref="T243:U243">
    <cfRule type="cellIs" dxfId="0" priority="6118" operator="equal">
      <formula>"欠"</formula>
    </cfRule>
  </conditionalFormatting>
  <conditionalFormatting sqref="AI243:AJ243">
    <cfRule type="cellIs" dxfId="1" priority="6076" operator="equal">
      <formula>"未完成"</formula>
    </cfRule>
    <cfRule type="cellIs" dxfId="0" priority="6097" operator="equal">
      <formula>"未完成"</formula>
    </cfRule>
  </conditionalFormatting>
  <conditionalFormatting sqref="R244">
    <cfRule type="cellIs" dxfId="0" priority="6159" operator="equal">
      <formula>"欠"</formula>
    </cfRule>
  </conditionalFormatting>
  <conditionalFormatting sqref="S244">
    <cfRule type="cellIs" dxfId="0" priority="6138" operator="equal">
      <formula>"欠"</formula>
    </cfRule>
  </conditionalFormatting>
  <conditionalFormatting sqref="T244:U244">
    <cfRule type="cellIs" dxfId="0" priority="6117" operator="equal">
      <formula>"欠"</formula>
    </cfRule>
  </conditionalFormatting>
  <conditionalFormatting sqref="AI244:AJ244">
    <cfRule type="cellIs" dxfId="1" priority="6075" operator="equal">
      <formula>"未完成"</formula>
    </cfRule>
    <cfRule type="cellIs" dxfId="0" priority="6096" operator="equal">
      <formula>"未完成"</formula>
    </cfRule>
  </conditionalFormatting>
  <conditionalFormatting sqref="R245">
    <cfRule type="cellIs" dxfId="0" priority="6158" operator="equal">
      <formula>"欠"</formula>
    </cfRule>
  </conditionalFormatting>
  <conditionalFormatting sqref="S245">
    <cfRule type="cellIs" dxfId="0" priority="6137" operator="equal">
      <formula>"欠"</formula>
    </cfRule>
  </conditionalFormatting>
  <conditionalFormatting sqref="T245:U245">
    <cfRule type="cellIs" dxfId="0" priority="6116" operator="equal">
      <formula>"欠"</formula>
    </cfRule>
  </conditionalFormatting>
  <conditionalFormatting sqref="AI245:AJ245">
    <cfRule type="cellIs" dxfId="1" priority="6074" operator="equal">
      <formula>"未完成"</formula>
    </cfRule>
    <cfRule type="cellIs" dxfId="0" priority="6095" operator="equal">
      <formula>"未完成"</formula>
    </cfRule>
  </conditionalFormatting>
  <conditionalFormatting sqref="R246">
    <cfRule type="cellIs" dxfId="0" priority="6157" operator="equal">
      <formula>"欠"</formula>
    </cfRule>
  </conditionalFormatting>
  <conditionalFormatting sqref="S246">
    <cfRule type="cellIs" dxfId="0" priority="6136" operator="equal">
      <formula>"欠"</formula>
    </cfRule>
  </conditionalFormatting>
  <conditionalFormatting sqref="T246:U246">
    <cfRule type="cellIs" dxfId="0" priority="6115" operator="equal">
      <formula>"欠"</formula>
    </cfRule>
  </conditionalFormatting>
  <conditionalFormatting sqref="AI246:AJ246">
    <cfRule type="cellIs" dxfId="1" priority="6073" operator="equal">
      <formula>"未完成"</formula>
    </cfRule>
    <cfRule type="cellIs" dxfId="0" priority="6094" operator="equal">
      <formula>"未完成"</formula>
    </cfRule>
  </conditionalFormatting>
  <conditionalFormatting sqref="R247">
    <cfRule type="cellIs" dxfId="0" priority="6156" operator="equal">
      <formula>"欠"</formula>
    </cfRule>
  </conditionalFormatting>
  <conditionalFormatting sqref="S247">
    <cfRule type="cellIs" dxfId="0" priority="6135" operator="equal">
      <formula>"欠"</formula>
    </cfRule>
  </conditionalFormatting>
  <conditionalFormatting sqref="T247:U247">
    <cfRule type="cellIs" dxfId="0" priority="6114" operator="equal">
      <formula>"欠"</formula>
    </cfRule>
  </conditionalFormatting>
  <conditionalFormatting sqref="AI247:AJ247">
    <cfRule type="cellIs" dxfId="1" priority="6072" operator="equal">
      <formula>"未完成"</formula>
    </cfRule>
    <cfRule type="cellIs" dxfId="0" priority="6093" operator="equal">
      <formula>"未完成"</formula>
    </cfRule>
  </conditionalFormatting>
  <conditionalFormatting sqref="R248">
    <cfRule type="cellIs" dxfId="0" priority="6155" operator="equal">
      <formula>"欠"</formula>
    </cfRule>
  </conditionalFormatting>
  <conditionalFormatting sqref="S248">
    <cfRule type="cellIs" dxfId="0" priority="6134" operator="equal">
      <formula>"欠"</formula>
    </cfRule>
  </conditionalFormatting>
  <conditionalFormatting sqref="T248:U248">
    <cfRule type="cellIs" dxfId="0" priority="6113" operator="equal">
      <formula>"欠"</formula>
    </cfRule>
  </conditionalFormatting>
  <conditionalFormatting sqref="AI248:AJ248">
    <cfRule type="cellIs" dxfId="1" priority="6071" operator="equal">
      <formula>"未完成"</formula>
    </cfRule>
    <cfRule type="cellIs" dxfId="0" priority="6092" operator="equal">
      <formula>"未完成"</formula>
    </cfRule>
  </conditionalFormatting>
  <conditionalFormatting sqref="R249">
    <cfRule type="cellIs" dxfId="0" priority="6154" operator="equal">
      <formula>"欠"</formula>
    </cfRule>
  </conditionalFormatting>
  <conditionalFormatting sqref="S249">
    <cfRule type="cellIs" dxfId="0" priority="6133" operator="equal">
      <formula>"欠"</formula>
    </cfRule>
  </conditionalFormatting>
  <conditionalFormatting sqref="T249:U249">
    <cfRule type="cellIs" dxfId="0" priority="6112" operator="equal">
      <formula>"欠"</formula>
    </cfRule>
  </conditionalFormatting>
  <conditionalFormatting sqref="AI249:AJ249">
    <cfRule type="cellIs" dxfId="1" priority="6070" operator="equal">
      <formula>"未完成"</formula>
    </cfRule>
    <cfRule type="cellIs" dxfId="0" priority="6091" operator="equal">
      <formula>"未完成"</formula>
    </cfRule>
  </conditionalFormatting>
  <conditionalFormatting sqref="R250">
    <cfRule type="cellIs" dxfId="0" priority="6153" operator="equal">
      <formula>"欠"</formula>
    </cfRule>
  </conditionalFormatting>
  <conditionalFormatting sqref="S250">
    <cfRule type="cellIs" dxfId="0" priority="6132" operator="equal">
      <formula>"欠"</formula>
    </cfRule>
  </conditionalFormatting>
  <conditionalFormatting sqref="T250:U250">
    <cfRule type="cellIs" dxfId="0" priority="6111" operator="equal">
      <formula>"欠"</formula>
    </cfRule>
  </conditionalFormatting>
  <conditionalFormatting sqref="AI250:AJ250">
    <cfRule type="cellIs" dxfId="1" priority="6069" operator="equal">
      <formula>"未完成"</formula>
    </cfRule>
    <cfRule type="cellIs" dxfId="0" priority="6090" operator="equal">
      <formula>"未完成"</formula>
    </cfRule>
  </conditionalFormatting>
  <conditionalFormatting sqref="R251">
    <cfRule type="cellIs" dxfId="0" priority="6152" operator="equal">
      <formula>"欠"</formula>
    </cfRule>
  </conditionalFormatting>
  <conditionalFormatting sqref="S251">
    <cfRule type="cellIs" dxfId="0" priority="6131" operator="equal">
      <formula>"欠"</formula>
    </cfRule>
  </conditionalFormatting>
  <conditionalFormatting sqref="T251:U251">
    <cfRule type="cellIs" dxfId="0" priority="6110" operator="equal">
      <formula>"欠"</formula>
    </cfRule>
  </conditionalFormatting>
  <conditionalFormatting sqref="AI251:AJ251">
    <cfRule type="cellIs" dxfId="1" priority="6068" operator="equal">
      <formula>"未完成"</formula>
    </cfRule>
    <cfRule type="cellIs" dxfId="0" priority="6089" operator="equal">
      <formula>"未完成"</formula>
    </cfRule>
  </conditionalFormatting>
  <conditionalFormatting sqref="R252">
    <cfRule type="cellIs" dxfId="0" priority="6151" operator="equal">
      <formula>"欠"</formula>
    </cfRule>
  </conditionalFormatting>
  <conditionalFormatting sqref="S252">
    <cfRule type="cellIs" dxfId="0" priority="6130" operator="equal">
      <formula>"欠"</formula>
    </cfRule>
  </conditionalFormatting>
  <conditionalFormatting sqref="T252:U252">
    <cfRule type="cellIs" dxfId="0" priority="6109" operator="equal">
      <formula>"欠"</formula>
    </cfRule>
  </conditionalFormatting>
  <conditionalFormatting sqref="AI252:AJ252">
    <cfRule type="cellIs" dxfId="1" priority="6067" operator="equal">
      <formula>"未完成"</formula>
    </cfRule>
    <cfRule type="cellIs" dxfId="0" priority="6088" operator="equal">
      <formula>"未完成"</formula>
    </cfRule>
  </conditionalFormatting>
  <conditionalFormatting sqref="R253">
    <cfRule type="cellIs" dxfId="0" priority="6150" operator="equal">
      <formula>"欠"</formula>
    </cfRule>
  </conditionalFormatting>
  <conditionalFormatting sqref="S253">
    <cfRule type="cellIs" dxfId="0" priority="6129" operator="equal">
      <formula>"欠"</formula>
    </cfRule>
  </conditionalFormatting>
  <conditionalFormatting sqref="T253:U253">
    <cfRule type="cellIs" dxfId="0" priority="6108" operator="equal">
      <formula>"欠"</formula>
    </cfRule>
  </conditionalFormatting>
  <conditionalFormatting sqref="AI253:AJ253">
    <cfRule type="cellIs" dxfId="1" priority="6066" operator="equal">
      <formula>"未完成"</formula>
    </cfRule>
    <cfRule type="cellIs" dxfId="0" priority="6087" operator="equal">
      <formula>"未完成"</formula>
    </cfRule>
  </conditionalFormatting>
  <conditionalFormatting sqref="R254">
    <cfRule type="cellIs" dxfId="0" priority="6149" operator="equal">
      <formula>"欠"</formula>
    </cfRule>
  </conditionalFormatting>
  <conditionalFormatting sqref="S254">
    <cfRule type="cellIs" dxfId="0" priority="6128" operator="equal">
      <formula>"欠"</formula>
    </cfRule>
  </conditionalFormatting>
  <conditionalFormatting sqref="T254:U254">
    <cfRule type="cellIs" dxfId="0" priority="6107" operator="equal">
      <formula>"欠"</formula>
    </cfRule>
  </conditionalFormatting>
  <conditionalFormatting sqref="AI254:AJ254">
    <cfRule type="cellIs" dxfId="1" priority="6065" operator="equal">
      <formula>"未完成"</formula>
    </cfRule>
    <cfRule type="cellIs" dxfId="0" priority="6086" operator="equal">
      <formula>"未完成"</formula>
    </cfRule>
  </conditionalFormatting>
  <conditionalFormatting sqref="R255">
    <cfRule type="cellIs" dxfId="0" priority="6148" operator="equal">
      <formula>"欠"</formula>
    </cfRule>
  </conditionalFormatting>
  <conditionalFormatting sqref="S255">
    <cfRule type="cellIs" dxfId="0" priority="6127" operator="equal">
      <formula>"欠"</formula>
    </cfRule>
  </conditionalFormatting>
  <conditionalFormatting sqref="T255:U255">
    <cfRule type="cellIs" dxfId="0" priority="6106" operator="equal">
      <formula>"欠"</formula>
    </cfRule>
  </conditionalFormatting>
  <conditionalFormatting sqref="AI255:AJ255">
    <cfRule type="cellIs" dxfId="1" priority="6064" operator="equal">
      <formula>"未完成"</formula>
    </cfRule>
    <cfRule type="cellIs" dxfId="0" priority="6085" operator="equal">
      <formula>"未完成"</formula>
    </cfRule>
  </conditionalFormatting>
  <conditionalFormatting sqref="R256">
    <cfRule type="cellIs" dxfId="0" priority="6147" operator="equal">
      <formula>"欠"</formula>
    </cfRule>
  </conditionalFormatting>
  <conditionalFormatting sqref="S256">
    <cfRule type="cellIs" dxfId="0" priority="6126" operator="equal">
      <formula>"欠"</formula>
    </cfRule>
  </conditionalFormatting>
  <conditionalFormatting sqref="T256:U256">
    <cfRule type="cellIs" dxfId="0" priority="6105" operator="equal">
      <formula>"欠"</formula>
    </cfRule>
  </conditionalFormatting>
  <conditionalFormatting sqref="AI256:AJ256">
    <cfRule type="cellIs" dxfId="1" priority="6063" operator="equal">
      <formula>"未完成"</formula>
    </cfRule>
    <cfRule type="cellIs" dxfId="0" priority="6084" operator="equal">
      <formula>"未完成"</formula>
    </cfRule>
  </conditionalFormatting>
  <conditionalFormatting sqref="R257">
    <cfRule type="cellIs" dxfId="0" priority="6146" operator="equal">
      <formula>"欠"</formula>
    </cfRule>
  </conditionalFormatting>
  <conditionalFormatting sqref="S257">
    <cfRule type="cellIs" dxfId="0" priority="6125" operator="equal">
      <formula>"欠"</formula>
    </cfRule>
  </conditionalFormatting>
  <conditionalFormatting sqref="T257:U257">
    <cfRule type="cellIs" dxfId="0" priority="6104" operator="equal">
      <formula>"欠"</formula>
    </cfRule>
  </conditionalFormatting>
  <conditionalFormatting sqref="AI257:AJ257">
    <cfRule type="cellIs" dxfId="1" priority="6062" operator="equal">
      <formula>"未完成"</formula>
    </cfRule>
    <cfRule type="cellIs" dxfId="0" priority="6083" operator="equal">
      <formula>"未完成"</formula>
    </cfRule>
  </conditionalFormatting>
  <conditionalFormatting sqref="R258">
    <cfRule type="cellIs" dxfId="0" priority="6144" operator="equal">
      <formula>"欠"</formula>
    </cfRule>
  </conditionalFormatting>
  <conditionalFormatting sqref="S258">
    <cfRule type="cellIs" dxfId="0" priority="6123" operator="equal">
      <formula>"欠"</formula>
    </cfRule>
  </conditionalFormatting>
  <conditionalFormatting sqref="T258:U258">
    <cfRule type="cellIs" dxfId="0" priority="6102" operator="equal">
      <formula>"欠"</formula>
    </cfRule>
  </conditionalFormatting>
  <conditionalFormatting sqref="AI258:AJ258">
    <cfRule type="cellIs" dxfId="1" priority="6060" operator="equal">
      <formula>"未完成"</formula>
    </cfRule>
    <cfRule type="cellIs" dxfId="0" priority="6081" operator="equal">
      <formula>"未完成"</formula>
    </cfRule>
  </conditionalFormatting>
  <conditionalFormatting sqref="R259">
    <cfRule type="cellIs" dxfId="0" priority="5878" operator="equal">
      <formula>"欠"</formula>
    </cfRule>
  </conditionalFormatting>
  <conditionalFormatting sqref="S259">
    <cfRule type="cellIs" dxfId="0" priority="5834" operator="equal">
      <formula>"欠"</formula>
    </cfRule>
  </conditionalFormatting>
  <conditionalFormatting sqref="T259:U259">
    <cfRule type="cellIs" dxfId="0" priority="5790" operator="equal">
      <formula>"欠"</formula>
    </cfRule>
  </conditionalFormatting>
  <conditionalFormatting sqref="AI259:AJ259">
    <cfRule type="cellIs" dxfId="1" priority="5702" operator="equal">
      <formula>"未完成"</formula>
    </cfRule>
    <cfRule type="cellIs" dxfId="0" priority="5746" operator="equal">
      <formula>"未完成"</formula>
    </cfRule>
  </conditionalFormatting>
  <conditionalFormatting sqref="R260">
    <cfRule type="cellIs" dxfId="0" priority="5877" operator="equal">
      <formula>"欠"</formula>
    </cfRule>
  </conditionalFormatting>
  <conditionalFormatting sqref="S260">
    <cfRule type="cellIs" dxfId="0" priority="5833" operator="equal">
      <formula>"欠"</formula>
    </cfRule>
  </conditionalFormatting>
  <conditionalFormatting sqref="T260:U260">
    <cfRule type="cellIs" dxfId="0" priority="5789" operator="equal">
      <formula>"欠"</formula>
    </cfRule>
  </conditionalFormatting>
  <conditionalFormatting sqref="AI260:AJ260">
    <cfRule type="cellIs" dxfId="1" priority="5701" operator="equal">
      <formula>"未完成"</formula>
    </cfRule>
    <cfRule type="cellIs" dxfId="0" priority="5745" operator="equal">
      <formula>"未完成"</formula>
    </cfRule>
  </conditionalFormatting>
  <conditionalFormatting sqref="R261">
    <cfRule type="cellIs" dxfId="0" priority="5876" operator="equal">
      <formula>"欠"</formula>
    </cfRule>
  </conditionalFormatting>
  <conditionalFormatting sqref="T261:U261">
    <cfRule type="cellIs" dxfId="0" priority="5788" operator="equal">
      <formula>"欠"</formula>
    </cfRule>
  </conditionalFormatting>
  <conditionalFormatting sqref="AI261:AJ261">
    <cfRule type="cellIs" dxfId="1" priority="5700" operator="equal">
      <formula>"未完成"</formula>
    </cfRule>
    <cfRule type="cellIs" dxfId="0" priority="5744" operator="equal">
      <formula>"未完成"</formula>
    </cfRule>
  </conditionalFormatting>
  <conditionalFormatting sqref="R262">
    <cfRule type="cellIs" dxfId="0" priority="5875" operator="equal">
      <formula>"欠"</formula>
    </cfRule>
  </conditionalFormatting>
  <conditionalFormatting sqref="S262">
    <cfRule type="cellIs" dxfId="0" priority="5831" operator="equal">
      <formula>"欠"</formula>
    </cfRule>
  </conditionalFormatting>
  <conditionalFormatting sqref="T262:U262">
    <cfRule type="cellIs" dxfId="0" priority="5787" operator="equal">
      <formula>"欠"</formula>
    </cfRule>
  </conditionalFormatting>
  <conditionalFormatting sqref="AI262:AJ262">
    <cfRule type="cellIs" dxfId="1" priority="5699" operator="equal">
      <formula>"未完成"</formula>
    </cfRule>
    <cfRule type="cellIs" dxfId="0" priority="5743" operator="equal">
      <formula>"未完成"</formula>
    </cfRule>
  </conditionalFormatting>
  <conditionalFormatting sqref="R263">
    <cfRule type="cellIs" dxfId="0" priority="5874" operator="equal">
      <formula>"欠"</formula>
    </cfRule>
  </conditionalFormatting>
  <conditionalFormatting sqref="S263">
    <cfRule type="cellIs" dxfId="0" priority="5830" operator="equal">
      <formula>"欠"</formula>
    </cfRule>
  </conditionalFormatting>
  <conditionalFormatting sqref="T263:U263">
    <cfRule type="cellIs" dxfId="0" priority="5786" operator="equal">
      <formula>"欠"</formula>
    </cfRule>
  </conditionalFormatting>
  <conditionalFormatting sqref="AI263:AJ263">
    <cfRule type="cellIs" dxfId="1" priority="5698" operator="equal">
      <formula>"未完成"</formula>
    </cfRule>
    <cfRule type="cellIs" dxfId="0" priority="5742" operator="equal">
      <formula>"未完成"</formula>
    </cfRule>
  </conditionalFormatting>
  <conditionalFormatting sqref="R264">
    <cfRule type="cellIs" dxfId="0" priority="5873" operator="equal">
      <formula>"欠"</formula>
    </cfRule>
  </conditionalFormatting>
  <conditionalFormatting sqref="S264">
    <cfRule type="cellIs" dxfId="0" priority="5829" operator="equal">
      <formula>"欠"</formula>
    </cfRule>
  </conditionalFormatting>
  <conditionalFormatting sqref="T264:U264">
    <cfRule type="cellIs" dxfId="0" priority="5785" operator="equal">
      <formula>"欠"</formula>
    </cfRule>
  </conditionalFormatting>
  <conditionalFormatting sqref="AI264:AJ264">
    <cfRule type="cellIs" dxfId="1" priority="5697" operator="equal">
      <formula>"未完成"</formula>
    </cfRule>
    <cfRule type="cellIs" dxfId="0" priority="5741" operator="equal">
      <formula>"未完成"</formula>
    </cfRule>
  </conditionalFormatting>
  <conditionalFormatting sqref="R265">
    <cfRule type="cellIs" dxfId="0" priority="5872" operator="equal">
      <formula>"欠"</formula>
    </cfRule>
  </conditionalFormatting>
  <conditionalFormatting sqref="S265">
    <cfRule type="cellIs" dxfId="0" priority="5828" operator="equal">
      <formula>"欠"</formula>
    </cfRule>
  </conditionalFormatting>
  <conditionalFormatting sqref="T265:U265">
    <cfRule type="cellIs" dxfId="0" priority="5784" operator="equal">
      <formula>"欠"</formula>
    </cfRule>
  </conditionalFormatting>
  <conditionalFormatting sqref="AI265:AJ265">
    <cfRule type="cellIs" dxfId="1" priority="5696" operator="equal">
      <formula>"未完成"</formula>
    </cfRule>
    <cfRule type="cellIs" dxfId="0" priority="5740" operator="equal">
      <formula>"未完成"</formula>
    </cfRule>
  </conditionalFormatting>
  <conditionalFormatting sqref="R266">
    <cfRule type="cellIs" dxfId="0" priority="5871" operator="equal">
      <formula>"欠"</formula>
    </cfRule>
  </conditionalFormatting>
  <conditionalFormatting sqref="S266">
    <cfRule type="cellIs" dxfId="0" priority="5827" operator="equal">
      <formula>"欠"</formula>
    </cfRule>
  </conditionalFormatting>
  <conditionalFormatting sqref="T266:U266">
    <cfRule type="cellIs" dxfId="0" priority="5783" operator="equal">
      <formula>"欠"</formula>
    </cfRule>
  </conditionalFormatting>
  <conditionalFormatting sqref="AI266:AJ266">
    <cfRule type="cellIs" dxfId="1" priority="5695" operator="equal">
      <formula>"未完成"</formula>
    </cfRule>
    <cfRule type="cellIs" dxfId="0" priority="5739" operator="equal">
      <formula>"未完成"</formula>
    </cfRule>
  </conditionalFormatting>
  <conditionalFormatting sqref="R267">
    <cfRule type="cellIs" dxfId="0" priority="5870" operator="equal">
      <formula>"欠"</formula>
    </cfRule>
  </conditionalFormatting>
  <conditionalFormatting sqref="S267">
    <cfRule type="cellIs" dxfId="0" priority="5826" operator="equal">
      <formula>"欠"</formula>
    </cfRule>
  </conditionalFormatting>
  <conditionalFormatting sqref="T267:U267">
    <cfRule type="cellIs" dxfId="0" priority="5782" operator="equal">
      <formula>"欠"</formula>
    </cfRule>
  </conditionalFormatting>
  <conditionalFormatting sqref="AI267:AJ267">
    <cfRule type="cellIs" dxfId="1" priority="5694" operator="equal">
      <formula>"未完成"</formula>
    </cfRule>
    <cfRule type="cellIs" dxfId="0" priority="5738" operator="equal">
      <formula>"未完成"</formula>
    </cfRule>
  </conditionalFormatting>
  <conditionalFormatting sqref="R268">
    <cfRule type="cellIs" dxfId="0" priority="5869" operator="equal">
      <formula>"欠"</formula>
    </cfRule>
  </conditionalFormatting>
  <conditionalFormatting sqref="S268">
    <cfRule type="cellIs" dxfId="0" priority="5825" operator="equal">
      <formula>"欠"</formula>
    </cfRule>
  </conditionalFormatting>
  <conditionalFormatting sqref="T268:U268">
    <cfRule type="cellIs" dxfId="0" priority="5781" operator="equal">
      <formula>"欠"</formula>
    </cfRule>
  </conditionalFormatting>
  <conditionalFormatting sqref="AI268:AJ268">
    <cfRule type="cellIs" dxfId="1" priority="5693" operator="equal">
      <formula>"未完成"</formula>
    </cfRule>
    <cfRule type="cellIs" dxfId="0" priority="5737" operator="equal">
      <formula>"未完成"</formula>
    </cfRule>
  </conditionalFormatting>
  <conditionalFormatting sqref="R269">
    <cfRule type="cellIs" dxfId="0" priority="5868" operator="equal">
      <formula>"欠"</formula>
    </cfRule>
  </conditionalFormatting>
  <conditionalFormatting sqref="S269">
    <cfRule type="cellIs" dxfId="0" priority="5824" operator="equal">
      <formula>"欠"</formula>
    </cfRule>
  </conditionalFormatting>
  <conditionalFormatting sqref="T269:U269">
    <cfRule type="cellIs" dxfId="0" priority="5780" operator="equal">
      <formula>"欠"</formula>
    </cfRule>
  </conditionalFormatting>
  <conditionalFormatting sqref="AI269:AJ269">
    <cfRule type="cellIs" dxfId="1" priority="5692" operator="equal">
      <formula>"未完成"</formula>
    </cfRule>
    <cfRule type="cellIs" dxfId="0" priority="5736" operator="equal">
      <formula>"未完成"</formula>
    </cfRule>
  </conditionalFormatting>
  <conditionalFormatting sqref="R270">
    <cfRule type="cellIs" dxfId="0" priority="5867" operator="equal">
      <formula>"欠"</formula>
    </cfRule>
  </conditionalFormatting>
  <conditionalFormatting sqref="S270">
    <cfRule type="cellIs" dxfId="0" priority="5823" operator="equal">
      <formula>"欠"</formula>
    </cfRule>
  </conditionalFormatting>
  <conditionalFormatting sqref="T270:U270">
    <cfRule type="cellIs" dxfId="0" priority="5779" operator="equal">
      <formula>"欠"</formula>
    </cfRule>
  </conditionalFormatting>
  <conditionalFormatting sqref="AI270:AJ270">
    <cfRule type="cellIs" dxfId="1" priority="5691" operator="equal">
      <formula>"未完成"</formula>
    </cfRule>
    <cfRule type="cellIs" dxfId="0" priority="5735" operator="equal">
      <formula>"未完成"</formula>
    </cfRule>
  </conditionalFormatting>
  <conditionalFormatting sqref="R271">
    <cfRule type="cellIs" dxfId="0" priority="5866" operator="equal">
      <formula>"欠"</formula>
    </cfRule>
  </conditionalFormatting>
  <conditionalFormatting sqref="S271">
    <cfRule type="cellIs" dxfId="0" priority="5822" operator="equal">
      <formula>"欠"</formula>
    </cfRule>
  </conditionalFormatting>
  <conditionalFormatting sqref="T271:U271">
    <cfRule type="cellIs" dxfId="0" priority="5778" operator="equal">
      <formula>"欠"</formula>
    </cfRule>
  </conditionalFormatting>
  <conditionalFormatting sqref="AI271:AJ271">
    <cfRule type="cellIs" dxfId="1" priority="5690" operator="equal">
      <formula>"未完成"</formula>
    </cfRule>
    <cfRule type="cellIs" dxfId="0" priority="5734" operator="equal">
      <formula>"未完成"</formula>
    </cfRule>
  </conditionalFormatting>
  <conditionalFormatting sqref="R272">
    <cfRule type="cellIs" dxfId="0" priority="5865" operator="equal">
      <formula>"欠"</formula>
    </cfRule>
  </conditionalFormatting>
  <conditionalFormatting sqref="S272">
    <cfRule type="cellIs" dxfId="0" priority="5821" operator="equal">
      <formula>"欠"</formula>
    </cfRule>
  </conditionalFormatting>
  <conditionalFormatting sqref="T272:U272">
    <cfRule type="cellIs" dxfId="0" priority="5777" operator="equal">
      <formula>"欠"</formula>
    </cfRule>
  </conditionalFormatting>
  <conditionalFormatting sqref="AI272:AJ272">
    <cfRule type="cellIs" dxfId="1" priority="5689" operator="equal">
      <formula>"未完成"</formula>
    </cfRule>
    <cfRule type="cellIs" dxfId="0" priority="5733" operator="equal">
      <formula>"未完成"</formula>
    </cfRule>
  </conditionalFormatting>
  <conditionalFormatting sqref="R273">
    <cfRule type="cellIs" dxfId="0" priority="5864" operator="equal">
      <formula>"欠"</formula>
    </cfRule>
  </conditionalFormatting>
  <conditionalFormatting sqref="S273">
    <cfRule type="cellIs" dxfId="0" priority="5820" operator="equal">
      <formula>"欠"</formula>
    </cfRule>
  </conditionalFormatting>
  <conditionalFormatting sqref="T273:U273">
    <cfRule type="cellIs" dxfId="0" priority="5776" operator="equal">
      <formula>"欠"</formula>
    </cfRule>
  </conditionalFormatting>
  <conditionalFormatting sqref="AI273:AJ273">
    <cfRule type="cellIs" dxfId="1" priority="5688" operator="equal">
      <formula>"未完成"</formula>
    </cfRule>
    <cfRule type="cellIs" dxfId="0" priority="5732" operator="equal">
      <formula>"未完成"</formula>
    </cfRule>
  </conditionalFormatting>
  <conditionalFormatting sqref="R274">
    <cfRule type="cellIs" dxfId="0" priority="5863" operator="equal">
      <formula>"欠"</formula>
    </cfRule>
  </conditionalFormatting>
  <conditionalFormatting sqref="S274">
    <cfRule type="cellIs" dxfId="0" priority="5819" operator="equal">
      <formula>"欠"</formula>
    </cfRule>
  </conditionalFormatting>
  <conditionalFormatting sqref="T274:U274">
    <cfRule type="cellIs" dxfId="0" priority="5775" operator="equal">
      <formula>"欠"</formula>
    </cfRule>
  </conditionalFormatting>
  <conditionalFormatting sqref="AI274:AJ274">
    <cfRule type="cellIs" dxfId="1" priority="5687" operator="equal">
      <formula>"未完成"</formula>
    </cfRule>
    <cfRule type="cellIs" dxfId="0" priority="5731" operator="equal">
      <formula>"未完成"</formula>
    </cfRule>
  </conditionalFormatting>
  <conditionalFormatting sqref="R275">
    <cfRule type="cellIs" dxfId="0" priority="5862" operator="equal">
      <formula>"欠"</formula>
    </cfRule>
  </conditionalFormatting>
  <conditionalFormatting sqref="S275">
    <cfRule type="cellIs" dxfId="0" priority="5818" operator="equal">
      <formula>"欠"</formula>
    </cfRule>
  </conditionalFormatting>
  <conditionalFormatting sqref="T275:U275">
    <cfRule type="cellIs" dxfId="0" priority="5774" operator="equal">
      <formula>"欠"</formula>
    </cfRule>
  </conditionalFormatting>
  <conditionalFormatting sqref="AI275:AJ275">
    <cfRule type="cellIs" dxfId="1" priority="5686" operator="equal">
      <formula>"未完成"</formula>
    </cfRule>
    <cfRule type="cellIs" dxfId="0" priority="5730" operator="equal">
      <formula>"未完成"</formula>
    </cfRule>
  </conditionalFormatting>
  <conditionalFormatting sqref="R276">
    <cfRule type="cellIs" dxfId="0" priority="5861" operator="equal">
      <formula>"欠"</formula>
    </cfRule>
  </conditionalFormatting>
  <conditionalFormatting sqref="S276">
    <cfRule type="cellIs" dxfId="0" priority="5817" operator="equal">
      <formula>"欠"</formula>
    </cfRule>
  </conditionalFormatting>
  <conditionalFormatting sqref="T276:U276">
    <cfRule type="cellIs" dxfId="0" priority="5773" operator="equal">
      <formula>"欠"</formula>
    </cfRule>
  </conditionalFormatting>
  <conditionalFormatting sqref="AI276:AJ276">
    <cfRule type="cellIs" dxfId="1" priority="5685" operator="equal">
      <formula>"未完成"</formula>
    </cfRule>
    <cfRule type="cellIs" dxfId="0" priority="5729" operator="equal">
      <formula>"未完成"</formula>
    </cfRule>
  </conditionalFormatting>
  <conditionalFormatting sqref="R277">
    <cfRule type="cellIs" dxfId="0" priority="5860" operator="equal">
      <formula>"欠"</formula>
    </cfRule>
  </conditionalFormatting>
  <conditionalFormatting sqref="S277">
    <cfRule type="cellIs" dxfId="0" priority="5816" operator="equal">
      <formula>"欠"</formula>
    </cfRule>
  </conditionalFormatting>
  <conditionalFormatting sqref="T277:U277">
    <cfRule type="cellIs" dxfId="0" priority="5772" operator="equal">
      <formula>"欠"</formula>
    </cfRule>
  </conditionalFormatting>
  <conditionalFormatting sqref="AI277:AJ277">
    <cfRule type="cellIs" dxfId="1" priority="5684" operator="equal">
      <formula>"未完成"</formula>
    </cfRule>
    <cfRule type="cellIs" dxfId="0" priority="5728" operator="equal">
      <formula>"未完成"</formula>
    </cfRule>
  </conditionalFormatting>
  <conditionalFormatting sqref="R278">
    <cfRule type="cellIs" dxfId="0" priority="5859" operator="equal">
      <formula>"欠"</formula>
    </cfRule>
  </conditionalFormatting>
  <conditionalFormatting sqref="S278">
    <cfRule type="cellIs" dxfId="0" priority="5815" operator="equal">
      <formula>"欠"</formula>
    </cfRule>
  </conditionalFormatting>
  <conditionalFormatting sqref="T278:U278">
    <cfRule type="cellIs" dxfId="0" priority="5771" operator="equal">
      <formula>"欠"</formula>
    </cfRule>
  </conditionalFormatting>
  <conditionalFormatting sqref="AI278:AJ278">
    <cfRule type="cellIs" dxfId="1" priority="5683" operator="equal">
      <formula>"未完成"</formula>
    </cfRule>
    <cfRule type="cellIs" dxfId="0" priority="5727" operator="equal">
      <formula>"未完成"</formula>
    </cfRule>
  </conditionalFormatting>
  <conditionalFormatting sqref="R279">
    <cfRule type="cellIs" dxfId="0" priority="5858" operator="equal">
      <formula>"欠"</formula>
    </cfRule>
  </conditionalFormatting>
  <conditionalFormatting sqref="S279">
    <cfRule type="cellIs" dxfId="0" priority="5814" operator="equal">
      <formula>"欠"</formula>
    </cfRule>
  </conditionalFormatting>
  <conditionalFormatting sqref="T279:U279">
    <cfRule type="cellIs" dxfId="0" priority="5770" operator="equal">
      <formula>"欠"</formula>
    </cfRule>
  </conditionalFormatting>
  <conditionalFormatting sqref="AI279:AJ279">
    <cfRule type="cellIs" dxfId="1" priority="5682" operator="equal">
      <formula>"未完成"</formula>
    </cfRule>
    <cfRule type="cellIs" dxfId="0" priority="5726" operator="equal">
      <formula>"未完成"</formula>
    </cfRule>
  </conditionalFormatting>
  <conditionalFormatting sqref="R280">
    <cfRule type="cellIs" dxfId="0" priority="5857" operator="equal">
      <formula>"欠"</formula>
    </cfRule>
  </conditionalFormatting>
  <conditionalFormatting sqref="S280">
    <cfRule type="cellIs" dxfId="0" priority="5813" operator="equal">
      <formula>"欠"</formula>
    </cfRule>
  </conditionalFormatting>
  <conditionalFormatting sqref="T280:U280">
    <cfRule type="cellIs" dxfId="0" priority="5769" operator="equal">
      <formula>"欠"</formula>
    </cfRule>
  </conditionalFormatting>
  <conditionalFormatting sqref="AI280:AJ280">
    <cfRule type="cellIs" dxfId="1" priority="5681" operator="equal">
      <formula>"未完成"</formula>
    </cfRule>
    <cfRule type="cellIs" dxfId="0" priority="5725" operator="equal">
      <formula>"未完成"</formula>
    </cfRule>
  </conditionalFormatting>
  <conditionalFormatting sqref="R281">
    <cfRule type="cellIs" dxfId="0" priority="5856" operator="equal">
      <formula>"欠"</formula>
    </cfRule>
  </conditionalFormatting>
  <conditionalFormatting sqref="S281">
    <cfRule type="cellIs" dxfId="0" priority="5812" operator="equal">
      <formula>"欠"</formula>
    </cfRule>
  </conditionalFormatting>
  <conditionalFormatting sqref="T281:U281">
    <cfRule type="cellIs" dxfId="0" priority="5768" operator="equal">
      <formula>"欠"</formula>
    </cfRule>
  </conditionalFormatting>
  <conditionalFormatting sqref="AI281:AJ281">
    <cfRule type="cellIs" dxfId="1" priority="5680" operator="equal">
      <formula>"未完成"</formula>
    </cfRule>
    <cfRule type="cellIs" dxfId="0" priority="5724" operator="equal">
      <formula>"未完成"</formula>
    </cfRule>
  </conditionalFormatting>
  <conditionalFormatting sqref="R282">
    <cfRule type="cellIs" dxfId="0" priority="5855" operator="equal">
      <formula>"欠"</formula>
    </cfRule>
  </conditionalFormatting>
  <conditionalFormatting sqref="S282">
    <cfRule type="cellIs" dxfId="0" priority="5811" operator="equal">
      <formula>"欠"</formula>
    </cfRule>
  </conditionalFormatting>
  <conditionalFormatting sqref="T282:U282">
    <cfRule type="cellIs" dxfId="0" priority="5767" operator="equal">
      <formula>"欠"</formula>
    </cfRule>
  </conditionalFormatting>
  <conditionalFormatting sqref="AI282:AJ282">
    <cfRule type="cellIs" dxfId="1" priority="5679" operator="equal">
      <formula>"未完成"</formula>
    </cfRule>
    <cfRule type="cellIs" dxfId="0" priority="5723" operator="equal">
      <formula>"未完成"</formula>
    </cfRule>
  </conditionalFormatting>
  <conditionalFormatting sqref="R283">
    <cfRule type="cellIs" dxfId="0" priority="5854" operator="equal">
      <formula>"欠"</formula>
    </cfRule>
  </conditionalFormatting>
  <conditionalFormatting sqref="S283">
    <cfRule type="cellIs" dxfId="0" priority="5810" operator="equal">
      <formula>"欠"</formula>
    </cfRule>
  </conditionalFormatting>
  <conditionalFormatting sqref="T283:U283">
    <cfRule type="cellIs" dxfId="0" priority="5766" operator="equal">
      <formula>"欠"</formula>
    </cfRule>
  </conditionalFormatting>
  <conditionalFormatting sqref="AI283:AJ283">
    <cfRule type="cellIs" dxfId="1" priority="5678" operator="equal">
      <formula>"未完成"</formula>
    </cfRule>
    <cfRule type="cellIs" dxfId="0" priority="5722" operator="equal">
      <formula>"未完成"</formula>
    </cfRule>
  </conditionalFormatting>
  <conditionalFormatting sqref="R284">
    <cfRule type="cellIs" dxfId="0" priority="5853" operator="equal">
      <formula>"欠"</formula>
    </cfRule>
  </conditionalFormatting>
  <conditionalFormatting sqref="S284">
    <cfRule type="cellIs" dxfId="0" priority="5809" operator="equal">
      <formula>"欠"</formula>
    </cfRule>
  </conditionalFormatting>
  <conditionalFormatting sqref="T284:U284">
    <cfRule type="cellIs" dxfId="0" priority="5765" operator="equal">
      <formula>"欠"</formula>
    </cfRule>
  </conditionalFormatting>
  <conditionalFormatting sqref="AI284:AJ284">
    <cfRule type="cellIs" dxfId="1" priority="5677" operator="equal">
      <formula>"未完成"</formula>
    </cfRule>
    <cfRule type="cellIs" dxfId="0" priority="5721" operator="equal">
      <formula>"未完成"</formula>
    </cfRule>
  </conditionalFormatting>
  <conditionalFormatting sqref="R285">
    <cfRule type="cellIs" dxfId="0" priority="5852" operator="equal">
      <formula>"欠"</formula>
    </cfRule>
  </conditionalFormatting>
  <conditionalFormatting sqref="S285">
    <cfRule type="cellIs" dxfId="0" priority="5808" operator="equal">
      <formula>"欠"</formula>
    </cfRule>
  </conditionalFormatting>
  <conditionalFormatting sqref="T285:U285">
    <cfRule type="cellIs" dxfId="0" priority="5764" operator="equal">
      <formula>"欠"</formula>
    </cfRule>
  </conditionalFormatting>
  <conditionalFormatting sqref="AI285:AJ285">
    <cfRule type="cellIs" dxfId="1" priority="5676" operator="equal">
      <formula>"未完成"</formula>
    </cfRule>
    <cfRule type="cellIs" dxfId="0" priority="5720" operator="equal">
      <formula>"未完成"</formula>
    </cfRule>
  </conditionalFormatting>
  <conditionalFormatting sqref="R286">
    <cfRule type="cellIs" dxfId="0" priority="5851" operator="equal">
      <formula>"欠"</formula>
    </cfRule>
  </conditionalFormatting>
  <conditionalFormatting sqref="S286">
    <cfRule type="cellIs" dxfId="0" priority="5807" operator="equal">
      <formula>"欠"</formula>
    </cfRule>
  </conditionalFormatting>
  <conditionalFormatting sqref="T286:U286">
    <cfRule type="cellIs" dxfId="0" priority="5763" operator="equal">
      <formula>"欠"</formula>
    </cfRule>
  </conditionalFormatting>
  <conditionalFormatting sqref="AI286:AJ286">
    <cfRule type="cellIs" dxfId="1" priority="5675" operator="equal">
      <formula>"未完成"</formula>
    </cfRule>
    <cfRule type="cellIs" dxfId="0" priority="5719" operator="equal">
      <formula>"未完成"</formula>
    </cfRule>
  </conditionalFormatting>
  <conditionalFormatting sqref="R287">
    <cfRule type="cellIs" dxfId="0" priority="5850" operator="equal">
      <formula>"欠"</formula>
    </cfRule>
  </conditionalFormatting>
  <conditionalFormatting sqref="S287">
    <cfRule type="cellIs" dxfId="0" priority="5806" operator="equal">
      <formula>"欠"</formula>
    </cfRule>
  </conditionalFormatting>
  <conditionalFormatting sqref="T287:U287">
    <cfRule type="cellIs" dxfId="0" priority="5762" operator="equal">
      <formula>"欠"</formula>
    </cfRule>
  </conditionalFormatting>
  <conditionalFormatting sqref="AI287:AJ287">
    <cfRule type="cellIs" dxfId="1" priority="5674" operator="equal">
      <formula>"未完成"</formula>
    </cfRule>
    <cfRule type="cellIs" dxfId="0" priority="5718" operator="equal">
      <formula>"未完成"</formula>
    </cfRule>
  </conditionalFormatting>
  <conditionalFormatting sqref="R288">
    <cfRule type="cellIs" dxfId="0" priority="5849" operator="equal">
      <formula>"欠"</formula>
    </cfRule>
  </conditionalFormatting>
  <conditionalFormatting sqref="S288">
    <cfRule type="cellIs" dxfId="0" priority="5805" operator="equal">
      <formula>"欠"</formula>
    </cfRule>
  </conditionalFormatting>
  <conditionalFormatting sqref="T288:U288">
    <cfRule type="cellIs" dxfId="0" priority="5761" operator="equal">
      <formula>"欠"</formula>
    </cfRule>
  </conditionalFormatting>
  <conditionalFormatting sqref="AI288:AJ288">
    <cfRule type="cellIs" dxfId="1" priority="5673" operator="equal">
      <formula>"未完成"</formula>
    </cfRule>
    <cfRule type="cellIs" dxfId="0" priority="5717" operator="equal">
      <formula>"未完成"</formula>
    </cfRule>
  </conditionalFormatting>
  <conditionalFormatting sqref="R289">
    <cfRule type="cellIs" dxfId="0" priority="5848" operator="equal">
      <formula>"欠"</formula>
    </cfRule>
  </conditionalFormatting>
  <conditionalFormatting sqref="S289">
    <cfRule type="cellIs" dxfId="0" priority="5804" operator="equal">
      <formula>"欠"</formula>
    </cfRule>
  </conditionalFormatting>
  <conditionalFormatting sqref="T289:U289">
    <cfRule type="cellIs" dxfId="0" priority="5760" operator="equal">
      <formula>"欠"</formula>
    </cfRule>
  </conditionalFormatting>
  <conditionalFormatting sqref="AI289:AJ289">
    <cfRule type="cellIs" dxfId="1" priority="5672" operator="equal">
      <formula>"未完成"</formula>
    </cfRule>
    <cfRule type="cellIs" dxfId="0" priority="5716" operator="equal">
      <formula>"未完成"</formula>
    </cfRule>
  </conditionalFormatting>
  <conditionalFormatting sqref="R290">
    <cfRule type="cellIs" dxfId="0" priority="5847" operator="equal">
      <formula>"欠"</formula>
    </cfRule>
  </conditionalFormatting>
  <conditionalFormatting sqref="S290">
    <cfRule type="cellIs" dxfId="0" priority="5803" operator="equal">
      <formula>"欠"</formula>
    </cfRule>
  </conditionalFormatting>
  <conditionalFormatting sqref="T290:U290">
    <cfRule type="cellIs" dxfId="0" priority="5759" operator="equal">
      <formula>"欠"</formula>
    </cfRule>
  </conditionalFormatting>
  <conditionalFormatting sqref="AI290:AJ290">
    <cfRule type="cellIs" dxfId="1" priority="5671" operator="equal">
      <formula>"未完成"</formula>
    </cfRule>
    <cfRule type="cellIs" dxfId="0" priority="5715" operator="equal">
      <formula>"未完成"</formula>
    </cfRule>
  </conditionalFormatting>
  <conditionalFormatting sqref="R291">
    <cfRule type="cellIs" dxfId="0" priority="5846" operator="equal">
      <formula>"欠"</formula>
    </cfRule>
  </conditionalFormatting>
  <conditionalFormatting sqref="S291">
    <cfRule type="cellIs" dxfId="0" priority="5802" operator="equal">
      <formula>"欠"</formula>
    </cfRule>
  </conditionalFormatting>
  <conditionalFormatting sqref="T291:U291">
    <cfRule type="cellIs" dxfId="0" priority="5758" operator="equal">
      <formula>"欠"</formula>
    </cfRule>
  </conditionalFormatting>
  <conditionalFormatting sqref="AI291:AJ291">
    <cfRule type="cellIs" dxfId="1" priority="5670" operator="equal">
      <formula>"未完成"</formula>
    </cfRule>
    <cfRule type="cellIs" dxfId="0" priority="5714" operator="equal">
      <formula>"未完成"</formula>
    </cfRule>
  </conditionalFormatting>
  <conditionalFormatting sqref="R292">
    <cfRule type="cellIs" dxfId="0" priority="5845" operator="equal">
      <formula>"欠"</formula>
    </cfRule>
  </conditionalFormatting>
  <conditionalFormatting sqref="S292">
    <cfRule type="cellIs" dxfId="0" priority="5801" operator="equal">
      <formula>"欠"</formula>
    </cfRule>
  </conditionalFormatting>
  <conditionalFormatting sqref="T292:U292">
    <cfRule type="cellIs" dxfId="0" priority="5757" operator="equal">
      <formula>"欠"</formula>
    </cfRule>
  </conditionalFormatting>
  <conditionalFormatting sqref="AI292:AJ292">
    <cfRule type="cellIs" dxfId="1" priority="5669" operator="equal">
      <formula>"未完成"</formula>
    </cfRule>
    <cfRule type="cellIs" dxfId="0" priority="5713" operator="equal">
      <formula>"未完成"</formula>
    </cfRule>
  </conditionalFormatting>
  <conditionalFormatting sqref="R293">
    <cfRule type="cellIs" dxfId="0" priority="5844" operator="equal">
      <formula>"欠"</formula>
    </cfRule>
  </conditionalFormatting>
  <conditionalFormatting sqref="S293">
    <cfRule type="cellIs" dxfId="0" priority="5800" operator="equal">
      <formula>"欠"</formula>
    </cfRule>
  </conditionalFormatting>
  <conditionalFormatting sqref="T293:U293">
    <cfRule type="cellIs" dxfId="0" priority="5756" operator="equal">
      <formula>"欠"</formula>
    </cfRule>
  </conditionalFormatting>
  <conditionalFormatting sqref="AI293:AJ293">
    <cfRule type="cellIs" dxfId="1" priority="5668" operator="equal">
      <formula>"未完成"</formula>
    </cfRule>
    <cfRule type="cellIs" dxfId="0" priority="5712" operator="equal">
      <formula>"未完成"</formula>
    </cfRule>
  </conditionalFormatting>
  <conditionalFormatting sqref="R294">
    <cfRule type="cellIs" dxfId="0" priority="5843" operator="equal">
      <formula>"欠"</formula>
    </cfRule>
  </conditionalFormatting>
  <conditionalFormatting sqref="S294">
    <cfRule type="cellIs" dxfId="0" priority="5799" operator="equal">
      <formula>"欠"</formula>
    </cfRule>
  </conditionalFormatting>
  <conditionalFormatting sqref="T294:U294">
    <cfRule type="cellIs" dxfId="0" priority="5755" operator="equal">
      <formula>"欠"</formula>
    </cfRule>
  </conditionalFormatting>
  <conditionalFormatting sqref="AI294:AJ294">
    <cfRule type="cellIs" dxfId="1" priority="5667" operator="equal">
      <formula>"未完成"</formula>
    </cfRule>
    <cfRule type="cellIs" dxfId="0" priority="5711" operator="equal">
      <formula>"未完成"</formula>
    </cfRule>
  </conditionalFormatting>
  <conditionalFormatting sqref="R295">
    <cfRule type="cellIs" dxfId="0" priority="5842" operator="equal">
      <formula>"欠"</formula>
    </cfRule>
  </conditionalFormatting>
  <conditionalFormatting sqref="S295">
    <cfRule type="cellIs" dxfId="0" priority="5798" operator="equal">
      <formula>"欠"</formula>
    </cfRule>
  </conditionalFormatting>
  <conditionalFormatting sqref="T295:U295">
    <cfRule type="cellIs" dxfId="0" priority="5754" operator="equal">
      <formula>"欠"</formula>
    </cfRule>
  </conditionalFormatting>
  <conditionalFormatting sqref="AI295:AJ295">
    <cfRule type="cellIs" dxfId="1" priority="5666" operator="equal">
      <formula>"未完成"</formula>
    </cfRule>
    <cfRule type="cellIs" dxfId="0" priority="5710" operator="equal">
      <formula>"未完成"</formula>
    </cfRule>
  </conditionalFormatting>
  <conditionalFormatting sqref="R296">
    <cfRule type="cellIs" dxfId="0" priority="5841" operator="equal">
      <formula>"欠"</formula>
    </cfRule>
  </conditionalFormatting>
  <conditionalFormatting sqref="S296">
    <cfRule type="cellIs" dxfId="0" priority="5797" operator="equal">
      <formula>"欠"</formula>
    </cfRule>
  </conditionalFormatting>
  <conditionalFormatting sqref="T296:U296">
    <cfRule type="cellIs" dxfId="0" priority="5753" operator="equal">
      <formula>"欠"</formula>
    </cfRule>
  </conditionalFormatting>
  <conditionalFormatting sqref="AI296:AJ296">
    <cfRule type="cellIs" dxfId="1" priority="5665" operator="equal">
      <formula>"未完成"</formula>
    </cfRule>
    <cfRule type="cellIs" dxfId="0" priority="5709" operator="equal">
      <formula>"未完成"</formula>
    </cfRule>
  </conditionalFormatting>
  <conditionalFormatting sqref="R297">
    <cfRule type="cellIs" dxfId="0" priority="5840" operator="equal">
      <formula>"欠"</formula>
    </cfRule>
  </conditionalFormatting>
  <conditionalFormatting sqref="S297">
    <cfRule type="cellIs" dxfId="0" priority="5796" operator="equal">
      <formula>"欠"</formula>
    </cfRule>
  </conditionalFormatting>
  <conditionalFormatting sqref="T297:U297">
    <cfRule type="cellIs" dxfId="0" priority="5752" operator="equal">
      <formula>"欠"</formula>
    </cfRule>
  </conditionalFormatting>
  <conditionalFormatting sqref="AI297:AJ297">
    <cfRule type="cellIs" dxfId="1" priority="5664" operator="equal">
      <formula>"未完成"</formula>
    </cfRule>
    <cfRule type="cellIs" dxfId="0" priority="5708" operator="equal">
      <formula>"未完成"</formula>
    </cfRule>
  </conditionalFormatting>
  <conditionalFormatting sqref="R298">
    <cfRule type="cellIs" dxfId="0" priority="5839" operator="equal">
      <formula>"欠"</formula>
    </cfRule>
  </conditionalFormatting>
  <conditionalFormatting sqref="S298">
    <cfRule type="cellIs" dxfId="0" priority="5795" operator="equal">
      <formula>"欠"</formula>
    </cfRule>
  </conditionalFormatting>
  <conditionalFormatting sqref="T298:U298">
    <cfRule type="cellIs" dxfId="0" priority="5751" operator="equal">
      <formula>"欠"</formula>
    </cfRule>
  </conditionalFormatting>
  <conditionalFormatting sqref="AI298:AJ298">
    <cfRule type="cellIs" dxfId="1" priority="5663" operator="equal">
      <formula>"未完成"</formula>
    </cfRule>
    <cfRule type="cellIs" dxfId="0" priority="5707" operator="equal">
      <formula>"未完成"</formula>
    </cfRule>
  </conditionalFormatting>
  <conditionalFormatting sqref="R299">
    <cfRule type="cellIs" dxfId="0" priority="5838" operator="equal">
      <formula>"欠"</formula>
    </cfRule>
  </conditionalFormatting>
  <conditionalFormatting sqref="S299">
    <cfRule type="cellIs" dxfId="0" priority="5794" operator="equal">
      <formula>"欠"</formula>
    </cfRule>
  </conditionalFormatting>
  <conditionalFormatting sqref="T299:U299">
    <cfRule type="cellIs" dxfId="0" priority="5750" operator="equal">
      <formula>"欠"</formula>
    </cfRule>
  </conditionalFormatting>
  <conditionalFormatting sqref="AI299:AJ299">
    <cfRule type="cellIs" dxfId="1" priority="5662" operator="equal">
      <formula>"未完成"</formula>
    </cfRule>
    <cfRule type="cellIs" dxfId="0" priority="5706" operator="equal">
      <formula>"未完成"</formula>
    </cfRule>
  </conditionalFormatting>
  <conditionalFormatting sqref="R300">
    <cfRule type="cellIs" dxfId="0" priority="5837" operator="equal">
      <formula>"欠"</formula>
    </cfRule>
  </conditionalFormatting>
  <conditionalFormatting sqref="S300">
    <cfRule type="cellIs" dxfId="0" priority="5793" operator="equal">
      <formula>"欠"</formula>
    </cfRule>
  </conditionalFormatting>
  <conditionalFormatting sqref="T300:U300">
    <cfRule type="cellIs" dxfId="0" priority="5749" operator="equal">
      <formula>"欠"</formula>
    </cfRule>
  </conditionalFormatting>
  <conditionalFormatting sqref="AI300:AJ300">
    <cfRule type="cellIs" dxfId="1" priority="5661" operator="equal">
      <formula>"未完成"</formula>
    </cfRule>
    <cfRule type="cellIs" dxfId="0" priority="5705" operator="equal">
      <formula>"未完成"</formula>
    </cfRule>
  </conditionalFormatting>
  <conditionalFormatting sqref="R301">
    <cfRule type="cellIs" dxfId="0" priority="5836" operator="equal">
      <formula>"欠"</formula>
    </cfRule>
  </conditionalFormatting>
  <conditionalFormatting sqref="S301">
    <cfRule type="cellIs" dxfId="0" priority="5792" operator="equal">
      <formula>"欠"</formula>
    </cfRule>
  </conditionalFormatting>
  <conditionalFormatting sqref="T301:U301">
    <cfRule type="cellIs" dxfId="0" priority="5748" operator="equal">
      <formula>"欠"</formula>
    </cfRule>
  </conditionalFormatting>
  <conditionalFormatting sqref="AI301:AJ301">
    <cfRule type="cellIs" dxfId="1" priority="5660" operator="equal">
      <formula>"未完成"</formula>
    </cfRule>
    <cfRule type="cellIs" dxfId="0" priority="5704" operator="equal">
      <formula>"未完成"</formula>
    </cfRule>
  </conditionalFormatting>
  <conditionalFormatting sqref="R302">
    <cfRule type="cellIs" dxfId="0" priority="5835" operator="equal">
      <formula>"欠"</formula>
    </cfRule>
  </conditionalFormatting>
  <conditionalFormatting sqref="S302">
    <cfRule type="cellIs" dxfId="0" priority="5791" operator="equal">
      <formula>"欠"</formula>
    </cfRule>
  </conditionalFormatting>
  <conditionalFormatting sqref="T302:U302">
    <cfRule type="cellIs" dxfId="0" priority="5747" operator="equal">
      <formula>"欠"</formula>
    </cfRule>
  </conditionalFormatting>
  <conditionalFormatting sqref="AI302:AJ302">
    <cfRule type="cellIs" dxfId="1" priority="5659" operator="equal">
      <formula>"未完成"</formula>
    </cfRule>
    <cfRule type="cellIs" dxfId="0" priority="5703" operator="equal">
      <formula>"未完成"</formula>
    </cfRule>
  </conditionalFormatting>
  <conditionalFormatting sqref="R303">
    <cfRule type="cellIs" dxfId="0" priority="5600" operator="equal">
      <formula>"欠"</formula>
    </cfRule>
  </conditionalFormatting>
  <conditionalFormatting sqref="S303">
    <cfRule type="cellIs" dxfId="0" priority="5576" operator="equal">
      <formula>"欠"</formula>
    </cfRule>
  </conditionalFormatting>
  <conditionalFormatting sqref="T303:U303">
    <cfRule type="cellIs" dxfId="0" priority="5552" operator="equal">
      <formula>"欠"</formula>
    </cfRule>
  </conditionalFormatting>
  <conditionalFormatting sqref="AI303:AJ303">
    <cfRule type="cellIs" dxfId="1" priority="5504" operator="equal">
      <formula>"未完成"</formula>
    </cfRule>
    <cfRule type="cellIs" dxfId="0" priority="5528" operator="equal">
      <formula>"未完成"</formula>
    </cfRule>
  </conditionalFormatting>
  <conditionalFormatting sqref="R304">
    <cfRule type="cellIs" dxfId="0" priority="5599" operator="equal">
      <formula>"欠"</formula>
    </cfRule>
  </conditionalFormatting>
  <conditionalFormatting sqref="S304">
    <cfRule type="cellIs" dxfId="0" priority="5575" operator="equal">
      <formula>"欠"</formula>
    </cfRule>
  </conditionalFormatting>
  <conditionalFormatting sqref="T304:U304">
    <cfRule type="cellIs" dxfId="0" priority="5551" operator="equal">
      <formula>"欠"</formula>
    </cfRule>
  </conditionalFormatting>
  <conditionalFormatting sqref="AI304:AJ304">
    <cfRule type="cellIs" dxfId="1" priority="5503" operator="equal">
      <formula>"未完成"</formula>
    </cfRule>
    <cfRule type="cellIs" dxfId="0" priority="5527" operator="equal">
      <formula>"未完成"</formula>
    </cfRule>
  </conditionalFormatting>
  <conditionalFormatting sqref="R305">
    <cfRule type="cellIs" dxfId="0" priority="5598" operator="equal">
      <formula>"欠"</formula>
    </cfRule>
  </conditionalFormatting>
  <conditionalFormatting sqref="S305">
    <cfRule type="cellIs" dxfId="0" priority="5574" operator="equal">
      <formula>"欠"</formula>
    </cfRule>
  </conditionalFormatting>
  <conditionalFormatting sqref="T305:U305">
    <cfRule type="cellIs" dxfId="0" priority="5550" operator="equal">
      <formula>"欠"</formula>
    </cfRule>
  </conditionalFormatting>
  <conditionalFormatting sqref="AI305:AJ305">
    <cfRule type="cellIs" dxfId="1" priority="5502" operator="equal">
      <formula>"未完成"</formula>
    </cfRule>
    <cfRule type="cellIs" dxfId="0" priority="5526" operator="equal">
      <formula>"未完成"</formula>
    </cfRule>
  </conditionalFormatting>
  <conditionalFormatting sqref="R306">
    <cfRule type="cellIs" dxfId="0" priority="5597" operator="equal">
      <formula>"欠"</formula>
    </cfRule>
  </conditionalFormatting>
  <conditionalFormatting sqref="S306">
    <cfRule type="cellIs" dxfId="0" priority="5573" operator="equal">
      <formula>"欠"</formula>
    </cfRule>
  </conditionalFormatting>
  <conditionalFormatting sqref="T306:U306">
    <cfRule type="cellIs" dxfId="0" priority="5549" operator="equal">
      <formula>"欠"</formula>
    </cfRule>
  </conditionalFormatting>
  <conditionalFormatting sqref="AI306:AJ306">
    <cfRule type="cellIs" dxfId="1" priority="5501" operator="equal">
      <formula>"未完成"</formula>
    </cfRule>
    <cfRule type="cellIs" dxfId="0" priority="5525" operator="equal">
      <formula>"未完成"</formula>
    </cfRule>
  </conditionalFormatting>
  <conditionalFormatting sqref="R307">
    <cfRule type="cellIs" dxfId="0" priority="5596" operator="equal">
      <formula>"欠"</formula>
    </cfRule>
  </conditionalFormatting>
  <conditionalFormatting sqref="S307">
    <cfRule type="cellIs" dxfId="0" priority="5572" operator="equal">
      <formula>"欠"</formula>
    </cfRule>
  </conditionalFormatting>
  <conditionalFormatting sqref="T307:U307">
    <cfRule type="cellIs" dxfId="0" priority="5548" operator="equal">
      <formula>"欠"</formula>
    </cfRule>
  </conditionalFormatting>
  <conditionalFormatting sqref="AI307:AJ307">
    <cfRule type="cellIs" dxfId="1" priority="5500" operator="equal">
      <formula>"未完成"</formula>
    </cfRule>
    <cfRule type="cellIs" dxfId="0" priority="5524" operator="equal">
      <formula>"未完成"</formula>
    </cfRule>
  </conditionalFormatting>
  <conditionalFormatting sqref="R308">
    <cfRule type="cellIs" dxfId="0" priority="5595" operator="equal">
      <formula>"欠"</formula>
    </cfRule>
  </conditionalFormatting>
  <conditionalFormatting sqref="S308">
    <cfRule type="cellIs" dxfId="0" priority="5571" operator="equal">
      <formula>"欠"</formula>
    </cfRule>
  </conditionalFormatting>
  <conditionalFormatting sqref="T308:U308">
    <cfRule type="cellIs" dxfId="0" priority="5547" operator="equal">
      <formula>"欠"</formula>
    </cfRule>
  </conditionalFormatting>
  <conditionalFormatting sqref="AI308:AJ308">
    <cfRule type="cellIs" dxfId="1" priority="5499" operator="equal">
      <formula>"未完成"</formula>
    </cfRule>
    <cfRule type="cellIs" dxfId="0" priority="5523" operator="equal">
      <formula>"未完成"</formula>
    </cfRule>
  </conditionalFormatting>
  <conditionalFormatting sqref="R309">
    <cfRule type="cellIs" dxfId="0" priority="5594" operator="equal">
      <formula>"欠"</formula>
    </cfRule>
  </conditionalFormatting>
  <conditionalFormatting sqref="S309">
    <cfRule type="cellIs" dxfId="0" priority="5570" operator="equal">
      <formula>"欠"</formula>
    </cfRule>
  </conditionalFormatting>
  <conditionalFormatting sqref="T309:U309">
    <cfRule type="cellIs" dxfId="0" priority="5546" operator="equal">
      <formula>"欠"</formula>
    </cfRule>
  </conditionalFormatting>
  <conditionalFormatting sqref="AI309:AJ309">
    <cfRule type="cellIs" dxfId="1" priority="5498" operator="equal">
      <formula>"未完成"</formula>
    </cfRule>
    <cfRule type="cellIs" dxfId="0" priority="5522" operator="equal">
      <formula>"未完成"</formula>
    </cfRule>
  </conditionalFormatting>
  <conditionalFormatting sqref="R310">
    <cfRule type="cellIs" dxfId="0" priority="5593" operator="equal">
      <formula>"欠"</formula>
    </cfRule>
  </conditionalFormatting>
  <conditionalFormatting sqref="S310">
    <cfRule type="cellIs" dxfId="0" priority="5569" operator="equal">
      <formula>"欠"</formula>
    </cfRule>
  </conditionalFormatting>
  <conditionalFormatting sqref="T310:U310">
    <cfRule type="cellIs" dxfId="0" priority="5545" operator="equal">
      <formula>"欠"</formula>
    </cfRule>
  </conditionalFormatting>
  <conditionalFormatting sqref="AI310:AJ310">
    <cfRule type="cellIs" dxfId="1" priority="5497" operator="equal">
      <formula>"未完成"</formula>
    </cfRule>
    <cfRule type="cellIs" dxfId="0" priority="5521" operator="equal">
      <formula>"未完成"</formula>
    </cfRule>
  </conditionalFormatting>
  <conditionalFormatting sqref="R311">
    <cfRule type="cellIs" dxfId="0" priority="5592" operator="equal">
      <formula>"欠"</formula>
    </cfRule>
  </conditionalFormatting>
  <conditionalFormatting sqref="S311">
    <cfRule type="cellIs" dxfId="0" priority="5568" operator="equal">
      <formula>"欠"</formula>
    </cfRule>
  </conditionalFormatting>
  <conditionalFormatting sqref="T311:U311">
    <cfRule type="cellIs" dxfId="0" priority="5544" operator="equal">
      <formula>"欠"</formula>
    </cfRule>
  </conditionalFormatting>
  <conditionalFormatting sqref="AI311:AJ311">
    <cfRule type="cellIs" dxfId="1" priority="5496" operator="equal">
      <formula>"未完成"</formula>
    </cfRule>
    <cfRule type="cellIs" dxfId="0" priority="5520" operator="equal">
      <formula>"未完成"</formula>
    </cfRule>
  </conditionalFormatting>
  <conditionalFormatting sqref="R312">
    <cfRule type="cellIs" dxfId="0" priority="5591" operator="equal">
      <formula>"欠"</formula>
    </cfRule>
  </conditionalFormatting>
  <conditionalFormatting sqref="S312">
    <cfRule type="cellIs" dxfId="0" priority="5567" operator="equal">
      <formula>"欠"</formula>
    </cfRule>
  </conditionalFormatting>
  <conditionalFormatting sqref="T312:U312">
    <cfRule type="cellIs" dxfId="0" priority="5543" operator="equal">
      <formula>"欠"</formula>
    </cfRule>
  </conditionalFormatting>
  <conditionalFormatting sqref="AI312:AJ312">
    <cfRule type="cellIs" dxfId="1" priority="5495" operator="equal">
      <formula>"未完成"</formula>
    </cfRule>
    <cfRule type="cellIs" dxfId="0" priority="5519" operator="equal">
      <formula>"未完成"</formula>
    </cfRule>
  </conditionalFormatting>
  <conditionalFormatting sqref="R313">
    <cfRule type="cellIs" dxfId="0" priority="5590" operator="equal">
      <formula>"欠"</formula>
    </cfRule>
  </conditionalFormatting>
  <conditionalFormatting sqref="S313">
    <cfRule type="cellIs" dxfId="0" priority="5566" operator="equal">
      <formula>"欠"</formula>
    </cfRule>
  </conditionalFormatting>
  <conditionalFormatting sqref="T313:U313">
    <cfRule type="cellIs" dxfId="0" priority="5542" operator="equal">
      <formula>"欠"</formula>
    </cfRule>
  </conditionalFormatting>
  <conditionalFormatting sqref="AI313:AJ313">
    <cfRule type="cellIs" dxfId="1" priority="5494" operator="equal">
      <formula>"未完成"</formula>
    </cfRule>
    <cfRule type="cellIs" dxfId="0" priority="5518" operator="equal">
      <formula>"未完成"</formula>
    </cfRule>
  </conditionalFormatting>
  <conditionalFormatting sqref="R314">
    <cfRule type="cellIs" dxfId="0" priority="5589" operator="equal">
      <formula>"欠"</formula>
    </cfRule>
  </conditionalFormatting>
  <conditionalFormatting sqref="S314">
    <cfRule type="cellIs" dxfId="0" priority="5565" operator="equal">
      <formula>"欠"</formula>
    </cfRule>
  </conditionalFormatting>
  <conditionalFormatting sqref="T314:U314">
    <cfRule type="cellIs" dxfId="0" priority="5541" operator="equal">
      <formula>"欠"</formula>
    </cfRule>
  </conditionalFormatting>
  <conditionalFormatting sqref="AI314:AJ314">
    <cfRule type="cellIs" dxfId="1" priority="5493" operator="equal">
      <formula>"未完成"</formula>
    </cfRule>
    <cfRule type="cellIs" dxfId="0" priority="5517" operator="equal">
      <formula>"未完成"</formula>
    </cfRule>
  </conditionalFormatting>
  <conditionalFormatting sqref="R315">
    <cfRule type="cellIs" dxfId="0" priority="5588" operator="equal">
      <formula>"欠"</formula>
    </cfRule>
  </conditionalFormatting>
  <conditionalFormatting sqref="S315">
    <cfRule type="cellIs" dxfId="0" priority="5564" operator="equal">
      <formula>"欠"</formula>
    </cfRule>
  </conditionalFormatting>
  <conditionalFormatting sqref="T315:U315">
    <cfRule type="cellIs" dxfId="0" priority="5540" operator="equal">
      <formula>"欠"</formula>
    </cfRule>
  </conditionalFormatting>
  <conditionalFormatting sqref="AI315:AJ315">
    <cfRule type="cellIs" dxfId="1" priority="5492" operator="equal">
      <formula>"未完成"</formula>
    </cfRule>
    <cfRule type="cellIs" dxfId="0" priority="5516" operator="equal">
      <formula>"未完成"</formula>
    </cfRule>
  </conditionalFormatting>
  <conditionalFormatting sqref="R316">
    <cfRule type="cellIs" dxfId="0" priority="5587" operator="equal">
      <formula>"欠"</formula>
    </cfRule>
  </conditionalFormatting>
  <conditionalFormatting sqref="S316">
    <cfRule type="cellIs" dxfId="0" priority="5563" operator="equal">
      <formula>"欠"</formula>
    </cfRule>
  </conditionalFormatting>
  <conditionalFormatting sqref="T316:U316">
    <cfRule type="cellIs" dxfId="0" priority="5539" operator="equal">
      <formula>"欠"</formula>
    </cfRule>
  </conditionalFormatting>
  <conditionalFormatting sqref="AI316:AJ316">
    <cfRule type="cellIs" dxfId="1" priority="5491" operator="equal">
      <formula>"未完成"</formula>
    </cfRule>
    <cfRule type="cellIs" dxfId="0" priority="5515" operator="equal">
      <formula>"未完成"</formula>
    </cfRule>
  </conditionalFormatting>
  <conditionalFormatting sqref="R317">
    <cfRule type="cellIs" dxfId="0" priority="5586" operator="equal">
      <formula>"欠"</formula>
    </cfRule>
  </conditionalFormatting>
  <conditionalFormatting sqref="S317">
    <cfRule type="cellIs" dxfId="0" priority="5562" operator="equal">
      <formula>"欠"</formula>
    </cfRule>
  </conditionalFormatting>
  <conditionalFormatting sqref="T317:U317">
    <cfRule type="cellIs" dxfId="0" priority="5538" operator="equal">
      <formula>"欠"</formula>
    </cfRule>
  </conditionalFormatting>
  <conditionalFormatting sqref="AI317:AJ317">
    <cfRule type="cellIs" dxfId="1" priority="5490" operator="equal">
      <formula>"未完成"</formula>
    </cfRule>
    <cfRule type="cellIs" dxfId="0" priority="5514" operator="equal">
      <formula>"未完成"</formula>
    </cfRule>
  </conditionalFormatting>
  <conditionalFormatting sqref="R318">
    <cfRule type="cellIs" dxfId="0" priority="5585" operator="equal">
      <formula>"欠"</formula>
    </cfRule>
  </conditionalFormatting>
  <conditionalFormatting sqref="S318">
    <cfRule type="cellIs" dxfId="0" priority="5561" operator="equal">
      <formula>"欠"</formula>
    </cfRule>
  </conditionalFormatting>
  <conditionalFormatting sqref="T318:U318">
    <cfRule type="cellIs" dxfId="0" priority="5537" operator="equal">
      <formula>"欠"</formula>
    </cfRule>
  </conditionalFormatting>
  <conditionalFormatting sqref="AI318:AJ318">
    <cfRule type="cellIs" dxfId="1" priority="5489" operator="equal">
      <formula>"未完成"</formula>
    </cfRule>
    <cfRule type="cellIs" dxfId="0" priority="5513" operator="equal">
      <formula>"未完成"</formula>
    </cfRule>
  </conditionalFormatting>
  <conditionalFormatting sqref="R319">
    <cfRule type="cellIs" dxfId="0" priority="5584" operator="equal">
      <formula>"欠"</formula>
    </cfRule>
  </conditionalFormatting>
  <conditionalFormatting sqref="S319">
    <cfRule type="cellIs" dxfId="0" priority="5560" operator="equal">
      <formula>"欠"</formula>
    </cfRule>
  </conditionalFormatting>
  <conditionalFormatting sqref="T319:U319">
    <cfRule type="cellIs" dxfId="0" priority="5536" operator="equal">
      <formula>"欠"</formula>
    </cfRule>
  </conditionalFormatting>
  <conditionalFormatting sqref="AI319:AJ319">
    <cfRule type="cellIs" dxfId="1" priority="5488" operator="equal">
      <formula>"未完成"</formula>
    </cfRule>
    <cfRule type="cellIs" dxfId="0" priority="5512" operator="equal">
      <formula>"未完成"</formula>
    </cfRule>
  </conditionalFormatting>
  <conditionalFormatting sqref="R320">
    <cfRule type="cellIs" dxfId="0" priority="5583" operator="equal">
      <formula>"欠"</formula>
    </cfRule>
  </conditionalFormatting>
  <conditionalFormatting sqref="S320">
    <cfRule type="cellIs" dxfId="0" priority="5559" operator="equal">
      <formula>"欠"</formula>
    </cfRule>
  </conditionalFormatting>
  <conditionalFormatting sqref="T320:U320">
    <cfRule type="cellIs" dxfId="0" priority="5535" operator="equal">
      <formula>"欠"</formula>
    </cfRule>
  </conditionalFormatting>
  <conditionalFormatting sqref="AI320:AJ320">
    <cfRule type="cellIs" dxfId="1" priority="5487" operator="equal">
      <formula>"未完成"</formula>
    </cfRule>
    <cfRule type="cellIs" dxfId="0" priority="5511" operator="equal">
      <formula>"未完成"</formula>
    </cfRule>
  </conditionalFormatting>
  <conditionalFormatting sqref="R321">
    <cfRule type="cellIs" dxfId="0" priority="5582" operator="equal">
      <formula>"欠"</formula>
    </cfRule>
  </conditionalFormatting>
  <conditionalFormatting sqref="S321">
    <cfRule type="cellIs" dxfId="0" priority="5558" operator="equal">
      <formula>"欠"</formula>
    </cfRule>
  </conditionalFormatting>
  <conditionalFormatting sqref="T321:U321">
    <cfRule type="cellIs" dxfId="0" priority="5534" operator="equal">
      <formula>"欠"</formula>
    </cfRule>
  </conditionalFormatting>
  <conditionalFormatting sqref="AI321:AJ321">
    <cfRule type="cellIs" dxfId="1" priority="5486" operator="equal">
      <formula>"未完成"</formula>
    </cfRule>
    <cfRule type="cellIs" dxfId="0" priority="5510" operator="equal">
      <formula>"未完成"</formula>
    </cfRule>
  </conditionalFormatting>
  <conditionalFormatting sqref="R322">
    <cfRule type="cellIs" dxfId="0" priority="5581" operator="equal">
      <formula>"欠"</formula>
    </cfRule>
  </conditionalFormatting>
  <conditionalFormatting sqref="S322">
    <cfRule type="cellIs" dxfId="0" priority="5557" operator="equal">
      <formula>"欠"</formula>
    </cfRule>
  </conditionalFormatting>
  <conditionalFormatting sqref="T322:U322">
    <cfRule type="cellIs" dxfId="0" priority="5533" operator="equal">
      <formula>"欠"</formula>
    </cfRule>
  </conditionalFormatting>
  <conditionalFormatting sqref="AI322:AJ322">
    <cfRule type="cellIs" dxfId="1" priority="5485" operator="equal">
      <formula>"未完成"</formula>
    </cfRule>
    <cfRule type="cellIs" dxfId="0" priority="5509" operator="equal">
      <formula>"未完成"</formula>
    </cfRule>
  </conditionalFormatting>
  <conditionalFormatting sqref="R323">
    <cfRule type="cellIs" dxfId="0" priority="5580" operator="equal">
      <formula>"欠"</formula>
    </cfRule>
  </conditionalFormatting>
  <conditionalFormatting sqref="S323">
    <cfRule type="cellIs" dxfId="0" priority="5556" operator="equal">
      <formula>"欠"</formula>
    </cfRule>
  </conditionalFormatting>
  <conditionalFormatting sqref="T323:U323">
    <cfRule type="cellIs" dxfId="0" priority="5532" operator="equal">
      <formula>"欠"</formula>
    </cfRule>
  </conditionalFormatting>
  <conditionalFormatting sqref="AI323:AJ323">
    <cfRule type="cellIs" dxfId="1" priority="5484" operator="equal">
      <formula>"未完成"</formula>
    </cfRule>
    <cfRule type="cellIs" dxfId="0" priority="5508" operator="equal">
      <formula>"未完成"</formula>
    </cfRule>
  </conditionalFormatting>
  <conditionalFormatting sqref="R324">
    <cfRule type="cellIs" dxfId="0" priority="5579" operator="equal">
      <formula>"欠"</formula>
    </cfRule>
  </conditionalFormatting>
  <conditionalFormatting sqref="S324">
    <cfRule type="cellIs" dxfId="0" priority="5555" operator="equal">
      <formula>"欠"</formula>
    </cfRule>
  </conditionalFormatting>
  <conditionalFormatting sqref="T324:U324">
    <cfRule type="cellIs" dxfId="0" priority="5531" operator="equal">
      <formula>"欠"</formula>
    </cfRule>
  </conditionalFormatting>
  <conditionalFormatting sqref="AI324:AJ324">
    <cfRule type="cellIs" dxfId="1" priority="5483" operator="equal">
      <formula>"未完成"</formula>
    </cfRule>
    <cfRule type="cellIs" dxfId="0" priority="5507" operator="equal">
      <formula>"未完成"</formula>
    </cfRule>
  </conditionalFormatting>
  <conditionalFormatting sqref="R325">
    <cfRule type="cellIs" dxfId="0" priority="5578" operator="equal">
      <formula>"欠"</formula>
    </cfRule>
  </conditionalFormatting>
  <conditionalFormatting sqref="S325">
    <cfRule type="cellIs" dxfId="0" priority="5554" operator="equal">
      <formula>"欠"</formula>
    </cfRule>
  </conditionalFormatting>
  <conditionalFormatting sqref="T325:U325">
    <cfRule type="cellIs" dxfId="0" priority="5530" operator="equal">
      <formula>"欠"</formula>
    </cfRule>
  </conditionalFormatting>
  <conditionalFormatting sqref="AI325:AJ325">
    <cfRule type="cellIs" dxfId="1" priority="5482" operator="equal">
      <formula>"未完成"</formula>
    </cfRule>
    <cfRule type="cellIs" dxfId="0" priority="5506" operator="equal">
      <formula>"未完成"</formula>
    </cfRule>
  </conditionalFormatting>
  <conditionalFormatting sqref="R326">
    <cfRule type="cellIs" dxfId="0" priority="5577" operator="equal">
      <formula>"欠"</formula>
    </cfRule>
  </conditionalFormatting>
  <conditionalFormatting sqref="S326">
    <cfRule type="cellIs" dxfId="0" priority="5553" operator="equal">
      <formula>"欠"</formula>
    </cfRule>
  </conditionalFormatting>
  <conditionalFormatting sqref="T326:U326">
    <cfRule type="cellIs" dxfId="0" priority="5529" operator="equal">
      <formula>"欠"</formula>
    </cfRule>
  </conditionalFormatting>
  <conditionalFormatting sqref="AI326:AJ326">
    <cfRule type="cellIs" dxfId="1" priority="5481" operator="equal">
      <formula>"未完成"</formula>
    </cfRule>
    <cfRule type="cellIs" dxfId="0" priority="5505" operator="equal">
      <formula>"未完成"</formula>
    </cfRule>
  </conditionalFormatting>
  <conditionalFormatting sqref="R327">
    <cfRule type="cellIs" dxfId="0" priority="5461" operator="equal">
      <formula>"欠"</formula>
    </cfRule>
  </conditionalFormatting>
  <conditionalFormatting sqref="S327">
    <cfRule type="cellIs" dxfId="0" priority="5450" operator="equal">
      <formula>"欠"</formula>
    </cfRule>
  </conditionalFormatting>
  <conditionalFormatting sqref="T327:U327">
    <cfRule type="cellIs" dxfId="0" priority="5439" operator="equal">
      <formula>"欠"</formula>
    </cfRule>
  </conditionalFormatting>
  <conditionalFormatting sqref="AD327:AE327">
    <cfRule type="cellIs" dxfId="0" priority="5472" operator="equal">
      <formula>"未完成"</formula>
    </cfRule>
  </conditionalFormatting>
  <conditionalFormatting sqref="AI327:AJ327">
    <cfRule type="cellIs" dxfId="1" priority="5417" operator="equal">
      <formula>"未完成"</formula>
    </cfRule>
    <cfRule type="cellIs" dxfId="0" priority="5428" operator="equal">
      <formula>"未完成"</formula>
    </cfRule>
  </conditionalFormatting>
  <conditionalFormatting sqref="R328">
    <cfRule type="cellIs" dxfId="0" priority="5460" operator="equal">
      <formula>"欠"</formula>
    </cfRule>
  </conditionalFormatting>
  <conditionalFormatting sqref="S328">
    <cfRule type="cellIs" dxfId="0" priority="5449" operator="equal">
      <formula>"欠"</formula>
    </cfRule>
  </conditionalFormatting>
  <conditionalFormatting sqref="T328:U328">
    <cfRule type="cellIs" dxfId="0" priority="5438" operator="equal">
      <formula>"欠"</formula>
    </cfRule>
  </conditionalFormatting>
  <conditionalFormatting sqref="AD328:AE328">
    <cfRule type="cellIs" dxfId="0" priority="5471" operator="equal">
      <formula>"未完成"</formula>
    </cfRule>
  </conditionalFormatting>
  <conditionalFormatting sqref="AI328:AJ328">
    <cfRule type="cellIs" dxfId="1" priority="5416" operator="equal">
      <formula>"未完成"</formula>
    </cfRule>
    <cfRule type="cellIs" dxfId="0" priority="5427" operator="equal">
      <formula>"未完成"</formula>
    </cfRule>
  </conditionalFormatting>
  <conditionalFormatting sqref="R329">
    <cfRule type="cellIs" dxfId="0" priority="5459" operator="equal">
      <formula>"欠"</formula>
    </cfRule>
  </conditionalFormatting>
  <conditionalFormatting sqref="S329">
    <cfRule type="cellIs" dxfId="0" priority="5448" operator="equal">
      <formula>"欠"</formula>
    </cfRule>
  </conditionalFormatting>
  <conditionalFormatting sqref="T329:U329">
    <cfRule type="cellIs" dxfId="0" priority="5437" operator="equal">
      <formula>"欠"</formula>
    </cfRule>
  </conditionalFormatting>
  <conditionalFormatting sqref="AD329:AE329">
    <cfRule type="cellIs" dxfId="0" priority="5470" operator="equal">
      <formula>"未完成"</formula>
    </cfRule>
  </conditionalFormatting>
  <conditionalFormatting sqref="AI329:AJ329">
    <cfRule type="cellIs" dxfId="1" priority="5415" operator="equal">
      <formula>"未完成"</formula>
    </cfRule>
    <cfRule type="cellIs" dxfId="0" priority="5426" operator="equal">
      <formula>"未完成"</formula>
    </cfRule>
  </conditionalFormatting>
  <conditionalFormatting sqref="R330">
    <cfRule type="cellIs" dxfId="0" priority="5458" operator="equal">
      <formula>"欠"</formula>
    </cfRule>
  </conditionalFormatting>
  <conditionalFormatting sqref="S330">
    <cfRule type="cellIs" dxfId="0" priority="5447" operator="equal">
      <formula>"欠"</formula>
    </cfRule>
  </conditionalFormatting>
  <conditionalFormatting sqref="T330:U330">
    <cfRule type="cellIs" dxfId="0" priority="5436" operator="equal">
      <formula>"欠"</formula>
    </cfRule>
  </conditionalFormatting>
  <conditionalFormatting sqref="AD330:AE330">
    <cfRule type="cellIs" dxfId="0" priority="5469" operator="equal">
      <formula>"未完成"</formula>
    </cfRule>
  </conditionalFormatting>
  <conditionalFormatting sqref="AI330:AJ330">
    <cfRule type="cellIs" dxfId="1" priority="5414" operator="equal">
      <formula>"未完成"</formula>
    </cfRule>
    <cfRule type="cellIs" dxfId="0" priority="5425" operator="equal">
      <formula>"未完成"</formula>
    </cfRule>
  </conditionalFormatting>
  <conditionalFormatting sqref="R331">
    <cfRule type="cellIs" dxfId="0" priority="5457" operator="equal">
      <formula>"欠"</formula>
    </cfRule>
  </conditionalFormatting>
  <conditionalFormatting sqref="S331">
    <cfRule type="cellIs" dxfId="0" priority="5446" operator="equal">
      <formula>"欠"</formula>
    </cfRule>
  </conditionalFormatting>
  <conditionalFormatting sqref="T331:U331">
    <cfRule type="cellIs" dxfId="0" priority="5435" operator="equal">
      <formula>"欠"</formula>
    </cfRule>
  </conditionalFormatting>
  <conditionalFormatting sqref="AD331:AE331">
    <cfRule type="cellIs" dxfId="0" priority="5468" operator="equal">
      <formula>"未完成"</formula>
    </cfRule>
  </conditionalFormatting>
  <conditionalFormatting sqref="AI331:AJ331">
    <cfRule type="cellIs" dxfId="1" priority="5413" operator="equal">
      <formula>"未完成"</formula>
    </cfRule>
    <cfRule type="cellIs" dxfId="0" priority="5424" operator="equal">
      <formula>"未完成"</formula>
    </cfRule>
  </conditionalFormatting>
  <conditionalFormatting sqref="R332">
    <cfRule type="cellIs" dxfId="0" priority="5456" operator="equal">
      <formula>"欠"</formula>
    </cfRule>
  </conditionalFormatting>
  <conditionalFormatting sqref="S332">
    <cfRule type="cellIs" dxfId="0" priority="5445" operator="equal">
      <formula>"欠"</formula>
    </cfRule>
  </conditionalFormatting>
  <conditionalFormatting sqref="T332:U332">
    <cfRule type="cellIs" dxfId="0" priority="5434" operator="equal">
      <formula>"欠"</formula>
    </cfRule>
  </conditionalFormatting>
  <conditionalFormatting sqref="AD332:AE332">
    <cfRule type="cellIs" dxfId="0" priority="5467" operator="equal">
      <formula>"未完成"</formula>
    </cfRule>
  </conditionalFormatting>
  <conditionalFormatting sqref="AI332:AJ332">
    <cfRule type="cellIs" dxfId="1" priority="5412" operator="equal">
      <formula>"未完成"</formula>
    </cfRule>
    <cfRule type="cellIs" dxfId="0" priority="5423" operator="equal">
      <formula>"未完成"</formula>
    </cfRule>
  </conditionalFormatting>
  <conditionalFormatting sqref="R333">
    <cfRule type="cellIs" dxfId="0" priority="5455" operator="equal">
      <formula>"欠"</formula>
    </cfRule>
  </conditionalFormatting>
  <conditionalFormatting sqref="S333">
    <cfRule type="cellIs" dxfId="0" priority="5444" operator="equal">
      <formula>"欠"</formula>
    </cfRule>
  </conditionalFormatting>
  <conditionalFormatting sqref="T333:U333">
    <cfRule type="cellIs" dxfId="0" priority="5433" operator="equal">
      <formula>"欠"</formula>
    </cfRule>
  </conditionalFormatting>
  <conditionalFormatting sqref="AD333:AE333">
    <cfRule type="cellIs" dxfId="0" priority="5466" operator="equal">
      <formula>"未完成"</formula>
    </cfRule>
  </conditionalFormatting>
  <conditionalFormatting sqref="AI333:AJ333">
    <cfRule type="cellIs" dxfId="1" priority="5411" operator="equal">
      <formula>"未完成"</formula>
    </cfRule>
    <cfRule type="cellIs" dxfId="0" priority="5422" operator="equal">
      <formula>"未完成"</formula>
    </cfRule>
  </conditionalFormatting>
  <conditionalFormatting sqref="R334">
    <cfRule type="cellIs" dxfId="0" priority="5454" operator="equal">
      <formula>"欠"</formula>
    </cfRule>
  </conditionalFormatting>
  <conditionalFormatting sqref="S334">
    <cfRule type="cellIs" dxfId="0" priority="5443" operator="equal">
      <formula>"欠"</formula>
    </cfRule>
  </conditionalFormatting>
  <conditionalFormatting sqref="T334:U334">
    <cfRule type="cellIs" dxfId="0" priority="5432" operator="equal">
      <formula>"欠"</formula>
    </cfRule>
  </conditionalFormatting>
  <conditionalFormatting sqref="AD334:AE334">
    <cfRule type="cellIs" dxfId="0" priority="5465" operator="equal">
      <formula>"未完成"</formula>
    </cfRule>
  </conditionalFormatting>
  <conditionalFormatting sqref="AI334:AJ334">
    <cfRule type="cellIs" dxfId="1" priority="5410" operator="equal">
      <formula>"未完成"</formula>
    </cfRule>
    <cfRule type="cellIs" dxfId="0" priority="5421" operator="equal">
      <formula>"未完成"</formula>
    </cfRule>
  </conditionalFormatting>
  <conditionalFormatting sqref="R335">
    <cfRule type="cellIs" dxfId="0" priority="5453" operator="equal">
      <formula>"欠"</formula>
    </cfRule>
  </conditionalFormatting>
  <conditionalFormatting sqref="S335">
    <cfRule type="cellIs" dxfId="0" priority="5442" operator="equal">
      <formula>"欠"</formula>
    </cfRule>
  </conditionalFormatting>
  <conditionalFormatting sqref="T335:U335">
    <cfRule type="cellIs" dxfId="0" priority="5431" operator="equal">
      <formula>"欠"</formula>
    </cfRule>
  </conditionalFormatting>
  <conditionalFormatting sqref="AD335:AE335">
    <cfRule type="cellIs" dxfId="0" priority="5464" operator="equal">
      <formula>"未完成"</formula>
    </cfRule>
  </conditionalFormatting>
  <conditionalFormatting sqref="AI335:AJ335">
    <cfRule type="cellIs" dxfId="1" priority="5409" operator="equal">
      <formula>"未完成"</formula>
    </cfRule>
    <cfRule type="cellIs" dxfId="0" priority="5420" operator="equal">
      <formula>"未完成"</formula>
    </cfRule>
  </conditionalFormatting>
  <conditionalFormatting sqref="R336">
    <cfRule type="cellIs" dxfId="0" priority="5452" operator="equal">
      <formula>"欠"</formula>
    </cfRule>
  </conditionalFormatting>
  <conditionalFormatting sqref="S336">
    <cfRule type="cellIs" dxfId="0" priority="5441" operator="equal">
      <formula>"欠"</formula>
    </cfRule>
  </conditionalFormatting>
  <conditionalFormatting sqref="T336:U336">
    <cfRule type="cellIs" dxfId="0" priority="5430" operator="equal">
      <formula>"欠"</formula>
    </cfRule>
  </conditionalFormatting>
  <conditionalFormatting sqref="AD336:AE336">
    <cfRule type="cellIs" dxfId="0" priority="5463" operator="equal">
      <formula>"未完成"</formula>
    </cfRule>
  </conditionalFormatting>
  <conditionalFormatting sqref="AI336:AJ336">
    <cfRule type="cellIs" dxfId="1" priority="5408" operator="equal">
      <formula>"未完成"</formula>
    </cfRule>
    <cfRule type="cellIs" dxfId="0" priority="5419" operator="equal">
      <formula>"未完成"</formula>
    </cfRule>
  </conditionalFormatting>
  <conditionalFormatting sqref="R337">
    <cfRule type="cellIs" dxfId="0" priority="5451" operator="equal">
      <formula>"欠"</formula>
    </cfRule>
  </conditionalFormatting>
  <conditionalFormatting sqref="S337">
    <cfRule type="cellIs" dxfId="0" priority="5440" operator="equal">
      <formula>"欠"</formula>
    </cfRule>
  </conditionalFormatting>
  <conditionalFormatting sqref="T337:U337">
    <cfRule type="cellIs" dxfId="0" priority="5429" operator="equal">
      <formula>"欠"</formula>
    </cfRule>
  </conditionalFormatting>
  <conditionalFormatting sqref="AD337:AE337">
    <cfRule type="cellIs" dxfId="0" priority="5462" operator="equal">
      <formula>"未完成"</formula>
    </cfRule>
  </conditionalFormatting>
  <conditionalFormatting sqref="AI337:AJ337">
    <cfRule type="cellIs" dxfId="1" priority="5407" operator="equal">
      <formula>"未完成"</formula>
    </cfRule>
    <cfRule type="cellIs" dxfId="0" priority="5418" operator="equal">
      <formula>"未完成"</formula>
    </cfRule>
  </conditionalFormatting>
  <conditionalFormatting sqref="R338">
    <cfRule type="cellIs" dxfId="0" priority="6145" operator="equal">
      <formula>"欠"</formula>
    </cfRule>
  </conditionalFormatting>
  <conditionalFormatting sqref="S338">
    <cfRule type="cellIs" dxfId="0" priority="6124" operator="equal">
      <formula>"欠"</formula>
    </cfRule>
  </conditionalFormatting>
  <conditionalFormatting sqref="T338:U338">
    <cfRule type="cellIs" dxfId="0" priority="6103" operator="equal">
      <formula>"欠"</formula>
    </cfRule>
  </conditionalFormatting>
  <conditionalFormatting sqref="AI338:AJ338">
    <cfRule type="cellIs" dxfId="1" priority="6061" operator="equal">
      <formula>"未完成"</formula>
    </cfRule>
    <cfRule type="cellIs" dxfId="0" priority="6082" operator="equal">
      <formula>"未完成"</formula>
    </cfRule>
  </conditionalFormatting>
  <conditionalFormatting sqref="R339">
    <cfRule type="cellIs" dxfId="0" priority="5349" operator="equal">
      <formula>"欠"</formula>
    </cfRule>
  </conditionalFormatting>
  <conditionalFormatting sqref="S339">
    <cfRule type="cellIs" dxfId="0" priority="5299" operator="equal">
      <formula>"欠"</formula>
    </cfRule>
  </conditionalFormatting>
  <conditionalFormatting sqref="T339:U339">
    <cfRule type="cellIs" dxfId="0" priority="5249" operator="equal">
      <formula>"欠"</formula>
    </cfRule>
  </conditionalFormatting>
  <conditionalFormatting sqref="T339">
    <cfRule type="containsText" dxfId="2" priority="5099" operator="between" text="欠">
      <formula>NOT(ISERROR(SEARCH("欠",T339)))</formula>
    </cfRule>
  </conditionalFormatting>
  <conditionalFormatting sqref="AD339:AE339">
    <cfRule type="cellIs" dxfId="0" priority="5399" operator="equal">
      <formula>"未完成"</formula>
    </cfRule>
  </conditionalFormatting>
  <conditionalFormatting sqref="AI339:AJ339">
    <cfRule type="cellIs" dxfId="1" priority="5149" operator="equal">
      <formula>"未完成"</formula>
    </cfRule>
    <cfRule type="cellIs" dxfId="0" priority="5199" operator="equal">
      <formula>"未完成"</formula>
    </cfRule>
  </conditionalFormatting>
  <conditionalFormatting sqref="R340">
    <cfRule type="cellIs" dxfId="0" priority="5348" operator="equal">
      <formula>"欠"</formula>
    </cfRule>
  </conditionalFormatting>
  <conditionalFormatting sqref="S340">
    <cfRule type="cellIs" dxfId="0" priority="5298" operator="equal">
      <formula>"欠"</formula>
    </cfRule>
  </conditionalFormatting>
  <conditionalFormatting sqref="T340:U340">
    <cfRule type="cellIs" dxfId="0" priority="5248" operator="equal">
      <formula>"欠"</formula>
    </cfRule>
  </conditionalFormatting>
  <conditionalFormatting sqref="T340">
    <cfRule type="containsText" dxfId="2" priority="5098" operator="between" text="欠">
      <formula>NOT(ISERROR(SEARCH("欠",T340)))</formula>
    </cfRule>
  </conditionalFormatting>
  <conditionalFormatting sqref="AD340:AE340">
    <cfRule type="cellIs" dxfId="0" priority="5398" operator="equal">
      <formula>"未完成"</formula>
    </cfRule>
  </conditionalFormatting>
  <conditionalFormatting sqref="AI340:AJ340">
    <cfRule type="cellIs" dxfId="1" priority="5148" operator="equal">
      <formula>"未完成"</formula>
    </cfRule>
    <cfRule type="cellIs" dxfId="0" priority="5198" operator="equal">
      <formula>"未完成"</formula>
    </cfRule>
  </conditionalFormatting>
  <conditionalFormatting sqref="R341">
    <cfRule type="cellIs" dxfId="0" priority="5347" operator="equal">
      <formula>"欠"</formula>
    </cfRule>
  </conditionalFormatting>
  <conditionalFormatting sqref="S341">
    <cfRule type="cellIs" dxfId="0" priority="5297" operator="equal">
      <formula>"欠"</formula>
    </cfRule>
  </conditionalFormatting>
  <conditionalFormatting sqref="T341:U341">
    <cfRule type="cellIs" dxfId="0" priority="5247" operator="equal">
      <formula>"欠"</formula>
    </cfRule>
  </conditionalFormatting>
  <conditionalFormatting sqref="T341">
    <cfRule type="containsText" dxfId="2" priority="5097" operator="between" text="欠">
      <formula>NOT(ISERROR(SEARCH("欠",T341)))</formula>
    </cfRule>
  </conditionalFormatting>
  <conditionalFormatting sqref="AD341:AE341">
    <cfRule type="cellIs" dxfId="0" priority="5397" operator="equal">
      <formula>"未完成"</formula>
    </cfRule>
  </conditionalFormatting>
  <conditionalFormatting sqref="AI341:AJ341">
    <cfRule type="cellIs" dxfId="1" priority="5147" operator="equal">
      <formula>"未完成"</formula>
    </cfRule>
    <cfRule type="cellIs" dxfId="0" priority="5197" operator="equal">
      <formula>"未完成"</formula>
    </cfRule>
  </conditionalFormatting>
  <conditionalFormatting sqref="R342">
    <cfRule type="cellIs" dxfId="0" priority="5346" operator="equal">
      <formula>"欠"</formula>
    </cfRule>
  </conditionalFormatting>
  <conditionalFormatting sqref="S342">
    <cfRule type="cellIs" dxfId="0" priority="5296" operator="equal">
      <formula>"欠"</formula>
    </cfRule>
  </conditionalFormatting>
  <conditionalFormatting sqref="T342:U342">
    <cfRule type="cellIs" dxfId="0" priority="5246" operator="equal">
      <formula>"欠"</formula>
    </cfRule>
  </conditionalFormatting>
  <conditionalFormatting sqref="T342">
    <cfRule type="containsText" dxfId="2" priority="5096" operator="between" text="欠">
      <formula>NOT(ISERROR(SEARCH("欠",T342)))</formula>
    </cfRule>
  </conditionalFormatting>
  <conditionalFormatting sqref="AD342:AE342">
    <cfRule type="cellIs" dxfId="0" priority="5396" operator="equal">
      <formula>"未完成"</formula>
    </cfRule>
  </conditionalFormatting>
  <conditionalFormatting sqref="AI342:AJ342">
    <cfRule type="cellIs" dxfId="1" priority="5146" operator="equal">
      <formula>"未完成"</formula>
    </cfRule>
    <cfRule type="cellIs" dxfId="0" priority="5196" operator="equal">
      <formula>"未完成"</formula>
    </cfRule>
  </conditionalFormatting>
  <conditionalFormatting sqref="R343">
    <cfRule type="cellIs" dxfId="0" priority="5345" operator="equal">
      <formula>"欠"</formula>
    </cfRule>
  </conditionalFormatting>
  <conditionalFormatting sqref="S343">
    <cfRule type="cellIs" dxfId="0" priority="5295" operator="equal">
      <formula>"欠"</formula>
    </cfRule>
  </conditionalFormatting>
  <conditionalFormatting sqref="T343:U343">
    <cfRule type="cellIs" dxfId="0" priority="5245" operator="equal">
      <formula>"欠"</formula>
    </cfRule>
  </conditionalFormatting>
  <conditionalFormatting sqref="T343">
    <cfRule type="containsText" dxfId="2" priority="5095" operator="between" text="欠">
      <formula>NOT(ISERROR(SEARCH("欠",T343)))</formula>
    </cfRule>
  </conditionalFormatting>
  <conditionalFormatting sqref="AD343:AE343">
    <cfRule type="cellIs" dxfId="0" priority="5395" operator="equal">
      <formula>"未完成"</formula>
    </cfRule>
  </conditionalFormatting>
  <conditionalFormatting sqref="AI343:AJ343">
    <cfRule type="cellIs" dxfId="1" priority="5145" operator="equal">
      <formula>"未完成"</formula>
    </cfRule>
    <cfRule type="cellIs" dxfId="0" priority="5195" operator="equal">
      <formula>"未完成"</formula>
    </cfRule>
  </conditionalFormatting>
  <conditionalFormatting sqref="R344">
    <cfRule type="cellIs" dxfId="0" priority="5344" operator="equal">
      <formula>"欠"</formula>
    </cfRule>
  </conditionalFormatting>
  <conditionalFormatting sqref="S344">
    <cfRule type="cellIs" dxfId="0" priority="5294" operator="equal">
      <formula>"欠"</formula>
    </cfRule>
  </conditionalFormatting>
  <conditionalFormatting sqref="T344:U344">
    <cfRule type="cellIs" dxfId="0" priority="5244" operator="equal">
      <formula>"欠"</formula>
    </cfRule>
  </conditionalFormatting>
  <conditionalFormatting sqref="T344">
    <cfRule type="containsText" dxfId="2" priority="5094" operator="between" text="欠">
      <formula>NOT(ISERROR(SEARCH("欠",T344)))</formula>
    </cfRule>
  </conditionalFormatting>
  <conditionalFormatting sqref="AD344:AE344">
    <cfRule type="cellIs" dxfId="0" priority="5394" operator="equal">
      <formula>"未完成"</formula>
    </cfRule>
  </conditionalFormatting>
  <conditionalFormatting sqref="AI344:AJ344">
    <cfRule type="cellIs" dxfId="1" priority="5144" operator="equal">
      <formula>"未完成"</formula>
    </cfRule>
    <cfRule type="cellIs" dxfId="0" priority="5194" operator="equal">
      <formula>"未完成"</formula>
    </cfRule>
  </conditionalFormatting>
  <conditionalFormatting sqref="R345">
    <cfRule type="cellIs" dxfId="0" priority="5343" operator="equal">
      <formula>"欠"</formula>
    </cfRule>
  </conditionalFormatting>
  <conditionalFormatting sqref="S345">
    <cfRule type="cellIs" dxfId="0" priority="5293" operator="equal">
      <formula>"欠"</formula>
    </cfRule>
  </conditionalFormatting>
  <conditionalFormatting sqref="T345:U345">
    <cfRule type="cellIs" dxfId="0" priority="5243" operator="equal">
      <formula>"欠"</formula>
    </cfRule>
  </conditionalFormatting>
  <conditionalFormatting sqref="T345">
    <cfRule type="containsText" dxfId="2" priority="5093" operator="between" text="欠">
      <formula>NOT(ISERROR(SEARCH("欠",T345)))</formula>
    </cfRule>
  </conditionalFormatting>
  <conditionalFormatting sqref="AD345:AE345">
    <cfRule type="cellIs" dxfId="0" priority="5393" operator="equal">
      <formula>"未完成"</formula>
    </cfRule>
  </conditionalFormatting>
  <conditionalFormatting sqref="AI345:AJ345">
    <cfRule type="cellIs" dxfId="1" priority="5143" operator="equal">
      <formula>"未完成"</formula>
    </cfRule>
    <cfRule type="cellIs" dxfId="0" priority="5193" operator="equal">
      <formula>"未完成"</formula>
    </cfRule>
  </conditionalFormatting>
  <conditionalFormatting sqref="R346">
    <cfRule type="cellIs" dxfId="0" priority="5342" operator="equal">
      <formula>"欠"</formula>
    </cfRule>
  </conditionalFormatting>
  <conditionalFormatting sqref="S346">
    <cfRule type="cellIs" dxfId="0" priority="5292" operator="equal">
      <formula>"欠"</formula>
    </cfRule>
  </conditionalFormatting>
  <conditionalFormatting sqref="T346:U346">
    <cfRule type="cellIs" dxfId="0" priority="5242" operator="equal">
      <formula>"欠"</formula>
    </cfRule>
  </conditionalFormatting>
  <conditionalFormatting sqref="T346">
    <cfRule type="containsText" dxfId="2" priority="5092" operator="between" text="欠">
      <formula>NOT(ISERROR(SEARCH("欠",T346)))</formula>
    </cfRule>
  </conditionalFormatting>
  <conditionalFormatting sqref="AD346:AE346">
    <cfRule type="cellIs" dxfId="0" priority="5392" operator="equal">
      <formula>"未完成"</formula>
    </cfRule>
  </conditionalFormatting>
  <conditionalFormatting sqref="AI346:AJ346">
    <cfRule type="cellIs" dxfId="1" priority="5142" operator="equal">
      <formula>"未完成"</formula>
    </cfRule>
    <cfRule type="cellIs" dxfId="0" priority="5192" operator="equal">
      <formula>"未完成"</formula>
    </cfRule>
  </conditionalFormatting>
  <conditionalFormatting sqref="R347">
    <cfRule type="cellIs" dxfId="0" priority="5341" operator="equal">
      <formula>"欠"</formula>
    </cfRule>
  </conditionalFormatting>
  <conditionalFormatting sqref="S347">
    <cfRule type="cellIs" dxfId="0" priority="5291" operator="equal">
      <formula>"欠"</formula>
    </cfRule>
  </conditionalFormatting>
  <conditionalFormatting sqref="T347:U347">
    <cfRule type="cellIs" dxfId="0" priority="5241" operator="equal">
      <formula>"欠"</formula>
    </cfRule>
  </conditionalFormatting>
  <conditionalFormatting sqref="T347">
    <cfRule type="containsText" dxfId="2" priority="5091" operator="between" text="欠">
      <formula>NOT(ISERROR(SEARCH("欠",T347)))</formula>
    </cfRule>
  </conditionalFormatting>
  <conditionalFormatting sqref="AD347:AE347">
    <cfRule type="cellIs" dxfId="0" priority="5391" operator="equal">
      <formula>"未完成"</formula>
    </cfRule>
  </conditionalFormatting>
  <conditionalFormatting sqref="AI347:AJ347">
    <cfRule type="cellIs" dxfId="1" priority="5141" operator="equal">
      <formula>"未完成"</formula>
    </cfRule>
    <cfRule type="cellIs" dxfId="0" priority="5191" operator="equal">
      <formula>"未完成"</formula>
    </cfRule>
  </conditionalFormatting>
  <conditionalFormatting sqref="R348">
    <cfRule type="cellIs" dxfId="0" priority="5340" operator="equal">
      <formula>"欠"</formula>
    </cfRule>
  </conditionalFormatting>
  <conditionalFormatting sqref="S348">
    <cfRule type="cellIs" dxfId="0" priority="5290" operator="equal">
      <formula>"欠"</formula>
    </cfRule>
  </conditionalFormatting>
  <conditionalFormatting sqref="T348:U348">
    <cfRule type="cellIs" dxfId="0" priority="5240" operator="equal">
      <formula>"欠"</formula>
    </cfRule>
  </conditionalFormatting>
  <conditionalFormatting sqref="T348">
    <cfRule type="containsText" dxfId="2" priority="5090" operator="between" text="欠">
      <formula>NOT(ISERROR(SEARCH("欠",T348)))</formula>
    </cfRule>
  </conditionalFormatting>
  <conditionalFormatting sqref="AD348:AE348">
    <cfRule type="cellIs" dxfId="0" priority="5390" operator="equal">
      <formula>"未完成"</formula>
    </cfRule>
  </conditionalFormatting>
  <conditionalFormatting sqref="AI348:AJ348">
    <cfRule type="cellIs" dxfId="1" priority="5140" operator="equal">
      <formula>"未完成"</formula>
    </cfRule>
    <cfRule type="cellIs" dxfId="0" priority="5190" operator="equal">
      <formula>"未完成"</formula>
    </cfRule>
  </conditionalFormatting>
  <conditionalFormatting sqref="R349">
    <cfRule type="cellIs" dxfId="0" priority="5339" operator="equal">
      <formula>"欠"</formula>
    </cfRule>
  </conditionalFormatting>
  <conditionalFormatting sqref="S349">
    <cfRule type="cellIs" dxfId="0" priority="5289" operator="equal">
      <formula>"欠"</formula>
    </cfRule>
  </conditionalFormatting>
  <conditionalFormatting sqref="T349:U349">
    <cfRule type="cellIs" dxfId="0" priority="5239" operator="equal">
      <formula>"欠"</formula>
    </cfRule>
  </conditionalFormatting>
  <conditionalFormatting sqref="T349">
    <cfRule type="containsText" dxfId="2" priority="5089" operator="between" text="欠">
      <formula>NOT(ISERROR(SEARCH("欠",T349)))</formula>
    </cfRule>
  </conditionalFormatting>
  <conditionalFormatting sqref="AD349:AE349">
    <cfRule type="cellIs" dxfId="0" priority="5389" operator="equal">
      <formula>"未完成"</formula>
    </cfRule>
  </conditionalFormatting>
  <conditionalFormatting sqref="AI349:AJ349">
    <cfRule type="cellIs" dxfId="1" priority="5139" operator="equal">
      <formula>"未完成"</formula>
    </cfRule>
    <cfRule type="cellIs" dxfId="0" priority="5189" operator="equal">
      <formula>"未完成"</formula>
    </cfRule>
  </conditionalFormatting>
  <conditionalFormatting sqref="R350">
    <cfRule type="cellIs" dxfId="0" priority="5338" operator="equal">
      <formula>"欠"</formula>
    </cfRule>
  </conditionalFormatting>
  <conditionalFormatting sqref="S350">
    <cfRule type="cellIs" dxfId="0" priority="5288" operator="equal">
      <formula>"欠"</formula>
    </cfRule>
  </conditionalFormatting>
  <conditionalFormatting sqref="T350:U350">
    <cfRule type="cellIs" dxfId="0" priority="5238" operator="equal">
      <formula>"欠"</formula>
    </cfRule>
  </conditionalFormatting>
  <conditionalFormatting sqref="T350">
    <cfRule type="containsText" dxfId="2" priority="5088" operator="between" text="欠">
      <formula>NOT(ISERROR(SEARCH("欠",T350)))</formula>
    </cfRule>
  </conditionalFormatting>
  <conditionalFormatting sqref="AD350:AE350">
    <cfRule type="cellIs" dxfId="0" priority="5388" operator="equal">
      <formula>"未完成"</formula>
    </cfRule>
  </conditionalFormatting>
  <conditionalFormatting sqref="AI350:AJ350">
    <cfRule type="cellIs" dxfId="1" priority="5138" operator="equal">
      <formula>"未完成"</formula>
    </cfRule>
    <cfRule type="cellIs" dxfId="0" priority="5188" operator="equal">
      <formula>"未完成"</formula>
    </cfRule>
  </conditionalFormatting>
  <conditionalFormatting sqref="R351">
    <cfRule type="cellIs" dxfId="0" priority="5337" operator="equal">
      <formula>"欠"</formula>
    </cfRule>
  </conditionalFormatting>
  <conditionalFormatting sqref="S351">
    <cfRule type="cellIs" dxfId="0" priority="5287" operator="equal">
      <formula>"欠"</formula>
    </cfRule>
  </conditionalFormatting>
  <conditionalFormatting sqref="T351:U351">
    <cfRule type="cellIs" dxfId="0" priority="5237" operator="equal">
      <formula>"欠"</formula>
    </cfRule>
  </conditionalFormatting>
  <conditionalFormatting sqref="T351">
    <cfRule type="containsText" dxfId="2" priority="5087" operator="between" text="欠">
      <formula>NOT(ISERROR(SEARCH("欠",T351)))</formula>
    </cfRule>
  </conditionalFormatting>
  <conditionalFormatting sqref="AD351:AE351">
    <cfRule type="cellIs" dxfId="0" priority="5387" operator="equal">
      <formula>"未完成"</formula>
    </cfRule>
  </conditionalFormatting>
  <conditionalFormatting sqref="AI351:AJ351">
    <cfRule type="cellIs" dxfId="1" priority="5137" operator="equal">
      <formula>"未完成"</formula>
    </cfRule>
    <cfRule type="cellIs" dxfId="0" priority="5187" operator="equal">
      <formula>"未完成"</formula>
    </cfRule>
  </conditionalFormatting>
  <conditionalFormatting sqref="R352">
    <cfRule type="cellIs" dxfId="0" priority="5336" operator="equal">
      <formula>"欠"</formula>
    </cfRule>
  </conditionalFormatting>
  <conditionalFormatting sqref="S352">
    <cfRule type="cellIs" dxfId="0" priority="5286" operator="equal">
      <formula>"欠"</formula>
    </cfRule>
  </conditionalFormatting>
  <conditionalFormatting sqref="T352:U352">
    <cfRule type="cellIs" dxfId="0" priority="5236" operator="equal">
      <formula>"欠"</formula>
    </cfRule>
  </conditionalFormatting>
  <conditionalFormatting sqref="T352">
    <cfRule type="containsText" dxfId="2" priority="5086" operator="between" text="欠">
      <formula>NOT(ISERROR(SEARCH("欠",T352)))</formula>
    </cfRule>
  </conditionalFormatting>
  <conditionalFormatting sqref="AD352:AE352">
    <cfRule type="cellIs" dxfId="0" priority="5386" operator="equal">
      <formula>"未完成"</formula>
    </cfRule>
  </conditionalFormatting>
  <conditionalFormatting sqref="AI352:AJ352">
    <cfRule type="cellIs" dxfId="1" priority="5136" operator="equal">
      <formula>"未完成"</formula>
    </cfRule>
    <cfRule type="cellIs" dxfId="0" priority="5186" operator="equal">
      <formula>"未完成"</formula>
    </cfRule>
  </conditionalFormatting>
  <conditionalFormatting sqref="R353">
    <cfRule type="cellIs" dxfId="0" priority="5335" operator="equal">
      <formula>"欠"</formula>
    </cfRule>
  </conditionalFormatting>
  <conditionalFormatting sqref="S353">
    <cfRule type="cellIs" dxfId="0" priority="5285" operator="equal">
      <formula>"欠"</formula>
    </cfRule>
  </conditionalFormatting>
  <conditionalFormatting sqref="T353:U353">
    <cfRule type="cellIs" dxfId="0" priority="5235" operator="equal">
      <formula>"欠"</formula>
    </cfRule>
  </conditionalFormatting>
  <conditionalFormatting sqref="T353">
    <cfRule type="containsText" dxfId="2" priority="5085" operator="between" text="欠">
      <formula>NOT(ISERROR(SEARCH("欠",T353)))</formula>
    </cfRule>
  </conditionalFormatting>
  <conditionalFormatting sqref="AD353:AE353">
    <cfRule type="cellIs" dxfId="0" priority="5385" operator="equal">
      <formula>"未完成"</formula>
    </cfRule>
  </conditionalFormatting>
  <conditionalFormatting sqref="AI353:AJ353">
    <cfRule type="cellIs" dxfId="1" priority="5135" operator="equal">
      <formula>"未完成"</formula>
    </cfRule>
    <cfRule type="cellIs" dxfId="0" priority="5185" operator="equal">
      <formula>"未完成"</formula>
    </cfRule>
  </conditionalFormatting>
  <conditionalFormatting sqref="R354">
    <cfRule type="cellIs" dxfId="0" priority="5334" operator="equal">
      <formula>"欠"</formula>
    </cfRule>
  </conditionalFormatting>
  <conditionalFormatting sqref="S354">
    <cfRule type="cellIs" dxfId="0" priority="5284" operator="equal">
      <formula>"欠"</formula>
    </cfRule>
  </conditionalFormatting>
  <conditionalFormatting sqref="T354:U354">
    <cfRule type="cellIs" dxfId="0" priority="5234" operator="equal">
      <formula>"欠"</formula>
    </cfRule>
  </conditionalFormatting>
  <conditionalFormatting sqref="T354">
    <cfRule type="containsText" dxfId="2" priority="5084" operator="between" text="欠">
      <formula>NOT(ISERROR(SEARCH("欠",T354)))</formula>
    </cfRule>
  </conditionalFormatting>
  <conditionalFormatting sqref="AD354:AE354">
    <cfRule type="cellIs" dxfId="0" priority="5384" operator="equal">
      <formula>"未完成"</formula>
    </cfRule>
  </conditionalFormatting>
  <conditionalFormatting sqref="AI354:AJ354">
    <cfRule type="cellIs" dxfId="1" priority="5134" operator="equal">
      <formula>"未完成"</formula>
    </cfRule>
    <cfRule type="cellIs" dxfId="0" priority="5184" operator="equal">
      <formula>"未完成"</formula>
    </cfRule>
  </conditionalFormatting>
  <conditionalFormatting sqref="R355">
    <cfRule type="cellIs" dxfId="0" priority="5333" operator="equal">
      <formula>"欠"</formula>
    </cfRule>
  </conditionalFormatting>
  <conditionalFormatting sqref="S355">
    <cfRule type="cellIs" dxfId="0" priority="5283" operator="equal">
      <formula>"欠"</formula>
    </cfRule>
  </conditionalFormatting>
  <conditionalFormatting sqref="T355:U355">
    <cfRule type="cellIs" dxfId="0" priority="5233" operator="equal">
      <formula>"欠"</formula>
    </cfRule>
  </conditionalFormatting>
  <conditionalFormatting sqref="T355">
    <cfRule type="containsText" dxfId="2" priority="5083" operator="between" text="欠">
      <formula>NOT(ISERROR(SEARCH("欠",T355)))</formula>
    </cfRule>
  </conditionalFormatting>
  <conditionalFormatting sqref="AD355:AE355">
    <cfRule type="cellIs" dxfId="0" priority="5383" operator="equal">
      <formula>"未完成"</formula>
    </cfRule>
  </conditionalFormatting>
  <conditionalFormatting sqref="AI355:AJ355">
    <cfRule type="cellIs" dxfId="1" priority="5133" operator="equal">
      <formula>"未完成"</formula>
    </cfRule>
    <cfRule type="cellIs" dxfId="0" priority="5183" operator="equal">
      <formula>"未完成"</formula>
    </cfRule>
  </conditionalFormatting>
  <conditionalFormatting sqref="R356">
    <cfRule type="cellIs" dxfId="0" priority="5332" operator="equal">
      <formula>"欠"</formula>
    </cfRule>
  </conditionalFormatting>
  <conditionalFormatting sqref="S356">
    <cfRule type="cellIs" dxfId="0" priority="5282" operator="equal">
      <formula>"欠"</formula>
    </cfRule>
  </conditionalFormatting>
  <conditionalFormatting sqref="T356:U356">
    <cfRule type="cellIs" dxfId="0" priority="5232" operator="equal">
      <formula>"欠"</formula>
    </cfRule>
  </conditionalFormatting>
  <conditionalFormatting sqref="T356">
    <cfRule type="containsText" dxfId="2" priority="5082" operator="between" text="欠">
      <formula>NOT(ISERROR(SEARCH("欠",T356)))</formula>
    </cfRule>
  </conditionalFormatting>
  <conditionalFormatting sqref="AD356:AE356">
    <cfRule type="cellIs" dxfId="0" priority="5382" operator="equal">
      <formula>"未完成"</formula>
    </cfRule>
  </conditionalFormatting>
  <conditionalFormatting sqref="AI356:AJ356">
    <cfRule type="cellIs" dxfId="1" priority="5132" operator="equal">
      <formula>"未完成"</formula>
    </cfRule>
    <cfRule type="cellIs" dxfId="0" priority="5182" operator="equal">
      <formula>"未完成"</formula>
    </cfRule>
  </conditionalFormatting>
  <conditionalFormatting sqref="R357">
    <cfRule type="cellIs" dxfId="0" priority="5331" operator="equal">
      <formula>"欠"</formula>
    </cfRule>
  </conditionalFormatting>
  <conditionalFormatting sqref="S357">
    <cfRule type="cellIs" dxfId="0" priority="5281" operator="equal">
      <formula>"欠"</formula>
    </cfRule>
  </conditionalFormatting>
  <conditionalFormatting sqref="T357:U357">
    <cfRule type="cellIs" dxfId="0" priority="5231" operator="equal">
      <formula>"欠"</formula>
    </cfRule>
  </conditionalFormatting>
  <conditionalFormatting sqref="T357">
    <cfRule type="containsText" dxfId="2" priority="5081" operator="between" text="欠">
      <formula>NOT(ISERROR(SEARCH("欠",T357)))</formula>
    </cfRule>
  </conditionalFormatting>
  <conditionalFormatting sqref="AD357:AE357">
    <cfRule type="cellIs" dxfId="0" priority="5381" operator="equal">
      <formula>"未完成"</formula>
    </cfRule>
  </conditionalFormatting>
  <conditionalFormatting sqref="AI357:AJ357">
    <cfRule type="cellIs" dxfId="1" priority="5131" operator="equal">
      <formula>"未完成"</formula>
    </cfRule>
    <cfRule type="cellIs" dxfId="0" priority="5181" operator="equal">
      <formula>"未完成"</formula>
    </cfRule>
  </conditionalFormatting>
  <conditionalFormatting sqref="R358">
    <cfRule type="cellIs" dxfId="0" priority="5330" operator="equal">
      <formula>"欠"</formula>
    </cfRule>
  </conditionalFormatting>
  <conditionalFormatting sqref="S358">
    <cfRule type="cellIs" dxfId="0" priority="5280" operator="equal">
      <formula>"欠"</formula>
    </cfRule>
  </conditionalFormatting>
  <conditionalFormatting sqref="T358:U358">
    <cfRule type="cellIs" dxfId="0" priority="5230" operator="equal">
      <formula>"欠"</formula>
    </cfRule>
  </conditionalFormatting>
  <conditionalFormatting sqref="T358">
    <cfRule type="containsText" dxfId="2" priority="5080" operator="between" text="欠">
      <formula>NOT(ISERROR(SEARCH("欠",T358)))</formula>
    </cfRule>
  </conditionalFormatting>
  <conditionalFormatting sqref="AD358:AE358">
    <cfRule type="cellIs" dxfId="0" priority="5380" operator="equal">
      <formula>"未完成"</formula>
    </cfRule>
  </conditionalFormatting>
  <conditionalFormatting sqref="AI358:AJ358">
    <cfRule type="cellIs" dxfId="1" priority="5130" operator="equal">
      <formula>"未完成"</formula>
    </cfRule>
    <cfRule type="cellIs" dxfId="0" priority="5180" operator="equal">
      <formula>"未完成"</formula>
    </cfRule>
  </conditionalFormatting>
  <conditionalFormatting sqref="R359">
    <cfRule type="cellIs" dxfId="0" priority="5329" operator="equal">
      <formula>"欠"</formula>
    </cfRule>
  </conditionalFormatting>
  <conditionalFormatting sqref="S359">
    <cfRule type="cellIs" dxfId="0" priority="5279" operator="equal">
      <formula>"欠"</formula>
    </cfRule>
  </conditionalFormatting>
  <conditionalFormatting sqref="T359:U359">
    <cfRule type="cellIs" dxfId="0" priority="5229" operator="equal">
      <formula>"欠"</formula>
    </cfRule>
  </conditionalFormatting>
  <conditionalFormatting sqref="T359">
    <cfRule type="containsText" dxfId="2" priority="5079" operator="between" text="欠">
      <formula>NOT(ISERROR(SEARCH("欠",T359)))</formula>
    </cfRule>
  </conditionalFormatting>
  <conditionalFormatting sqref="AD359:AE359">
    <cfRule type="cellIs" dxfId="0" priority="5379" operator="equal">
      <formula>"未完成"</formula>
    </cfRule>
  </conditionalFormatting>
  <conditionalFormatting sqref="AI359:AJ359">
    <cfRule type="cellIs" dxfId="1" priority="5129" operator="equal">
      <formula>"未完成"</formula>
    </cfRule>
    <cfRule type="cellIs" dxfId="0" priority="5179" operator="equal">
      <formula>"未完成"</formula>
    </cfRule>
  </conditionalFormatting>
  <conditionalFormatting sqref="R360">
    <cfRule type="cellIs" dxfId="0" priority="5328" operator="equal">
      <formula>"欠"</formula>
    </cfRule>
  </conditionalFormatting>
  <conditionalFormatting sqref="S360">
    <cfRule type="cellIs" dxfId="0" priority="5278" operator="equal">
      <formula>"欠"</formula>
    </cfRule>
  </conditionalFormatting>
  <conditionalFormatting sqref="T360:U360">
    <cfRule type="cellIs" dxfId="0" priority="5228" operator="equal">
      <formula>"欠"</formula>
    </cfRule>
  </conditionalFormatting>
  <conditionalFormatting sqref="T360">
    <cfRule type="containsText" dxfId="2" priority="5078" operator="between" text="欠">
      <formula>NOT(ISERROR(SEARCH("欠",T360)))</formula>
    </cfRule>
  </conditionalFormatting>
  <conditionalFormatting sqref="AD360:AE360">
    <cfRule type="cellIs" dxfId="0" priority="5378" operator="equal">
      <formula>"未完成"</formula>
    </cfRule>
  </conditionalFormatting>
  <conditionalFormatting sqref="AI360:AJ360">
    <cfRule type="cellIs" dxfId="1" priority="5128" operator="equal">
      <formula>"未完成"</formula>
    </cfRule>
    <cfRule type="cellIs" dxfId="0" priority="5178" operator="equal">
      <formula>"未完成"</formula>
    </cfRule>
  </conditionalFormatting>
  <conditionalFormatting sqref="R361">
    <cfRule type="cellIs" dxfId="0" priority="5327" operator="equal">
      <formula>"欠"</formula>
    </cfRule>
  </conditionalFormatting>
  <conditionalFormatting sqref="S361">
    <cfRule type="cellIs" dxfId="0" priority="5277" operator="equal">
      <formula>"欠"</formula>
    </cfRule>
  </conditionalFormatting>
  <conditionalFormatting sqref="T361:U361">
    <cfRule type="cellIs" dxfId="0" priority="5227" operator="equal">
      <formula>"欠"</formula>
    </cfRule>
  </conditionalFormatting>
  <conditionalFormatting sqref="T361">
    <cfRule type="containsText" dxfId="2" priority="5077" operator="between" text="欠">
      <formula>NOT(ISERROR(SEARCH("欠",T361)))</formula>
    </cfRule>
  </conditionalFormatting>
  <conditionalFormatting sqref="AD361:AE361">
    <cfRule type="cellIs" dxfId="0" priority="5377" operator="equal">
      <formula>"未完成"</formula>
    </cfRule>
  </conditionalFormatting>
  <conditionalFormatting sqref="AI361:AJ361">
    <cfRule type="cellIs" dxfId="1" priority="5127" operator="equal">
      <formula>"未完成"</formula>
    </cfRule>
    <cfRule type="cellIs" dxfId="0" priority="5177" operator="equal">
      <formula>"未完成"</formula>
    </cfRule>
  </conditionalFormatting>
  <conditionalFormatting sqref="R362">
    <cfRule type="cellIs" dxfId="0" priority="5326" operator="equal">
      <formula>"欠"</formula>
    </cfRule>
  </conditionalFormatting>
  <conditionalFormatting sqref="S362">
    <cfRule type="cellIs" dxfId="0" priority="5276" operator="equal">
      <formula>"欠"</formula>
    </cfRule>
  </conditionalFormatting>
  <conditionalFormatting sqref="T362:U362">
    <cfRule type="cellIs" dxfId="0" priority="5226" operator="equal">
      <formula>"欠"</formula>
    </cfRule>
  </conditionalFormatting>
  <conditionalFormatting sqref="T362">
    <cfRule type="containsText" dxfId="2" priority="5076" operator="between" text="欠">
      <formula>NOT(ISERROR(SEARCH("欠",T362)))</formula>
    </cfRule>
  </conditionalFormatting>
  <conditionalFormatting sqref="AD362:AE362">
    <cfRule type="cellIs" dxfId="0" priority="5376" operator="equal">
      <formula>"未完成"</formula>
    </cfRule>
  </conditionalFormatting>
  <conditionalFormatting sqref="AI362:AJ362">
    <cfRule type="cellIs" dxfId="1" priority="5126" operator="equal">
      <formula>"未完成"</formula>
    </cfRule>
    <cfRule type="cellIs" dxfId="0" priority="5176" operator="equal">
      <formula>"未完成"</formula>
    </cfRule>
  </conditionalFormatting>
  <conditionalFormatting sqref="R363">
    <cfRule type="cellIs" dxfId="0" priority="5325" operator="equal">
      <formula>"欠"</formula>
    </cfRule>
  </conditionalFormatting>
  <conditionalFormatting sqref="S363">
    <cfRule type="cellIs" dxfId="0" priority="5275" operator="equal">
      <formula>"欠"</formula>
    </cfRule>
  </conditionalFormatting>
  <conditionalFormatting sqref="T363:U363">
    <cfRule type="cellIs" dxfId="0" priority="5225" operator="equal">
      <formula>"欠"</formula>
    </cfRule>
  </conditionalFormatting>
  <conditionalFormatting sqref="T363">
    <cfRule type="containsText" dxfId="2" priority="5075" operator="between" text="欠">
      <formula>NOT(ISERROR(SEARCH("欠",T363)))</formula>
    </cfRule>
  </conditionalFormatting>
  <conditionalFormatting sqref="AD363:AE363">
    <cfRule type="cellIs" dxfId="0" priority="5375" operator="equal">
      <formula>"未完成"</formula>
    </cfRule>
  </conditionalFormatting>
  <conditionalFormatting sqref="AI363:AJ363">
    <cfRule type="cellIs" dxfId="1" priority="5125" operator="equal">
      <formula>"未完成"</formula>
    </cfRule>
    <cfRule type="cellIs" dxfId="0" priority="5175" operator="equal">
      <formula>"未完成"</formula>
    </cfRule>
  </conditionalFormatting>
  <conditionalFormatting sqref="R364">
    <cfRule type="cellIs" dxfId="0" priority="5324" operator="equal">
      <formula>"欠"</formula>
    </cfRule>
  </conditionalFormatting>
  <conditionalFormatting sqref="S364">
    <cfRule type="cellIs" dxfId="0" priority="5274" operator="equal">
      <formula>"欠"</formula>
    </cfRule>
  </conditionalFormatting>
  <conditionalFormatting sqref="T364:U364">
    <cfRule type="cellIs" dxfId="0" priority="5224" operator="equal">
      <formula>"欠"</formula>
    </cfRule>
  </conditionalFormatting>
  <conditionalFormatting sqref="T364">
    <cfRule type="containsText" dxfId="2" priority="5074" operator="between" text="欠">
      <formula>NOT(ISERROR(SEARCH("欠",T364)))</formula>
    </cfRule>
  </conditionalFormatting>
  <conditionalFormatting sqref="AD364:AE364">
    <cfRule type="cellIs" dxfId="0" priority="5374" operator="equal">
      <formula>"未完成"</formula>
    </cfRule>
  </conditionalFormatting>
  <conditionalFormatting sqref="AI364:AJ364">
    <cfRule type="cellIs" dxfId="1" priority="5124" operator="equal">
      <formula>"未完成"</formula>
    </cfRule>
    <cfRule type="cellIs" dxfId="0" priority="5174" operator="equal">
      <formula>"未完成"</formula>
    </cfRule>
  </conditionalFormatting>
  <conditionalFormatting sqref="R365">
    <cfRule type="cellIs" dxfId="0" priority="5323" operator="equal">
      <formula>"欠"</formula>
    </cfRule>
  </conditionalFormatting>
  <conditionalFormatting sqref="S365">
    <cfRule type="cellIs" dxfId="0" priority="5273" operator="equal">
      <formula>"欠"</formula>
    </cfRule>
  </conditionalFormatting>
  <conditionalFormatting sqref="T365:U365">
    <cfRule type="cellIs" dxfId="0" priority="5223" operator="equal">
      <formula>"欠"</formula>
    </cfRule>
  </conditionalFormatting>
  <conditionalFormatting sqref="T365">
    <cfRule type="containsText" dxfId="2" priority="5073" operator="between" text="欠">
      <formula>NOT(ISERROR(SEARCH("欠",T365)))</formula>
    </cfRule>
  </conditionalFormatting>
  <conditionalFormatting sqref="AD365:AE365">
    <cfRule type="cellIs" dxfId="0" priority="5373" operator="equal">
      <formula>"未完成"</formula>
    </cfRule>
  </conditionalFormatting>
  <conditionalFormatting sqref="AI365:AJ365">
    <cfRule type="cellIs" dxfId="1" priority="5123" operator="equal">
      <formula>"未完成"</formula>
    </cfRule>
    <cfRule type="cellIs" dxfId="0" priority="5173" operator="equal">
      <formula>"未完成"</formula>
    </cfRule>
  </conditionalFormatting>
  <conditionalFormatting sqref="R366">
    <cfRule type="cellIs" dxfId="0" priority="5322" operator="equal">
      <formula>"欠"</formula>
    </cfRule>
  </conditionalFormatting>
  <conditionalFormatting sqref="S366">
    <cfRule type="cellIs" dxfId="0" priority="5272" operator="equal">
      <formula>"欠"</formula>
    </cfRule>
  </conditionalFormatting>
  <conditionalFormatting sqref="T366:U366">
    <cfRule type="cellIs" dxfId="0" priority="5222" operator="equal">
      <formula>"欠"</formula>
    </cfRule>
  </conditionalFormatting>
  <conditionalFormatting sqref="T366">
    <cfRule type="containsText" dxfId="2" priority="5072" operator="between" text="欠">
      <formula>NOT(ISERROR(SEARCH("欠",T366)))</formula>
    </cfRule>
  </conditionalFormatting>
  <conditionalFormatting sqref="AD366:AE366">
    <cfRule type="cellIs" dxfId="0" priority="5372" operator="equal">
      <formula>"未完成"</formula>
    </cfRule>
  </conditionalFormatting>
  <conditionalFormatting sqref="AI366:AJ366">
    <cfRule type="cellIs" dxfId="1" priority="5122" operator="equal">
      <formula>"未完成"</formula>
    </cfRule>
    <cfRule type="cellIs" dxfId="0" priority="5172" operator="equal">
      <formula>"未完成"</formula>
    </cfRule>
  </conditionalFormatting>
  <conditionalFormatting sqref="R367">
    <cfRule type="cellIs" dxfId="0" priority="5321" operator="equal">
      <formula>"欠"</formula>
    </cfRule>
  </conditionalFormatting>
  <conditionalFormatting sqref="S367">
    <cfRule type="cellIs" dxfId="0" priority="5271" operator="equal">
      <formula>"欠"</formula>
    </cfRule>
  </conditionalFormatting>
  <conditionalFormatting sqref="T367:U367">
    <cfRule type="cellIs" dxfId="0" priority="5221" operator="equal">
      <formula>"欠"</formula>
    </cfRule>
  </conditionalFormatting>
  <conditionalFormatting sqref="T367">
    <cfRule type="containsText" dxfId="2" priority="5071" operator="between" text="欠">
      <formula>NOT(ISERROR(SEARCH("欠",T367)))</formula>
    </cfRule>
  </conditionalFormatting>
  <conditionalFormatting sqref="AD367:AE367">
    <cfRule type="cellIs" dxfId="0" priority="5371" operator="equal">
      <formula>"未完成"</formula>
    </cfRule>
  </conditionalFormatting>
  <conditionalFormatting sqref="AI367:AJ367">
    <cfRule type="cellIs" dxfId="1" priority="5121" operator="equal">
      <formula>"未完成"</formula>
    </cfRule>
    <cfRule type="cellIs" dxfId="0" priority="5171" operator="equal">
      <formula>"未完成"</formula>
    </cfRule>
  </conditionalFormatting>
  <conditionalFormatting sqref="R368">
    <cfRule type="cellIs" dxfId="0" priority="5320" operator="equal">
      <formula>"欠"</formula>
    </cfRule>
  </conditionalFormatting>
  <conditionalFormatting sqref="S368">
    <cfRule type="cellIs" dxfId="0" priority="5270" operator="equal">
      <formula>"欠"</formula>
    </cfRule>
  </conditionalFormatting>
  <conditionalFormatting sqref="T368:U368">
    <cfRule type="cellIs" dxfId="0" priority="5220" operator="equal">
      <formula>"欠"</formula>
    </cfRule>
  </conditionalFormatting>
  <conditionalFormatting sqref="T368">
    <cfRule type="containsText" dxfId="2" priority="5070" operator="between" text="欠">
      <formula>NOT(ISERROR(SEARCH("欠",T368)))</formula>
    </cfRule>
  </conditionalFormatting>
  <conditionalFormatting sqref="AD368:AE368">
    <cfRule type="cellIs" dxfId="0" priority="5370" operator="equal">
      <formula>"未完成"</formula>
    </cfRule>
  </conditionalFormatting>
  <conditionalFormatting sqref="AI368:AJ368">
    <cfRule type="cellIs" dxfId="1" priority="5120" operator="equal">
      <formula>"未完成"</formula>
    </cfRule>
    <cfRule type="cellIs" dxfId="0" priority="5170" operator="equal">
      <formula>"未完成"</formula>
    </cfRule>
  </conditionalFormatting>
  <conditionalFormatting sqref="R369">
    <cfRule type="cellIs" dxfId="0" priority="5319" operator="equal">
      <formula>"欠"</formula>
    </cfRule>
  </conditionalFormatting>
  <conditionalFormatting sqref="S369">
    <cfRule type="cellIs" dxfId="0" priority="5269" operator="equal">
      <formula>"欠"</formula>
    </cfRule>
  </conditionalFormatting>
  <conditionalFormatting sqref="T369:U369">
    <cfRule type="cellIs" dxfId="0" priority="5219" operator="equal">
      <formula>"欠"</formula>
    </cfRule>
  </conditionalFormatting>
  <conditionalFormatting sqref="T369">
    <cfRule type="containsText" dxfId="2" priority="5069" operator="between" text="欠">
      <formula>NOT(ISERROR(SEARCH("欠",T369)))</formula>
    </cfRule>
  </conditionalFormatting>
  <conditionalFormatting sqref="AD369:AE369">
    <cfRule type="cellIs" dxfId="0" priority="5369" operator="equal">
      <formula>"未完成"</formula>
    </cfRule>
  </conditionalFormatting>
  <conditionalFormatting sqref="AI369:AJ369">
    <cfRule type="cellIs" dxfId="1" priority="5119" operator="equal">
      <formula>"未完成"</formula>
    </cfRule>
    <cfRule type="cellIs" dxfId="0" priority="5169" operator="equal">
      <formula>"未完成"</formula>
    </cfRule>
  </conditionalFormatting>
  <conditionalFormatting sqref="R370">
    <cfRule type="cellIs" dxfId="0" priority="5318" operator="equal">
      <formula>"欠"</formula>
    </cfRule>
  </conditionalFormatting>
  <conditionalFormatting sqref="S370">
    <cfRule type="cellIs" dxfId="0" priority="5268" operator="equal">
      <formula>"欠"</formula>
    </cfRule>
  </conditionalFormatting>
  <conditionalFormatting sqref="T370:U370">
    <cfRule type="cellIs" dxfId="0" priority="5218" operator="equal">
      <formula>"欠"</formula>
    </cfRule>
  </conditionalFormatting>
  <conditionalFormatting sqref="T370">
    <cfRule type="containsText" dxfId="2" priority="5068" operator="between" text="欠">
      <formula>NOT(ISERROR(SEARCH("欠",T370)))</formula>
    </cfRule>
  </conditionalFormatting>
  <conditionalFormatting sqref="AD370:AE370">
    <cfRule type="cellIs" dxfId="0" priority="5368" operator="equal">
      <formula>"未完成"</formula>
    </cfRule>
  </conditionalFormatting>
  <conditionalFormatting sqref="AI370:AJ370">
    <cfRule type="cellIs" dxfId="1" priority="5118" operator="equal">
      <formula>"未完成"</formula>
    </cfRule>
    <cfRule type="cellIs" dxfId="0" priority="5168" operator="equal">
      <formula>"未完成"</formula>
    </cfRule>
  </conditionalFormatting>
  <conditionalFormatting sqref="R371">
    <cfRule type="cellIs" dxfId="0" priority="5317" operator="equal">
      <formula>"欠"</formula>
    </cfRule>
  </conditionalFormatting>
  <conditionalFormatting sqref="S371">
    <cfRule type="cellIs" dxfId="0" priority="5267" operator="equal">
      <formula>"欠"</formula>
    </cfRule>
  </conditionalFormatting>
  <conditionalFormatting sqref="T371:U371">
    <cfRule type="cellIs" dxfId="0" priority="5217" operator="equal">
      <formula>"欠"</formula>
    </cfRule>
  </conditionalFormatting>
  <conditionalFormatting sqref="T371">
    <cfRule type="containsText" dxfId="2" priority="5067" operator="between" text="欠">
      <formula>NOT(ISERROR(SEARCH("欠",T371)))</formula>
    </cfRule>
  </conditionalFormatting>
  <conditionalFormatting sqref="AD371:AE371">
    <cfRule type="cellIs" dxfId="0" priority="5367" operator="equal">
      <formula>"未完成"</formula>
    </cfRule>
  </conditionalFormatting>
  <conditionalFormatting sqref="AI371:AJ371">
    <cfRule type="cellIs" dxfId="1" priority="5117" operator="equal">
      <formula>"未完成"</formula>
    </cfRule>
    <cfRule type="cellIs" dxfId="0" priority="5167" operator="equal">
      <formula>"未完成"</formula>
    </cfRule>
  </conditionalFormatting>
  <conditionalFormatting sqref="R372">
    <cfRule type="cellIs" dxfId="0" priority="5316" operator="equal">
      <formula>"欠"</formula>
    </cfRule>
  </conditionalFormatting>
  <conditionalFormatting sqref="S372">
    <cfRule type="cellIs" dxfId="0" priority="5266" operator="equal">
      <formula>"欠"</formula>
    </cfRule>
  </conditionalFormatting>
  <conditionalFormatting sqref="T372:U372">
    <cfRule type="cellIs" dxfId="0" priority="5216" operator="equal">
      <formula>"欠"</formula>
    </cfRule>
  </conditionalFormatting>
  <conditionalFormatting sqref="T372">
    <cfRule type="containsText" dxfId="2" priority="5066" operator="between" text="欠">
      <formula>NOT(ISERROR(SEARCH("欠",T372)))</formula>
    </cfRule>
  </conditionalFormatting>
  <conditionalFormatting sqref="AD372:AE372">
    <cfRule type="cellIs" dxfId="0" priority="5366" operator="equal">
      <formula>"未完成"</formula>
    </cfRule>
  </conditionalFormatting>
  <conditionalFormatting sqref="AI372:AJ372">
    <cfRule type="cellIs" dxfId="1" priority="5116" operator="equal">
      <formula>"未完成"</formula>
    </cfRule>
    <cfRule type="cellIs" dxfId="0" priority="5166" operator="equal">
      <formula>"未完成"</formula>
    </cfRule>
  </conditionalFormatting>
  <conditionalFormatting sqref="R373">
    <cfRule type="cellIs" dxfId="0" priority="5315" operator="equal">
      <formula>"欠"</formula>
    </cfRule>
  </conditionalFormatting>
  <conditionalFormatting sqref="S373">
    <cfRule type="cellIs" dxfId="0" priority="5265" operator="equal">
      <formula>"欠"</formula>
    </cfRule>
  </conditionalFormatting>
  <conditionalFormatting sqref="T373:U373">
    <cfRule type="cellIs" dxfId="0" priority="5215" operator="equal">
      <formula>"欠"</formula>
    </cfRule>
  </conditionalFormatting>
  <conditionalFormatting sqref="T373">
    <cfRule type="containsText" dxfId="2" priority="5065" operator="between" text="欠">
      <formula>NOT(ISERROR(SEARCH("欠",T373)))</formula>
    </cfRule>
  </conditionalFormatting>
  <conditionalFormatting sqref="AD373:AE373">
    <cfRule type="cellIs" dxfId="0" priority="5365" operator="equal">
      <formula>"未完成"</formula>
    </cfRule>
  </conditionalFormatting>
  <conditionalFormatting sqref="AI373:AJ373">
    <cfRule type="cellIs" dxfId="1" priority="5115" operator="equal">
      <formula>"未完成"</formula>
    </cfRule>
    <cfRule type="cellIs" dxfId="0" priority="5165" operator="equal">
      <formula>"未完成"</formula>
    </cfRule>
  </conditionalFormatting>
  <conditionalFormatting sqref="R374">
    <cfRule type="cellIs" dxfId="0" priority="5314" operator="equal">
      <formula>"欠"</formula>
    </cfRule>
  </conditionalFormatting>
  <conditionalFormatting sqref="S374">
    <cfRule type="cellIs" dxfId="0" priority="5264" operator="equal">
      <formula>"欠"</formula>
    </cfRule>
  </conditionalFormatting>
  <conditionalFormatting sqref="T374:U374">
    <cfRule type="cellIs" dxfId="0" priority="5214" operator="equal">
      <formula>"欠"</formula>
    </cfRule>
  </conditionalFormatting>
  <conditionalFormatting sqref="T374">
    <cfRule type="containsText" dxfId="2" priority="5064" operator="between" text="欠">
      <formula>NOT(ISERROR(SEARCH("欠",T374)))</formula>
    </cfRule>
  </conditionalFormatting>
  <conditionalFormatting sqref="AD374:AE374">
    <cfRule type="cellIs" dxfId="0" priority="5364" operator="equal">
      <formula>"未完成"</formula>
    </cfRule>
  </conditionalFormatting>
  <conditionalFormatting sqref="AI374:AJ374">
    <cfRule type="cellIs" dxfId="1" priority="5114" operator="equal">
      <formula>"未完成"</formula>
    </cfRule>
    <cfRule type="cellIs" dxfId="0" priority="5164" operator="equal">
      <formula>"未完成"</formula>
    </cfRule>
  </conditionalFormatting>
  <conditionalFormatting sqref="R375">
    <cfRule type="cellIs" dxfId="0" priority="5313" operator="equal">
      <formula>"欠"</formula>
    </cfRule>
  </conditionalFormatting>
  <conditionalFormatting sqref="S375">
    <cfRule type="cellIs" dxfId="0" priority="5263" operator="equal">
      <formula>"欠"</formula>
    </cfRule>
  </conditionalFormatting>
  <conditionalFormatting sqref="T375:U375">
    <cfRule type="cellIs" dxfId="0" priority="5213" operator="equal">
      <formula>"欠"</formula>
    </cfRule>
  </conditionalFormatting>
  <conditionalFormatting sqref="T375">
    <cfRule type="containsText" dxfId="2" priority="5063" operator="between" text="欠">
      <formula>NOT(ISERROR(SEARCH("欠",T375)))</formula>
    </cfRule>
  </conditionalFormatting>
  <conditionalFormatting sqref="AD375:AE375">
    <cfRule type="cellIs" dxfId="0" priority="5363" operator="equal">
      <formula>"未完成"</formula>
    </cfRule>
  </conditionalFormatting>
  <conditionalFormatting sqref="AI375:AJ375">
    <cfRule type="cellIs" dxfId="1" priority="5113" operator="equal">
      <formula>"未完成"</formula>
    </cfRule>
    <cfRule type="cellIs" dxfId="0" priority="5163" operator="equal">
      <formula>"未完成"</formula>
    </cfRule>
  </conditionalFormatting>
  <conditionalFormatting sqref="R376">
    <cfRule type="cellIs" dxfId="0" priority="5312" operator="equal">
      <formula>"欠"</formula>
    </cfRule>
  </conditionalFormatting>
  <conditionalFormatting sqref="S376">
    <cfRule type="cellIs" dxfId="0" priority="5262" operator="equal">
      <formula>"欠"</formula>
    </cfRule>
  </conditionalFormatting>
  <conditionalFormatting sqref="T376:U376">
    <cfRule type="cellIs" dxfId="0" priority="5212" operator="equal">
      <formula>"欠"</formula>
    </cfRule>
  </conditionalFormatting>
  <conditionalFormatting sqref="T376">
    <cfRule type="containsText" dxfId="2" priority="5062" operator="between" text="欠">
      <formula>NOT(ISERROR(SEARCH("欠",T376)))</formula>
    </cfRule>
  </conditionalFormatting>
  <conditionalFormatting sqref="AD376:AE376">
    <cfRule type="cellIs" dxfId="0" priority="5362" operator="equal">
      <formula>"未完成"</formula>
    </cfRule>
  </conditionalFormatting>
  <conditionalFormatting sqref="AI376:AJ376">
    <cfRule type="cellIs" dxfId="1" priority="5112" operator="equal">
      <formula>"未完成"</formula>
    </cfRule>
    <cfRule type="cellIs" dxfId="0" priority="5162" operator="equal">
      <formula>"未完成"</formula>
    </cfRule>
  </conditionalFormatting>
  <conditionalFormatting sqref="R377">
    <cfRule type="cellIs" dxfId="0" priority="5311" operator="equal">
      <formula>"欠"</formula>
    </cfRule>
  </conditionalFormatting>
  <conditionalFormatting sqref="S377">
    <cfRule type="cellIs" dxfId="0" priority="5261" operator="equal">
      <formula>"欠"</formula>
    </cfRule>
  </conditionalFormatting>
  <conditionalFormatting sqref="T377:U377">
    <cfRule type="cellIs" dxfId="0" priority="5211" operator="equal">
      <formula>"欠"</formula>
    </cfRule>
  </conditionalFormatting>
  <conditionalFormatting sqref="T377">
    <cfRule type="containsText" dxfId="2" priority="5061" operator="between" text="欠">
      <formula>NOT(ISERROR(SEARCH("欠",T377)))</formula>
    </cfRule>
  </conditionalFormatting>
  <conditionalFormatting sqref="AD377:AE377">
    <cfRule type="cellIs" dxfId="0" priority="5361" operator="equal">
      <formula>"未完成"</formula>
    </cfRule>
  </conditionalFormatting>
  <conditionalFormatting sqref="AI377:AJ377">
    <cfRule type="cellIs" dxfId="1" priority="5111" operator="equal">
      <formula>"未完成"</formula>
    </cfRule>
    <cfRule type="cellIs" dxfId="0" priority="5161" operator="equal">
      <formula>"未完成"</formula>
    </cfRule>
  </conditionalFormatting>
  <conditionalFormatting sqref="R378">
    <cfRule type="cellIs" dxfId="0" priority="5310" operator="equal">
      <formula>"欠"</formula>
    </cfRule>
  </conditionalFormatting>
  <conditionalFormatting sqref="S378">
    <cfRule type="cellIs" dxfId="0" priority="5260" operator="equal">
      <formula>"欠"</formula>
    </cfRule>
  </conditionalFormatting>
  <conditionalFormatting sqref="T378:U378">
    <cfRule type="cellIs" dxfId="0" priority="5210" operator="equal">
      <formula>"欠"</formula>
    </cfRule>
  </conditionalFormatting>
  <conditionalFormatting sqref="T378">
    <cfRule type="containsText" dxfId="2" priority="5060" operator="between" text="欠">
      <formula>NOT(ISERROR(SEARCH("欠",T378)))</formula>
    </cfRule>
  </conditionalFormatting>
  <conditionalFormatting sqref="AD378:AE378">
    <cfRule type="cellIs" dxfId="0" priority="5360" operator="equal">
      <formula>"未完成"</formula>
    </cfRule>
  </conditionalFormatting>
  <conditionalFormatting sqref="AI378:AJ378">
    <cfRule type="cellIs" dxfId="1" priority="5110" operator="equal">
      <formula>"未完成"</formula>
    </cfRule>
    <cfRule type="cellIs" dxfId="0" priority="5160" operator="equal">
      <formula>"未完成"</formula>
    </cfRule>
  </conditionalFormatting>
  <conditionalFormatting sqref="R379">
    <cfRule type="cellIs" dxfId="0" priority="5309" operator="equal">
      <formula>"欠"</formula>
    </cfRule>
  </conditionalFormatting>
  <conditionalFormatting sqref="S379">
    <cfRule type="cellIs" dxfId="0" priority="5259" operator="equal">
      <formula>"欠"</formula>
    </cfRule>
  </conditionalFormatting>
  <conditionalFormatting sqref="T379:U379">
    <cfRule type="cellIs" dxfId="0" priority="5209" operator="equal">
      <formula>"欠"</formula>
    </cfRule>
  </conditionalFormatting>
  <conditionalFormatting sqref="T379">
    <cfRule type="containsText" dxfId="2" priority="5059" operator="between" text="欠">
      <formula>NOT(ISERROR(SEARCH("欠",T379)))</formula>
    </cfRule>
  </conditionalFormatting>
  <conditionalFormatting sqref="AD379:AE379">
    <cfRule type="cellIs" dxfId="0" priority="5359" operator="equal">
      <formula>"未完成"</formula>
    </cfRule>
  </conditionalFormatting>
  <conditionalFormatting sqref="AI379:AJ379">
    <cfRule type="cellIs" dxfId="1" priority="5109" operator="equal">
      <formula>"未完成"</formula>
    </cfRule>
    <cfRule type="cellIs" dxfId="0" priority="5159" operator="equal">
      <formula>"未完成"</formula>
    </cfRule>
  </conditionalFormatting>
  <conditionalFormatting sqref="R380">
    <cfRule type="cellIs" dxfId="0" priority="5308" operator="equal">
      <formula>"欠"</formula>
    </cfRule>
  </conditionalFormatting>
  <conditionalFormatting sqref="S380">
    <cfRule type="cellIs" dxfId="0" priority="5258" operator="equal">
      <formula>"欠"</formula>
    </cfRule>
  </conditionalFormatting>
  <conditionalFormatting sqref="T380:U380">
    <cfRule type="cellIs" dxfId="0" priority="5208" operator="equal">
      <formula>"欠"</formula>
    </cfRule>
  </conditionalFormatting>
  <conditionalFormatting sqref="T380">
    <cfRule type="containsText" dxfId="2" priority="5058" operator="between" text="欠">
      <formula>NOT(ISERROR(SEARCH("欠",T380)))</formula>
    </cfRule>
  </conditionalFormatting>
  <conditionalFormatting sqref="AD380:AE380">
    <cfRule type="cellIs" dxfId="0" priority="5358" operator="equal">
      <formula>"未完成"</formula>
    </cfRule>
  </conditionalFormatting>
  <conditionalFormatting sqref="AI380:AJ380">
    <cfRule type="cellIs" dxfId="1" priority="5108" operator="equal">
      <formula>"未完成"</formula>
    </cfRule>
    <cfRule type="cellIs" dxfId="0" priority="5158" operator="equal">
      <formula>"未完成"</formula>
    </cfRule>
  </conditionalFormatting>
  <conditionalFormatting sqref="R381">
    <cfRule type="cellIs" dxfId="0" priority="5307" operator="equal">
      <formula>"欠"</formula>
    </cfRule>
  </conditionalFormatting>
  <conditionalFormatting sqref="S381">
    <cfRule type="cellIs" dxfId="0" priority="5257" operator="equal">
      <formula>"欠"</formula>
    </cfRule>
  </conditionalFormatting>
  <conditionalFormatting sqref="T381:U381">
    <cfRule type="cellIs" dxfId="0" priority="5207" operator="equal">
      <formula>"欠"</formula>
    </cfRule>
  </conditionalFormatting>
  <conditionalFormatting sqref="T381">
    <cfRule type="containsText" dxfId="2" priority="5057" operator="between" text="欠">
      <formula>NOT(ISERROR(SEARCH("欠",T381)))</formula>
    </cfRule>
  </conditionalFormatting>
  <conditionalFormatting sqref="AD381:AE381">
    <cfRule type="cellIs" dxfId="0" priority="5357" operator="equal">
      <formula>"未完成"</formula>
    </cfRule>
  </conditionalFormatting>
  <conditionalFormatting sqref="AI381:AJ381">
    <cfRule type="cellIs" dxfId="1" priority="5107" operator="equal">
      <formula>"未完成"</formula>
    </cfRule>
    <cfRule type="cellIs" dxfId="0" priority="5157" operator="equal">
      <formula>"未完成"</formula>
    </cfRule>
  </conditionalFormatting>
  <conditionalFormatting sqref="R382">
    <cfRule type="cellIs" dxfId="0" priority="5306" operator="equal">
      <formula>"欠"</formula>
    </cfRule>
  </conditionalFormatting>
  <conditionalFormatting sqref="S382">
    <cfRule type="cellIs" dxfId="0" priority="5256" operator="equal">
      <formula>"欠"</formula>
    </cfRule>
  </conditionalFormatting>
  <conditionalFormatting sqref="T382:U382">
    <cfRule type="cellIs" dxfId="0" priority="5206" operator="equal">
      <formula>"欠"</formula>
    </cfRule>
  </conditionalFormatting>
  <conditionalFormatting sqref="T382">
    <cfRule type="containsText" dxfId="2" priority="5056" operator="between" text="欠">
      <formula>NOT(ISERROR(SEARCH("欠",T382)))</formula>
    </cfRule>
  </conditionalFormatting>
  <conditionalFormatting sqref="AD382:AE382">
    <cfRule type="cellIs" dxfId="0" priority="5356" operator="equal">
      <formula>"未完成"</formula>
    </cfRule>
  </conditionalFormatting>
  <conditionalFormatting sqref="AI382:AJ382">
    <cfRule type="cellIs" dxfId="1" priority="5106" operator="equal">
      <formula>"未完成"</formula>
    </cfRule>
    <cfRule type="cellIs" dxfId="0" priority="5156" operator="equal">
      <formula>"未完成"</formula>
    </cfRule>
  </conditionalFormatting>
  <conditionalFormatting sqref="R383">
    <cfRule type="cellIs" dxfId="0" priority="5305" operator="equal">
      <formula>"欠"</formula>
    </cfRule>
  </conditionalFormatting>
  <conditionalFormatting sqref="S383">
    <cfRule type="cellIs" dxfId="0" priority="5255" operator="equal">
      <formula>"欠"</formula>
    </cfRule>
  </conditionalFormatting>
  <conditionalFormatting sqref="T383:U383">
    <cfRule type="cellIs" dxfId="0" priority="5205" operator="equal">
      <formula>"欠"</formula>
    </cfRule>
  </conditionalFormatting>
  <conditionalFormatting sqref="T383">
    <cfRule type="containsText" dxfId="2" priority="5055" operator="between" text="欠">
      <formula>NOT(ISERROR(SEARCH("欠",T383)))</formula>
    </cfRule>
  </conditionalFormatting>
  <conditionalFormatting sqref="AD383:AE383">
    <cfRule type="cellIs" dxfId="0" priority="5355" operator="equal">
      <formula>"未完成"</formula>
    </cfRule>
  </conditionalFormatting>
  <conditionalFormatting sqref="AI383:AJ383">
    <cfRule type="cellIs" dxfId="1" priority="5105" operator="equal">
      <formula>"未完成"</formula>
    </cfRule>
    <cfRule type="cellIs" dxfId="0" priority="5155" operator="equal">
      <formula>"未完成"</formula>
    </cfRule>
  </conditionalFormatting>
  <conditionalFormatting sqref="R384">
    <cfRule type="cellIs" dxfId="0" priority="5304" operator="equal">
      <formula>"欠"</formula>
    </cfRule>
  </conditionalFormatting>
  <conditionalFormatting sqref="S384">
    <cfRule type="cellIs" dxfId="0" priority="5254" operator="equal">
      <formula>"欠"</formula>
    </cfRule>
  </conditionalFormatting>
  <conditionalFormatting sqref="T384:U384">
    <cfRule type="cellIs" dxfId="0" priority="5204" operator="equal">
      <formula>"欠"</formula>
    </cfRule>
  </conditionalFormatting>
  <conditionalFormatting sqref="T384">
    <cfRule type="containsText" dxfId="2" priority="5054" operator="between" text="欠">
      <formula>NOT(ISERROR(SEARCH("欠",T384)))</formula>
    </cfRule>
  </conditionalFormatting>
  <conditionalFormatting sqref="AD384:AE384">
    <cfRule type="cellIs" dxfId="0" priority="5354" operator="equal">
      <formula>"未完成"</formula>
    </cfRule>
  </conditionalFormatting>
  <conditionalFormatting sqref="AI384:AJ384">
    <cfRule type="cellIs" dxfId="1" priority="5104" operator="equal">
      <formula>"未完成"</formula>
    </cfRule>
    <cfRule type="cellIs" dxfId="0" priority="5154" operator="equal">
      <formula>"未完成"</formula>
    </cfRule>
  </conditionalFormatting>
  <conditionalFormatting sqref="R385">
    <cfRule type="cellIs" dxfId="0" priority="5303" operator="equal">
      <formula>"欠"</formula>
    </cfRule>
  </conditionalFormatting>
  <conditionalFormatting sqref="S385">
    <cfRule type="cellIs" dxfId="0" priority="5253" operator="equal">
      <formula>"欠"</formula>
    </cfRule>
  </conditionalFormatting>
  <conditionalFormatting sqref="T385:U385">
    <cfRule type="cellIs" dxfId="0" priority="5203" operator="equal">
      <formula>"欠"</formula>
    </cfRule>
  </conditionalFormatting>
  <conditionalFormatting sqref="T385">
    <cfRule type="containsText" dxfId="2" priority="5053" operator="between" text="欠">
      <formula>NOT(ISERROR(SEARCH("欠",T385)))</formula>
    </cfRule>
  </conditionalFormatting>
  <conditionalFormatting sqref="AD385:AE385">
    <cfRule type="cellIs" dxfId="0" priority="5353" operator="equal">
      <formula>"未完成"</formula>
    </cfRule>
  </conditionalFormatting>
  <conditionalFormatting sqref="AI385:AJ385">
    <cfRule type="cellIs" dxfId="1" priority="5103" operator="equal">
      <formula>"未完成"</formula>
    </cfRule>
    <cfRule type="cellIs" dxfId="0" priority="5153" operator="equal">
      <formula>"未完成"</formula>
    </cfRule>
  </conditionalFormatting>
  <conditionalFormatting sqref="R386">
    <cfRule type="cellIs" dxfId="0" priority="5302" operator="equal">
      <formula>"欠"</formula>
    </cfRule>
  </conditionalFormatting>
  <conditionalFormatting sqref="S386">
    <cfRule type="cellIs" dxfId="0" priority="5252" operator="equal">
      <formula>"欠"</formula>
    </cfRule>
  </conditionalFormatting>
  <conditionalFormatting sqref="T386:U386">
    <cfRule type="cellIs" dxfId="0" priority="5202" operator="equal">
      <formula>"欠"</formula>
    </cfRule>
  </conditionalFormatting>
  <conditionalFormatting sqref="T386">
    <cfRule type="containsText" dxfId="2" priority="5052" operator="between" text="欠">
      <formula>NOT(ISERROR(SEARCH("欠",T386)))</formula>
    </cfRule>
  </conditionalFormatting>
  <conditionalFormatting sqref="AD386:AE386">
    <cfRule type="cellIs" dxfId="0" priority="5352" operator="equal">
      <formula>"未完成"</formula>
    </cfRule>
  </conditionalFormatting>
  <conditionalFormatting sqref="AI386:AJ386">
    <cfRule type="cellIs" dxfId="1" priority="5102" operator="equal">
      <formula>"未完成"</formula>
    </cfRule>
    <cfRule type="cellIs" dxfId="0" priority="5152" operator="equal">
      <formula>"未完成"</formula>
    </cfRule>
  </conditionalFormatting>
  <conditionalFormatting sqref="R387">
    <cfRule type="cellIs" dxfId="0" priority="5301" operator="equal">
      <formula>"欠"</formula>
    </cfRule>
  </conditionalFormatting>
  <conditionalFormatting sqref="S387">
    <cfRule type="cellIs" dxfId="0" priority="5251" operator="equal">
      <formula>"欠"</formula>
    </cfRule>
  </conditionalFormatting>
  <conditionalFormatting sqref="T387:U387">
    <cfRule type="cellIs" dxfId="0" priority="5201" operator="equal">
      <formula>"欠"</formula>
    </cfRule>
  </conditionalFormatting>
  <conditionalFormatting sqref="T387">
    <cfRule type="containsText" dxfId="2" priority="5051" operator="between" text="欠">
      <formula>NOT(ISERROR(SEARCH("欠",T387)))</formula>
    </cfRule>
  </conditionalFormatting>
  <conditionalFormatting sqref="AD387:AE387">
    <cfRule type="cellIs" dxfId="0" priority="5351" operator="equal">
      <formula>"未完成"</formula>
    </cfRule>
  </conditionalFormatting>
  <conditionalFormatting sqref="AI387:AJ387">
    <cfRule type="cellIs" dxfId="1" priority="5101" operator="equal">
      <formula>"未完成"</formula>
    </cfRule>
    <cfRule type="cellIs" dxfId="0" priority="5151" operator="equal">
      <formula>"未完成"</formula>
    </cfRule>
  </conditionalFormatting>
  <conditionalFormatting sqref="R388">
    <cfRule type="cellIs" dxfId="0" priority="5300" operator="equal">
      <formula>"欠"</formula>
    </cfRule>
  </conditionalFormatting>
  <conditionalFormatting sqref="S388">
    <cfRule type="cellIs" dxfId="0" priority="5250" operator="equal">
      <formula>"欠"</formula>
    </cfRule>
  </conditionalFormatting>
  <conditionalFormatting sqref="T388:U388">
    <cfRule type="cellIs" dxfId="0" priority="5200" operator="equal">
      <formula>"欠"</formula>
    </cfRule>
  </conditionalFormatting>
  <conditionalFormatting sqref="T388">
    <cfRule type="containsText" dxfId="2" priority="5050" operator="between" text="欠">
      <formula>NOT(ISERROR(SEARCH("欠",T388)))</formula>
    </cfRule>
  </conditionalFormatting>
  <conditionalFormatting sqref="AD388:AE388">
    <cfRule type="cellIs" dxfId="0" priority="5350" operator="equal">
      <formula>"未完成"</formula>
    </cfRule>
  </conditionalFormatting>
  <conditionalFormatting sqref="AI388:AJ388">
    <cfRule type="cellIs" dxfId="1" priority="5100" operator="equal">
      <formula>"未完成"</formula>
    </cfRule>
    <cfRule type="cellIs" dxfId="0" priority="5150" operator="equal">
      <formula>"未完成"</formula>
    </cfRule>
  </conditionalFormatting>
  <conditionalFormatting sqref="R389">
    <cfRule type="cellIs" dxfId="0" priority="5013" operator="equal">
      <formula>"欠"</formula>
    </cfRule>
  </conditionalFormatting>
  <conditionalFormatting sqref="S389">
    <cfRule type="cellIs" dxfId="0" priority="5004" operator="equal">
      <formula>"欠"</formula>
    </cfRule>
  </conditionalFormatting>
  <conditionalFormatting sqref="T389:U389">
    <cfRule type="cellIs" dxfId="0" priority="4995" operator="equal">
      <formula>"欠"</formula>
    </cfRule>
  </conditionalFormatting>
  <conditionalFormatting sqref="T389">
    <cfRule type="containsText" dxfId="2" priority="4968" operator="between" text="欠">
      <formula>NOT(ISERROR(SEARCH("欠",T389)))</formula>
    </cfRule>
  </conditionalFormatting>
  <conditionalFormatting sqref="AD389:AE389">
    <cfRule type="cellIs" dxfId="0" priority="5022" operator="equal">
      <formula>"未完成"</formula>
    </cfRule>
  </conditionalFormatting>
  <conditionalFormatting sqref="AI389:AJ389">
    <cfRule type="cellIs" dxfId="1" priority="4977" operator="equal">
      <formula>"未完成"</formula>
    </cfRule>
    <cfRule type="cellIs" dxfId="0" priority="4986" operator="equal">
      <formula>"未完成"</formula>
    </cfRule>
  </conditionalFormatting>
  <conditionalFormatting sqref="R390">
    <cfRule type="cellIs" dxfId="0" priority="5012" operator="equal">
      <formula>"欠"</formula>
    </cfRule>
  </conditionalFormatting>
  <conditionalFormatting sqref="S390">
    <cfRule type="cellIs" dxfId="0" priority="5003" operator="equal">
      <formula>"欠"</formula>
    </cfRule>
  </conditionalFormatting>
  <conditionalFormatting sqref="T390:U390">
    <cfRule type="cellIs" dxfId="0" priority="4994" operator="equal">
      <formula>"欠"</formula>
    </cfRule>
  </conditionalFormatting>
  <conditionalFormatting sqref="T390">
    <cfRule type="containsText" dxfId="2" priority="4967" operator="between" text="欠">
      <formula>NOT(ISERROR(SEARCH("欠",T390)))</formula>
    </cfRule>
  </conditionalFormatting>
  <conditionalFormatting sqref="AD390:AE390">
    <cfRule type="cellIs" dxfId="0" priority="5021" operator="equal">
      <formula>"未完成"</formula>
    </cfRule>
  </conditionalFormatting>
  <conditionalFormatting sqref="AI390:AJ390">
    <cfRule type="cellIs" dxfId="1" priority="4976" operator="equal">
      <formula>"未完成"</formula>
    </cfRule>
    <cfRule type="cellIs" dxfId="0" priority="4985" operator="equal">
      <formula>"未完成"</formula>
    </cfRule>
  </conditionalFormatting>
  <conditionalFormatting sqref="R391">
    <cfRule type="cellIs" dxfId="0" priority="5011" operator="equal">
      <formula>"欠"</formula>
    </cfRule>
  </conditionalFormatting>
  <conditionalFormatting sqref="S391">
    <cfRule type="cellIs" dxfId="0" priority="5002" operator="equal">
      <formula>"欠"</formula>
    </cfRule>
  </conditionalFormatting>
  <conditionalFormatting sqref="T391:U391">
    <cfRule type="cellIs" dxfId="0" priority="4993" operator="equal">
      <formula>"欠"</formula>
    </cfRule>
  </conditionalFormatting>
  <conditionalFormatting sqref="T391">
    <cfRule type="containsText" dxfId="2" priority="4966" operator="between" text="欠">
      <formula>NOT(ISERROR(SEARCH("欠",T391)))</formula>
    </cfRule>
  </conditionalFormatting>
  <conditionalFormatting sqref="AD391:AE391">
    <cfRule type="cellIs" dxfId="0" priority="5020" operator="equal">
      <formula>"未完成"</formula>
    </cfRule>
  </conditionalFormatting>
  <conditionalFormatting sqref="AI391:AJ391">
    <cfRule type="cellIs" dxfId="1" priority="4975" operator="equal">
      <formula>"未完成"</formula>
    </cfRule>
    <cfRule type="cellIs" dxfId="0" priority="4984" operator="equal">
      <formula>"未完成"</formula>
    </cfRule>
  </conditionalFormatting>
  <conditionalFormatting sqref="R392">
    <cfRule type="cellIs" dxfId="0" priority="5010" operator="equal">
      <formula>"欠"</formula>
    </cfRule>
  </conditionalFormatting>
  <conditionalFormatting sqref="S392">
    <cfRule type="cellIs" dxfId="0" priority="5001" operator="equal">
      <formula>"欠"</formula>
    </cfRule>
  </conditionalFormatting>
  <conditionalFormatting sqref="T392:U392">
    <cfRule type="cellIs" dxfId="0" priority="4992" operator="equal">
      <formula>"欠"</formula>
    </cfRule>
  </conditionalFormatting>
  <conditionalFormatting sqref="T392">
    <cfRule type="containsText" dxfId="2" priority="4965" operator="between" text="欠">
      <formula>NOT(ISERROR(SEARCH("欠",T392)))</formula>
    </cfRule>
  </conditionalFormatting>
  <conditionalFormatting sqref="AD392:AE392">
    <cfRule type="cellIs" dxfId="0" priority="5019" operator="equal">
      <formula>"未完成"</formula>
    </cfRule>
  </conditionalFormatting>
  <conditionalFormatting sqref="AI392:AJ392">
    <cfRule type="cellIs" dxfId="1" priority="4974" operator="equal">
      <formula>"未完成"</formula>
    </cfRule>
    <cfRule type="cellIs" dxfId="0" priority="4983" operator="equal">
      <formula>"未完成"</formula>
    </cfRule>
  </conditionalFormatting>
  <conditionalFormatting sqref="R393">
    <cfRule type="cellIs" dxfId="0" priority="5009" operator="equal">
      <formula>"欠"</formula>
    </cfRule>
  </conditionalFormatting>
  <conditionalFormatting sqref="AD393:AE393">
    <cfRule type="cellIs" dxfId="0" priority="5018" operator="equal">
      <formula>"未完成"</formula>
    </cfRule>
  </conditionalFormatting>
  <conditionalFormatting sqref="AI393:AJ393">
    <cfRule type="cellIs" dxfId="1" priority="4973" operator="equal">
      <formula>"未完成"</formula>
    </cfRule>
    <cfRule type="cellIs" dxfId="0" priority="4982" operator="equal">
      <formula>"未完成"</formula>
    </cfRule>
  </conditionalFormatting>
  <conditionalFormatting sqref="R394">
    <cfRule type="cellIs" dxfId="0" priority="5008" operator="equal">
      <formula>"欠"</formula>
    </cfRule>
  </conditionalFormatting>
  <conditionalFormatting sqref="S394">
    <cfRule type="cellIs" dxfId="0" priority="4999" operator="equal">
      <formula>"欠"</formula>
    </cfRule>
  </conditionalFormatting>
  <conditionalFormatting sqref="T394:U394">
    <cfRule type="cellIs" dxfId="0" priority="4990" operator="equal">
      <formula>"欠"</formula>
    </cfRule>
  </conditionalFormatting>
  <conditionalFormatting sqref="T394">
    <cfRule type="containsText" dxfId="2" priority="4963" operator="between" text="欠">
      <formula>NOT(ISERROR(SEARCH("欠",T394)))</formula>
    </cfRule>
  </conditionalFormatting>
  <conditionalFormatting sqref="AD394:AE394">
    <cfRule type="cellIs" dxfId="0" priority="5017" operator="equal">
      <formula>"未完成"</formula>
    </cfRule>
  </conditionalFormatting>
  <conditionalFormatting sqref="AI394:AJ394">
    <cfRule type="cellIs" dxfId="1" priority="4972" operator="equal">
      <formula>"未完成"</formula>
    </cfRule>
    <cfRule type="cellIs" dxfId="0" priority="4981" operator="equal">
      <formula>"未完成"</formula>
    </cfRule>
  </conditionalFormatting>
  <conditionalFormatting sqref="R395">
    <cfRule type="cellIs" dxfId="0" priority="5007" operator="equal">
      <formula>"欠"</formula>
    </cfRule>
  </conditionalFormatting>
  <conditionalFormatting sqref="S395">
    <cfRule type="cellIs" dxfId="0" priority="4998" operator="equal">
      <formula>"欠"</formula>
    </cfRule>
  </conditionalFormatting>
  <conditionalFormatting sqref="T395:U395">
    <cfRule type="cellIs" dxfId="0" priority="4989" operator="equal">
      <formula>"欠"</formula>
    </cfRule>
  </conditionalFormatting>
  <conditionalFormatting sqref="T395">
    <cfRule type="containsText" dxfId="2" priority="4962" operator="between" text="欠">
      <formula>NOT(ISERROR(SEARCH("欠",T395)))</formula>
    </cfRule>
  </conditionalFormatting>
  <conditionalFormatting sqref="AD395:AE395">
    <cfRule type="cellIs" dxfId="0" priority="5016" operator="equal">
      <formula>"未完成"</formula>
    </cfRule>
  </conditionalFormatting>
  <conditionalFormatting sqref="AI395:AJ395">
    <cfRule type="cellIs" dxfId="1" priority="4971" operator="equal">
      <formula>"未完成"</formula>
    </cfRule>
    <cfRule type="cellIs" dxfId="0" priority="4980" operator="equal">
      <formula>"未完成"</formula>
    </cfRule>
  </conditionalFormatting>
  <conditionalFormatting sqref="R396">
    <cfRule type="cellIs" dxfId="0" priority="5006" operator="equal">
      <formula>"欠"</formula>
    </cfRule>
  </conditionalFormatting>
  <conditionalFormatting sqref="S396">
    <cfRule type="cellIs" dxfId="0" priority="4997" operator="equal">
      <formula>"欠"</formula>
    </cfRule>
  </conditionalFormatting>
  <conditionalFormatting sqref="T396:U396">
    <cfRule type="cellIs" dxfId="0" priority="4988" operator="equal">
      <formula>"欠"</formula>
    </cfRule>
  </conditionalFormatting>
  <conditionalFormatting sqref="T396">
    <cfRule type="containsText" dxfId="2" priority="4961" operator="between" text="欠">
      <formula>NOT(ISERROR(SEARCH("欠",T396)))</formula>
    </cfRule>
  </conditionalFormatting>
  <conditionalFormatting sqref="AD396:AE396">
    <cfRule type="cellIs" dxfId="0" priority="5015" operator="equal">
      <formula>"未完成"</formula>
    </cfRule>
  </conditionalFormatting>
  <conditionalFormatting sqref="AI396:AJ396">
    <cfRule type="cellIs" dxfId="1" priority="4970" operator="equal">
      <formula>"未完成"</formula>
    </cfRule>
    <cfRule type="cellIs" dxfId="0" priority="4979" operator="equal">
      <formula>"未完成"</formula>
    </cfRule>
  </conditionalFormatting>
  <conditionalFormatting sqref="R397">
    <cfRule type="cellIs" dxfId="0" priority="5005" operator="equal">
      <formula>"欠"</formula>
    </cfRule>
  </conditionalFormatting>
  <conditionalFormatting sqref="S397">
    <cfRule type="cellIs" dxfId="0" priority="4996" operator="equal">
      <formula>"欠"</formula>
    </cfRule>
  </conditionalFormatting>
  <conditionalFormatting sqref="T397:U397">
    <cfRule type="cellIs" dxfId="0" priority="4987" operator="equal">
      <formula>"欠"</formula>
    </cfRule>
  </conditionalFormatting>
  <conditionalFormatting sqref="T397">
    <cfRule type="containsText" dxfId="2" priority="4960" operator="between" text="欠">
      <formula>NOT(ISERROR(SEARCH("欠",T397)))</formula>
    </cfRule>
  </conditionalFormatting>
  <conditionalFormatting sqref="AD397:AE397">
    <cfRule type="cellIs" dxfId="0" priority="5014" operator="equal">
      <formula>"未完成"</formula>
    </cfRule>
  </conditionalFormatting>
  <conditionalFormatting sqref="AI397:AJ397">
    <cfRule type="cellIs" dxfId="1" priority="4969" operator="equal">
      <formula>"未完成"</formula>
    </cfRule>
    <cfRule type="cellIs" dxfId="0" priority="4978" operator="equal">
      <formula>"未完成"</formula>
    </cfRule>
  </conditionalFormatting>
  <conditionalFormatting sqref="R398">
    <cfRule type="cellIs" dxfId="0" priority="4958" operator="equal">
      <formula>"欠"</formula>
    </cfRule>
  </conditionalFormatting>
  <conditionalFormatting sqref="S398">
    <cfRule type="cellIs" dxfId="0" priority="4957" operator="equal">
      <formula>"欠"</formula>
    </cfRule>
  </conditionalFormatting>
  <conditionalFormatting sqref="T398:U398">
    <cfRule type="cellIs" dxfId="0" priority="4956" operator="equal">
      <formula>"欠"</formula>
    </cfRule>
  </conditionalFormatting>
  <conditionalFormatting sqref="T398">
    <cfRule type="containsText" dxfId="2" priority="4953" operator="between" text="欠">
      <formula>NOT(ISERROR(SEARCH("欠",T398)))</formula>
    </cfRule>
  </conditionalFormatting>
  <conditionalFormatting sqref="AD398:AE398">
    <cfRule type="cellIs" dxfId="0" priority="4959" operator="equal">
      <formula>"未完成"</formula>
    </cfRule>
  </conditionalFormatting>
  <conditionalFormatting sqref="AI398:AJ398">
    <cfRule type="cellIs" dxfId="1" priority="4954" operator="equal">
      <formula>"未完成"</formula>
    </cfRule>
    <cfRule type="cellIs" dxfId="0" priority="4955" operator="equal">
      <formula>"未完成"</formula>
    </cfRule>
  </conditionalFormatting>
  <conditionalFormatting sqref="R399">
    <cfRule type="cellIs" dxfId="0" priority="4873" operator="equal">
      <formula>"欠"</formula>
    </cfRule>
  </conditionalFormatting>
  <conditionalFormatting sqref="S399">
    <cfRule type="cellIs" dxfId="0" priority="4834" operator="equal">
      <formula>"欠"</formula>
    </cfRule>
  </conditionalFormatting>
  <conditionalFormatting sqref="T399:U399">
    <cfRule type="cellIs" dxfId="0" priority="4795" operator="equal">
      <formula>"欠"</formula>
    </cfRule>
  </conditionalFormatting>
  <conditionalFormatting sqref="T399">
    <cfRule type="containsText" dxfId="2" priority="4678" operator="between" text="欠">
      <formula>NOT(ISERROR(SEARCH("欠",T399)))</formula>
    </cfRule>
  </conditionalFormatting>
  <conditionalFormatting sqref="AD399:AE399">
    <cfRule type="cellIs" dxfId="0" priority="4912" operator="equal">
      <formula>"未完成"</formula>
    </cfRule>
  </conditionalFormatting>
  <conditionalFormatting sqref="AI399:AJ399">
    <cfRule type="cellIs" dxfId="1" priority="4717" operator="equal">
      <formula>"未完成"</formula>
    </cfRule>
    <cfRule type="cellIs" dxfId="0" priority="4756" operator="equal">
      <formula>"未完成"</formula>
    </cfRule>
  </conditionalFormatting>
  <conditionalFormatting sqref="R400">
    <cfRule type="cellIs" dxfId="0" priority="4872" operator="equal">
      <formula>"欠"</formula>
    </cfRule>
  </conditionalFormatting>
  <conditionalFormatting sqref="S400">
    <cfRule type="cellIs" dxfId="0" priority="4833" operator="equal">
      <formula>"欠"</formula>
    </cfRule>
  </conditionalFormatting>
  <conditionalFormatting sqref="T400:U400">
    <cfRule type="cellIs" dxfId="0" priority="4794" operator="equal">
      <formula>"欠"</formula>
    </cfRule>
  </conditionalFormatting>
  <conditionalFormatting sqref="T400">
    <cfRule type="containsText" dxfId="2" priority="4677" operator="between" text="欠">
      <formula>NOT(ISERROR(SEARCH("欠",T400)))</formula>
    </cfRule>
  </conditionalFormatting>
  <conditionalFormatting sqref="AD400:AE400">
    <cfRule type="cellIs" dxfId="0" priority="4911" operator="equal">
      <formula>"未完成"</formula>
    </cfRule>
  </conditionalFormatting>
  <conditionalFormatting sqref="AI400:AJ400">
    <cfRule type="cellIs" dxfId="1" priority="4716" operator="equal">
      <formula>"未完成"</formula>
    </cfRule>
    <cfRule type="cellIs" dxfId="0" priority="4755" operator="equal">
      <formula>"未完成"</formula>
    </cfRule>
  </conditionalFormatting>
  <conditionalFormatting sqref="R401">
    <cfRule type="cellIs" dxfId="0" priority="4871" operator="equal">
      <formula>"欠"</formula>
    </cfRule>
  </conditionalFormatting>
  <conditionalFormatting sqref="S401">
    <cfRule type="cellIs" dxfId="0" priority="4832" operator="equal">
      <formula>"欠"</formula>
    </cfRule>
  </conditionalFormatting>
  <conditionalFormatting sqref="T401:U401">
    <cfRule type="cellIs" dxfId="0" priority="4793" operator="equal">
      <formula>"欠"</formula>
    </cfRule>
  </conditionalFormatting>
  <conditionalFormatting sqref="T401">
    <cfRule type="containsText" dxfId="2" priority="4676" operator="between" text="欠">
      <formula>NOT(ISERROR(SEARCH("欠",T401)))</formula>
    </cfRule>
  </conditionalFormatting>
  <conditionalFormatting sqref="AD401:AE401">
    <cfRule type="cellIs" dxfId="0" priority="4910" operator="equal">
      <formula>"未完成"</formula>
    </cfRule>
  </conditionalFormatting>
  <conditionalFormatting sqref="AI401:AJ401">
    <cfRule type="cellIs" dxfId="1" priority="4715" operator="equal">
      <formula>"未完成"</formula>
    </cfRule>
    <cfRule type="cellIs" dxfId="0" priority="4754" operator="equal">
      <formula>"未完成"</formula>
    </cfRule>
  </conditionalFormatting>
  <conditionalFormatting sqref="R402">
    <cfRule type="cellIs" dxfId="0" priority="4870" operator="equal">
      <formula>"欠"</formula>
    </cfRule>
  </conditionalFormatting>
  <conditionalFormatting sqref="S402">
    <cfRule type="cellIs" dxfId="0" priority="4831" operator="equal">
      <formula>"欠"</formula>
    </cfRule>
  </conditionalFormatting>
  <conditionalFormatting sqref="T402:U402">
    <cfRule type="cellIs" dxfId="0" priority="4792" operator="equal">
      <formula>"欠"</formula>
    </cfRule>
  </conditionalFormatting>
  <conditionalFormatting sqref="T402">
    <cfRule type="containsText" dxfId="2" priority="4675" operator="between" text="欠">
      <formula>NOT(ISERROR(SEARCH("欠",T402)))</formula>
    </cfRule>
  </conditionalFormatting>
  <conditionalFormatting sqref="AD402:AE402">
    <cfRule type="cellIs" dxfId="0" priority="4909" operator="equal">
      <formula>"未完成"</formula>
    </cfRule>
  </conditionalFormatting>
  <conditionalFormatting sqref="AI402:AJ402">
    <cfRule type="cellIs" dxfId="1" priority="4714" operator="equal">
      <formula>"未完成"</formula>
    </cfRule>
    <cfRule type="cellIs" dxfId="0" priority="4753" operator="equal">
      <formula>"未完成"</formula>
    </cfRule>
  </conditionalFormatting>
  <conditionalFormatting sqref="R403">
    <cfRule type="cellIs" dxfId="0" priority="4869" operator="equal">
      <formula>"欠"</formula>
    </cfRule>
  </conditionalFormatting>
  <conditionalFormatting sqref="S403">
    <cfRule type="cellIs" dxfId="0" priority="4830" operator="equal">
      <formula>"欠"</formula>
    </cfRule>
  </conditionalFormatting>
  <conditionalFormatting sqref="T403:U403">
    <cfRule type="cellIs" dxfId="0" priority="4791" operator="equal">
      <formula>"欠"</formula>
    </cfRule>
  </conditionalFormatting>
  <conditionalFormatting sqref="T403">
    <cfRule type="containsText" dxfId="2" priority="4674" operator="between" text="欠">
      <formula>NOT(ISERROR(SEARCH("欠",T403)))</formula>
    </cfRule>
  </conditionalFormatting>
  <conditionalFormatting sqref="AD403:AE403">
    <cfRule type="cellIs" dxfId="0" priority="4908" operator="equal">
      <formula>"未完成"</formula>
    </cfRule>
  </conditionalFormatting>
  <conditionalFormatting sqref="AI403:AJ403">
    <cfRule type="cellIs" dxfId="1" priority="4713" operator="equal">
      <formula>"未完成"</formula>
    </cfRule>
    <cfRule type="cellIs" dxfId="0" priority="4752" operator="equal">
      <formula>"未完成"</formula>
    </cfRule>
  </conditionalFormatting>
  <conditionalFormatting sqref="R404">
    <cfRule type="cellIs" dxfId="0" priority="4868" operator="equal">
      <formula>"欠"</formula>
    </cfRule>
  </conditionalFormatting>
  <conditionalFormatting sqref="S404">
    <cfRule type="cellIs" dxfId="0" priority="4829" operator="equal">
      <formula>"欠"</formula>
    </cfRule>
  </conditionalFormatting>
  <conditionalFormatting sqref="T404:U404">
    <cfRule type="cellIs" dxfId="0" priority="4790" operator="equal">
      <formula>"欠"</formula>
    </cfRule>
  </conditionalFormatting>
  <conditionalFormatting sqref="T404">
    <cfRule type="containsText" dxfId="2" priority="4673" operator="between" text="欠">
      <formula>NOT(ISERROR(SEARCH("欠",T404)))</formula>
    </cfRule>
  </conditionalFormatting>
  <conditionalFormatting sqref="AD404:AE404">
    <cfRule type="cellIs" dxfId="0" priority="4907" operator="equal">
      <formula>"未完成"</formula>
    </cfRule>
  </conditionalFormatting>
  <conditionalFormatting sqref="AI404:AJ404">
    <cfRule type="cellIs" dxfId="1" priority="4712" operator="equal">
      <formula>"未完成"</formula>
    </cfRule>
    <cfRule type="cellIs" dxfId="0" priority="4751" operator="equal">
      <formula>"未完成"</formula>
    </cfRule>
  </conditionalFormatting>
  <conditionalFormatting sqref="R405">
    <cfRule type="cellIs" dxfId="0" priority="4867" operator="equal">
      <formula>"欠"</formula>
    </cfRule>
  </conditionalFormatting>
  <conditionalFormatting sqref="S405">
    <cfRule type="cellIs" dxfId="0" priority="4828" operator="equal">
      <formula>"欠"</formula>
    </cfRule>
  </conditionalFormatting>
  <conditionalFormatting sqref="T405:U405">
    <cfRule type="cellIs" dxfId="0" priority="4789" operator="equal">
      <formula>"欠"</formula>
    </cfRule>
  </conditionalFormatting>
  <conditionalFormatting sqref="T405">
    <cfRule type="containsText" dxfId="2" priority="4672" operator="between" text="欠">
      <formula>NOT(ISERROR(SEARCH("欠",T405)))</formula>
    </cfRule>
  </conditionalFormatting>
  <conditionalFormatting sqref="AD405:AE405">
    <cfRule type="cellIs" dxfId="0" priority="4906" operator="equal">
      <formula>"未完成"</formula>
    </cfRule>
  </conditionalFormatting>
  <conditionalFormatting sqref="AI405:AJ405">
    <cfRule type="cellIs" dxfId="1" priority="4711" operator="equal">
      <formula>"未完成"</formula>
    </cfRule>
    <cfRule type="cellIs" dxfId="0" priority="4750" operator="equal">
      <formula>"未完成"</formula>
    </cfRule>
  </conditionalFormatting>
  <conditionalFormatting sqref="R406">
    <cfRule type="cellIs" dxfId="0" priority="4866" operator="equal">
      <formula>"欠"</formula>
    </cfRule>
  </conditionalFormatting>
  <conditionalFormatting sqref="S406">
    <cfRule type="cellIs" dxfId="0" priority="4827" operator="equal">
      <formula>"欠"</formula>
    </cfRule>
  </conditionalFormatting>
  <conditionalFormatting sqref="T406:U406">
    <cfRule type="cellIs" dxfId="0" priority="4788" operator="equal">
      <formula>"欠"</formula>
    </cfRule>
  </conditionalFormatting>
  <conditionalFormatting sqref="T406">
    <cfRule type="containsText" dxfId="2" priority="4671" operator="between" text="欠">
      <formula>NOT(ISERROR(SEARCH("欠",T406)))</formula>
    </cfRule>
  </conditionalFormatting>
  <conditionalFormatting sqref="AD406:AE406">
    <cfRule type="cellIs" dxfId="0" priority="4905" operator="equal">
      <formula>"未完成"</formula>
    </cfRule>
  </conditionalFormatting>
  <conditionalFormatting sqref="AI406:AJ406">
    <cfRule type="cellIs" dxfId="1" priority="4710" operator="equal">
      <formula>"未完成"</formula>
    </cfRule>
    <cfRule type="cellIs" dxfId="0" priority="4749" operator="equal">
      <formula>"未完成"</formula>
    </cfRule>
  </conditionalFormatting>
  <conditionalFormatting sqref="R407">
    <cfRule type="cellIs" dxfId="0" priority="4865" operator="equal">
      <formula>"欠"</formula>
    </cfRule>
  </conditionalFormatting>
  <conditionalFormatting sqref="S407">
    <cfRule type="cellIs" dxfId="0" priority="4826" operator="equal">
      <formula>"欠"</formula>
    </cfRule>
  </conditionalFormatting>
  <conditionalFormatting sqref="T407:U407">
    <cfRule type="cellIs" dxfId="0" priority="4787" operator="equal">
      <formula>"欠"</formula>
    </cfRule>
  </conditionalFormatting>
  <conditionalFormatting sqref="T407">
    <cfRule type="containsText" dxfId="2" priority="4670" operator="between" text="欠">
      <formula>NOT(ISERROR(SEARCH("欠",T407)))</formula>
    </cfRule>
  </conditionalFormatting>
  <conditionalFormatting sqref="AD407:AE407">
    <cfRule type="cellIs" dxfId="0" priority="4904" operator="equal">
      <formula>"未完成"</formula>
    </cfRule>
  </conditionalFormatting>
  <conditionalFormatting sqref="AI407:AJ407">
    <cfRule type="cellIs" dxfId="1" priority="4709" operator="equal">
      <formula>"未完成"</formula>
    </cfRule>
    <cfRule type="cellIs" dxfId="0" priority="4748" operator="equal">
      <formula>"未完成"</formula>
    </cfRule>
  </conditionalFormatting>
  <conditionalFormatting sqref="R408">
    <cfRule type="cellIs" dxfId="0" priority="4864" operator="equal">
      <formula>"欠"</formula>
    </cfRule>
  </conditionalFormatting>
  <conditionalFormatting sqref="S408">
    <cfRule type="cellIs" dxfId="0" priority="4825" operator="equal">
      <formula>"欠"</formula>
    </cfRule>
  </conditionalFormatting>
  <conditionalFormatting sqref="T408:U408">
    <cfRule type="cellIs" dxfId="0" priority="4786" operator="equal">
      <formula>"欠"</formula>
    </cfRule>
  </conditionalFormatting>
  <conditionalFormatting sqref="T408">
    <cfRule type="containsText" dxfId="2" priority="4669" operator="between" text="欠">
      <formula>NOT(ISERROR(SEARCH("欠",T408)))</formula>
    </cfRule>
  </conditionalFormatting>
  <conditionalFormatting sqref="AD408:AE408">
    <cfRule type="cellIs" dxfId="0" priority="4903" operator="equal">
      <formula>"未完成"</formula>
    </cfRule>
  </conditionalFormatting>
  <conditionalFormatting sqref="AI408:AJ408">
    <cfRule type="cellIs" dxfId="1" priority="4708" operator="equal">
      <formula>"未完成"</formula>
    </cfRule>
    <cfRule type="cellIs" dxfId="0" priority="4747" operator="equal">
      <formula>"未完成"</formula>
    </cfRule>
  </conditionalFormatting>
  <conditionalFormatting sqref="R409">
    <cfRule type="cellIs" dxfId="0" priority="4863" operator="equal">
      <formula>"欠"</formula>
    </cfRule>
  </conditionalFormatting>
  <conditionalFormatting sqref="S409">
    <cfRule type="cellIs" dxfId="0" priority="4824" operator="equal">
      <formula>"欠"</formula>
    </cfRule>
  </conditionalFormatting>
  <conditionalFormatting sqref="T409:U409">
    <cfRule type="cellIs" dxfId="0" priority="4785" operator="equal">
      <formula>"欠"</formula>
    </cfRule>
  </conditionalFormatting>
  <conditionalFormatting sqref="T409">
    <cfRule type="containsText" dxfId="2" priority="4668" operator="between" text="欠">
      <formula>NOT(ISERROR(SEARCH("欠",T409)))</formula>
    </cfRule>
  </conditionalFormatting>
  <conditionalFormatting sqref="AD409:AE409">
    <cfRule type="cellIs" dxfId="0" priority="4902" operator="equal">
      <formula>"未完成"</formula>
    </cfRule>
  </conditionalFormatting>
  <conditionalFormatting sqref="AI409:AJ409">
    <cfRule type="cellIs" dxfId="1" priority="4707" operator="equal">
      <formula>"未完成"</formula>
    </cfRule>
    <cfRule type="cellIs" dxfId="0" priority="4746" operator="equal">
      <formula>"未完成"</formula>
    </cfRule>
  </conditionalFormatting>
  <conditionalFormatting sqref="R410">
    <cfRule type="cellIs" dxfId="0" priority="4862" operator="equal">
      <formula>"欠"</formula>
    </cfRule>
  </conditionalFormatting>
  <conditionalFormatting sqref="S410">
    <cfRule type="cellIs" dxfId="0" priority="4823" operator="equal">
      <formula>"欠"</formula>
    </cfRule>
  </conditionalFormatting>
  <conditionalFormatting sqref="T410:U410">
    <cfRule type="cellIs" dxfId="0" priority="4784" operator="equal">
      <formula>"欠"</formula>
    </cfRule>
  </conditionalFormatting>
  <conditionalFormatting sqref="T410">
    <cfRule type="containsText" dxfId="2" priority="4667" operator="between" text="欠">
      <formula>NOT(ISERROR(SEARCH("欠",T410)))</formula>
    </cfRule>
  </conditionalFormatting>
  <conditionalFormatting sqref="AD410:AE410">
    <cfRule type="cellIs" dxfId="0" priority="4901" operator="equal">
      <formula>"未完成"</formula>
    </cfRule>
  </conditionalFormatting>
  <conditionalFormatting sqref="AI410:AJ410">
    <cfRule type="cellIs" dxfId="1" priority="4706" operator="equal">
      <formula>"未完成"</formula>
    </cfRule>
    <cfRule type="cellIs" dxfId="0" priority="4745" operator="equal">
      <formula>"未完成"</formula>
    </cfRule>
  </conditionalFormatting>
  <conditionalFormatting sqref="R411">
    <cfRule type="cellIs" dxfId="0" priority="4861" operator="equal">
      <formula>"欠"</formula>
    </cfRule>
  </conditionalFormatting>
  <conditionalFormatting sqref="S411">
    <cfRule type="cellIs" dxfId="0" priority="4822" operator="equal">
      <formula>"欠"</formula>
    </cfRule>
  </conditionalFormatting>
  <conditionalFormatting sqref="T411:U411">
    <cfRule type="cellIs" dxfId="0" priority="4783" operator="equal">
      <formula>"欠"</formula>
    </cfRule>
  </conditionalFormatting>
  <conditionalFormatting sqref="T411">
    <cfRule type="containsText" dxfId="2" priority="4666" operator="between" text="欠">
      <formula>NOT(ISERROR(SEARCH("欠",T411)))</formula>
    </cfRule>
  </conditionalFormatting>
  <conditionalFormatting sqref="AD411:AE411">
    <cfRule type="cellIs" dxfId="0" priority="4900" operator="equal">
      <formula>"未完成"</formula>
    </cfRule>
  </conditionalFormatting>
  <conditionalFormatting sqref="AI411:AJ411">
    <cfRule type="cellIs" dxfId="1" priority="4705" operator="equal">
      <formula>"未完成"</formula>
    </cfRule>
    <cfRule type="cellIs" dxfId="0" priority="4744" operator="equal">
      <formula>"未完成"</formula>
    </cfRule>
  </conditionalFormatting>
  <conditionalFormatting sqref="R412">
    <cfRule type="cellIs" dxfId="0" priority="4860" operator="equal">
      <formula>"欠"</formula>
    </cfRule>
  </conditionalFormatting>
  <conditionalFormatting sqref="S412">
    <cfRule type="cellIs" dxfId="0" priority="4821" operator="equal">
      <formula>"欠"</formula>
    </cfRule>
  </conditionalFormatting>
  <conditionalFormatting sqref="T412:U412">
    <cfRule type="cellIs" dxfId="0" priority="4782" operator="equal">
      <formula>"欠"</formula>
    </cfRule>
  </conditionalFormatting>
  <conditionalFormatting sqref="T412">
    <cfRule type="containsText" dxfId="2" priority="4665" operator="between" text="欠">
      <formula>NOT(ISERROR(SEARCH("欠",T412)))</formula>
    </cfRule>
  </conditionalFormatting>
  <conditionalFormatting sqref="AD412:AE412">
    <cfRule type="cellIs" dxfId="0" priority="4899" operator="equal">
      <formula>"未完成"</formula>
    </cfRule>
  </conditionalFormatting>
  <conditionalFormatting sqref="AI412:AJ412">
    <cfRule type="cellIs" dxfId="1" priority="4704" operator="equal">
      <formula>"未完成"</formula>
    </cfRule>
    <cfRule type="cellIs" dxfId="0" priority="4743" operator="equal">
      <formula>"未完成"</formula>
    </cfRule>
  </conditionalFormatting>
  <conditionalFormatting sqref="R413">
    <cfRule type="cellIs" dxfId="0" priority="4859" operator="equal">
      <formula>"欠"</formula>
    </cfRule>
  </conditionalFormatting>
  <conditionalFormatting sqref="S413">
    <cfRule type="cellIs" dxfId="0" priority="4820" operator="equal">
      <formula>"欠"</formula>
    </cfRule>
  </conditionalFormatting>
  <conditionalFormatting sqref="T413:U413">
    <cfRule type="cellIs" dxfId="0" priority="4781" operator="equal">
      <formula>"欠"</formula>
    </cfRule>
  </conditionalFormatting>
  <conditionalFormatting sqref="T413">
    <cfRule type="containsText" dxfId="2" priority="4664" operator="between" text="欠">
      <formula>NOT(ISERROR(SEARCH("欠",T413)))</formula>
    </cfRule>
  </conditionalFormatting>
  <conditionalFormatting sqref="AD413:AE413">
    <cfRule type="cellIs" dxfId="0" priority="4898" operator="equal">
      <formula>"未完成"</formula>
    </cfRule>
  </conditionalFormatting>
  <conditionalFormatting sqref="AI413:AJ413">
    <cfRule type="cellIs" dxfId="1" priority="4703" operator="equal">
      <formula>"未完成"</formula>
    </cfRule>
    <cfRule type="cellIs" dxfId="0" priority="4742" operator="equal">
      <formula>"未完成"</formula>
    </cfRule>
  </conditionalFormatting>
  <conditionalFormatting sqref="R414">
    <cfRule type="cellIs" dxfId="0" priority="4858" operator="equal">
      <formula>"欠"</formula>
    </cfRule>
  </conditionalFormatting>
  <conditionalFormatting sqref="S414">
    <cfRule type="cellIs" dxfId="0" priority="4819" operator="equal">
      <formula>"欠"</formula>
    </cfRule>
  </conditionalFormatting>
  <conditionalFormatting sqref="T414:U414">
    <cfRule type="cellIs" dxfId="0" priority="4780" operator="equal">
      <formula>"欠"</formula>
    </cfRule>
  </conditionalFormatting>
  <conditionalFormatting sqref="T414">
    <cfRule type="containsText" dxfId="2" priority="4663" operator="between" text="欠">
      <formula>NOT(ISERROR(SEARCH("欠",T414)))</formula>
    </cfRule>
  </conditionalFormatting>
  <conditionalFormatting sqref="AD414:AE414">
    <cfRule type="cellIs" dxfId="0" priority="4897" operator="equal">
      <formula>"未完成"</formula>
    </cfRule>
  </conditionalFormatting>
  <conditionalFormatting sqref="AI414:AJ414">
    <cfRule type="cellIs" dxfId="1" priority="4702" operator="equal">
      <formula>"未完成"</formula>
    </cfRule>
    <cfRule type="cellIs" dxfId="0" priority="4741" operator="equal">
      <formula>"未完成"</formula>
    </cfRule>
  </conditionalFormatting>
  <conditionalFormatting sqref="R415">
    <cfRule type="cellIs" dxfId="0" priority="4857" operator="equal">
      <formula>"欠"</formula>
    </cfRule>
  </conditionalFormatting>
  <conditionalFormatting sqref="S415">
    <cfRule type="cellIs" dxfId="0" priority="4818" operator="equal">
      <formula>"欠"</formula>
    </cfRule>
  </conditionalFormatting>
  <conditionalFormatting sqref="T415:U415">
    <cfRule type="cellIs" dxfId="0" priority="4779" operator="equal">
      <formula>"欠"</formula>
    </cfRule>
  </conditionalFormatting>
  <conditionalFormatting sqref="T415">
    <cfRule type="containsText" dxfId="2" priority="4662" operator="between" text="欠">
      <formula>NOT(ISERROR(SEARCH("欠",T415)))</formula>
    </cfRule>
  </conditionalFormatting>
  <conditionalFormatting sqref="AD415:AE415">
    <cfRule type="cellIs" dxfId="0" priority="4896" operator="equal">
      <formula>"未完成"</formula>
    </cfRule>
  </conditionalFormatting>
  <conditionalFormatting sqref="AI415:AJ415">
    <cfRule type="cellIs" dxfId="1" priority="4701" operator="equal">
      <formula>"未完成"</formula>
    </cfRule>
    <cfRule type="cellIs" dxfId="0" priority="4740" operator="equal">
      <formula>"未完成"</formula>
    </cfRule>
  </conditionalFormatting>
  <conditionalFormatting sqref="R416">
    <cfRule type="cellIs" dxfId="0" priority="4856" operator="equal">
      <formula>"欠"</formula>
    </cfRule>
  </conditionalFormatting>
  <conditionalFormatting sqref="T416:U416">
    <cfRule type="cellIs" dxfId="0" priority="4778" operator="equal">
      <formula>"欠"</formula>
    </cfRule>
  </conditionalFormatting>
  <conditionalFormatting sqref="T416">
    <cfRule type="containsText" dxfId="2" priority="4661" operator="between" text="欠">
      <formula>NOT(ISERROR(SEARCH("欠",T416)))</formula>
    </cfRule>
  </conditionalFormatting>
  <conditionalFormatting sqref="AD416:AE416">
    <cfRule type="cellIs" dxfId="0" priority="4895" operator="equal">
      <formula>"未完成"</formula>
    </cfRule>
  </conditionalFormatting>
  <conditionalFormatting sqref="AI416:AJ416">
    <cfRule type="cellIs" dxfId="1" priority="4700" operator="equal">
      <formula>"未完成"</formula>
    </cfRule>
    <cfRule type="cellIs" dxfId="0" priority="4739" operator="equal">
      <formula>"未完成"</formula>
    </cfRule>
  </conditionalFormatting>
  <conditionalFormatting sqref="R417">
    <cfRule type="cellIs" dxfId="0" priority="4855" operator="equal">
      <formula>"欠"</formula>
    </cfRule>
  </conditionalFormatting>
  <conditionalFormatting sqref="S417">
    <cfRule type="cellIs" dxfId="0" priority="4816" operator="equal">
      <formula>"欠"</formula>
    </cfRule>
  </conditionalFormatting>
  <conditionalFormatting sqref="T417:U417">
    <cfRule type="cellIs" dxfId="0" priority="4777" operator="equal">
      <formula>"欠"</formula>
    </cfRule>
  </conditionalFormatting>
  <conditionalFormatting sqref="T417">
    <cfRule type="containsText" dxfId="2" priority="4660" operator="between" text="欠">
      <formula>NOT(ISERROR(SEARCH("欠",T417)))</formula>
    </cfRule>
  </conditionalFormatting>
  <conditionalFormatting sqref="AD417:AE417">
    <cfRule type="cellIs" dxfId="0" priority="4894" operator="equal">
      <formula>"未完成"</formula>
    </cfRule>
  </conditionalFormatting>
  <conditionalFormatting sqref="AI417:AJ417">
    <cfRule type="cellIs" dxfId="1" priority="4699" operator="equal">
      <formula>"未完成"</formula>
    </cfRule>
    <cfRule type="cellIs" dxfId="0" priority="4738" operator="equal">
      <formula>"未完成"</formula>
    </cfRule>
  </conditionalFormatting>
  <conditionalFormatting sqref="R418">
    <cfRule type="cellIs" dxfId="0" priority="4854" operator="equal">
      <formula>"欠"</formula>
    </cfRule>
  </conditionalFormatting>
  <conditionalFormatting sqref="S418">
    <cfRule type="cellIs" dxfId="0" priority="4815" operator="equal">
      <formula>"欠"</formula>
    </cfRule>
  </conditionalFormatting>
  <conditionalFormatting sqref="T418:U418">
    <cfRule type="cellIs" dxfId="0" priority="4776" operator="equal">
      <formula>"欠"</formula>
    </cfRule>
  </conditionalFormatting>
  <conditionalFormatting sqref="T418">
    <cfRule type="containsText" dxfId="2" priority="4659" operator="between" text="欠">
      <formula>NOT(ISERROR(SEARCH("欠",T418)))</formula>
    </cfRule>
  </conditionalFormatting>
  <conditionalFormatting sqref="AD418:AE418">
    <cfRule type="cellIs" dxfId="0" priority="4893" operator="equal">
      <formula>"未完成"</formula>
    </cfRule>
  </conditionalFormatting>
  <conditionalFormatting sqref="AI418:AJ418">
    <cfRule type="cellIs" dxfId="1" priority="4698" operator="equal">
      <formula>"未完成"</formula>
    </cfRule>
    <cfRule type="cellIs" dxfId="0" priority="4737" operator="equal">
      <formula>"未完成"</formula>
    </cfRule>
  </conditionalFormatting>
  <conditionalFormatting sqref="R419">
    <cfRule type="cellIs" dxfId="0" priority="4853" operator="equal">
      <formula>"欠"</formula>
    </cfRule>
  </conditionalFormatting>
  <conditionalFormatting sqref="S419">
    <cfRule type="cellIs" dxfId="0" priority="4814" operator="equal">
      <formula>"欠"</formula>
    </cfRule>
  </conditionalFormatting>
  <conditionalFormatting sqref="T419:U419">
    <cfRule type="cellIs" dxfId="0" priority="4775" operator="equal">
      <formula>"欠"</formula>
    </cfRule>
  </conditionalFormatting>
  <conditionalFormatting sqref="T419">
    <cfRule type="containsText" dxfId="2" priority="4658" operator="between" text="欠">
      <formula>NOT(ISERROR(SEARCH("欠",T419)))</formula>
    </cfRule>
  </conditionalFormatting>
  <conditionalFormatting sqref="AD419:AE419">
    <cfRule type="cellIs" dxfId="0" priority="4892" operator="equal">
      <formula>"未完成"</formula>
    </cfRule>
  </conditionalFormatting>
  <conditionalFormatting sqref="AI419:AJ419">
    <cfRule type="cellIs" dxfId="1" priority="4697" operator="equal">
      <formula>"未完成"</formula>
    </cfRule>
    <cfRule type="cellIs" dxfId="0" priority="4736" operator="equal">
      <formula>"未完成"</formula>
    </cfRule>
  </conditionalFormatting>
  <conditionalFormatting sqref="R420">
    <cfRule type="cellIs" dxfId="0" priority="4852" operator="equal">
      <formula>"欠"</formula>
    </cfRule>
  </conditionalFormatting>
  <conditionalFormatting sqref="S420">
    <cfRule type="cellIs" dxfId="0" priority="4813" operator="equal">
      <formula>"欠"</formula>
    </cfRule>
  </conditionalFormatting>
  <conditionalFormatting sqref="T420:U420">
    <cfRule type="cellIs" dxfId="0" priority="4774" operator="equal">
      <formula>"欠"</formula>
    </cfRule>
  </conditionalFormatting>
  <conditionalFormatting sqref="T420">
    <cfRule type="containsText" dxfId="2" priority="4657" operator="between" text="欠">
      <formula>NOT(ISERROR(SEARCH("欠",T420)))</formula>
    </cfRule>
  </conditionalFormatting>
  <conditionalFormatting sqref="AD420:AE420">
    <cfRule type="cellIs" dxfId="0" priority="4891" operator="equal">
      <formula>"未完成"</formula>
    </cfRule>
  </conditionalFormatting>
  <conditionalFormatting sqref="AI420:AJ420">
    <cfRule type="cellIs" dxfId="1" priority="4696" operator="equal">
      <formula>"未完成"</formula>
    </cfRule>
    <cfRule type="cellIs" dxfId="0" priority="4735" operator="equal">
      <formula>"未完成"</formula>
    </cfRule>
  </conditionalFormatting>
  <conditionalFormatting sqref="R421">
    <cfRule type="cellIs" dxfId="0" priority="4851" operator="equal">
      <formula>"欠"</formula>
    </cfRule>
  </conditionalFormatting>
  <conditionalFormatting sqref="S421">
    <cfRule type="cellIs" dxfId="0" priority="4812" operator="equal">
      <formula>"欠"</formula>
    </cfRule>
  </conditionalFormatting>
  <conditionalFormatting sqref="T421:U421">
    <cfRule type="cellIs" dxfId="0" priority="4773" operator="equal">
      <formula>"欠"</formula>
    </cfRule>
  </conditionalFormatting>
  <conditionalFormatting sqref="T421">
    <cfRule type="containsText" dxfId="2" priority="4656" operator="between" text="欠">
      <formula>NOT(ISERROR(SEARCH("欠",T421)))</formula>
    </cfRule>
  </conditionalFormatting>
  <conditionalFormatting sqref="AD421:AE421">
    <cfRule type="cellIs" dxfId="0" priority="4890" operator="equal">
      <formula>"未完成"</formula>
    </cfRule>
  </conditionalFormatting>
  <conditionalFormatting sqref="AI421:AJ421">
    <cfRule type="cellIs" dxfId="1" priority="4695" operator="equal">
      <formula>"未完成"</formula>
    </cfRule>
    <cfRule type="cellIs" dxfId="0" priority="4734" operator="equal">
      <formula>"未完成"</formula>
    </cfRule>
  </conditionalFormatting>
  <conditionalFormatting sqref="R422">
    <cfRule type="cellIs" dxfId="0" priority="4850" operator="equal">
      <formula>"欠"</formula>
    </cfRule>
  </conditionalFormatting>
  <conditionalFormatting sqref="S422">
    <cfRule type="cellIs" dxfId="0" priority="4811" operator="equal">
      <formula>"欠"</formula>
    </cfRule>
  </conditionalFormatting>
  <conditionalFormatting sqref="T422:U422">
    <cfRule type="cellIs" dxfId="0" priority="4772" operator="equal">
      <formula>"欠"</formula>
    </cfRule>
  </conditionalFormatting>
  <conditionalFormatting sqref="T422">
    <cfRule type="containsText" dxfId="2" priority="4655" operator="between" text="欠">
      <formula>NOT(ISERROR(SEARCH("欠",T422)))</formula>
    </cfRule>
  </conditionalFormatting>
  <conditionalFormatting sqref="AD422:AE422">
    <cfRule type="cellIs" dxfId="0" priority="4889" operator="equal">
      <formula>"未完成"</formula>
    </cfRule>
  </conditionalFormatting>
  <conditionalFormatting sqref="AI422:AJ422">
    <cfRule type="cellIs" dxfId="1" priority="4694" operator="equal">
      <formula>"未完成"</formula>
    </cfRule>
    <cfRule type="cellIs" dxfId="0" priority="4733" operator="equal">
      <formula>"未完成"</formula>
    </cfRule>
  </conditionalFormatting>
  <conditionalFormatting sqref="R423">
    <cfRule type="cellIs" dxfId="0" priority="4849" operator="equal">
      <formula>"欠"</formula>
    </cfRule>
  </conditionalFormatting>
  <conditionalFormatting sqref="S423">
    <cfRule type="cellIs" dxfId="0" priority="4810" operator="equal">
      <formula>"欠"</formula>
    </cfRule>
  </conditionalFormatting>
  <conditionalFormatting sqref="T423:U423">
    <cfRule type="cellIs" dxfId="0" priority="4771" operator="equal">
      <formula>"欠"</formula>
    </cfRule>
  </conditionalFormatting>
  <conditionalFormatting sqref="T423">
    <cfRule type="containsText" dxfId="2" priority="4654" operator="between" text="欠">
      <formula>NOT(ISERROR(SEARCH("欠",T423)))</formula>
    </cfRule>
  </conditionalFormatting>
  <conditionalFormatting sqref="AD423:AE423">
    <cfRule type="cellIs" dxfId="0" priority="4888" operator="equal">
      <formula>"未完成"</formula>
    </cfRule>
  </conditionalFormatting>
  <conditionalFormatting sqref="AI423:AJ423">
    <cfRule type="cellIs" dxfId="1" priority="4693" operator="equal">
      <formula>"未完成"</formula>
    </cfRule>
    <cfRule type="cellIs" dxfId="0" priority="4732" operator="equal">
      <formula>"未完成"</formula>
    </cfRule>
  </conditionalFormatting>
  <conditionalFormatting sqref="R424">
    <cfRule type="cellIs" dxfId="0" priority="4848" operator="equal">
      <formula>"欠"</formula>
    </cfRule>
  </conditionalFormatting>
  <conditionalFormatting sqref="S424">
    <cfRule type="cellIs" dxfId="0" priority="4809" operator="equal">
      <formula>"欠"</formula>
    </cfRule>
  </conditionalFormatting>
  <conditionalFormatting sqref="T424:U424">
    <cfRule type="cellIs" dxfId="0" priority="4770" operator="equal">
      <formula>"欠"</formula>
    </cfRule>
  </conditionalFormatting>
  <conditionalFormatting sqref="T424">
    <cfRule type="containsText" dxfId="2" priority="4653" operator="between" text="欠">
      <formula>NOT(ISERROR(SEARCH("欠",T424)))</formula>
    </cfRule>
  </conditionalFormatting>
  <conditionalFormatting sqref="AD424:AE424">
    <cfRule type="cellIs" dxfId="0" priority="4887" operator="equal">
      <formula>"未完成"</formula>
    </cfRule>
  </conditionalFormatting>
  <conditionalFormatting sqref="AI424:AJ424">
    <cfRule type="cellIs" dxfId="1" priority="4692" operator="equal">
      <formula>"未完成"</formula>
    </cfRule>
    <cfRule type="cellIs" dxfId="0" priority="4731" operator="equal">
      <formula>"未完成"</formula>
    </cfRule>
  </conditionalFormatting>
  <conditionalFormatting sqref="R425">
    <cfRule type="cellIs" dxfId="0" priority="4847" operator="equal">
      <formula>"欠"</formula>
    </cfRule>
  </conditionalFormatting>
  <conditionalFormatting sqref="S425">
    <cfRule type="cellIs" dxfId="0" priority="4808" operator="equal">
      <formula>"欠"</formula>
    </cfRule>
  </conditionalFormatting>
  <conditionalFormatting sqref="T425:U425">
    <cfRule type="cellIs" dxfId="0" priority="4769" operator="equal">
      <formula>"欠"</formula>
    </cfRule>
  </conditionalFormatting>
  <conditionalFormatting sqref="T425">
    <cfRule type="containsText" dxfId="2" priority="4652" operator="between" text="欠">
      <formula>NOT(ISERROR(SEARCH("欠",T425)))</formula>
    </cfRule>
  </conditionalFormatting>
  <conditionalFormatting sqref="AD425:AE425">
    <cfRule type="cellIs" dxfId="0" priority="4886" operator="equal">
      <formula>"未完成"</formula>
    </cfRule>
  </conditionalFormatting>
  <conditionalFormatting sqref="AI425:AJ425">
    <cfRule type="cellIs" dxfId="1" priority="4691" operator="equal">
      <formula>"未完成"</formula>
    </cfRule>
    <cfRule type="cellIs" dxfId="0" priority="4730" operator="equal">
      <formula>"未完成"</formula>
    </cfRule>
  </conditionalFormatting>
  <conditionalFormatting sqref="R426">
    <cfRule type="cellIs" dxfId="0" priority="4846" operator="equal">
      <formula>"欠"</formula>
    </cfRule>
  </conditionalFormatting>
  <conditionalFormatting sqref="S426">
    <cfRule type="cellIs" dxfId="0" priority="4807" operator="equal">
      <formula>"欠"</formula>
    </cfRule>
  </conditionalFormatting>
  <conditionalFormatting sqref="T426:U426">
    <cfRule type="cellIs" dxfId="0" priority="4768" operator="equal">
      <formula>"欠"</formula>
    </cfRule>
  </conditionalFormatting>
  <conditionalFormatting sqref="T426">
    <cfRule type="containsText" dxfId="2" priority="4651" operator="between" text="欠">
      <formula>NOT(ISERROR(SEARCH("欠",T426)))</formula>
    </cfRule>
  </conditionalFormatting>
  <conditionalFormatting sqref="AD426:AE426">
    <cfRule type="cellIs" dxfId="0" priority="4885" operator="equal">
      <formula>"未完成"</formula>
    </cfRule>
  </conditionalFormatting>
  <conditionalFormatting sqref="AI426:AJ426">
    <cfRule type="cellIs" dxfId="1" priority="4690" operator="equal">
      <formula>"未完成"</formula>
    </cfRule>
    <cfRule type="cellIs" dxfId="0" priority="4729" operator="equal">
      <formula>"未完成"</formula>
    </cfRule>
  </conditionalFormatting>
  <conditionalFormatting sqref="R427">
    <cfRule type="cellIs" dxfId="0" priority="4845" operator="equal">
      <formula>"欠"</formula>
    </cfRule>
  </conditionalFormatting>
  <conditionalFormatting sqref="S427">
    <cfRule type="cellIs" dxfId="0" priority="4806" operator="equal">
      <formula>"欠"</formula>
    </cfRule>
  </conditionalFormatting>
  <conditionalFormatting sqref="T427:U427">
    <cfRule type="cellIs" dxfId="0" priority="4767" operator="equal">
      <formula>"欠"</formula>
    </cfRule>
  </conditionalFormatting>
  <conditionalFormatting sqref="T427">
    <cfRule type="containsText" dxfId="2" priority="4650" operator="between" text="欠">
      <formula>NOT(ISERROR(SEARCH("欠",T427)))</formula>
    </cfRule>
  </conditionalFormatting>
  <conditionalFormatting sqref="AD427:AE427">
    <cfRule type="cellIs" dxfId="0" priority="4884" operator="equal">
      <formula>"未完成"</formula>
    </cfRule>
  </conditionalFormatting>
  <conditionalFormatting sqref="AI427:AJ427">
    <cfRule type="cellIs" dxfId="1" priority="4689" operator="equal">
      <formula>"未完成"</formula>
    </cfRule>
    <cfRule type="cellIs" dxfId="0" priority="4728" operator="equal">
      <formula>"未完成"</formula>
    </cfRule>
  </conditionalFormatting>
  <conditionalFormatting sqref="R428">
    <cfRule type="cellIs" dxfId="0" priority="4844" operator="equal">
      <formula>"欠"</formula>
    </cfRule>
  </conditionalFormatting>
  <conditionalFormatting sqref="S428">
    <cfRule type="cellIs" dxfId="0" priority="4805" operator="equal">
      <formula>"欠"</formula>
    </cfRule>
  </conditionalFormatting>
  <conditionalFormatting sqref="T428:U428">
    <cfRule type="cellIs" dxfId="0" priority="4766" operator="equal">
      <formula>"欠"</formula>
    </cfRule>
  </conditionalFormatting>
  <conditionalFormatting sqref="T428">
    <cfRule type="containsText" dxfId="2" priority="4649" operator="between" text="欠">
      <formula>NOT(ISERROR(SEARCH("欠",T428)))</formula>
    </cfRule>
  </conditionalFormatting>
  <conditionalFormatting sqref="AD428:AE428">
    <cfRule type="cellIs" dxfId="0" priority="4883" operator="equal">
      <formula>"未完成"</formula>
    </cfRule>
  </conditionalFormatting>
  <conditionalFormatting sqref="AI428:AJ428">
    <cfRule type="cellIs" dxfId="1" priority="4688" operator="equal">
      <formula>"未完成"</formula>
    </cfRule>
    <cfRule type="cellIs" dxfId="0" priority="4727" operator="equal">
      <formula>"未完成"</formula>
    </cfRule>
  </conditionalFormatting>
  <conditionalFormatting sqref="R429">
    <cfRule type="cellIs" dxfId="0" priority="4843" operator="equal">
      <formula>"欠"</formula>
    </cfRule>
  </conditionalFormatting>
  <conditionalFormatting sqref="S429">
    <cfRule type="cellIs" dxfId="0" priority="4804" operator="equal">
      <formula>"欠"</formula>
    </cfRule>
  </conditionalFormatting>
  <conditionalFormatting sqref="T429:U429">
    <cfRule type="cellIs" dxfId="0" priority="4765" operator="equal">
      <formula>"欠"</formula>
    </cfRule>
  </conditionalFormatting>
  <conditionalFormatting sqref="T429">
    <cfRule type="containsText" dxfId="2" priority="4648" operator="between" text="欠">
      <formula>NOT(ISERROR(SEARCH("欠",T429)))</formula>
    </cfRule>
  </conditionalFormatting>
  <conditionalFormatting sqref="AD429:AE429">
    <cfRule type="cellIs" dxfId="0" priority="4882" operator="equal">
      <formula>"未完成"</formula>
    </cfRule>
  </conditionalFormatting>
  <conditionalFormatting sqref="AI429:AJ429">
    <cfRule type="cellIs" dxfId="1" priority="4687" operator="equal">
      <formula>"未完成"</formula>
    </cfRule>
    <cfRule type="cellIs" dxfId="0" priority="4726" operator="equal">
      <formula>"未完成"</formula>
    </cfRule>
  </conditionalFormatting>
  <conditionalFormatting sqref="R430">
    <cfRule type="cellIs" dxfId="0" priority="4841" operator="equal">
      <formula>"欠"</formula>
    </cfRule>
  </conditionalFormatting>
  <conditionalFormatting sqref="S430">
    <cfRule type="cellIs" dxfId="0" priority="4802" operator="equal">
      <formula>"欠"</formula>
    </cfRule>
  </conditionalFormatting>
  <conditionalFormatting sqref="T430:U430">
    <cfRule type="cellIs" dxfId="0" priority="4763" operator="equal">
      <formula>"欠"</formula>
    </cfRule>
  </conditionalFormatting>
  <conditionalFormatting sqref="T430">
    <cfRule type="containsText" dxfId="2" priority="4646" operator="between" text="欠">
      <formula>NOT(ISERROR(SEARCH("欠",T430)))</formula>
    </cfRule>
  </conditionalFormatting>
  <conditionalFormatting sqref="AD430:AE430">
    <cfRule type="cellIs" dxfId="0" priority="4880" operator="equal">
      <formula>"未完成"</formula>
    </cfRule>
  </conditionalFormatting>
  <conditionalFormatting sqref="AI430:AJ430">
    <cfRule type="cellIs" dxfId="1" priority="4685" operator="equal">
      <formula>"未完成"</formula>
    </cfRule>
    <cfRule type="cellIs" dxfId="0" priority="4724" operator="equal">
      <formula>"未完成"</formula>
    </cfRule>
  </conditionalFormatting>
  <conditionalFormatting sqref="R431">
    <cfRule type="cellIs" dxfId="0" priority="4840" operator="equal">
      <formula>"欠"</formula>
    </cfRule>
  </conditionalFormatting>
  <conditionalFormatting sqref="S431">
    <cfRule type="cellIs" dxfId="0" priority="4801" operator="equal">
      <formula>"欠"</formula>
    </cfRule>
  </conditionalFormatting>
  <conditionalFormatting sqref="T431:U431">
    <cfRule type="cellIs" dxfId="0" priority="4762" operator="equal">
      <formula>"欠"</formula>
    </cfRule>
  </conditionalFormatting>
  <conditionalFormatting sqref="T431">
    <cfRule type="containsText" dxfId="2" priority="4645" operator="between" text="欠">
      <formula>NOT(ISERROR(SEARCH("欠",T431)))</formula>
    </cfRule>
  </conditionalFormatting>
  <conditionalFormatting sqref="AD431:AE431">
    <cfRule type="cellIs" dxfId="0" priority="4879" operator="equal">
      <formula>"未完成"</formula>
    </cfRule>
  </conditionalFormatting>
  <conditionalFormatting sqref="AI431:AJ431">
    <cfRule type="cellIs" dxfId="1" priority="4684" operator="equal">
      <formula>"未完成"</formula>
    </cfRule>
    <cfRule type="cellIs" dxfId="0" priority="4723" operator="equal">
      <formula>"未完成"</formula>
    </cfRule>
  </conditionalFormatting>
  <conditionalFormatting sqref="R432">
    <cfRule type="cellIs" dxfId="0" priority="4839" operator="equal">
      <formula>"欠"</formula>
    </cfRule>
  </conditionalFormatting>
  <conditionalFormatting sqref="S432">
    <cfRule type="cellIs" dxfId="0" priority="4800" operator="equal">
      <formula>"欠"</formula>
    </cfRule>
  </conditionalFormatting>
  <conditionalFormatting sqref="T432:U432">
    <cfRule type="cellIs" dxfId="0" priority="4761" operator="equal">
      <formula>"欠"</formula>
    </cfRule>
  </conditionalFormatting>
  <conditionalFormatting sqref="T432">
    <cfRule type="containsText" dxfId="2" priority="4644" operator="between" text="欠">
      <formula>NOT(ISERROR(SEARCH("欠",T432)))</formula>
    </cfRule>
  </conditionalFormatting>
  <conditionalFormatting sqref="AD432:AE432">
    <cfRule type="cellIs" dxfId="0" priority="4878" operator="equal">
      <formula>"未完成"</formula>
    </cfRule>
  </conditionalFormatting>
  <conditionalFormatting sqref="AI432:AJ432">
    <cfRule type="cellIs" dxfId="1" priority="4683" operator="equal">
      <formula>"未完成"</formula>
    </cfRule>
    <cfRule type="cellIs" dxfId="0" priority="4722" operator="equal">
      <formula>"未完成"</formula>
    </cfRule>
  </conditionalFormatting>
  <conditionalFormatting sqref="R433">
    <cfRule type="cellIs" dxfId="0" priority="4838" operator="equal">
      <formula>"欠"</formula>
    </cfRule>
  </conditionalFormatting>
  <conditionalFormatting sqref="S433">
    <cfRule type="cellIs" dxfId="0" priority="4799" operator="equal">
      <formula>"欠"</formula>
    </cfRule>
  </conditionalFormatting>
  <conditionalFormatting sqref="T433:U433">
    <cfRule type="cellIs" dxfId="0" priority="4760" operator="equal">
      <formula>"欠"</formula>
    </cfRule>
  </conditionalFormatting>
  <conditionalFormatting sqref="T433">
    <cfRule type="containsText" dxfId="2" priority="4643" operator="between" text="欠">
      <formula>NOT(ISERROR(SEARCH("欠",T433)))</formula>
    </cfRule>
  </conditionalFormatting>
  <conditionalFormatting sqref="AD433:AE433">
    <cfRule type="cellIs" dxfId="0" priority="4877" operator="equal">
      <formula>"未完成"</formula>
    </cfRule>
  </conditionalFormatting>
  <conditionalFormatting sqref="AI433:AJ433">
    <cfRule type="cellIs" dxfId="1" priority="4682" operator="equal">
      <formula>"未完成"</formula>
    </cfRule>
    <cfRule type="cellIs" dxfId="0" priority="4721" operator="equal">
      <formula>"未完成"</formula>
    </cfRule>
  </conditionalFormatting>
  <conditionalFormatting sqref="R434">
    <cfRule type="cellIs" dxfId="0" priority="4837" operator="equal">
      <formula>"欠"</formula>
    </cfRule>
  </conditionalFormatting>
  <conditionalFormatting sqref="S434">
    <cfRule type="cellIs" dxfId="0" priority="4798" operator="equal">
      <formula>"欠"</formula>
    </cfRule>
  </conditionalFormatting>
  <conditionalFormatting sqref="T434:U434">
    <cfRule type="cellIs" dxfId="0" priority="4759" operator="equal">
      <formula>"欠"</formula>
    </cfRule>
  </conditionalFormatting>
  <conditionalFormatting sqref="T434">
    <cfRule type="containsText" dxfId="2" priority="4642" operator="between" text="欠">
      <formula>NOT(ISERROR(SEARCH("欠",T434)))</formula>
    </cfRule>
  </conditionalFormatting>
  <conditionalFormatting sqref="AD434:AE434">
    <cfRule type="cellIs" dxfId="0" priority="4876" operator="equal">
      <formula>"未完成"</formula>
    </cfRule>
  </conditionalFormatting>
  <conditionalFormatting sqref="AI434:AJ434">
    <cfRule type="cellIs" dxfId="1" priority="4681" operator="equal">
      <formula>"未完成"</formula>
    </cfRule>
    <cfRule type="cellIs" dxfId="0" priority="4720" operator="equal">
      <formula>"未完成"</formula>
    </cfRule>
  </conditionalFormatting>
  <conditionalFormatting sqref="R435">
    <cfRule type="cellIs" dxfId="0" priority="4836" operator="equal">
      <formula>"欠"</formula>
    </cfRule>
  </conditionalFormatting>
  <conditionalFormatting sqref="S435">
    <cfRule type="cellIs" dxfId="0" priority="4797" operator="equal">
      <formula>"欠"</formula>
    </cfRule>
  </conditionalFormatting>
  <conditionalFormatting sqref="T435:U435">
    <cfRule type="cellIs" dxfId="0" priority="4758" operator="equal">
      <formula>"欠"</formula>
    </cfRule>
  </conditionalFormatting>
  <conditionalFormatting sqref="T435">
    <cfRule type="containsText" dxfId="2" priority="4641" operator="between" text="欠">
      <formula>NOT(ISERROR(SEARCH("欠",T435)))</formula>
    </cfRule>
  </conditionalFormatting>
  <conditionalFormatting sqref="AD435:AE435">
    <cfRule type="cellIs" dxfId="0" priority="4875" operator="equal">
      <formula>"未完成"</formula>
    </cfRule>
  </conditionalFormatting>
  <conditionalFormatting sqref="AI435:AJ435">
    <cfRule type="cellIs" dxfId="1" priority="4680" operator="equal">
      <formula>"未完成"</formula>
    </cfRule>
    <cfRule type="cellIs" dxfId="0" priority="4719" operator="equal">
      <formula>"未完成"</formula>
    </cfRule>
  </conditionalFormatting>
  <conditionalFormatting sqref="R436">
    <cfRule type="cellIs" dxfId="0" priority="4835" operator="equal">
      <formula>"欠"</formula>
    </cfRule>
  </conditionalFormatting>
  <conditionalFormatting sqref="S436">
    <cfRule type="cellIs" dxfId="0" priority="4796" operator="equal">
      <formula>"欠"</formula>
    </cfRule>
  </conditionalFormatting>
  <conditionalFormatting sqref="T436:U436">
    <cfRule type="cellIs" dxfId="0" priority="4757" operator="equal">
      <formula>"欠"</formula>
    </cfRule>
  </conditionalFormatting>
  <conditionalFormatting sqref="T436">
    <cfRule type="containsText" dxfId="2" priority="4640" operator="between" text="欠">
      <formula>NOT(ISERROR(SEARCH("欠",T436)))</formula>
    </cfRule>
  </conditionalFormatting>
  <conditionalFormatting sqref="AD436:AE436">
    <cfRule type="cellIs" dxfId="0" priority="4874" operator="equal">
      <formula>"未完成"</formula>
    </cfRule>
  </conditionalFormatting>
  <conditionalFormatting sqref="AI436:AJ436">
    <cfRule type="cellIs" dxfId="1" priority="4679" operator="equal">
      <formula>"未完成"</formula>
    </cfRule>
    <cfRule type="cellIs" dxfId="0" priority="4718" operator="equal">
      <formula>"未完成"</formula>
    </cfRule>
  </conditionalFormatting>
  <conditionalFormatting sqref="R437">
    <cfRule type="cellIs" dxfId="0" priority="4619" operator="equal">
      <formula>"欠"</formula>
    </cfRule>
  </conditionalFormatting>
  <conditionalFormatting sqref="S437">
    <cfRule type="cellIs" dxfId="0" priority="4608" operator="equal">
      <formula>"欠"</formula>
    </cfRule>
  </conditionalFormatting>
  <conditionalFormatting sqref="T437:U437">
    <cfRule type="cellIs" dxfId="0" priority="4597" operator="equal">
      <formula>"欠"</formula>
    </cfRule>
  </conditionalFormatting>
  <conditionalFormatting sqref="T437">
    <cfRule type="containsText" dxfId="2" priority="4564" operator="between" text="欠">
      <formula>NOT(ISERROR(SEARCH("欠",T437)))</formula>
    </cfRule>
  </conditionalFormatting>
  <conditionalFormatting sqref="AD437:AE437">
    <cfRule type="cellIs" dxfId="0" priority="4630" operator="equal">
      <formula>"未完成"</formula>
    </cfRule>
  </conditionalFormatting>
  <conditionalFormatting sqref="AI437:AJ437">
    <cfRule type="cellIs" dxfId="1" priority="4575" operator="equal">
      <formula>"未完成"</formula>
    </cfRule>
    <cfRule type="cellIs" dxfId="0" priority="4586" operator="equal">
      <formula>"未完成"</formula>
    </cfRule>
  </conditionalFormatting>
  <conditionalFormatting sqref="R438">
    <cfRule type="cellIs" dxfId="0" priority="4618" operator="equal">
      <formula>"欠"</formula>
    </cfRule>
  </conditionalFormatting>
  <conditionalFormatting sqref="S438">
    <cfRule type="cellIs" dxfId="0" priority="4607" operator="equal">
      <formula>"欠"</formula>
    </cfRule>
  </conditionalFormatting>
  <conditionalFormatting sqref="T438:U438">
    <cfRule type="cellIs" dxfId="0" priority="4596" operator="equal">
      <formula>"欠"</formula>
    </cfRule>
  </conditionalFormatting>
  <conditionalFormatting sqref="T438">
    <cfRule type="containsText" dxfId="2" priority="4563" operator="between" text="欠">
      <formula>NOT(ISERROR(SEARCH("欠",T438)))</formula>
    </cfRule>
  </conditionalFormatting>
  <conditionalFormatting sqref="AD438:AE438">
    <cfRule type="cellIs" dxfId="0" priority="4629" operator="equal">
      <formula>"未完成"</formula>
    </cfRule>
  </conditionalFormatting>
  <conditionalFormatting sqref="AI438:AJ438">
    <cfRule type="cellIs" dxfId="1" priority="4574" operator="equal">
      <formula>"未完成"</formula>
    </cfRule>
    <cfRule type="cellIs" dxfId="0" priority="4585" operator="equal">
      <formula>"未完成"</formula>
    </cfRule>
  </conditionalFormatting>
  <conditionalFormatting sqref="R439">
    <cfRule type="cellIs" dxfId="0" priority="4617" operator="equal">
      <formula>"欠"</formula>
    </cfRule>
  </conditionalFormatting>
  <conditionalFormatting sqref="S439">
    <cfRule type="cellIs" dxfId="0" priority="4606" operator="equal">
      <formula>"欠"</formula>
    </cfRule>
  </conditionalFormatting>
  <conditionalFormatting sqref="T439:U439">
    <cfRule type="cellIs" dxfId="0" priority="4595" operator="equal">
      <formula>"欠"</formula>
    </cfRule>
  </conditionalFormatting>
  <conditionalFormatting sqref="T439">
    <cfRule type="containsText" dxfId="2" priority="4562" operator="between" text="欠">
      <formula>NOT(ISERROR(SEARCH("欠",T439)))</formula>
    </cfRule>
  </conditionalFormatting>
  <conditionalFormatting sqref="AD439:AE439">
    <cfRule type="cellIs" dxfId="0" priority="4628" operator="equal">
      <formula>"未完成"</formula>
    </cfRule>
  </conditionalFormatting>
  <conditionalFormatting sqref="AI439:AJ439">
    <cfRule type="cellIs" dxfId="1" priority="4573" operator="equal">
      <formula>"未完成"</formula>
    </cfRule>
    <cfRule type="cellIs" dxfId="0" priority="4584" operator="equal">
      <formula>"未完成"</formula>
    </cfRule>
  </conditionalFormatting>
  <conditionalFormatting sqref="R440">
    <cfRule type="cellIs" dxfId="0" priority="4616" operator="equal">
      <formula>"欠"</formula>
    </cfRule>
  </conditionalFormatting>
  <conditionalFormatting sqref="S440">
    <cfRule type="cellIs" dxfId="0" priority="4605" operator="equal">
      <formula>"欠"</formula>
    </cfRule>
  </conditionalFormatting>
  <conditionalFormatting sqref="T440:U440">
    <cfRule type="cellIs" dxfId="0" priority="4594" operator="equal">
      <formula>"欠"</formula>
    </cfRule>
  </conditionalFormatting>
  <conditionalFormatting sqref="T440">
    <cfRule type="containsText" dxfId="2" priority="4561" operator="between" text="欠">
      <formula>NOT(ISERROR(SEARCH("欠",T440)))</formula>
    </cfRule>
  </conditionalFormatting>
  <conditionalFormatting sqref="AD440:AE440">
    <cfRule type="cellIs" dxfId="0" priority="4627" operator="equal">
      <formula>"未完成"</formula>
    </cfRule>
  </conditionalFormatting>
  <conditionalFormatting sqref="AI440:AJ440">
    <cfRule type="cellIs" dxfId="1" priority="4572" operator="equal">
      <formula>"未完成"</formula>
    </cfRule>
    <cfRule type="cellIs" dxfId="0" priority="4583" operator="equal">
      <formula>"未完成"</formula>
    </cfRule>
  </conditionalFormatting>
  <conditionalFormatting sqref="R441">
    <cfRule type="cellIs" dxfId="0" priority="4615" operator="equal">
      <formula>"欠"</formula>
    </cfRule>
  </conditionalFormatting>
  <conditionalFormatting sqref="S441">
    <cfRule type="cellIs" dxfId="0" priority="4604" operator="equal">
      <formula>"欠"</formula>
    </cfRule>
  </conditionalFormatting>
  <conditionalFormatting sqref="T441:U441">
    <cfRule type="cellIs" dxfId="0" priority="4593" operator="equal">
      <formula>"欠"</formula>
    </cfRule>
  </conditionalFormatting>
  <conditionalFormatting sqref="T441">
    <cfRule type="containsText" dxfId="2" priority="4560" operator="between" text="欠">
      <formula>NOT(ISERROR(SEARCH("欠",T441)))</formula>
    </cfRule>
  </conditionalFormatting>
  <conditionalFormatting sqref="AD441:AE441">
    <cfRule type="cellIs" dxfId="0" priority="4626" operator="equal">
      <formula>"未完成"</formula>
    </cfRule>
  </conditionalFormatting>
  <conditionalFormatting sqref="AI441:AJ441">
    <cfRule type="cellIs" dxfId="1" priority="4571" operator="equal">
      <formula>"未完成"</formula>
    </cfRule>
    <cfRule type="cellIs" dxfId="0" priority="4582" operator="equal">
      <formula>"未完成"</formula>
    </cfRule>
  </conditionalFormatting>
  <conditionalFormatting sqref="R442">
    <cfRule type="cellIs" dxfId="0" priority="4614" operator="equal">
      <formula>"欠"</formula>
    </cfRule>
  </conditionalFormatting>
  <conditionalFormatting sqref="S442">
    <cfRule type="cellIs" dxfId="0" priority="4603" operator="equal">
      <formula>"欠"</formula>
    </cfRule>
  </conditionalFormatting>
  <conditionalFormatting sqref="T442:U442">
    <cfRule type="cellIs" dxfId="0" priority="4592" operator="equal">
      <formula>"欠"</formula>
    </cfRule>
  </conditionalFormatting>
  <conditionalFormatting sqref="T442">
    <cfRule type="containsText" dxfId="2" priority="4559" operator="between" text="欠">
      <formula>NOT(ISERROR(SEARCH("欠",T442)))</formula>
    </cfRule>
  </conditionalFormatting>
  <conditionalFormatting sqref="AD442:AE442">
    <cfRule type="cellIs" dxfId="0" priority="4625" operator="equal">
      <formula>"未完成"</formula>
    </cfRule>
  </conditionalFormatting>
  <conditionalFormatting sqref="AI442:AJ442">
    <cfRule type="cellIs" dxfId="1" priority="4570" operator="equal">
      <formula>"未完成"</formula>
    </cfRule>
    <cfRule type="cellIs" dxfId="0" priority="4581" operator="equal">
      <formula>"未完成"</formula>
    </cfRule>
  </conditionalFormatting>
  <conditionalFormatting sqref="R443">
    <cfRule type="cellIs" dxfId="0" priority="4613" operator="equal">
      <formula>"欠"</formula>
    </cfRule>
  </conditionalFormatting>
  <conditionalFormatting sqref="S443">
    <cfRule type="cellIs" dxfId="0" priority="4602" operator="equal">
      <formula>"欠"</formula>
    </cfRule>
  </conditionalFormatting>
  <conditionalFormatting sqref="T443:U443">
    <cfRule type="cellIs" dxfId="0" priority="4591" operator="equal">
      <formula>"欠"</formula>
    </cfRule>
  </conditionalFormatting>
  <conditionalFormatting sqref="T443">
    <cfRule type="containsText" dxfId="2" priority="4558" operator="between" text="欠">
      <formula>NOT(ISERROR(SEARCH("欠",T443)))</formula>
    </cfRule>
  </conditionalFormatting>
  <conditionalFormatting sqref="AD443:AE443">
    <cfRule type="cellIs" dxfId="0" priority="4624" operator="equal">
      <formula>"未完成"</formula>
    </cfRule>
  </conditionalFormatting>
  <conditionalFormatting sqref="AI443:AJ443">
    <cfRule type="cellIs" dxfId="1" priority="4569" operator="equal">
      <formula>"未完成"</formula>
    </cfRule>
    <cfRule type="cellIs" dxfId="0" priority="4580" operator="equal">
      <formula>"未完成"</formula>
    </cfRule>
  </conditionalFormatting>
  <conditionalFormatting sqref="R444">
    <cfRule type="cellIs" dxfId="0" priority="4612" operator="equal">
      <formula>"欠"</formula>
    </cfRule>
  </conditionalFormatting>
  <conditionalFormatting sqref="S444">
    <cfRule type="cellIs" dxfId="0" priority="4601" operator="equal">
      <formula>"欠"</formula>
    </cfRule>
  </conditionalFormatting>
  <conditionalFormatting sqref="T444:U444">
    <cfRule type="cellIs" dxfId="0" priority="4590" operator="equal">
      <formula>"欠"</formula>
    </cfRule>
  </conditionalFormatting>
  <conditionalFormatting sqref="T444">
    <cfRule type="containsText" dxfId="2" priority="4557" operator="between" text="欠">
      <formula>NOT(ISERROR(SEARCH("欠",T444)))</formula>
    </cfRule>
  </conditionalFormatting>
  <conditionalFormatting sqref="AD444:AE444">
    <cfRule type="cellIs" dxfId="0" priority="4623" operator="equal">
      <formula>"未完成"</formula>
    </cfRule>
  </conditionalFormatting>
  <conditionalFormatting sqref="AI444:AJ444">
    <cfRule type="cellIs" dxfId="1" priority="4568" operator="equal">
      <formula>"未完成"</formula>
    </cfRule>
    <cfRule type="cellIs" dxfId="0" priority="4579" operator="equal">
      <formula>"未完成"</formula>
    </cfRule>
  </conditionalFormatting>
  <conditionalFormatting sqref="R445">
    <cfRule type="cellIs" dxfId="0" priority="4611" operator="equal">
      <formula>"欠"</formula>
    </cfRule>
  </conditionalFormatting>
  <conditionalFormatting sqref="S445">
    <cfRule type="cellIs" dxfId="0" priority="4600" operator="equal">
      <formula>"欠"</formula>
    </cfRule>
  </conditionalFormatting>
  <conditionalFormatting sqref="T445:U445">
    <cfRule type="cellIs" dxfId="0" priority="4589" operator="equal">
      <formula>"欠"</formula>
    </cfRule>
  </conditionalFormatting>
  <conditionalFormatting sqref="T445">
    <cfRule type="containsText" dxfId="2" priority="4556" operator="between" text="欠">
      <formula>NOT(ISERROR(SEARCH("欠",T445)))</formula>
    </cfRule>
  </conditionalFormatting>
  <conditionalFormatting sqref="AD445:AE445">
    <cfRule type="cellIs" dxfId="0" priority="4622" operator="equal">
      <formula>"未完成"</formula>
    </cfRule>
  </conditionalFormatting>
  <conditionalFormatting sqref="AI445:AJ445">
    <cfRule type="cellIs" dxfId="1" priority="4567" operator="equal">
      <formula>"未完成"</formula>
    </cfRule>
    <cfRule type="cellIs" dxfId="0" priority="4578" operator="equal">
      <formula>"未完成"</formula>
    </cfRule>
  </conditionalFormatting>
  <conditionalFormatting sqref="R446">
    <cfRule type="cellIs" dxfId="0" priority="4610" operator="equal">
      <formula>"欠"</formula>
    </cfRule>
  </conditionalFormatting>
  <conditionalFormatting sqref="S446">
    <cfRule type="cellIs" dxfId="0" priority="4599" operator="equal">
      <formula>"欠"</formula>
    </cfRule>
  </conditionalFormatting>
  <conditionalFormatting sqref="T446:U446">
    <cfRule type="cellIs" dxfId="0" priority="4588" operator="equal">
      <formula>"欠"</formula>
    </cfRule>
  </conditionalFormatting>
  <conditionalFormatting sqref="T446">
    <cfRule type="containsText" dxfId="2" priority="4555" operator="between" text="欠">
      <formula>NOT(ISERROR(SEARCH("欠",T446)))</formula>
    </cfRule>
  </conditionalFormatting>
  <conditionalFormatting sqref="AD446:AE446">
    <cfRule type="cellIs" dxfId="0" priority="4621" operator="equal">
      <formula>"未完成"</formula>
    </cfRule>
  </conditionalFormatting>
  <conditionalFormatting sqref="AI446:AJ446">
    <cfRule type="cellIs" dxfId="1" priority="4566" operator="equal">
      <formula>"未完成"</formula>
    </cfRule>
    <cfRule type="cellIs" dxfId="0" priority="4577" operator="equal">
      <formula>"未完成"</formula>
    </cfRule>
  </conditionalFormatting>
  <conditionalFormatting sqref="R447">
    <cfRule type="cellIs" dxfId="0" priority="4527" operator="equal">
      <formula>"欠"</formula>
    </cfRule>
  </conditionalFormatting>
  <conditionalFormatting sqref="S447">
    <cfRule type="cellIs" dxfId="0" priority="4517" operator="equal">
      <formula>"欠"</formula>
    </cfRule>
  </conditionalFormatting>
  <conditionalFormatting sqref="T447:U447">
    <cfRule type="cellIs" dxfId="0" priority="4507" operator="equal">
      <formula>"欠"</formula>
    </cfRule>
  </conditionalFormatting>
  <conditionalFormatting sqref="T447">
    <cfRule type="containsText" dxfId="2" priority="4477" operator="between" text="欠">
      <formula>NOT(ISERROR(SEARCH("欠",T447)))</formula>
    </cfRule>
  </conditionalFormatting>
  <conditionalFormatting sqref="AD447:AE447">
    <cfRule type="cellIs" dxfId="0" priority="4537" operator="equal">
      <formula>"未完成"</formula>
    </cfRule>
  </conditionalFormatting>
  <conditionalFormatting sqref="AI447:AJ447">
    <cfRule type="cellIs" dxfId="1" priority="4487" operator="equal">
      <formula>"未完成"</formula>
    </cfRule>
    <cfRule type="cellIs" dxfId="0" priority="4497" operator="equal">
      <formula>"未完成"</formula>
    </cfRule>
  </conditionalFormatting>
  <conditionalFormatting sqref="R448">
    <cfRule type="cellIs" dxfId="0" priority="4526" operator="equal">
      <formula>"欠"</formula>
    </cfRule>
  </conditionalFormatting>
  <conditionalFormatting sqref="S448">
    <cfRule type="cellIs" dxfId="0" priority="4516" operator="equal">
      <formula>"欠"</formula>
    </cfRule>
  </conditionalFormatting>
  <conditionalFormatting sqref="T448:U448">
    <cfRule type="cellIs" dxfId="0" priority="4506" operator="equal">
      <formula>"欠"</formula>
    </cfRule>
  </conditionalFormatting>
  <conditionalFormatting sqref="T448">
    <cfRule type="containsText" dxfId="2" priority="4476" operator="between" text="欠">
      <formula>NOT(ISERROR(SEARCH("欠",T448)))</formula>
    </cfRule>
  </conditionalFormatting>
  <conditionalFormatting sqref="AD448:AE448">
    <cfRule type="cellIs" dxfId="0" priority="4536" operator="equal">
      <formula>"未完成"</formula>
    </cfRule>
  </conditionalFormatting>
  <conditionalFormatting sqref="AI448:AJ448">
    <cfRule type="cellIs" dxfId="1" priority="4486" operator="equal">
      <formula>"未完成"</formula>
    </cfRule>
    <cfRule type="cellIs" dxfId="0" priority="4496" operator="equal">
      <formula>"未完成"</formula>
    </cfRule>
  </conditionalFormatting>
  <conditionalFormatting sqref="T449:U449">
    <cfRule type="cellIs" dxfId="0" priority="4505" operator="equal">
      <formula>"欠"</formula>
    </cfRule>
  </conditionalFormatting>
  <conditionalFormatting sqref="T449">
    <cfRule type="containsText" dxfId="2" priority="4475" operator="between" text="欠">
      <formula>NOT(ISERROR(SEARCH("欠",T449)))</formula>
    </cfRule>
  </conditionalFormatting>
  <conditionalFormatting sqref="AD449:AE449">
    <cfRule type="cellIs" dxfId="0" priority="4535" operator="equal">
      <formula>"未完成"</formula>
    </cfRule>
  </conditionalFormatting>
  <conditionalFormatting sqref="AI449:AJ449">
    <cfRule type="cellIs" dxfId="1" priority="4485" operator="equal">
      <formula>"未完成"</formula>
    </cfRule>
    <cfRule type="cellIs" dxfId="0" priority="4495" operator="equal">
      <formula>"未完成"</formula>
    </cfRule>
  </conditionalFormatting>
  <conditionalFormatting sqref="R450">
    <cfRule type="cellIs" dxfId="0" priority="4524" operator="equal">
      <formula>"欠"</formula>
    </cfRule>
  </conditionalFormatting>
  <conditionalFormatting sqref="S450">
    <cfRule type="cellIs" dxfId="0" priority="4514" operator="equal">
      <formula>"欠"</formula>
    </cfRule>
  </conditionalFormatting>
  <conditionalFormatting sqref="T450:U450">
    <cfRule type="cellIs" dxfId="0" priority="4504" operator="equal">
      <formula>"欠"</formula>
    </cfRule>
  </conditionalFormatting>
  <conditionalFormatting sqref="T450">
    <cfRule type="containsText" dxfId="2" priority="4474" operator="between" text="欠">
      <formula>NOT(ISERROR(SEARCH("欠",T450)))</formula>
    </cfRule>
  </conditionalFormatting>
  <conditionalFormatting sqref="AD450:AE450">
    <cfRule type="cellIs" dxfId="0" priority="4534" operator="equal">
      <formula>"未完成"</formula>
    </cfRule>
  </conditionalFormatting>
  <conditionalFormatting sqref="AI450:AJ450">
    <cfRule type="cellIs" dxfId="1" priority="4484" operator="equal">
      <formula>"未完成"</formula>
    </cfRule>
    <cfRule type="cellIs" dxfId="0" priority="4494" operator="equal">
      <formula>"未完成"</formula>
    </cfRule>
  </conditionalFormatting>
  <conditionalFormatting sqref="R451">
    <cfRule type="cellIs" dxfId="0" priority="4523" operator="equal">
      <formula>"欠"</formula>
    </cfRule>
  </conditionalFormatting>
  <conditionalFormatting sqref="S451">
    <cfRule type="cellIs" dxfId="0" priority="4513" operator="equal">
      <formula>"欠"</formula>
    </cfRule>
  </conditionalFormatting>
  <conditionalFormatting sqref="T451:U451">
    <cfRule type="cellIs" dxfId="0" priority="4503" operator="equal">
      <formula>"欠"</formula>
    </cfRule>
  </conditionalFormatting>
  <conditionalFormatting sqref="T451">
    <cfRule type="containsText" dxfId="2" priority="4473" operator="between" text="欠">
      <formula>NOT(ISERROR(SEARCH("欠",T451)))</formula>
    </cfRule>
  </conditionalFormatting>
  <conditionalFormatting sqref="AD451:AE451">
    <cfRule type="cellIs" dxfId="0" priority="4533" operator="equal">
      <formula>"未完成"</formula>
    </cfRule>
  </conditionalFormatting>
  <conditionalFormatting sqref="AI451:AJ451">
    <cfRule type="cellIs" dxfId="1" priority="4483" operator="equal">
      <formula>"未完成"</formula>
    </cfRule>
    <cfRule type="cellIs" dxfId="0" priority="4493" operator="equal">
      <formula>"未完成"</formula>
    </cfRule>
  </conditionalFormatting>
  <conditionalFormatting sqref="R452">
    <cfRule type="cellIs" dxfId="0" priority="4522" operator="equal">
      <formula>"欠"</formula>
    </cfRule>
  </conditionalFormatting>
  <conditionalFormatting sqref="S452">
    <cfRule type="cellIs" dxfId="0" priority="4512" operator="equal">
      <formula>"欠"</formula>
    </cfRule>
  </conditionalFormatting>
  <conditionalFormatting sqref="T452:U452">
    <cfRule type="cellIs" dxfId="0" priority="4502" operator="equal">
      <formula>"欠"</formula>
    </cfRule>
  </conditionalFormatting>
  <conditionalFormatting sqref="T452">
    <cfRule type="containsText" dxfId="2" priority="4472" operator="between" text="欠">
      <formula>NOT(ISERROR(SEARCH("欠",T452)))</formula>
    </cfRule>
  </conditionalFormatting>
  <conditionalFormatting sqref="AD452:AE452">
    <cfRule type="cellIs" dxfId="0" priority="4532" operator="equal">
      <formula>"未完成"</formula>
    </cfRule>
  </conditionalFormatting>
  <conditionalFormatting sqref="AI452:AJ452">
    <cfRule type="cellIs" dxfId="1" priority="4482" operator="equal">
      <formula>"未完成"</formula>
    </cfRule>
    <cfRule type="cellIs" dxfId="0" priority="4492" operator="equal">
      <formula>"未完成"</formula>
    </cfRule>
  </conditionalFormatting>
  <conditionalFormatting sqref="R453">
    <cfRule type="cellIs" dxfId="0" priority="4521" operator="equal">
      <formula>"欠"</formula>
    </cfRule>
  </conditionalFormatting>
  <conditionalFormatting sqref="S453">
    <cfRule type="cellIs" dxfId="0" priority="4511" operator="equal">
      <formula>"欠"</formula>
    </cfRule>
  </conditionalFormatting>
  <conditionalFormatting sqref="T453:U453">
    <cfRule type="cellIs" dxfId="0" priority="4501" operator="equal">
      <formula>"欠"</formula>
    </cfRule>
  </conditionalFormatting>
  <conditionalFormatting sqref="T453">
    <cfRule type="containsText" dxfId="2" priority="4471" operator="between" text="欠">
      <formula>NOT(ISERROR(SEARCH("欠",T453)))</formula>
    </cfRule>
  </conditionalFormatting>
  <conditionalFormatting sqref="AD453:AE453">
    <cfRule type="cellIs" dxfId="0" priority="4531" operator="equal">
      <formula>"未完成"</formula>
    </cfRule>
  </conditionalFormatting>
  <conditionalFormatting sqref="AI453:AJ453">
    <cfRule type="cellIs" dxfId="1" priority="4481" operator="equal">
      <formula>"未完成"</formula>
    </cfRule>
    <cfRule type="cellIs" dxfId="0" priority="4491" operator="equal">
      <formula>"未完成"</formula>
    </cfRule>
  </conditionalFormatting>
  <conditionalFormatting sqref="R454">
    <cfRule type="cellIs" dxfId="0" priority="4520" operator="equal">
      <formula>"欠"</formula>
    </cfRule>
  </conditionalFormatting>
  <conditionalFormatting sqref="S454">
    <cfRule type="cellIs" dxfId="0" priority="4510" operator="equal">
      <formula>"欠"</formula>
    </cfRule>
  </conditionalFormatting>
  <conditionalFormatting sqref="T454:U454">
    <cfRule type="cellIs" dxfId="0" priority="4500" operator="equal">
      <formula>"欠"</formula>
    </cfRule>
  </conditionalFormatting>
  <conditionalFormatting sqref="T454">
    <cfRule type="containsText" dxfId="2" priority="4470" operator="between" text="欠">
      <formula>NOT(ISERROR(SEARCH("欠",T454)))</formula>
    </cfRule>
  </conditionalFormatting>
  <conditionalFormatting sqref="AD454:AE454">
    <cfRule type="cellIs" dxfId="0" priority="4530" operator="equal">
      <formula>"未完成"</formula>
    </cfRule>
  </conditionalFormatting>
  <conditionalFormatting sqref="AI454:AJ454">
    <cfRule type="cellIs" dxfId="1" priority="4480" operator="equal">
      <formula>"未完成"</formula>
    </cfRule>
    <cfRule type="cellIs" dxfId="0" priority="4490" operator="equal">
      <formula>"未完成"</formula>
    </cfRule>
  </conditionalFormatting>
  <conditionalFormatting sqref="R455">
    <cfRule type="cellIs" dxfId="0" priority="4519" operator="equal">
      <formula>"欠"</formula>
    </cfRule>
  </conditionalFormatting>
  <conditionalFormatting sqref="S455">
    <cfRule type="cellIs" dxfId="0" priority="4509" operator="equal">
      <formula>"欠"</formula>
    </cfRule>
  </conditionalFormatting>
  <conditionalFormatting sqref="T455:U455">
    <cfRule type="cellIs" dxfId="0" priority="4499" operator="equal">
      <formula>"欠"</formula>
    </cfRule>
  </conditionalFormatting>
  <conditionalFormatting sqref="T455">
    <cfRule type="containsText" dxfId="2" priority="4469" operator="between" text="欠">
      <formula>NOT(ISERROR(SEARCH("欠",T455)))</formula>
    </cfRule>
  </conditionalFormatting>
  <conditionalFormatting sqref="AD455:AE455">
    <cfRule type="cellIs" dxfId="0" priority="4529" operator="equal">
      <formula>"未完成"</formula>
    </cfRule>
  </conditionalFormatting>
  <conditionalFormatting sqref="AI455:AJ455">
    <cfRule type="cellIs" dxfId="1" priority="4479" operator="equal">
      <formula>"未完成"</formula>
    </cfRule>
    <cfRule type="cellIs" dxfId="0" priority="4489" operator="equal">
      <formula>"未完成"</formula>
    </cfRule>
  </conditionalFormatting>
  <conditionalFormatting sqref="R456">
    <cfRule type="cellIs" dxfId="0" priority="4518" operator="equal">
      <formula>"欠"</formula>
    </cfRule>
  </conditionalFormatting>
  <conditionalFormatting sqref="S456">
    <cfRule type="cellIs" dxfId="0" priority="4508" operator="equal">
      <formula>"欠"</formula>
    </cfRule>
  </conditionalFormatting>
  <conditionalFormatting sqref="T456:U456">
    <cfRule type="cellIs" dxfId="0" priority="4498" operator="equal">
      <formula>"欠"</formula>
    </cfRule>
  </conditionalFormatting>
  <conditionalFormatting sqref="T456">
    <cfRule type="containsText" dxfId="2" priority="4468" operator="between" text="欠">
      <formula>NOT(ISERROR(SEARCH("欠",T456)))</formula>
    </cfRule>
  </conditionalFormatting>
  <conditionalFormatting sqref="AD456:AE456">
    <cfRule type="cellIs" dxfId="0" priority="4528" operator="equal">
      <formula>"未完成"</formula>
    </cfRule>
  </conditionalFormatting>
  <conditionalFormatting sqref="AI456:AJ456">
    <cfRule type="cellIs" dxfId="1" priority="4478" operator="equal">
      <formula>"未完成"</formula>
    </cfRule>
    <cfRule type="cellIs" dxfId="0" priority="4488" operator="equal">
      <formula>"未完成"</formula>
    </cfRule>
  </conditionalFormatting>
  <conditionalFormatting sqref="R457">
    <cfRule type="cellIs" dxfId="0" priority="4455" operator="equal">
      <formula>"欠"</formula>
    </cfRule>
  </conditionalFormatting>
  <conditionalFormatting sqref="S457">
    <cfRule type="cellIs" dxfId="0" priority="4451" operator="equal">
      <formula>"欠"</formula>
    </cfRule>
  </conditionalFormatting>
  <conditionalFormatting sqref="T457:U457">
    <cfRule type="cellIs" dxfId="0" priority="4447" operator="equal">
      <formula>"欠"</formula>
    </cfRule>
  </conditionalFormatting>
  <conditionalFormatting sqref="T457">
    <cfRule type="containsText" dxfId="2" priority="4435" operator="between" text="欠">
      <formula>NOT(ISERROR(SEARCH("欠",T457)))</formula>
    </cfRule>
  </conditionalFormatting>
  <conditionalFormatting sqref="AD457:AE457">
    <cfRule type="cellIs" dxfId="0" priority="4459" operator="equal">
      <formula>"未完成"</formula>
    </cfRule>
  </conditionalFormatting>
  <conditionalFormatting sqref="AI457:AJ457">
    <cfRule type="cellIs" dxfId="1" priority="4439" operator="equal">
      <formula>"未完成"</formula>
    </cfRule>
    <cfRule type="cellIs" dxfId="0" priority="4443" operator="equal">
      <formula>"未完成"</formula>
    </cfRule>
  </conditionalFormatting>
  <conditionalFormatting sqref="R458">
    <cfRule type="cellIs" dxfId="0" priority="4454" operator="equal">
      <formula>"欠"</formula>
    </cfRule>
  </conditionalFormatting>
  <conditionalFormatting sqref="S458">
    <cfRule type="cellIs" dxfId="0" priority="4450" operator="equal">
      <formula>"欠"</formula>
    </cfRule>
  </conditionalFormatting>
  <conditionalFormatting sqref="T458:U458">
    <cfRule type="cellIs" dxfId="0" priority="4446" operator="equal">
      <formula>"欠"</formula>
    </cfRule>
  </conditionalFormatting>
  <conditionalFormatting sqref="T458">
    <cfRule type="containsText" dxfId="2" priority="4434" operator="between" text="欠">
      <formula>NOT(ISERROR(SEARCH("欠",T458)))</formula>
    </cfRule>
  </conditionalFormatting>
  <conditionalFormatting sqref="AD458:AE458">
    <cfRule type="cellIs" dxfId="0" priority="4458" operator="equal">
      <formula>"未完成"</formula>
    </cfRule>
  </conditionalFormatting>
  <conditionalFormatting sqref="AI458:AJ458">
    <cfRule type="cellIs" dxfId="1" priority="4438" operator="equal">
      <formula>"未完成"</formula>
    </cfRule>
    <cfRule type="cellIs" dxfId="0" priority="4442" operator="equal">
      <formula>"未完成"</formula>
    </cfRule>
  </conditionalFormatting>
  <conditionalFormatting sqref="R459">
    <cfRule type="cellIs" dxfId="0" priority="4453" operator="equal">
      <formula>"欠"</formula>
    </cfRule>
  </conditionalFormatting>
  <conditionalFormatting sqref="S459">
    <cfRule type="cellIs" dxfId="0" priority="4449" operator="equal">
      <formula>"欠"</formula>
    </cfRule>
  </conditionalFormatting>
  <conditionalFormatting sqref="T459:U459">
    <cfRule type="cellIs" dxfId="0" priority="4445" operator="equal">
      <formula>"欠"</formula>
    </cfRule>
  </conditionalFormatting>
  <conditionalFormatting sqref="T459">
    <cfRule type="containsText" dxfId="2" priority="4433" operator="between" text="欠">
      <formula>NOT(ISERROR(SEARCH("欠",T459)))</formula>
    </cfRule>
  </conditionalFormatting>
  <conditionalFormatting sqref="AD459:AE459">
    <cfRule type="cellIs" dxfId="0" priority="4457" operator="equal">
      <formula>"未完成"</formula>
    </cfRule>
  </conditionalFormatting>
  <conditionalFormatting sqref="AI459:AJ459">
    <cfRule type="cellIs" dxfId="1" priority="4437" operator="equal">
      <formula>"未完成"</formula>
    </cfRule>
    <cfRule type="cellIs" dxfId="0" priority="4441" operator="equal">
      <formula>"未完成"</formula>
    </cfRule>
  </conditionalFormatting>
  <conditionalFormatting sqref="R460">
    <cfRule type="cellIs" dxfId="0" priority="4452" operator="equal">
      <formula>"欠"</formula>
    </cfRule>
  </conditionalFormatting>
  <conditionalFormatting sqref="S460">
    <cfRule type="cellIs" dxfId="0" priority="4448" operator="equal">
      <formula>"欠"</formula>
    </cfRule>
  </conditionalFormatting>
  <conditionalFormatting sqref="T460:U460">
    <cfRule type="cellIs" dxfId="0" priority="4444" operator="equal">
      <formula>"欠"</formula>
    </cfRule>
  </conditionalFormatting>
  <conditionalFormatting sqref="T460">
    <cfRule type="containsText" dxfId="2" priority="4432" operator="between" text="欠">
      <formula>NOT(ISERROR(SEARCH("欠",T460)))</formula>
    </cfRule>
  </conditionalFormatting>
  <conditionalFormatting sqref="AD460:AE460">
    <cfRule type="cellIs" dxfId="0" priority="4456" operator="equal">
      <formula>"未完成"</formula>
    </cfRule>
  </conditionalFormatting>
  <conditionalFormatting sqref="AI460:AJ460">
    <cfRule type="cellIs" dxfId="1" priority="4436" operator="equal">
      <formula>"未完成"</formula>
    </cfRule>
    <cfRule type="cellIs" dxfId="0" priority="4440" operator="equal">
      <formula>"未完成"</formula>
    </cfRule>
  </conditionalFormatting>
  <conditionalFormatting sqref="R461">
    <cfRule type="cellIs" dxfId="0" priority="4413" operator="equal">
      <formula>"欠"</formula>
    </cfRule>
  </conditionalFormatting>
  <conditionalFormatting sqref="S461">
    <cfRule type="cellIs" dxfId="0" priority="4404" operator="equal">
      <formula>"欠"</formula>
    </cfRule>
  </conditionalFormatting>
  <conditionalFormatting sqref="T461:U461">
    <cfRule type="cellIs" dxfId="0" priority="4395" operator="equal">
      <formula>"欠"</formula>
    </cfRule>
  </conditionalFormatting>
  <conditionalFormatting sqref="T461">
    <cfRule type="containsText" dxfId="2" priority="4368" operator="between" text="欠">
      <formula>NOT(ISERROR(SEARCH("欠",T461)))</formula>
    </cfRule>
  </conditionalFormatting>
  <conditionalFormatting sqref="AD461:AE461">
    <cfRule type="cellIs" dxfId="0" priority="4422" operator="equal">
      <formula>"未完成"</formula>
    </cfRule>
  </conditionalFormatting>
  <conditionalFormatting sqref="AI461:AJ461">
    <cfRule type="cellIs" dxfId="1" priority="4377" operator="equal">
      <formula>"未完成"</formula>
    </cfRule>
    <cfRule type="cellIs" dxfId="0" priority="4386" operator="equal">
      <formula>"未完成"</formula>
    </cfRule>
  </conditionalFormatting>
  <conditionalFormatting sqref="R462">
    <cfRule type="cellIs" dxfId="0" priority="4412" operator="equal">
      <formula>"欠"</formula>
    </cfRule>
  </conditionalFormatting>
  <conditionalFormatting sqref="S462">
    <cfRule type="cellIs" dxfId="0" priority="4403" operator="equal">
      <formula>"欠"</formula>
    </cfRule>
  </conditionalFormatting>
  <conditionalFormatting sqref="T462:U462">
    <cfRule type="cellIs" dxfId="0" priority="4394" operator="equal">
      <formula>"欠"</formula>
    </cfRule>
  </conditionalFormatting>
  <conditionalFormatting sqref="T462">
    <cfRule type="containsText" dxfId="2" priority="4367" operator="between" text="欠">
      <formula>NOT(ISERROR(SEARCH("欠",T462)))</formula>
    </cfRule>
  </conditionalFormatting>
  <conditionalFormatting sqref="AD462:AE462">
    <cfRule type="cellIs" dxfId="0" priority="4421" operator="equal">
      <formula>"未完成"</formula>
    </cfRule>
  </conditionalFormatting>
  <conditionalFormatting sqref="AI462:AJ462">
    <cfRule type="cellIs" dxfId="1" priority="4376" operator="equal">
      <formula>"未完成"</formula>
    </cfRule>
    <cfRule type="cellIs" dxfId="0" priority="4385" operator="equal">
      <formula>"未完成"</formula>
    </cfRule>
  </conditionalFormatting>
  <conditionalFormatting sqref="R463">
    <cfRule type="cellIs" dxfId="0" priority="4411" operator="equal">
      <formula>"欠"</formula>
    </cfRule>
  </conditionalFormatting>
  <conditionalFormatting sqref="S463">
    <cfRule type="cellIs" dxfId="0" priority="4402" operator="equal">
      <formula>"欠"</formula>
    </cfRule>
  </conditionalFormatting>
  <conditionalFormatting sqref="T463:U463">
    <cfRule type="cellIs" dxfId="0" priority="4393" operator="equal">
      <formula>"欠"</formula>
    </cfRule>
  </conditionalFormatting>
  <conditionalFormatting sqref="T463">
    <cfRule type="containsText" dxfId="2" priority="4366" operator="between" text="欠">
      <formula>NOT(ISERROR(SEARCH("欠",T463)))</formula>
    </cfRule>
  </conditionalFormatting>
  <conditionalFormatting sqref="AD463:AE463">
    <cfRule type="cellIs" dxfId="0" priority="4420" operator="equal">
      <formula>"未完成"</formula>
    </cfRule>
  </conditionalFormatting>
  <conditionalFormatting sqref="AI463:AJ463">
    <cfRule type="cellIs" dxfId="1" priority="4375" operator="equal">
      <formula>"未完成"</formula>
    </cfRule>
    <cfRule type="cellIs" dxfId="0" priority="4384" operator="equal">
      <formula>"未完成"</formula>
    </cfRule>
  </conditionalFormatting>
  <conditionalFormatting sqref="R464">
    <cfRule type="cellIs" dxfId="0" priority="4410" operator="equal">
      <formula>"欠"</formula>
    </cfRule>
  </conditionalFormatting>
  <conditionalFormatting sqref="S464">
    <cfRule type="cellIs" dxfId="0" priority="4401" operator="equal">
      <formula>"欠"</formula>
    </cfRule>
  </conditionalFormatting>
  <conditionalFormatting sqref="T464:U464">
    <cfRule type="cellIs" dxfId="0" priority="4392" operator="equal">
      <formula>"欠"</formula>
    </cfRule>
  </conditionalFormatting>
  <conditionalFormatting sqref="T464">
    <cfRule type="containsText" dxfId="2" priority="4365" operator="between" text="欠">
      <formula>NOT(ISERROR(SEARCH("欠",T464)))</formula>
    </cfRule>
  </conditionalFormatting>
  <conditionalFormatting sqref="AD464:AE464">
    <cfRule type="cellIs" dxfId="0" priority="4419" operator="equal">
      <formula>"未完成"</formula>
    </cfRule>
  </conditionalFormatting>
  <conditionalFormatting sqref="AI464:AJ464">
    <cfRule type="cellIs" dxfId="1" priority="4374" operator="equal">
      <formula>"未完成"</formula>
    </cfRule>
    <cfRule type="cellIs" dxfId="0" priority="4383" operator="equal">
      <formula>"未完成"</formula>
    </cfRule>
  </conditionalFormatting>
  <conditionalFormatting sqref="R465">
    <cfRule type="cellIs" dxfId="0" priority="4409" operator="equal">
      <formula>"欠"</formula>
    </cfRule>
  </conditionalFormatting>
  <conditionalFormatting sqref="S465">
    <cfRule type="cellIs" dxfId="0" priority="4400" operator="equal">
      <formula>"欠"</formula>
    </cfRule>
  </conditionalFormatting>
  <conditionalFormatting sqref="T465:U465">
    <cfRule type="cellIs" dxfId="0" priority="4391" operator="equal">
      <formula>"欠"</formula>
    </cfRule>
  </conditionalFormatting>
  <conditionalFormatting sqref="T465">
    <cfRule type="containsText" dxfId="2" priority="4364" operator="between" text="欠">
      <formula>NOT(ISERROR(SEARCH("欠",T465)))</formula>
    </cfRule>
  </conditionalFormatting>
  <conditionalFormatting sqref="AD465:AE465">
    <cfRule type="cellIs" dxfId="0" priority="4418" operator="equal">
      <formula>"未完成"</formula>
    </cfRule>
  </conditionalFormatting>
  <conditionalFormatting sqref="AI465:AJ465">
    <cfRule type="cellIs" dxfId="1" priority="4373" operator="equal">
      <formula>"未完成"</formula>
    </cfRule>
    <cfRule type="cellIs" dxfId="0" priority="4382" operator="equal">
      <formula>"未完成"</formula>
    </cfRule>
  </conditionalFormatting>
  <conditionalFormatting sqref="R466">
    <cfRule type="cellIs" dxfId="0" priority="4408" operator="equal">
      <formula>"欠"</formula>
    </cfRule>
  </conditionalFormatting>
  <conditionalFormatting sqref="S466">
    <cfRule type="cellIs" dxfId="0" priority="4399" operator="equal">
      <formula>"欠"</formula>
    </cfRule>
  </conditionalFormatting>
  <conditionalFormatting sqref="T466:U466">
    <cfRule type="cellIs" dxfId="0" priority="4390" operator="equal">
      <formula>"欠"</formula>
    </cfRule>
  </conditionalFormatting>
  <conditionalFormatting sqref="T466">
    <cfRule type="containsText" dxfId="2" priority="4363" operator="between" text="欠">
      <formula>NOT(ISERROR(SEARCH("欠",T466)))</formula>
    </cfRule>
  </conditionalFormatting>
  <conditionalFormatting sqref="AD466:AE466">
    <cfRule type="cellIs" dxfId="0" priority="4417" operator="equal">
      <formula>"未完成"</formula>
    </cfRule>
  </conditionalFormatting>
  <conditionalFormatting sqref="AI466:AJ466">
    <cfRule type="cellIs" dxfId="1" priority="4372" operator="equal">
      <formula>"未完成"</formula>
    </cfRule>
    <cfRule type="cellIs" dxfId="0" priority="4381" operator="equal">
      <formula>"未完成"</formula>
    </cfRule>
  </conditionalFormatting>
  <conditionalFormatting sqref="R467">
    <cfRule type="cellIs" dxfId="0" priority="4407" operator="equal">
      <formula>"欠"</formula>
    </cfRule>
  </conditionalFormatting>
  <conditionalFormatting sqref="S467">
    <cfRule type="cellIs" dxfId="0" priority="4398" operator="equal">
      <formula>"欠"</formula>
    </cfRule>
  </conditionalFormatting>
  <conditionalFormatting sqref="T467:U467">
    <cfRule type="cellIs" dxfId="0" priority="4389" operator="equal">
      <formula>"欠"</formula>
    </cfRule>
  </conditionalFormatting>
  <conditionalFormatting sqref="T467">
    <cfRule type="containsText" dxfId="2" priority="4362" operator="between" text="欠">
      <formula>NOT(ISERROR(SEARCH("欠",T467)))</formula>
    </cfRule>
  </conditionalFormatting>
  <conditionalFormatting sqref="AD467:AE467">
    <cfRule type="cellIs" dxfId="0" priority="4416" operator="equal">
      <formula>"未完成"</formula>
    </cfRule>
  </conditionalFormatting>
  <conditionalFormatting sqref="AI467:AJ467">
    <cfRule type="cellIs" dxfId="1" priority="4371" operator="equal">
      <formula>"未完成"</formula>
    </cfRule>
    <cfRule type="cellIs" dxfId="0" priority="4380" operator="equal">
      <formula>"未完成"</formula>
    </cfRule>
  </conditionalFormatting>
  <conditionalFormatting sqref="R468">
    <cfRule type="cellIs" dxfId="0" priority="4406" operator="equal">
      <formula>"欠"</formula>
    </cfRule>
  </conditionalFormatting>
  <conditionalFormatting sqref="S468">
    <cfRule type="cellIs" dxfId="0" priority="4397" operator="equal">
      <formula>"欠"</formula>
    </cfRule>
  </conditionalFormatting>
  <conditionalFormatting sqref="T468:U468">
    <cfRule type="cellIs" dxfId="0" priority="4388" operator="equal">
      <formula>"欠"</formula>
    </cfRule>
  </conditionalFormatting>
  <conditionalFormatting sqref="T468">
    <cfRule type="containsText" dxfId="2" priority="4361" operator="between" text="欠">
      <formula>NOT(ISERROR(SEARCH("欠",T468)))</formula>
    </cfRule>
  </conditionalFormatting>
  <conditionalFormatting sqref="AD468:AE468">
    <cfRule type="cellIs" dxfId="0" priority="4415" operator="equal">
      <formula>"未完成"</formula>
    </cfRule>
  </conditionalFormatting>
  <conditionalFormatting sqref="AI468:AJ468">
    <cfRule type="cellIs" dxfId="1" priority="4370" operator="equal">
      <formula>"未完成"</formula>
    </cfRule>
    <cfRule type="cellIs" dxfId="0" priority="4379" operator="equal">
      <formula>"未完成"</formula>
    </cfRule>
  </conditionalFormatting>
  <conditionalFormatting sqref="AD469:AE469">
    <cfRule type="cellIs" dxfId="0" priority="4414" operator="equal">
      <formula>"未完成"</formula>
    </cfRule>
  </conditionalFormatting>
  <conditionalFormatting sqref="AI469:AJ469">
    <cfRule type="cellIs" dxfId="1" priority="4369" operator="equal">
      <formula>"未完成"</formula>
    </cfRule>
    <cfRule type="cellIs" dxfId="0" priority="4378" operator="equal">
      <formula>"未完成"</formula>
    </cfRule>
  </conditionalFormatting>
  <conditionalFormatting sqref="R470">
    <cfRule type="cellIs" dxfId="0" priority="4358" operator="equal">
      <formula>"欠"</formula>
    </cfRule>
  </conditionalFormatting>
  <conditionalFormatting sqref="S470">
    <cfRule type="cellIs" dxfId="0" priority="4357" operator="equal">
      <formula>"欠"</formula>
    </cfRule>
  </conditionalFormatting>
  <conditionalFormatting sqref="T470:U470">
    <cfRule type="cellIs" dxfId="0" priority="4356" operator="equal">
      <formula>"欠"</formula>
    </cfRule>
  </conditionalFormatting>
  <conditionalFormatting sqref="T470">
    <cfRule type="containsText" dxfId="2" priority="4353" operator="between" text="欠">
      <formula>NOT(ISERROR(SEARCH("欠",T470)))</formula>
    </cfRule>
  </conditionalFormatting>
  <conditionalFormatting sqref="AD470:AE470">
    <cfRule type="cellIs" dxfId="0" priority="4359" operator="equal">
      <formula>"未完成"</formula>
    </cfRule>
  </conditionalFormatting>
  <conditionalFormatting sqref="AI470:AJ470">
    <cfRule type="cellIs" dxfId="1" priority="4354" operator="equal">
      <formula>"未完成"</formula>
    </cfRule>
    <cfRule type="cellIs" dxfId="0" priority="4355" operator="equal">
      <formula>"未完成"</formula>
    </cfRule>
  </conditionalFormatting>
  <conditionalFormatting sqref="R471">
    <cfRule type="cellIs" dxfId="0" priority="4265" operator="equal">
      <formula>"欠"</formula>
    </cfRule>
  </conditionalFormatting>
  <conditionalFormatting sqref="S471">
    <cfRule type="cellIs" dxfId="0" priority="4250" operator="equal">
      <formula>"欠"</formula>
    </cfRule>
  </conditionalFormatting>
  <conditionalFormatting sqref="T471:U471">
    <cfRule type="cellIs" dxfId="0" priority="4235" operator="equal">
      <formula>"欠"</formula>
    </cfRule>
  </conditionalFormatting>
  <conditionalFormatting sqref="T471">
    <cfRule type="containsText" dxfId="2" priority="4190" operator="between" text="欠">
      <formula>NOT(ISERROR(SEARCH("欠",T471)))</formula>
    </cfRule>
  </conditionalFormatting>
  <conditionalFormatting sqref="AD471:AE471">
    <cfRule type="cellIs" dxfId="0" priority="4280" operator="equal">
      <formula>"未完成"</formula>
    </cfRule>
  </conditionalFormatting>
  <conditionalFormatting sqref="AI471:AJ471">
    <cfRule type="cellIs" dxfId="1" priority="4205" operator="equal">
      <formula>"未完成"</formula>
    </cfRule>
    <cfRule type="cellIs" dxfId="0" priority="4220" operator="equal">
      <formula>"未完成"</formula>
    </cfRule>
  </conditionalFormatting>
  <conditionalFormatting sqref="R472">
    <cfRule type="cellIs" dxfId="0" priority="4264" operator="equal">
      <formula>"欠"</formula>
    </cfRule>
  </conditionalFormatting>
  <conditionalFormatting sqref="S472">
    <cfRule type="cellIs" dxfId="0" priority="4249" operator="equal">
      <formula>"欠"</formula>
    </cfRule>
  </conditionalFormatting>
  <conditionalFormatting sqref="T472:U472">
    <cfRule type="cellIs" dxfId="0" priority="4234" operator="equal">
      <formula>"欠"</formula>
    </cfRule>
  </conditionalFormatting>
  <conditionalFormatting sqref="T472">
    <cfRule type="containsText" dxfId="2" priority="4189" operator="between" text="欠">
      <formula>NOT(ISERROR(SEARCH("欠",T472)))</formula>
    </cfRule>
  </conditionalFormatting>
  <conditionalFormatting sqref="AD472:AE472">
    <cfRule type="cellIs" dxfId="0" priority="4279" operator="equal">
      <formula>"未完成"</formula>
    </cfRule>
  </conditionalFormatting>
  <conditionalFormatting sqref="AI472:AJ472">
    <cfRule type="cellIs" dxfId="1" priority="4204" operator="equal">
      <formula>"未完成"</formula>
    </cfRule>
    <cfRule type="cellIs" dxfId="0" priority="4219" operator="equal">
      <formula>"未完成"</formula>
    </cfRule>
  </conditionalFormatting>
  <conditionalFormatting sqref="R473">
    <cfRule type="cellIs" dxfId="0" priority="4263" operator="equal">
      <formula>"欠"</formula>
    </cfRule>
  </conditionalFormatting>
  <conditionalFormatting sqref="S473">
    <cfRule type="cellIs" dxfId="0" priority="4248" operator="equal">
      <formula>"欠"</formula>
    </cfRule>
  </conditionalFormatting>
  <conditionalFormatting sqref="T473:U473">
    <cfRule type="cellIs" dxfId="0" priority="4233" operator="equal">
      <formula>"欠"</formula>
    </cfRule>
  </conditionalFormatting>
  <conditionalFormatting sqref="T473">
    <cfRule type="containsText" dxfId="2" priority="4188" operator="between" text="欠">
      <formula>NOT(ISERROR(SEARCH("欠",T473)))</formula>
    </cfRule>
  </conditionalFormatting>
  <conditionalFormatting sqref="AD473:AE473">
    <cfRule type="cellIs" dxfId="0" priority="4278" operator="equal">
      <formula>"未完成"</formula>
    </cfRule>
  </conditionalFormatting>
  <conditionalFormatting sqref="AI473:AJ473">
    <cfRule type="cellIs" dxfId="1" priority="4203" operator="equal">
      <formula>"未完成"</formula>
    </cfRule>
    <cfRule type="cellIs" dxfId="0" priority="4218" operator="equal">
      <formula>"未完成"</formula>
    </cfRule>
  </conditionalFormatting>
  <conditionalFormatting sqref="R474">
    <cfRule type="cellIs" dxfId="0" priority="4262" operator="equal">
      <formula>"欠"</formula>
    </cfRule>
  </conditionalFormatting>
  <conditionalFormatting sqref="S474">
    <cfRule type="cellIs" dxfId="0" priority="4247" operator="equal">
      <formula>"欠"</formula>
    </cfRule>
  </conditionalFormatting>
  <conditionalFormatting sqref="T474:U474">
    <cfRule type="cellIs" dxfId="0" priority="4232" operator="equal">
      <formula>"欠"</formula>
    </cfRule>
  </conditionalFormatting>
  <conditionalFormatting sqref="T474">
    <cfRule type="containsText" dxfId="2" priority="4187" operator="between" text="欠">
      <formula>NOT(ISERROR(SEARCH("欠",T474)))</formula>
    </cfRule>
  </conditionalFormatting>
  <conditionalFormatting sqref="AD474:AE474">
    <cfRule type="cellIs" dxfId="0" priority="4277" operator="equal">
      <formula>"未完成"</formula>
    </cfRule>
  </conditionalFormatting>
  <conditionalFormatting sqref="AI474:AJ474">
    <cfRule type="cellIs" dxfId="1" priority="4202" operator="equal">
      <formula>"未完成"</formula>
    </cfRule>
    <cfRule type="cellIs" dxfId="0" priority="4217" operator="equal">
      <formula>"未完成"</formula>
    </cfRule>
  </conditionalFormatting>
  <conditionalFormatting sqref="R475">
    <cfRule type="cellIs" dxfId="0" priority="4261" operator="equal">
      <formula>"欠"</formula>
    </cfRule>
  </conditionalFormatting>
  <conditionalFormatting sqref="S475">
    <cfRule type="cellIs" dxfId="0" priority="4246" operator="equal">
      <formula>"欠"</formula>
    </cfRule>
  </conditionalFormatting>
  <conditionalFormatting sqref="T475:U475">
    <cfRule type="cellIs" dxfId="0" priority="4231" operator="equal">
      <formula>"欠"</formula>
    </cfRule>
  </conditionalFormatting>
  <conditionalFormatting sqref="T475">
    <cfRule type="containsText" dxfId="2" priority="4186" operator="between" text="欠">
      <formula>NOT(ISERROR(SEARCH("欠",T475)))</formula>
    </cfRule>
  </conditionalFormatting>
  <conditionalFormatting sqref="AD475:AE475">
    <cfRule type="cellIs" dxfId="0" priority="4276" operator="equal">
      <formula>"未完成"</formula>
    </cfRule>
  </conditionalFormatting>
  <conditionalFormatting sqref="AI475:AJ475">
    <cfRule type="cellIs" dxfId="1" priority="4201" operator="equal">
      <formula>"未完成"</formula>
    </cfRule>
    <cfRule type="cellIs" dxfId="0" priority="4216" operator="equal">
      <formula>"未完成"</formula>
    </cfRule>
  </conditionalFormatting>
  <conditionalFormatting sqref="R476">
    <cfRule type="cellIs" dxfId="0" priority="4260" operator="equal">
      <formula>"欠"</formula>
    </cfRule>
  </conditionalFormatting>
  <conditionalFormatting sqref="S476">
    <cfRule type="cellIs" dxfId="0" priority="4245" operator="equal">
      <formula>"欠"</formula>
    </cfRule>
  </conditionalFormatting>
  <conditionalFormatting sqref="T476:U476">
    <cfRule type="cellIs" dxfId="0" priority="4230" operator="equal">
      <formula>"欠"</formula>
    </cfRule>
  </conditionalFormatting>
  <conditionalFormatting sqref="T476">
    <cfRule type="containsText" dxfId="2" priority="4185" operator="between" text="欠">
      <formula>NOT(ISERROR(SEARCH("欠",T476)))</formula>
    </cfRule>
  </conditionalFormatting>
  <conditionalFormatting sqref="AD476:AE476">
    <cfRule type="cellIs" dxfId="0" priority="4275" operator="equal">
      <formula>"未完成"</formula>
    </cfRule>
  </conditionalFormatting>
  <conditionalFormatting sqref="AI476:AJ476">
    <cfRule type="cellIs" dxfId="1" priority="4200" operator="equal">
      <formula>"未完成"</formula>
    </cfRule>
    <cfRule type="cellIs" dxfId="0" priority="4215" operator="equal">
      <formula>"未完成"</formula>
    </cfRule>
  </conditionalFormatting>
  <conditionalFormatting sqref="R477">
    <cfRule type="cellIs" dxfId="0" priority="4259" operator="equal">
      <formula>"欠"</formula>
    </cfRule>
  </conditionalFormatting>
  <conditionalFormatting sqref="S477">
    <cfRule type="cellIs" dxfId="0" priority="4244" operator="equal">
      <formula>"欠"</formula>
    </cfRule>
  </conditionalFormatting>
  <conditionalFormatting sqref="T477:U477">
    <cfRule type="cellIs" dxfId="0" priority="4229" operator="equal">
      <formula>"欠"</formula>
    </cfRule>
  </conditionalFormatting>
  <conditionalFormatting sqref="T477">
    <cfRule type="containsText" dxfId="2" priority="4184" operator="between" text="欠">
      <formula>NOT(ISERROR(SEARCH("欠",T477)))</formula>
    </cfRule>
  </conditionalFormatting>
  <conditionalFormatting sqref="AD477:AE477">
    <cfRule type="cellIs" dxfId="0" priority="4274" operator="equal">
      <formula>"未完成"</formula>
    </cfRule>
  </conditionalFormatting>
  <conditionalFormatting sqref="AI477:AJ477">
    <cfRule type="cellIs" dxfId="1" priority="4199" operator="equal">
      <formula>"未完成"</formula>
    </cfRule>
    <cfRule type="cellIs" dxfId="0" priority="4214" operator="equal">
      <formula>"未完成"</formula>
    </cfRule>
  </conditionalFormatting>
  <conditionalFormatting sqref="R478">
    <cfRule type="cellIs" dxfId="0" priority="4258" operator="equal">
      <formula>"欠"</formula>
    </cfRule>
  </conditionalFormatting>
  <conditionalFormatting sqref="S478">
    <cfRule type="cellIs" dxfId="0" priority="4243" operator="equal">
      <formula>"欠"</formula>
    </cfRule>
  </conditionalFormatting>
  <conditionalFormatting sqref="T478:U478">
    <cfRule type="cellIs" dxfId="0" priority="4228" operator="equal">
      <formula>"欠"</formula>
    </cfRule>
  </conditionalFormatting>
  <conditionalFormatting sqref="T478">
    <cfRule type="containsText" dxfId="2" priority="4183" operator="between" text="欠">
      <formula>NOT(ISERROR(SEARCH("欠",T478)))</formula>
    </cfRule>
  </conditionalFormatting>
  <conditionalFormatting sqref="AD478:AE478">
    <cfRule type="cellIs" dxfId="0" priority="4273" operator="equal">
      <formula>"未完成"</formula>
    </cfRule>
  </conditionalFormatting>
  <conditionalFormatting sqref="AI478:AJ478">
    <cfRule type="cellIs" dxfId="1" priority="4198" operator="equal">
      <formula>"未完成"</formula>
    </cfRule>
    <cfRule type="cellIs" dxfId="0" priority="4213" operator="equal">
      <formula>"未完成"</formula>
    </cfRule>
  </conditionalFormatting>
  <conditionalFormatting sqref="R479">
    <cfRule type="cellIs" dxfId="0" priority="4257" operator="equal">
      <formula>"欠"</formula>
    </cfRule>
  </conditionalFormatting>
  <conditionalFormatting sqref="S479">
    <cfRule type="cellIs" dxfId="0" priority="4242" operator="equal">
      <formula>"欠"</formula>
    </cfRule>
  </conditionalFormatting>
  <conditionalFormatting sqref="T479:U479">
    <cfRule type="cellIs" dxfId="0" priority="4227" operator="equal">
      <formula>"欠"</formula>
    </cfRule>
  </conditionalFormatting>
  <conditionalFormatting sqref="T479">
    <cfRule type="containsText" dxfId="2" priority="4182" operator="between" text="欠">
      <formula>NOT(ISERROR(SEARCH("欠",T479)))</formula>
    </cfRule>
  </conditionalFormatting>
  <conditionalFormatting sqref="AD479:AE479">
    <cfRule type="cellIs" dxfId="0" priority="4272" operator="equal">
      <formula>"未完成"</formula>
    </cfRule>
  </conditionalFormatting>
  <conditionalFormatting sqref="AI479:AJ479">
    <cfRule type="cellIs" dxfId="1" priority="4197" operator="equal">
      <formula>"未完成"</formula>
    </cfRule>
    <cfRule type="cellIs" dxfId="0" priority="4212" operator="equal">
      <formula>"未完成"</formula>
    </cfRule>
  </conditionalFormatting>
  <conditionalFormatting sqref="R480">
    <cfRule type="cellIs" dxfId="0" priority="4256" operator="equal">
      <formula>"欠"</formula>
    </cfRule>
  </conditionalFormatting>
  <conditionalFormatting sqref="S480">
    <cfRule type="cellIs" dxfId="0" priority="4241" operator="equal">
      <formula>"欠"</formula>
    </cfRule>
  </conditionalFormatting>
  <conditionalFormatting sqref="T480:U480">
    <cfRule type="cellIs" dxfId="0" priority="4226" operator="equal">
      <formula>"欠"</formula>
    </cfRule>
  </conditionalFormatting>
  <conditionalFormatting sqref="T480">
    <cfRule type="containsText" dxfId="2" priority="4181" operator="between" text="欠">
      <formula>NOT(ISERROR(SEARCH("欠",T480)))</formula>
    </cfRule>
  </conditionalFormatting>
  <conditionalFormatting sqref="AD480:AE480">
    <cfRule type="cellIs" dxfId="0" priority="4271" operator="equal">
      <formula>"未完成"</formula>
    </cfRule>
  </conditionalFormatting>
  <conditionalFormatting sqref="AI480:AJ480">
    <cfRule type="cellIs" dxfId="1" priority="4196" operator="equal">
      <formula>"未完成"</formula>
    </cfRule>
    <cfRule type="cellIs" dxfId="0" priority="4211" operator="equal">
      <formula>"未完成"</formula>
    </cfRule>
  </conditionalFormatting>
  <conditionalFormatting sqref="R481">
    <cfRule type="cellIs" dxfId="0" priority="4255" operator="equal">
      <formula>"欠"</formula>
    </cfRule>
  </conditionalFormatting>
  <conditionalFormatting sqref="S481">
    <cfRule type="cellIs" dxfId="0" priority="4240" operator="equal">
      <formula>"欠"</formula>
    </cfRule>
  </conditionalFormatting>
  <conditionalFormatting sqref="T481:U481">
    <cfRule type="cellIs" dxfId="0" priority="4225" operator="equal">
      <formula>"欠"</formula>
    </cfRule>
  </conditionalFormatting>
  <conditionalFormatting sqref="T481">
    <cfRule type="containsText" dxfId="2" priority="4180" operator="between" text="欠">
      <formula>NOT(ISERROR(SEARCH("欠",T481)))</formula>
    </cfRule>
  </conditionalFormatting>
  <conditionalFormatting sqref="AD481:AE481">
    <cfRule type="cellIs" dxfId="0" priority="4270" operator="equal">
      <formula>"未完成"</formula>
    </cfRule>
  </conditionalFormatting>
  <conditionalFormatting sqref="AI481:AJ481">
    <cfRule type="cellIs" dxfId="1" priority="4195" operator="equal">
      <formula>"未完成"</formula>
    </cfRule>
    <cfRule type="cellIs" dxfId="0" priority="4210" operator="equal">
      <formula>"未完成"</formula>
    </cfRule>
  </conditionalFormatting>
  <conditionalFormatting sqref="R482">
    <cfRule type="cellIs" dxfId="0" priority="4254" operator="equal">
      <formula>"欠"</formula>
    </cfRule>
  </conditionalFormatting>
  <conditionalFormatting sqref="S482">
    <cfRule type="cellIs" dxfId="0" priority="4239" operator="equal">
      <formula>"欠"</formula>
    </cfRule>
  </conditionalFormatting>
  <conditionalFormatting sqref="T482:U482">
    <cfRule type="cellIs" dxfId="0" priority="4224" operator="equal">
      <formula>"欠"</formula>
    </cfRule>
  </conditionalFormatting>
  <conditionalFormatting sqref="T482">
    <cfRule type="containsText" dxfId="2" priority="4179" operator="between" text="欠">
      <formula>NOT(ISERROR(SEARCH("欠",T482)))</formula>
    </cfRule>
  </conditionalFormatting>
  <conditionalFormatting sqref="AD482:AE482">
    <cfRule type="cellIs" dxfId="0" priority="4269" operator="equal">
      <formula>"未完成"</formula>
    </cfRule>
  </conditionalFormatting>
  <conditionalFormatting sqref="AI482:AJ482">
    <cfRule type="cellIs" dxfId="1" priority="4194" operator="equal">
      <formula>"未完成"</formula>
    </cfRule>
    <cfRule type="cellIs" dxfId="0" priority="4209" operator="equal">
      <formula>"未完成"</formula>
    </cfRule>
  </conditionalFormatting>
  <conditionalFormatting sqref="R483">
    <cfRule type="cellIs" dxfId="0" priority="4253" operator="equal">
      <formula>"欠"</formula>
    </cfRule>
  </conditionalFormatting>
  <conditionalFormatting sqref="S483">
    <cfRule type="cellIs" dxfId="0" priority="4238" operator="equal">
      <formula>"欠"</formula>
    </cfRule>
  </conditionalFormatting>
  <conditionalFormatting sqref="T483:U483">
    <cfRule type="cellIs" dxfId="0" priority="4223" operator="equal">
      <formula>"欠"</formula>
    </cfRule>
  </conditionalFormatting>
  <conditionalFormatting sqref="T483">
    <cfRule type="containsText" dxfId="2" priority="4178" operator="between" text="欠">
      <formula>NOT(ISERROR(SEARCH("欠",T483)))</formula>
    </cfRule>
  </conditionalFormatting>
  <conditionalFormatting sqref="AD483:AE483">
    <cfRule type="cellIs" dxfId="0" priority="4268" operator="equal">
      <formula>"未完成"</formula>
    </cfRule>
  </conditionalFormatting>
  <conditionalFormatting sqref="AI483:AJ483">
    <cfRule type="cellIs" dxfId="1" priority="4193" operator="equal">
      <formula>"未完成"</formula>
    </cfRule>
    <cfRule type="cellIs" dxfId="0" priority="4208" operator="equal">
      <formula>"未完成"</formula>
    </cfRule>
  </conditionalFormatting>
  <conditionalFormatting sqref="R484">
    <cfRule type="cellIs" dxfId="0" priority="4252" operator="equal">
      <formula>"欠"</formula>
    </cfRule>
  </conditionalFormatting>
  <conditionalFormatting sqref="S484">
    <cfRule type="cellIs" dxfId="0" priority="4237" operator="equal">
      <formula>"欠"</formula>
    </cfRule>
  </conditionalFormatting>
  <conditionalFormatting sqref="T484:U484">
    <cfRule type="cellIs" dxfId="0" priority="4222" operator="equal">
      <formula>"欠"</formula>
    </cfRule>
  </conditionalFormatting>
  <conditionalFormatting sqref="T484">
    <cfRule type="containsText" dxfId="2" priority="4177" operator="between" text="欠">
      <formula>NOT(ISERROR(SEARCH("欠",T484)))</formula>
    </cfRule>
  </conditionalFormatting>
  <conditionalFormatting sqref="AD484:AE484">
    <cfRule type="cellIs" dxfId="0" priority="4267" operator="equal">
      <formula>"未完成"</formula>
    </cfRule>
  </conditionalFormatting>
  <conditionalFormatting sqref="AI484:AJ484">
    <cfRule type="cellIs" dxfId="1" priority="4192" operator="equal">
      <formula>"未完成"</formula>
    </cfRule>
    <cfRule type="cellIs" dxfId="0" priority="4207" operator="equal">
      <formula>"未完成"</formula>
    </cfRule>
  </conditionalFormatting>
  <conditionalFormatting sqref="R485">
    <cfRule type="cellIs" dxfId="0" priority="4251" operator="equal">
      <formula>"欠"</formula>
    </cfRule>
  </conditionalFormatting>
  <conditionalFormatting sqref="S485">
    <cfRule type="cellIs" dxfId="0" priority="4236" operator="equal">
      <formula>"欠"</formula>
    </cfRule>
  </conditionalFormatting>
  <conditionalFormatting sqref="T485:U485">
    <cfRule type="cellIs" dxfId="0" priority="4221" operator="equal">
      <formula>"欠"</formula>
    </cfRule>
  </conditionalFormatting>
  <conditionalFormatting sqref="T485">
    <cfRule type="containsText" dxfId="2" priority="4176" operator="between" text="欠">
      <formula>NOT(ISERROR(SEARCH("欠",T485)))</formula>
    </cfRule>
  </conditionalFormatting>
  <conditionalFormatting sqref="AD485:AE485">
    <cfRule type="cellIs" dxfId="0" priority="4266" operator="equal">
      <formula>"未完成"</formula>
    </cfRule>
  </conditionalFormatting>
  <conditionalFormatting sqref="AI485:AJ485">
    <cfRule type="cellIs" dxfId="1" priority="4191" operator="equal">
      <formula>"未完成"</formula>
    </cfRule>
    <cfRule type="cellIs" dxfId="0" priority="4206" operator="equal">
      <formula>"未完成"</formula>
    </cfRule>
  </conditionalFormatting>
  <conditionalFormatting sqref="R486">
    <cfRule type="cellIs" dxfId="0" priority="4173" operator="equal">
      <formula>"欠"</formula>
    </cfRule>
  </conditionalFormatting>
  <conditionalFormatting sqref="S486">
    <cfRule type="cellIs" dxfId="0" priority="4171" operator="equal">
      <formula>"欠"</formula>
    </cfRule>
  </conditionalFormatting>
  <conditionalFormatting sqref="T486:U486">
    <cfRule type="cellIs" dxfId="0" priority="4169" operator="equal">
      <formula>"欠"</formula>
    </cfRule>
  </conditionalFormatting>
  <conditionalFormatting sqref="T486">
    <cfRule type="containsText" dxfId="2" priority="4163" operator="between" text="欠">
      <formula>NOT(ISERROR(SEARCH("欠",T486)))</formula>
    </cfRule>
  </conditionalFormatting>
  <conditionalFormatting sqref="AD486:AE486">
    <cfRule type="cellIs" dxfId="0" priority="4175" operator="equal">
      <formula>"未完成"</formula>
    </cfRule>
  </conditionalFormatting>
  <conditionalFormatting sqref="AI486:AJ486">
    <cfRule type="cellIs" dxfId="1" priority="4165" operator="equal">
      <formula>"未完成"</formula>
    </cfRule>
    <cfRule type="cellIs" dxfId="0" priority="4167" operator="equal">
      <formula>"未完成"</formula>
    </cfRule>
  </conditionalFormatting>
  <conditionalFormatting sqref="R487">
    <cfRule type="cellIs" dxfId="0" priority="4172" operator="equal">
      <formula>"欠"</formula>
    </cfRule>
  </conditionalFormatting>
  <conditionalFormatting sqref="S487">
    <cfRule type="cellIs" dxfId="0" priority="4170" operator="equal">
      <formula>"欠"</formula>
    </cfRule>
  </conditionalFormatting>
  <conditionalFormatting sqref="T487:U487">
    <cfRule type="cellIs" dxfId="0" priority="4168" operator="equal">
      <formula>"欠"</formula>
    </cfRule>
  </conditionalFormatting>
  <conditionalFormatting sqref="T487">
    <cfRule type="containsText" dxfId="2" priority="4162" operator="between" text="欠">
      <formula>NOT(ISERROR(SEARCH("欠",T487)))</formula>
    </cfRule>
  </conditionalFormatting>
  <conditionalFormatting sqref="AD487:AE487">
    <cfRule type="cellIs" dxfId="0" priority="4174" operator="equal">
      <formula>"未完成"</formula>
    </cfRule>
  </conditionalFormatting>
  <conditionalFormatting sqref="AI487:AJ487">
    <cfRule type="cellIs" dxfId="1" priority="4164" operator="equal">
      <formula>"未完成"</formula>
    </cfRule>
    <cfRule type="cellIs" dxfId="0" priority="4166" operator="equal">
      <formula>"未完成"</formula>
    </cfRule>
  </conditionalFormatting>
  <conditionalFormatting sqref="R488">
    <cfRule type="cellIs" dxfId="0" priority="4160" operator="equal">
      <formula>"欠"</formula>
    </cfRule>
  </conditionalFormatting>
  <conditionalFormatting sqref="S488">
    <cfRule type="cellIs" dxfId="0" priority="4159" operator="equal">
      <formula>"欠"</formula>
    </cfRule>
  </conditionalFormatting>
  <conditionalFormatting sqref="T488:U488">
    <cfRule type="cellIs" dxfId="0" priority="4158" operator="equal">
      <formula>"欠"</formula>
    </cfRule>
  </conditionalFormatting>
  <conditionalFormatting sqref="T488">
    <cfRule type="containsText" dxfId="2" priority="4155" operator="between" text="欠">
      <formula>NOT(ISERROR(SEARCH("欠",T488)))</formula>
    </cfRule>
  </conditionalFormatting>
  <conditionalFormatting sqref="AD488:AE488">
    <cfRule type="cellIs" dxfId="0" priority="4161" operator="equal">
      <formula>"未完成"</formula>
    </cfRule>
  </conditionalFormatting>
  <conditionalFormatting sqref="AI488:AJ488">
    <cfRule type="cellIs" dxfId="1" priority="4156" operator="equal">
      <formula>"未完成"</formula>
    </cfRule>
    <cfRule type="cellIs" dxfId="0" priority="4157" operator="equal">
      <formula>"未完成"</formula>
    </cfRule>
  </conditionalFormatting>
  <conditionalFormatting sqref="R489">
    <cfRule type="cellIs" dxfId="0" priority="4054" operator="equal">
      <formula>"欠"</formula>
    </cfRule>
  </conditionalFormatting>
  <conditionalFormatting sqref="S489">
    <cfRule type="cellIs" dxfId="0" priority="4034" operator="equal">
      <formula>"欠"</formula>
    </cfRule>
  </conditionalFormatting>
  <conditionalFormatting sqref="T489:U489">
    <cfRule type="cellIs" dxfId="0" priority="4014" operator="equal">
      <formula>"欠"</formula>
    </cfRule>
  </conditionalFormatting>
  <conditionalFormatting sqref="T489">
    <cfRule type="containsText" dxfId="2" priority="3954" operator="between" text="欠">
      <formula>NOT(ISERROR(SEARCH("欠",T489)))</formula>
    </cfRule>
  </conditionalFormatting>
  <conditionalFormatting sqref="AD489:AE489">
    <cfRule type="cellIs" dxfId="0" priority="4074" operator="equal">
      <formula>"未完成"</formula>
    </cfRule>
  </conditionalFormatting>
  <conditionalFormatting sqref="AI489:AJ489">
    <cfRule type="cellIs" dxfId="1" priority="3974" operator="equal">
      <formula>"未完成"</formula>
    </cfRule>
    <cfRule type="cellIs" dxfId="0" priority="3994" operator="equal">
      <formula>"未完成"</formula>
    </cfRule>
  </conditionalFormatting>
  <conditionalFormatting sqref="R490">
    <cfRule type="cellIs" dxfId="0" priority="4053" operator="equal">
      <formula>"欠"</formula>
    </cfRule>
  </conditionalFormatting>
  <conditionalFormatting sqref="S490">
    <cfRule type="cellIs" dxfId="0" priority="4033" operator="equal">
      <formula>"欠"</formula>
    </cfRule>
  </conditionalFormatting>
  <conditionalFormatting sqref="T490:U490">
    <cfRule type="cellIs" dxfId="0" priority="4013" operator="equal">
      <formula>"欠"</formula>
    </cfRule>
  </conditionalFormatting>
  <conditionalFormatting sqref="T490">
    <cfRule type="containsText" dxfId="2" priority="3953" operator="between" text="欠">
      <formula>NOT(ISERROR(SEARCH("欠",T490)))</formula>
    </cfRule>
  </conditionalFormatting>
  <conditionalFormatting sqref="AD490:AE490">
    <cfRule type="cellIs" dxfId="0" priority="4073" operator="equal">
      <formula>"未完成"</formula>
    </cfRule>
  </conditionalFormatting>
  <conditionalFormatting sqref="AI490:AJ490">
    <cfRule type="cellIs" dxfId="1" priority="3973" operator="equal">
      <formula>"未完成"</formula>
    </cfRule>
    <cfRule type="cellIs" dxfId="0" priority="3993" operator="equal">
      <formula>"未完成"</formula>
    </cfRule>
  </conditionalFormatting>
  <conditionalFormatting sqref="R491">
    <cfRule type="cellIs" dxfId="0" priority="4052" operator="equal">
      <formula>"欠"</formula>
    </cfRule>
  </conditionalFormatting>
  <conditionalFormatting sqref="S491">
    <cfRule type="cellIs" dxfId="0" priority="4032" operator="equal">
      <formula>"欠"</formula>
    </cfRule>
  </conditionalFormatting>
  <conditionalFormatting sqref="T491:U491">
    <cfRule type="cellIs" dxfId="0" priority="4012" operator="equal">
      <formula>"欠"</formula>
    </cfRule>
  </conditionalFormatting>
  <conditionalFormatting sqref="T491">
    <cfRule type="containsText" dxfId="2" priority="3952" operator="between" text="欠">
      <formula>NOT(ISERROR(SEARCH("欠",T491)))</formula>
    </cfRule>
  </conditionalFormatting>
  <conditionalFormatting sqref="AD491:AE491">
    <cfRule type="cellIs" dxfId="0" priority="4072" operator="equal">
      <formula>"未完成"</formula>
    </cfRule>
  </conditionalFormatting>
  <conditionalFormatting sqref="AI491:AJ491">
    <cfRule type="cellIs" dxfId="1" priority="3972" operator="equal">
      <formula>"未完成"</formula>
    </cfRule>
    <cfRule type="cellIs" dxfId="0" priority="3992" operator="equal">
      <formula>"未完成"</formula>
    </cfRule>
  </conditionalFormatting>
  <conditionalFormatting sqref="R492">
    <cfRule type="cellIs" dxfId="0" priority="4051" operator="equal">
      <formula>"欠"</formula>
    </cfRule>
  </conditionalFormatting>
  <conditionalFormatting sqref="S492">
    <cfRule type="cellIs" dxfId="0" priority="4031" operator="equal">
      <formula>"欠"</formula>
    </cfRule>
  </conditionalFormatting>
  <conditionalFormatting sqref="T492:U492">
    <cfRule type="cellIs" dxfId="0" priority="4011" operator="equal">
      <formula>"欠"</formula>
    </cfRule>
  </conditionalFormatting>
  <conditionalFormatting sqref="T492">
    <cfRule type="containsText" dxfId="2" priority="3951" operator="between" text="欠">
      <formula>NOT(ISERROR(SEARCH("欠",T492)))</formula>
    </cfRule>
  </conditionalFormatting>
  <conditionalFormatting sqref="AD492:AE492">
    <cfRule type="cellIs" dxfId="0" priority="4071" operator="equal">
      <formula>"未完成"</formula>
    </cfRule>
  </conditionalFormatting>
  <conditionalFormatting sqref="AI492:AJ492">
    <cfRule type="cellIs" dxfId="1" priority="3971" operator="equal">
      <formula>"未完成"</formula>
    </cfRule>
    <cfRule type="cellIs" dxfId="0" priority="3991" operator="equal">
      <formula>"未完成"</formula>
    </cfRule>
  </conditionalFormatting>
  <conditionalFormatting sqref="R493">
    <cfRule type="cellIs" dxfId="0" priority="4050" operator="equal">
      <formula>"欠"</formula>
    </cfRule>
  </conditionalFormatting>
  <conditionalFormatting sqref="S493">
    <cfRule type="cellIs" dxfId="0" priority="4030" operator="equal">
      <formula>"欠"</formula>
    </cfRule>
  </conditionalFormatting>
  <conditionalFormatting sqref="T493:U493">
    <cfRule type="cellIs" dxfId="0" priority="4010" operator="equal">
      <formula>"欠"</formula>
    </cfRule>
  </conditionalFormatting>
  <conditionalFormatting sqref="T493">
    <cfRule type="containsText" dxfId="2" priority="3950" operator="between" text="欠">
      <formula>NOT(ISERROR(SEARCH("欠",T493)))</formula>
    </cfRule>
  </conditionalFormatting>
  <conditionalFormatting sqref="AD493:AE493">
    <cfRule type="cellIs" dxfId="0" priority="4070" operator="equal">
      <formula>"未完成"</formula>
    </cfRule>
  </conditionalFormatting>
  <conditionalFormatting sqref="AI493:AJ493">
    <cfRule type="cellIs" dxfId="1" priority="3970" operator="equal">
      <formula>"未完成"</formula>
    </cfRule>
    <cfRule type="cellIs" dxfId="0" priority="3990" operator="equal">
      <formula>"未完成"</formula>
    </cfRule>
  </conditionalFormatting>
  <conditionalFormatting sqref="R494">
    <cfRule type="cellIs" dxfId="0" priority="4049" operator="equal">
      <formula>"欠"</formula>
    </cfRule>
  </conditionalFormatting>
  <conditionalFormatting sqref="S494">
    <cfRule type="cellIs" dxfId="0" priority="4029" operator="equal">
      <formula>"欠"</formula>
    </cfRule>
  </conditionalFormatting>
  <conditionalFormatting sqref="T494:U494">
    <cfRule type="cellIs" dxfId="0" priority="4009" operator="equal">
      <formula>"欠"</formula>
    </cfRule>
  </conditionalFormatting>
  <conditionalFormatting sqref="T494">
    <cfRule type="containsText" dxfId="2" priority="3949" operator="between" text="欠">
      <formula>NOT(ISERROR(SEARCH("欠",T494)))</formula>
    </cfRule>
  </conditionalFormatting>
  <conditionalFormatting sqref="AD494:AE494">
    <cfRule type="cellIs" dxfId="0" priority="4069" operator="equal">
      <formula>"未完成"</formula>
    </cfRule>
  </conditionalFormatting>
  <conditionalFormatting sqref="AI494:AJ494">
    <cfRule type="cellIs" dxfId="1" priority="3969" operator="equal">
      <formula>"未完成"</formula>
    </cfRule>
    <cfRule type="cellIs" dxfId="0" priority="3989" operator="equal">
      <formula>"未完成"</formula>
    </cfRule>
  </conditionalFormatting>
  <conditionalFormatting sqref="R495">
    <cfRule type="cellIs" dxfId="0" priority="4048" operator="equal">
      <formula>"欠"</formula>
    </cfRule>
  </conditionalFormatting>
  <conditionalFormatting sqref="S495">
    <cfRule type="cellIs" dxfId="0" priority="4028" operator="equal">
      <formula>"欠"</formula>
    </cfRule>
  </conditionalFormatting>
  <conditionalFormatting sqref="T495:U495">
    <cfRule type="cellIs" dxfId="0" priority="4008" operator="equal">
      <formula>"欠"</formula>
    </cfRule>
  </conditionalFormatting>
  <conditionalFormatting sqref="T495">
    <cfRule type="containsText" dxfId="2" priority="3948" operator="between" text="欠">
      <formula>NOT(ISERROR(SEARCH("欠",T495)))</formula>
    </cfRule>
  </conditionalFormatting>
  <conditionalFormatting sqref="AD495:AE495">
    <cfRule type="cellIs" dxfId="0" priority="4068" operator="equal">
      <formula>"未完成"</formula>
    </cfRule>
  </conditionalFormatting>
  <conditionalFormatting sqref="AI495:AJ495">
    <cfRule type="cellIs" dxfId="1" priority="3968" operator="equal">
      <formula>"未完成"</formula>
    </cfRule>
    <cfRule type="cellIs" dxfId="0" priority="3988" operator="equal">
      <formula>"未完成"</formula>
    </cfRule>
  </conditionalFormatting>
  <conditionalFormatting sqref="R496">
    <cfRule type="cellIs" dxfId="0" priority="4047" operator="equal">
      <formula>"欠"</formula>
    </cfRule>
  </conditionalFormatting>
  <conditionalFormatting sqref="S496">
    <cfRule type="cellIs" dxfId="0" priority="4027" operator="equal">
      <formula>"欠"</formula>
    </cfRule>
  </conditionalFormatting>
  <conditionalFormatting sqref="T496:U496">
    <cfRule type="cellIs" dxfId="0" priority="4007" operator="equal">
      <formula>"欠"</formula>
    </cfRule>
  </conditionalFormatting>
  <conditionalFormatting sqref="T496">
    <cfRule type="containsText" dxfId="2" priority="3947" operator="between" text="欠">
      <formula>NOT(ISERROR(SEARCH("欠",T496)))</formula>
    </cfRule>
  </conditionalFormatting>
  <conditionalFormatting sqref="AD496:AE496">
    <cfRule type="cellIs" dxfId="0" priority="4067" operator="equal">
      <formula>"未完成"</formula>
    </cfRule>
  </conditionalFormatting>
  <conditionalFormatting sqref="AI496:AJ496">
    <cfRule type="cellIs" dxfId="1" priority="3967" operator="equal">
      <formula>"未完成"</formula>
    </cfRule>
    <cfRule type="cellIs" dxfId="0" priority="3987" operator="equal">
      <formula>"未完成"</formula>
    </cfRule>
  </conditionalFormatting>
  <conditionalFormatting sqref="R497">
    <cfRule type="cellIs" dxfId="0" priority="4046" operator="equal">
      <formula>"欠"</formula>
    </cfRule>
  </conditionalFormatting>
  <conditionalFormatting sqref="S497">
    <cfRule type="cellIs" dxfId="0" priority="4026" operator="equal">
      <formula>"欠"</formula>
    </cfRule>
  </conditionalFormatting>
  <conditionalFormatting sqref="T497:U497">
    <cfRule type="cellIs" dxfId="0" priority="4006" operator="equal">
      <formula>"欠"</formula>
    </cfRule>
  </conditionalFormatting>
  <conditionalFormatting sqref="T497">
    <cfRule type="containsText" dxfId="2" priority="3946" operator="between" text="欠">
      <formula>NOT(ISERROR(SEARCH("欠",T497)))</formula>
    </cfRule>
  </conditionalFormatting>
  <conditionalFormatting sqref="AD497:AE497">
    <cfRule type="cellIs" dxfId="0" priority="4066" operator="equal">
      <formula>"未完成"</formula>
    </cfRule>
  </conditionalFormatting>
  <conditionalFormatting sqref="AI497:AJ497">
    <cfRule type="cellIs" dxfId="1" priority="3966" operator="equal">
      <formula>"未完成"</formula>
    </cfRule>
    <cfRule type="cellIs" dxfId="0" priority="3986" operator="equal">
      <formula>"未完成"</formula>
    </cfRule>
  </conditionalFormatting>
  <conditionalFormatting sqref="R498">
    <cfRule type="cellIs" dxfId="0" priority="4045" operator="equal">
      <formula>"欠"</formula>
    </cfRule>
  </conditionalFormatting>
  <conditionalFormatting sqref="S498">
    <cfRule type="cellIs" dxfId="0" priority="4025" operator="equal">
      <formula>"欠"</formula>
    </cfRule>
  </conditionalFormatting>
  <conditionalFormatting sqref="T498:U498">
    <cfRule type="cellIs" dxfId="0" priority="4005" operator="equal">
      <formula>"欠"</formula>
    </cfRule>
  </conditionalFormatting>
  <conditionalFormatting sqref="T498">
    <cfRule type="containsText" dxfId="2" priority="3945" operator="between" text="欠">
      <formula>NOT(ISERROR(SEARCH("欠",T498)))</formula>
    </cfRule>
  </conditionalFormatting>
  <conditionalFormatting sqref="AD498:AE498">
    <cfRule type="cellIs" dxfId="0" priority="4065" operator="equal">
      <formula>"未完成"</formula>
    </cfRule>
  </conditionalFormatting>
  <conditionalFormatting sqref="AI498:AJ498">
    <cfRule type="cellIs" dxfId="1" priority="3965" operator="equal">
      <formula>"未完成"</formula>
    </cfRule>
    <cfRule type="cellIs" dxfId="0" priority="3985" operator="equal">
      <formula>"未完成"</formula>
    </cfRule>
  </conditionalFormatting>
  <conditionalFormatting sqref="R499">
    <cfRule type="cellIs" dxfId="0" priority="4044" operator="equal">
      <formula>"欠"</formula>
    </cfRule>
  </conditionalFormatting>
  <conditionalFormatting sqref="S499">
    <cfRule type="cellIs" dxfId="0" priority="4024" operator="equal">
      <formula>"欠"</formula>
    </cfRule>
  </conditionalFormatting>
  <conditionalFormatting sqref="T499:U499">
    <cfRule type="cellIs" dxfId="0" priority="4004" operator="equal">
      <formula>"欠"</formula>
    </cfRule>
  </conditionalFormatting>
  <conditionalFormatting sqref="T499">
    <cfRule type="containsText" dxfId="2" priority="3944" operator="between" text="欠">
      <formula>NOT(ISERROR(SEARCH("欠",T499)))</formula>
    </cfRule>
  </conditionalFormatting>
  <conditionalFormatting sqref="AD499:AE499">
    <cfRule type="cellIs" dxfId="0" priority="4064" operator="equal">
      <formula>"未完成"</formula>
    </cfRule>
  </conditionalFormatting>
  <conditionalFormatting sqref="AI499:AJ499">
    <cfRule type="cellIs" dxfId="1" priority="3964" operator="equal">
      <formula>"未完成"</formula>
    </cfRule>
    <cfRule type="cellIs" dxfId="0" priority="3984" operator="equal">
      <formula>"未完成"</formula>
    </cfRule>
  </conditionalFormatting>
  <conditionalFormatting sqref="R500">
    <cfRule type="cellIs" dxfId="0" priority="4043" operator="equal">
      <formula>"欠"</formula>
    </cfRule>
  </conditionalFormatting>
  <conditionalFormatting sqref="S500">
    <cfRule type="cellIs" dxfId="0" priority="4023" operator="equal">
      <formula>"欠"</formula>
    </cfRule>
  </conditionalFormatting>
  <conditionalFormatting sqref="T500:U500">
    <cfRule type="cellIs" dxfId="0" priority="4003" operator="equal">
      <formula>"欠"</formula>
    </cfRule>
  </conditionalFormatting>
  <conditionalFormatting sqref="T500">
    <cfRule type="containsText" dxfId="2" priority="3943" operator="between" text="欠">
      <formula>NOT(ISERROR(SEARCH("欠",T500)))</formula>
    </cfRule>
  </conditionalFormatting>
  <conditionalFormatting sqref="AD500:AE500">
    <cfRule type="cellIs" dxfId="0" priority="4063" operator="equal">
      <formula>"未完成"</formula>
    </cfRule>
  </conditionalFormatting>
  <conditionalFormatting sqref="AI500:AJ500">
    <cfRule type="cellIs" dxfId="1" priority="3963" operator="equal">
      <formula>"未完成"</formula>
    </cfRule>
    <cfRule type="cellIs" dxfId="0" priority="3983" operator="equal">
      <formula>"未完成"</formula>
    </cfRule>
  </conditionalFormatting>
  <conditionalFormatting sqref="R501">
    <cfRule type="cellIs" dxfId="0" priority="4042" operator="equal">
      <formula>"欠"</formula>
    </cfRule>
  </conditionalFormatting>
  <conditionalFormatting sqref="S501">
    <cfRule type="cellIs" dxfId="0" priority="4022" operator="equal">
      <formula>"欠"</formula>
    </cfRule>
  </conditionalFormatting>
  <conditionalFormatting sqref="T501:U501">
    <cfRule type="cellIs" dxfId="0" priority="4002" operator="equal">
      <formula>"欠"</formula>
    </cfRule>
  </conditionalFormatting>
  <conditionalFormatting sqref="T501">
    <cfRule type="containsText" dxfId="2" priority="3942" operator="between" text="欠">
      <formula>NOT(ISERROR(SEARCH("欠",T501)))</formula>
    </cfRule>
  </conditionalFormatting>
  <conditionalFormatting sqref="AD501:AE501">
    <cfRule type="cellIs" dxfId="0" priority="4062" operator="equal">
      <formula>"未完成"</formula>
    </cfRule>
  </conditionalFormatting>
  <conditionalFormatting sqref="AI501:AJ501">
    <cfRule type="cellIs" dxfId="1" priority="3962" operator="equal">
      <formula>"未完成"</formula>
    </cfRule>
    <cfRule type="cellIs" dxfId="0" priority="3982" operator="equal">
      <formula>"未完成"</formula>
    </cfRule>
  </conditionalFormatting>
  <conditionalFormatting sqref="R502">
    <cfRule type="cellIs" dxfId="0" priority="4041" operator="equal">
      <formula>"欠"</formula>
    </cfRule>
  </conditionalFormatting>
  <conditionalFormatting sqref="S502">
    <cfRule type="cellIs" dxfId="0" priority="4021" operator="equal">
      <formula>"欠"</formula>
    </cfRule>
  </conditionalFormatting>
  <conditionalFormatting sqref="T502:U502">
    <cfRule type="cellIs" dxfId="0" priority="4001" operator="equal">
      <formula>"欠"</formula>
    </cfRule>
  </conditionalFormatting>
  <conditionalFormatting sqref="T502">
    <cfRule type="containsText" dxfId="2" priority="3941" operator="between" text="欠">
      <formula>NOT(ISERROR(SEARCH("欠",T502)))</formula>
    </cfRule>
  </conditionalFormatting>
  <conditionalFormatting sqref="AD502:AE502">
    <cfRule type="cellIs" dxfId="0" priority="4061" operator="equal">
      <formula>"未完成"</formula>
    </cfRule>
  </conditionalFormatting>
  <conditionalFormatting sqref="AI502:AJ502">
    <cfRule type="cellIs" dxfId="1" priority="3961" operator="equal">
      <formula>"未完成"</formula>
    </cfRule>
    <cfRule type="cellIs" dxfId="0" priority="3981" operator="equal">
      <formula>"未完成"</formula>
    </cfRule>
  </conditionalFormatting>
  <conditionalFormatting sqref="R503">
    <cfRule type="cellIs" dxfId="0" priority="4040" operator="equal">
      <formula>"欠"</formula>
    </cfRule>
  </conditionalFormatting>
  <conditionalFormatting sqref="S503">
    <cfRule type="cellIs" dxfId="0" priority="4020" operator="equal">
      <formula>"欠"</formula>
    </cfRule>
  </conditionalFormatting>
  <conditionalFormatting sqref="T503:U503">
    <cfRule type="cellIs" dxfId="0" priority="4000" operator="equal">
      <formula>"欠"</formula>
    </cfRule>
  </conditionalFormatting>
  <conditionalFormatting sqref="T503">
    <cfRule type="containsText" dxfId="2" priority="3940" operator="between" text="欠">
      <formula>NOT(ISERROR(SEARCH("欠",T503)))</formula>
    </cfRule>
  </conditionalFormatting>
  <conditionalFormatting sqref="AD503:AE503">
    <cfRule type="cellIs" dxfId="0" priority="4060" operator="equal">
      <formula>"未完成"</formula>
    </cfRule>
  </conditionalFormatting>
  <conditionalFormatting sqref="AI503:AJ503">
    <cfRule type="cellIs" dxfId="1" priority="3960" operator="equal">
      <formula>"未完成"</formula>
    </cfRule>
    <cfRule type="cellIs" dxfId="0" priority="3980" operator="equal">
      <formula>"未完成"</formula>
    </cfRule>
  </conditionalFormatting>
  <conditionalFormatting sqref="R504">
    <cfRule type="cellIs" dxfId="0" priority="4039" operator="equal">
      <formula>"欠"</formula>
    </cfRule>
  </conditionalFormatting>
  <conditionalFormatting sqref="S504">
    <cfRule type="cellIs" dxfId="0" priority="4019" operator="equal">
      <formula>"欠"</formula>
    </cfRule>
  </conditionalFormatting>
  <conditionalFormatting sqref="T504:U504">
    <cfRule type="cellIs" dxfId="0" priority="3999" operator="equal">
      <formula>"欠"</formula>
    </cfRule>
  </conditionalFormatting>
  <conditionalFormatting sqref="T504">
    <cfRule type="containsText" dxfId="2" priority="3939" operator="between" text="欠">
      <formula>NOT(ISERROR(SEARCH("欠",T504)))</formula>
    </cfRule>
  </conditionalFormatting>
  <conditionalFormatting sqref="AD504:AE504">
    <cfRule type="cellIs" dxfId="0" priority="4059" operator="equal">
      <formula>"未完成"</formula>
    </cfRule>
  </conditionalFormatting>
  <conditionalFormatting sqref="AI504:AJ504">
    <cfRule type="cellIs" dxfId="1" priority="3959" operator="equal">
      <formula>"未完成"</formula>
    </cfRule>
    <cfRule type="cellIs" dxfId="0" priority="3979" operator="equal">
      <formula>"未完成"</formula>
    </cfRule>
  </conditionalFormatting>
  <conditionalFormatting sqref="R505">
    <cfRule type="cellIs" dxfId="0" priority="4038" operator="equal">
      <formula>"欠"</formula>
    </cfRule>
  </conditionalFormatting>
  <conditionalFormatting sqref="S505">
    <cfRule type="cellIs" dxfId="0" priority="4018" operator="equal">
      <formula>"欠"</formula>
    </cfRule>
  </conditionalFormatting>
  <conditionalFormatting sqref="T505:U505">
    <cfRule type="cellIs" dxfId="0" priority="3998" operator="equal">
      <formula>"欠"</formula>
    </cfRule>
  </conditionalFormatting>
  <conditionalFormatting sqref="T505">
    <cfRule type="containsText" dxfId="2" priority="3938" operator="between" text="欠">
      <formula>NOT(ISERROR(SEARCH("欠",T505)))</formula>
    </cfRule>
  </conditionalFormatting>
  <conditionalFormatting sqref="AD505:AE505">
    <cfRule type="cellIs" dxfId="0" priority="4058" operator="equal">
      <formula>"未完成"</formula>
    </cfRule>
  </conditionalFormatting>
  <conditionalFormatting sqref="AI505:AJ505">
    <cfRule type="cellIs" dxfId="1" priority="3958" operator="equal">
      <formula>"未完成"</formula>
    </cfRule>
    <cfRule type="cellIs" dxfId="0" priority="3978" operator="equal">
      <formula>"未完成"</formula>
    </cfRule>
  </conditionalFormatting>
  <conditionalFormatting sqref="R506">
    <cfRule type="cellIs" dxfId="0" priority="4037" operator="equal">
      <formula>"欠"</formula>
    </cfRule>
  </conditionalFormatting>
  <conditionalFormatting sqref="S506">
    <cfRule type="cellIs" dxfId="0" priority="4017" operator="equal">
      <formula>"欠"</formula>
    </cfRule>
  </conditionalFormatting>
  <conditionalFormatting sqref="T506:U506">
    <cfRule type="cellIs" dxfId="0" priority="3997" operator="equal">
      <formula>"欠"</formula>
    </cfRule>
  </conditionalFormatting>
  <conditionalFormatting sqref="T506">
    <cfRule type="containsText" dxfId="2" priority="3937" operator="between" text="欠">
      <formula>NOT(ISERROR(SEARCH("欠",T506)))</formula>
    </cfRule>
  </conditionalFormatting>
  <conditionalFormatting sqref="AD506:AE506">
    <cfRule type="cellIs" dxfId="0" priority="4057" operator="equal">
      <formula>"未完成"</formula>
    </cfRule>
  </conditionalFormatting>
  <conditionalFormatting sqref="AI506:AJ506">
    <cfRule type="cellIs" dxfId="1" priority="3957" operator="equal">
      <formula>"未完成"</formula>
    </cfRule>
    <cfRule type="cellIs" dxfId="0" priority="3977" operator="equal">
      <formula>"未完成"</formula>
    </cfRule>
  </conditionalFormatting>
  <conditionalFormatting sqref="R507">
    <cfRule type="cellIs" dxfId="0" priority="4036" operator="equal">
      <formula>"欠"</formula>
    </cfRule>
  </conditionalFormatting>
  <conditionalFormatting sqref="S507">
    <cfRule type="cellIs" dxfId="0" priority="4016" operator="equal">
      <formula>"欠"</formula>
    </cfRule>
  </conditionalFormatting>
  <conditionalFormatting sqref="T507:U507">
    <cfRule type="cellIs" dxfId="0" priority="3996" operator="equal">
      <formula>"欠"</formula>
    </cfRule>
  </conditionalFormatting>
  <conditionalFormatting sqref="T507">
    <cfRule type="containsText" dxfId="2" priority="3936" operator="between" text="欠">
      <formula>NOT(ISERROR(SEARCH("欠",T507)))</formula>
    </cfRule>
  </conditionalFormatting>
  <conditionalFormatting sqref="AD507:AE507">
    <cfRule type="cellIs" dxfId="0" priority="4056" operator="equal">
      <formula>"未完成"</formula>
    </cfRule>
  </conditionalFormatting>
  <conditionalFormatting sqref="AI507:AJ507">
    <cfRule type="cellIs" dxfId="1" priority="3956" operator="equal">
      <formula>"未完成"</formula>
    </cfRule>
    <cfRule type="cellIs" dxfId="0" priority="3976" operator="equal">
      <formula>"未完成"</formula>
    </cfRule>
  </conditionalFormatting>
  <conditionalFormatting sqref="R508">
    <cfRule type="cellIs" dxfId="0" priority="3881" operator="equal">
      <formula>"欠"</formula>
    </cfRule>
  </conditionalFormatting>
  <conditionalFormatting sqref="S508">
    <cfRule type="cellIs" dxfId="0" priority="3857" operator="equal">
      <formula>"欠"</formula>
    </cfRule>
  </conditionalFormatting>
  <conditionalFormatting sqref="T508:U508">
    <cfRule type="cellIs" dxfId="0" priority="3833" operator="equal">
      <formula>"欠"</formula>
    </cfRule>
  </conditionalFormatting>
  <conditionalFormatting sqref="T508">
    <cfRule type="containsText" dxfId="2" priority="3761" operator="between" text="欠">
      <formula>NOT(ISERROR(SEARCH("欠",T508)))</formula>
    </cfRule>
  </conditionalFormatting>
  <conditionalFormatting sqref="AD508:AE508">
    <cfRule type="cellIs" dxfId="0" priority="3905" operator="equal">
      <formula>"未完成"</formula>
    </cfRule>
  </conditionalFormatting>
  <conditionalFormatting sqref="AI508:AJ508">
    <cfRule type="cellIs" dxfId="1" priority="3785" operator="equal">
      <formula>"未完成"</formula>
    </cfRule>
    <cfRule type="cellIs" dxfId="0" priority="3809" operator="equal">
      <formula>"未完成"</formula>
    </cfRule>
  </conditionalFormatting>
  <conditionalFormatting sqref="R509">
    <cfRule type="cellIs" dxfId="0" priority="3880" operator="equal">
      <formula>"欠"</formula>
    </cfRule>
  </conditionalFormatting>
  <conditionalFormatting sqref="S509">
    <cfRule type="cellIs" dxfId="0" priority="3856" operator="equal">
      <formula>"欠"</formula>
    </cfRule>
  </conditionalFormatting>
  <conditionalFormatting sqref="T509:U509">
    <cfRule type="cellIs" dxfId="0" priority="3832" operator="equal">
      <formula>"欠"</formula>
    </cfRule>
  </conditionalFormatting>
  <conditionalFormatting sqref="T509">
    <cfRule type="containsText" dxfId="2" priority="3760" operator="between" text="欠">
      <formula>NOT(ISERROR(SEARCH("欠",T509)))</formula>
    </cfRule>
  </conditionalFormatting>
  <conditionalFormatting sqref="AD509:AE509">
    <cfRule type="cellIs" dxfId="0" priority="3904" operator="equal">
      <formula>"未完成"</formula>
    </cfRule>
  </conditionalFormatting>
  <conditionalFormatting sqref="AI509:AJ509">
    <cfRule type="cellIs" dxfId="1" priority="3784" operator="equal">
      <formula>"未完成"</formula>
    </cfRule>
    <cfRule type="cellIs" dxfId="0" priority="3808" operator="equal">
      <formula>"未完成"</formula>
    </cfRule>
  </conditionalFormatting>
  <conditionalFormatting sqref="R510">
    <cfRule type="cellIs" dxfId="0" priority="3879" operator="equal">
      <formula>"欠"</formula>
    </cfRule>
  </conditionalFormatting>
  <conditionalFormatting sqref="S510">
    <cfRule type="cellIs" dxfId="0" priority="3855" operator="equal">
      <formula>"欠"</formula>
    </cfRule>
  </conditionalFormatting>
  <conditionalFormatting sqref="T510:U510">
    <cfRule type="cellIs" dxfId="0" priority="3831" operator="equal">
      <formula>"欠"</formula>
    </cfRule>
  </conditionalFormatting>
  <conditionalFormatting sqref="T510">
    <cfRule type="containsText" dxfId="2" priority="3759" operator="between" text="欠">
      <formula>NOT(ISERROR(SEARCH("欠",T510)))</formula>
    </cfRule>
  </conditionalFormatting>
  <conditionalFormatting sqref="AD510:AE510">
    <cfRule type="cellIs" dxfId="0" priority="3903" operator="equal">
      <formula>"未完成"</formula>
    </cfRule>
  </conditionalFormatting>
  <conditionalFormatting sqref="AI510:AJ510">
    <cfRule type="cellIs" dxfId="1" priority="3783" operator="equal">
      <formula>"未完成"</formula>
    </cfRule>
    <cfRule type="cellIs" dxfId="0" priority="3807" operator="equal">
      <formula>"未完成"</formula>
    </cfRule>
  </conditionalFormatting>
  <conditionalFormatting sqref="R511">
    <cfRule type="cellIs" dxfId="0" priority="3878" operator="equal">
      <formula>"欠"</formula>
    </cfRule>
  </conditionalFormatting>
  <conditionalFormatting sqref="S511">
    <cfRule type="cellIs" dxfId="0" priority="3854" operator="equal">
      <formula>"欠"</formula>
    </cfRule>
  </conditionalFormatting>
  <conditionalFormatting sqref="T511:U511">
    <cfRule type="cellIs" dxfId="0" priority="3830" operator="equal">
      <formula>"欠"</formula>
    </cfRule>
  </conditionalFormatting>
  <conditionalFormatting sqref="T511">
    <cfRule type="containsText" dxfId="2" priority="3758" operator="between" text="欠">
      <formula>NOT(ISERROR(SEARCH("欠",T511)))</formula>
    </cfRule>
  </conditionalFormatting>
  <conditionalFormatting sqref="AD511:AE511">
    <cfRule type="cellIs" dxfId="0" priority="3902" operator="equal">
      <formula>"未完成"</formula>
    </cfRule>
  </conditionalFormatting>
  <conditionalFormatting sqref="AI511:AJ511">
    <cfRule type="cellIs" dxfId="1" priority="3782" operator="equal">
      <formula>"未完成"</formula>
    </cfRule>
    <cfRule type="cellIs" dxfId="0" priority="3806" operator="equal">
      <formula>"未完成"</formula>
    </cfRule>
  </conditionalFormatting>
  <conditionalFormatting sqref="R512">
    <cfRule type="cellIs" dxfId="0" priority="3877" operator="equal">
      <formula>"欠"</formula>
    </cfRule>
  </conditionalFormatting>
  <conditionalFormatting sqref="S512">
    <cfRule type="cellIs" dxfId="0" priority="3853" operator="equal">
      <formula>"欠"</formula>
    </cfRule>
  </conditionalFormatting>
  <conditionalFormatting sqref="T512:U512">
    <cfRule type="cellIs" dxfId="0" priority="3829" operator="equal">
      <formula>"欠"</formula>
    </cfRule>
  </conditionalFormatting>
  <conditionalFormatting sqref="T512">
    <cfRule type="containsText" dxfId="2" priority="3757" operator="between" text="欠">
      <formula>NOT(ISERROR(SEARCH("欠",T512)))</formula>
    </cfRule>
  </conditionalFormatting>
  <conditionalFormatting sqref="AD512:AE512">
    <cfRule type="cellIs" dxfId="0" priority="3901" operator="equal">
      <formula>"未完成"</formula>
    </cfRule>
  </conditionalFormatting>
  <conditionalFormatting sqref="AI512:AJ512">
    <cfRule type="cellIs" dxfId="1" priority="3781" operator="equal">
      <formula>"未完成"</formula>
    </cfRule>
    <cfRule type="cellIs" dxfId="0" priority="3805" operator="equal">
      <formula>"未完成"</formula>
    </cfRule>
  </conditionalFormatting>
  <conditionalFormatting sqref="R513">
    <cfRule type="cellIs" dxfId="0" priority="3876" operator="equal">
      <formula>"欠"</formula>
    </cfRule>
  </conditionalFormatting>
  <conditionalFormatting sqref="S513">
    <cfRule type="cellIs" dxfId="0" priority="3852" operator="equal">
      <formula>"欠"</formula>
    </cfRule>
  </conditionalFormatting>
  <conditionalFormatting sqref="T513:U513">
    <cfRule type="cellIs" dxfId="0" priority="3828" operator="equal">
      <formula>"欠"</formula>
    </cfRule>
  </conditionalFormatting>
  <conditionalFormatting sqref="T513">
    <cfRule type="containsText" dxfId="2" priority="3756" operator="between" text="欠">
      <formula>NOT(ISERROR(SEARCH("欠",T513)))</formula>
    </cfRule>
  </conditionalFormatting>
  <conditionalFormatting sqref="AD513:AE513">
    <cfRule type="cellIs" dxfId="0" priority="3900" operator="equal">
      <formula>"未完成"</formula>
    </cfRule>
  </conditionalFormatting>
  <conditionalFormatting sqref="AI513:AJ513">
    <cfRule type="cellIs" dxfId="1" priority="3780" operator="equal">
      <formula>"未完成"</formula>
    </cfRule>
    <cfRule type="cellIs" dxfId="0" priority="3804" operator="equal">
      <formula>"未完成"</formula>
    </cfRule>
  </conditionalFormatting>
  <conditionalFormatting sqref="R514">
    <cfRule type="cellIs" dxfId="0" priority="3875" operator="equal">
      <formula>"欠"</formula>
    </cfRule>
  </conditionalFormatting>
  <conditionalFormatting sqref="S514">
    <cfRule type="cellIs" dxfId="0" priority="3851" operator="equal">
      <formula>"欠"</formula>
    </cfRule>
  </conditionalFormatting>
  <conditionalFormatting sqref="T514:U514">
    <cfRule type="cellIs" dxfId="0" priority="3827" operator="equal">
      <formula>"欠"</formula>
    </cfRule>
  </conditionalFormatting>
  <conditionalFormatting sqref="T514">
    <cfRule type="containsText" dxfId="2" priority="3755" operator="between" text="欠">
      <formula>NOT(ISERROR(SEARCH("欠",T514)))</formula>
    </cfRule>
  </conditionalFormatting>
  <conditionalFormatting sqref="AD514:AE514">
    <cfRule type="cellIs" dxfId="0" priority="3899" operator="equal">
      <formula>"未完成"</formula>
    </cfRule>
  </conditionalFormatting>
  <conditionalFormatting sqref="AI514:AJ514">
    <cfRule type="cellIs" dxfId="1" priority="3779" operator="equal">
      <formula>"未完成"</formula>
    </cfRule>
    <cfRule type="cellIs" dxfId="0" priority="3803" operator="equal">
      <formula>"未完成"</formula>
    </cfRule>
  </conditionalFormatting>
  <conditionalFormatting sqref="R515">
    <cfRule type="cellIs" dxfId="0" priority="3874" operator="equal">
      <formula>"欠"</formula>
    </cfRule>
  </conditionalFormatting>
  <conditionalFormatting sqref="S515">
    <cfRule type="cellIs" dxfId="0" priority="3850" operator="equal">
      <formula>"欠"</formula>
    </cfRule>
  </conditionalFormatting>
  <conditionalFormatting sqref="T515:U515">
    <cfRule type="cellIs" dxfId="0" priority="3826" operator="equal">
      <formula>"欠"</formula>
    </cfRule>
  </conditionalFormatting>
  <conditionalFormatting sqref="T515">
    <cfRule type="containsText" dxfId="2" priority="3754" operator="between" text="欠">
      <formula>NOT(ISERROR(SEARCH("欠",T515)))</formula>
    </cfRule>
  </conditionalFormatting>
  <conditionalFormatting sqref="AD515:AE515">
    <cfRule type="cellIs" dxfId="0" priority="3898" operator="equal">
      <formula>"未完成"</formula>
    </cfRule>
  </conditionalFormatting>
  <conditionalFormatting sqref="AI515:AJ515">
    <cfRule type="cellIs" dxfId="1" priority="3778" operator="equal">
      <formula>"未完成"</formula>
    </cfRule>
    <cfRule type="cellIs" dxfId="0" priority="3802" operator="equal">
      <formula>"未完成"</formula>
    </cfRule>
  </conditionalFormatting>
  <conditionalFormatting sqref="R516">
    <cfRule type="cellIs" dxfId="0" priority="3873" operator="equal">
      <formula>"欠"</formula>
    </cfRule>
  </conditionalFormatting>
  <conditionalFormatting sqref="S516">
    <cfRule type="cellIs" dxfId="0" priority="3849" operator="equal">
      <formula>"欠"</formula>
    </cfRule>
  </conditionalFormatting>
  <conditionalFormatting sqref="T516:U516">
    <cfRule type="cellIs" dxfId="0" priority="3825" operator="equal">
      <formula>"欠"</formula>
    </cfRule>
  </conditionalFormatting>
  <conditionalFormatting sqref="T516">
    <cfRule type="containsText" dxfId="2" priority="3753" operator="between" text="欠">
      <formula>NOT(ISERROR(SEARCH("欠",T516)))</formula>
    </cfRule>
  </conditionalFormatting>
  <conditionalFormatting sqref="AD516:AE516">
    <cfRule type="cellIs" dxfId="0" priority="3897" operator="equal">
      <formula>"未完成"</formula>
    </cfRule>
  </conditionalFormatting>
  <conditionalFormatting sqref="AI516:AJ516">
    <cfRule type="cellIs" dxfId="1" priority="3777" operator="equal">
      <formula>"未完成"</formula>
    </cfRule>
    <cfRule type="cellIs" dxfId="0" priority="3801" operator="equal">
      <formula>"未完成"</formula>
    </cfRule>
  </conditionalFormatting>
  <conditionalFormatting sqref="R517">
    <cfRule type="cellIs" dxfId="0" priority="3872" operator="equal">
      <formula>"欠"</formula>
    </cfRule>
  </conditionalFormatting>
  <conditionalFormatting sqref="S517">
    <cfRule type="cellIs" dxfId="0" priority="3848" operator="equal">
      <formula>"欠"</formula>
    </cfRule>
  </conditionalFormatting>
  <conditionalFormatting sqref="T517:U517">
    <cfRule type="cellIs" dxfId="0" priority="3824" operator="equal">
      <formula>"欠"</formula>
    </cfRule>
  </conditionalFormatting>
  <conditionalFormatting sqref="T517">
    <cfRule type="containsText" dxfId="2" priority="3752" operator="between" text="欠">
      <formula>NOT(ISERROR(SEARCH("欠",T517)))</formula>
    </cfRule>
  </conditionalFormatting>
  <conditionalFormatting sqref="AD517:AE517">
    <cfRule type="cellIs" dxfId="0" priority="3896" operator="equal">
      <formula>"未完成"</formula>
    </cfRule>
  </conditionalFormatting>
  <conditionalFormatting sqref="AI517:AJ517">
    <cfRule type="cellIs" dxfId="1" priority="3776" operator="equal">
      <formula>"未完成"</formula>
    </cfRule>
    <cfRule type="cellIs" dxfId="0" priority="3800" operator="equal">
      <formula>"未完成"</formula>
    </cfRule>
  </conditionalFormatting>
  <conditionalFormatting sqref="R518">
    <cfRule type="cellIs" dxfId="0" priority="3871" operator="equal">
      <formula>"欠"</formula>
    </cfRule>
  </conditionalFormatting>
  <conditionalFormatting sqref="S518">
    <cfRule type="cellIs" dxfId="0" priority="3847" operator="equal">
      <formula>"欠"</formula>
    </cfRule>
  </conditionalFormatting>
  <conditionalFormatting sqref="T518:U518">
    <cfRule type="cellIs" dxfId="0" priority="3823" operator="equal">
      <formula>"欠"</formula>
    </cfRule>
  </conditionalFormatting>
  <conditionalFormatting sqref="T518">
    <cfRule type="containsText" dxfId="2" priority="3751" operator="between" text="欠">
      <formula>NOT(ISERROR(SEARCH("欠",T518)))</formula>
    </cfRule>
  </conditionalFormatting>
  <conditionalFormatting sqref="AD518:AE518">
    <cfRule type="cellIs" dxfId="0" priority="3895" operator="equal">
      <formula>"未完成"</formula>
    </cfRule>
  </conditionalFormatting>
  <conditionalFormatting sqref="AI518:AJ518">
    <cfRule type="cellIs" dxfId="1" priority="3775" operator="equal">
      <formula>"未完成"</formula>
    </cfRule>
    <cfRule type="cellIs" dxfId="0" priority="3799" operator="equal">
      <formula>"未完成"</formula>
    </cfRule>
  </conditionalFormatting>
  <conditionalFormatting sqref="R519">
    <cfRule type="cellIs" dxfId="0" priority="3870" operator="equal">
      <formula>"欠"</formula>
    </cfRule>
  </conditionalFormatting>
  <conditionalFormatting sqref="S519">
    <cfRule type="cellIs" dxfId="0" priority="3846" operator="equal">
      <formula>"欠"</formula>
    </cfRule>
  </conditionalFormatting>
  <conditionalFormatting sqref="T519:U519">
    <cfRule type="cellIs" dxfId="0" priority="3822" operator="equal">
      <formula>"欠"</formula>
    </cfRule>
  </conditionalFormatting>
  <conditionalFormatting sqref="T519">
    <cfRule type="containsText" dxfId="2" priority="3750" operator="between" text="欠">
      <formula>NOT(ISERROR(SEARCH("欠",T519)))</formula>
    </cfRule>
  </conditionalFormatting>
  <conditionalFormatting sqref="AD519:AE519">
    <cfRule type="cellIs" dxfId="0" priority="3894" operator="equal">
      <formula>"未完成"</formula>
    </cfRule>
  </conditionalFormatting>
  <conditionalFormatting sqref="AI519:AJ519">
    <cfRule type="cellIs" dxfId="1" priority="3774" operator="equal">
      <formula>"未完成"</formula>
    </cfRule>
    <cfRule type="cellIs" dxfId="0" priority="3798" operator="equal">
      <formula>"未完成"</formula>
    </cfRule>
  </conditionalFormatting>
  <conditionalFormatting sqref="R520">
    <cfRule type="cellIs" dxfId="0" priority="3869" operator="equal">
      <formula>"欠"</formula>
    </cfRule>
  </conditionalFormatting>
  <conditionalFormatting sqref="S520">
    <cfRule type="cellIs" dxfId="0" priority="3845" operator="equal">
      <formula>"欠"</formula>
    </cfRule>
  </conditionalFormatting>
  <conditionalFormatting sqref="T520:U520">
    <cfRule type="cellIs" dxfId="0" priority="3821" operator="equal">
      <formula>"欠"</formula>
    </cfRule>
  </conditionalFormatting>
  <conditionalFormatting sqref="T520">
    <cfRule type="containsText" dxfId="2" priority="3749" operator="between" text="欠">
      <formula>NOT(ISERROR(SEARCH("欠",T520)))</formula>
    </cfRule>
  </conditionalFormatting>
  <conditionalFormatting sqref="AD520:AE520">
    <cfRule type="cellIs" dxfId="0" priority="3893" operator="equal">
      <formula>"未完成"</formula>
    </cfRule>
  </conditionalFormatting>
  <conditionalFormatting sqref="AI520:AJ520">
    <cfRule type="cellIs" dxfId="1" priority="3773" operator="equal">
      <formula>"未完成"</formula>
    </cfRule>
    <cfRule type="cellIs" dxfId="0" priority="3797" operator="equal">
      <formula>"未完成"</formula>
    </cfRule>
  </conditionalFormatting>
  <conditionalFormatting sqref="R521">
    <cfRule type="cellIs" dxfId="0" priority="3868" operator="equal">
      <formula>"欠"</formula>
    </cfRule>
  </conditionalFormatting>
  <conditionalFormatting sqref="S521">
    <cfRule type="cellIs" dxfId="0" priority="3844" operator="equal">
      <formula>"欠"</formula>
    </cfRule>
  </conditionalFormatting>
  <conditionalFormatting sqref="T521:U521">
    <cfRule type="cellIs" dxfId="0" priority="3820" operator="equal">
      <formula>"欠"</formula>
    </cfRule>
  </conditionalFormatting>
  <conditionalFormatting sqref="T521">
    <cfRule type="containsText" dxfId="2" priority="3748" operator="between" text="欠">
      <formula>NOT(ISERROR(SEARCH("欠",T521)))</formula>
    </cfRule>
  </conditionalFormatting>
  <conditionalFormatting sqref="AD521:AE521">
    <cfRule type="cellIs" dxfId="0" priority="3892" operator="equal">
      <formula>"未完成"</formula>
    </cfRule>
  </conditionalFormatting>
  <conditionalFormatting sqref="AI521:AJ521">
    <cfRule type="cellIs" dxfId="1" priority="3772" operator="equal">
      <formula>"未完成"</formula>
    </cfRule>
    <cfRule type="cellIs" dxfId="0" priority="3796" operator="equal">
      <formula>"未完成"</formula>
    </cfRule>
  </conditionalFormatting>
  <conditionalFormatting sqref="R522">
    <cfRule type="cellIs" dxfId="0" priority="3867" operator="equal">
      <formula>"欠"</formula>
    </cfRule>
  </conditionalFormatting>
  <conditionalFormatting sqref="S522">
    <cfRule type="cellIs" dxfId="0" priority="3843" operator="equal">
      <formula>"欠"</formula>
    </cfRule>
  </conditionalFormatting>
  <conditionalFormatting sqref="T522:U522">
    <cfRule type="cellIs" dxfId="0" priority="3819" operator="equal">
      <formula>"欠"</formula>
    </cfRule>
  </conditionalFormatting>
  <conditionalFormatting sqref="T522">
    <cfRule type="containsText" dxfId="2" priority="3747" operator="between" text="欠">
      <formula>NOT(ISERROR(SEARCH("欠",T522)))</formula>
    </cfRule>
  </conditionalFormatting>
  <conditionalFormatting sqref="AD522:AE522">
    <cfRule type="cellIs" dxfId="0" priority="3891" operator="equal">
      <formula>"未完成"</formula>
    </cfRule>
  </conditionalFormatting>
  <conditionalFormatting sqref="AI522:AJ522">
    <cfRule type="cellIs" dxfId="1" priority="3771" operator="equal">
      <formula>"未完成"</formula>
    </cfRule>
    <cfRule type="cellIs" dxfId="0" priority="3795" operator="equal">
      <formula>"未完成"</formula>
    </cfRule>
  </conditionalFormatting>
  <conditionalFormatting sqref="R523">
    <cfRule type="cellIs" dxfId="0" priority="3866" operator="equal">
      <formula>"欠"</formula>
    </cfRule>
  </conditionalFormatting>
  <conditionalFormatting sqref="S523">
    <cfRule type="cellIs" dxfId="0" priority="3842" operator="equal">
      <formula>"欠"</formula>
    </cfRule>
  </conditionalFormatting>
  <conditionalFormatting sqref="T523:U523">
    <cfRule type="cellIs" dxfId="0" priority="3818" operator="equal">
      <formula>"欠"</formula>
    </cfRule>
  </conditionalFormatting>
  <conditionalFormatting sqref="T523">
    <cfRule type="containsText" dxfId="2" priority="3746" operator="between" text="欠">
      <formula>NOT(ISERROR(SEARCH("欠",T523)))</formula>
    </cfRule>
  </conditionalFormatting>
  <conditionalFormatting sqref="AD523:AE523">
    <cfRule type="cellIs" dxfId="0" priority="3890" operator="equal">
      <formula>"未完成"</formula>
    </cfRule>
  </conditionalFormatting>
  <conditionalFormatting sqref="AI523:AJ523">
    <cfRule type="cellIs" dxfId="1" priority="3770" operator="equal">
      <formula>"未完成"</formula>
    </cfRule>
    <cfRule type="cellIs" dxfId="0" priority="3794" operator="equal">
      <formula>"未完成"</formula>
    </cfRule>
  </conditionalFormatting>
  <conditionalFormatting sqref="R524">
    <cfRule type="cellIs" dxfId="0" priority="3865" operator="equal">
      <formula>"欠"</formula>
    </cfRule>
  </conditionalFormatting>
  <conditionalFormatting sqref="S524">
    <cfRule type="cellIs" dxfId="0" priority="3841" operator="equal">
      <formula>"欠"</formula>
    </cfRule>
  </conditionalFormatting>
  <conditionalFormatting sqref="T524:U524">
    <cfRule type="cellIs" dxfId="0" priority="3817" operator="equal">
      <formula>"欠"</formula>
    </cfRule>
  </conditionalFormatting>
  <conditionalFormatting sqref="T524">
    <cfRule type="containsText" dxfId="2" priority="3745" operator="between" text="欠">
      <formula>NOT(ISERROR(SEARCH("欠",T524)))</formula>
    </cfRule>
  </conditionalFormatting>
  <conditionalFormatting sqref="AD524:AE524">
    <cfRule type="cellIs" dxfId="0" priority="3889" operator="equal">
      <formula>"未完成"</formula>
    </cfRule>
  </conditionalFormatting>
  <conditionalFormatting sqref="AI524:AJ524">
    <cfRule type="cellIs" dxfId="1" priority="3769" operator="equal">
      <formula>"未完成"</formula>
    </cfRule>
    <cfRule type="cellIs" dxfId="0" priority="3793" operator="equal">
      <formula>"未完成"</formula>
    </cfRule>
  </conditionalFormatting>
  <conditionalFormatting sqref="R525">
    <cfRule type="cellIs" dxfId="0" priority="3864" operator="equal">
      <formula>"欠"</formula>
    </cfRule>
  </conditionalFormatting>
  <conditionalFormatting sqref="S525">
    <cfRule type="cellIs" dxfId="0" priority="3840" operator="equal">
      <formula>"欠"</formula>
    </cfRule>
  </conditionalFormatting>
  <conditionalFormatting sqref="T525:U525">
    <cfRule type="cellIs" dxfId="0" priority="3816" operator="equal">
      <formula>"欠"</formula>
    </cfRule>
  </conditionalFormatting>
  <conditionalFormatting sqref="T525">
    <cfRule type="containsText" dxfId="2" priority="3744" operator="between" text="欠">
      <formula>NOT(ISERROR(SEARCH("欠",T525)))</formula>
    </cfRule>
  </conditionalFormatting>
  <conditionalFormatting sqref="AD525:AE525">
    <cfRule type="cellIs" dxfId="0" priority="3888" operator="equal">
      <formula>"未完成"</formula>
    </cfRule>
  </conditionalFormatting>
  <conditionalFormatting sqref="AI525:AJ525">
    <cfRule type="cellIs" dxfId="1" priority="3768" operator="equal">
      <formula>"未完成"</formula>
    </cfRule>
    <cfRule type="cellIs" dxfId="0" priority="3792" operator="equal">
      <formula>"未完成"</formula>
    </cfRule>
  </conditionalFormatting>
  <conditionalFormatting sqref="R526">
    <cfRule type="cellIs" dxfId="0" priority="3863" operator="equal">
      <formula>"欠"</formula>
    </cfRule>
  </conditionalFormatting>
  <conditionalFormatting sqref="S526">
    <cfRule type="cellIs" dxfId="0" priority="3839" operator="equal">
      <formula>"欠"</formula>
    </cfRule>
  </conditionalFormatting>
  <conditionalFormatting sqref="T526:U526">
    <cfRule type="cellIs" dxfId="0" priority="3815" operator="equal">
      <formula>"欠"</formula>
    </cfRule>
  </conditionalFormatting>
  <conditionalFormatting sqref="T526">
    <cfRule type="containsText" dxfId="2" priority="3743" operator="between" text="欠">
      <formula>NOT(ISERROR(SEARCH("欠",T526)))</formula>
    </cfRule>
  </conditionalFormatting>
  <conditionalFormatting sqref="AD526:AE526">
    <cfRule type="cellIs" dxfId="0" priority="3887" operator="equal">
      <formula>"未完成"</formula>
    </cfRule>
  </conditionalFormatting>
  <conditionalFormatting sqref="AI526:AJ526">
    <cfRule type="cellIs" dxfId="1" priority="3767" operator="equal">
      <formula>"未完成"</formula>
    </cfRule>
    <cfRule type="cellIs" dxfId="0" priority="3791" operator="equal">
      <formula>"未完成"</formula>
    </cfRule>
  </conditionalFormatting>
  <conditionalFormatting sqref="R527">
    <cfRule type="cellIs" dxfId="0" priority="3862" operator="equal">
      <formula>"欠"</formula>
    </cfRule>
  </conditionalFormatting>
  <conditionalFormatting sqref="S527">
    <cfRule type="cellIs" dxfId="0" priority="3838" operator="equal">
      <formula>"欠"</formula>
    </cfRule>
  </conditionalFormatting>
  <conditionalFormatting sqref="T527:U527">
    <cfRule type="cellIs" dxfId="0" priority="3814" operator="equal">
      <formula>"欠"</formula>
    </cfRule>
  </conditionalFormatting>
  <conditionalFormatting sqref="T527">
    <cfRule type="containsText" dxfId="2" priority="3742" operator="between" text="欠">
      <formula>NOT(ISERROR(SEARCH("欠",T527)))</formula>
    </cfRule>
  </conditionalFormatting>
  <conditionalFormatting sqref="AD527:AE527">
    <cfRule type="cellIs" dxfId="0" priority="3886" operator="equal">
      <formula>"未完成"</formula>
    </cfRule>
  </conditionalFormatting>
  <conditionalFormatting sqref="AI527:AJ527">
    <cfRule type="cellIs" dxfId="1" priority="3766" operator="equal">
      <formula>"未完成"</formula>
    </cfRule>
    <cfRule type="cellIs" dxfId="0" priority="3790" operator="equal">
      <formula>"未完成"</formula>
    </cfRule>
  </conditionalFormatting>
  <conditionalFormatting sqref="R528">
    <cfRule type="cellIs" dxfId="0" priority="3861" operator="equal">
      <formula>"欠"</formula>
    </cfRule>
  </conditionalFormatting>
  <conditionalFormatting sqref="S528">
    <cfRule type="cellIs" dxfId="0" priority="3837" operator="equal">
      <formula>"欠"</formula>
    </cfRule>
  </conditionalFormatting>
  <conditionalFormatting sqref="T528:U528">
    <cfRule type="cellIs" dxfId="0" priority="3813" operator="equal">
      <formula>"欠"</formula>
    </cfRule>
  </conditionalFormatting>
  <conditionalFormatting sqref="T528">
    <cfRule type="containsText" dxfId="2" priority="3741" operator="between" text="欠">
      <formula>NOT(ISERROR(SEARCH("欠",T528)))</formula>
    </cfRule>
  </conditionalFormatting>
  <conditionalFormatting sqref="AD528:AE528">
    <cfRule type="cellIs" dxfId="0" priority="3885" operator="equal">
      <formula>"未完成"</formula>
    </cfRule>
  </conditionalFormatting>
  <conditionalFormatting sqref="AI528:AJ528">
    <cfRule type="cellIs" dxfId="1" priority="3765" operator="equal">
      <formula>"未完成"</formula>
    </cfRule>
    <cfRule type="cellIs" dxfId="0" priority="3789" operator="equal">
      <formula>"未完成"</formula>
    </cfRule>
  </conditionalFormatting>
  <conditionalFormatting sqref="R529">
    <cfRule type="cellIs" dxfId="0" priority="3860" operator="equal">
      <formula>"欠"</formula>
    </cfRule>
  </conditionalFormatting>
  <conditionalFormatting sqref="S529">
    <cfRule type="cellIs" dxfId="0" priority="3836" operator="equal">
      <formula>"欠"</formula>
    </cfRule>
  </conditionalFormatting>
  <conditionalFormatting sqref="T529:U529">
    <cfRule type="cellIs" dxfId="0" priority="3812" operator="equal">
      <formula>"欠"</formula>
    </cfRule>
  </conditionalFormatting>
  <conditionalFormatting sqref="T529">
    <cfRule type="containsText" dxfId="2" priority="3740" operator="between" text="欠">
      <formula>NOT(ISERROR(SEARCH("欠",T529)))</formula>
    </cfRule>
  </conditionalFormatting>
  <conditionalFormatting sqref="AD529:AE529">
    <cfRule type="cellIs" dxfId="0" priority="3884" operator="equal">
      <formula>"未完成"</formula>
    </cfRule>
  </conditionalFormatting>
  <conditionalFormatting sqref="AI529:AJ529">
    <cfRule type="cellIs" dxfId="1" priority="3764" operator="equal">
      <formula>"未完成"</formula>
    </cfRule>
    <cfRule type="cellIs" dxfId="0" priority="3788" operator="equal">
      <formula>"未完成"</formula>
    </cfRule>
  </conditionalFormatting>
  <conditionalFormatting sqref="R530">
    <cfRule type="cellIs" dxfId="0" priority="3859" operator="equal">
      <formula>"欠"</formula>
    </cfRule>
  </conditionalFormatting>
  <conditionalFormatting sqref="S530">
    <cfRule type="cellIs" dxfId="0" priority="3835" operator="equal">
      <formula>"欠"</formula>
    </cfRule>
  </conditionalFormatting>
  <conditionalFormatting sqref="T530:U530">
    <cfRule type="cellIs" dxfId="0" priority="3811" operator="equal">
      <formula>"欠"</formula>
    </cfRule>
  </conditionalFormatting>
  <conditionalFormatting sqref="T530">
    <cfRule type="containsText" dxfId="2" priority="3739" operator="between" text="欠">
      <formula>NOT(ISERROR(SEARCH("欠",T530)))</formula>
    </cfRule>
  </conditionalFormatting>
  <conditionalFormatting sqref="AD530:AE530">
    <cfRule type="cellIs" dxfId="0" priority="3883" operator="equal">
      <formula>"未完成"</formula>
    </cfRule>
  </conditionalFormatting>
  <conditionalFormatting sqref="AI530:AJ530">
    <cfRule type="cellIs" dxfId="1" priority="3763" operator="equal">
      <formula>"未完成"</formula>
    </cfRule>
    <cfRule type="cellIs" dxfId="0" priority="3787" operator="equal">
      <formula>"未完成"</formula>
    </cfRule>
  </conditionalFormatting>
  <conditionalFormatting sqref="R531">
    <cfRule type="cellIs" dxfId="0" priority="3690" operator="equal">
      <formula>"欠"</formula>
    </cfRule>
  </conditionalFormatting>
  <conditionalFormatting sqref="S531">
    <cfRule type="cellIs" dxfId="0" priority="3663" operator="equal">
      <formula>"欠"</formula>
    </cfRule>
  </conditionalFormatting>
  <conditionalFormatting sqref="T531:U531">
    <cfRule type="cellIs" dxfId="0" priority="3636" operator="equal">
      <formula>"欠"</formula>
    </cfRule>
  </conditionalFormatting>
  <conditionalFormatting sqref="T531">
    <cfRule type="containsText" dxfId="2" priority="3555" operator="between" text="欠">
      <formula>NOT(ISERROR(SEARCH("欠",T531)))</formula>
    </cfRule>
  </conditionalFormatting>
  <conditionalFormatting sqref="AD531:AE531">
    <cfRule type="cellIs" dxfId="0" priority="3717" operator="equal">
      <formula>"未完成"</formula>
    </cfRule>
  </conditionalFormatting>
  <conditionalFormatting sqref="AI531:AJ531">
    <cfRule type="cellIs" dxfId="1" priority="3582" operator="equal">
      <formula>"未完成"</formula>
    </cfRule>
    <cfRule type="cellIs" dxfId="0" priority="3609" operator="equal">
      <formula>"未完成"</formula>
    </cfRule>
  </conditionalFormatting>
  <conditionalFormatting sqref="R532">
    <cfRule type="cellIs" dxfId="0" priority="3689" operator="equal">
      <formula>"欠"</formula>
    </cfRule>
  </conditionalFormatting>
  <conditionalFormatting sqref="S532">
    <cfRule type="cellIs" dxfId="0" priority="3662" operator="equal">
      <formula>"欠"</formula>
    </cfRule>
  </conditionalFormatting>
  <conditionalFormatting sqref="T532:U532">
    <cfRule type="cellIs" dxfId="0" priority="3635" operator="equal">
      <formula>"欠"</formula>
    </cfRule>
  </conditionalFormatting>
  <conditionalFormatting sqref="T532">
    <cfRule type="containsText" dxfId="2" priority="3554" operator="between" text="欠">
      <formula>NOT(ISERROR(SEARCH("欠",T532)))</formula>
    </cfRule>
  </conditionalFormatting>
  <conditionalFormatting sqref="AD532:AE532">
    <cfRule type="cellIs" dxfId="0" priority="3716" operator="equal">
      <formula>"未完成"</formula>
    </cfRule>
  </conditionalFormatting>
  <conditionalFormatting sqref="AI532:AJ532">
    <cfRule type="cellIs" dxfId="1" priority="3581" operator="equal">
      <formula>"未完成"</formula>
    </cfRule>
    <cfRule type="cellIs" dxfId="0" priority="3608" operator="equal">
      <formula>"未完成"</formula>
    </cfRule>
  </conditionalFormatting>
  <conditionalFormatting sqref="R533">
    <cfRule type="cellIs" dxfId="0" priority="3688" operator="equal">
      <formula>"欠"</formula>
    </cfRule>
  </conditionalFormatting>
  <conditionalFormatting sqref="S533">
    <cfRule type="cellIs" dxfId="0" priority="3661" operator="equal">
      <formula>"欠"</formula>
    </cfRule>
  </conditionalFormatting>
  <conditionalFormatting sqref="T533:U533">
    <cfRule type="cellIs" dxfId="0" priority="3634" operator="equal">
      <formula>"欠"</formula>
    </cfRule>
  </conditionalFormatting>
  <conditionalFormatting sqref="T533">
    <cfRule type="containsText" dxfId="2" priority="3553" operator="between" text="欠">
      <formula>NOT(ISERROR(SEARCH("欠",T533)))</formula>
    </cfRule>
  </conditionalFormatting>
  <conditionalFormatting sqref="AD533:AE533">
    <cfRule type="cellIs" dxfId="0" priority="3715" operator="equal">
      <formula>"未完成"</formula>
    </cfRule>
  </conditionalFormatting>
  <conditionalFormatting sqref="AI533:AJ533">
    <cfRule type="cellIs" dxfId="1" priority="3580" operator="equal">
      <formula>"未完成"</formula>
    </cfRule>
    <cfRule type="cellIs" dxfId="0" priority="3607" operator="equal">
      <formula>"未完成"</formula>
    </cfRule>
  </conditionalFormatting>
  <conditionalFormatting sqref="R534">
    <cfRule type="cellIs" dxfId="0" priority="3687" operator="equal">
      <formula>"欠"</formula>
    </cfRule>
  </conditionalFormatting>
  <conditionalFormatting sqref="S534">
    <cfRule type="cellIs" dxfId="0" priority="3660" operator="equal">
      <formula>"欠"</formula>
    </cfRule>
  </conditionalFormatting>
  <conditionalFormatting sqref="T534:U534">
    <cfRule type="cellIs" dxfId="0" priority="3633" operator="equal">
      <formula>"欠"</formula>
    </cfRule>
  </conditionalFormatting>
  <conditionalFormatting sqref="T534">
    <cfRule type="containsText" dxfId="2" priority="3552" operator="between" text="欠">
      <formula>NOT(ISERROR(SEARCH("欠",T534)))</formula>
    </cfRule>
  </conditionalFormatting>
  <conditionalFormatting sqref="AD534:AE534">
    <cfRule type="cellIs" dxfId="0" priority="3714" operator="equal">
      <formula>"未完成"</formula>
    </cfRule>
  </conditionalFormatting>
  <conditionalFormatting sqref="AI534:AJ534">
    <cfRule type="cellIs" dxfId="1" priority="3579" operator="equal">
      <formula>"未完成"</formula>
    </cfRule>
    <cfRule type="cellIs" dxfId="0" priority="3606" operator="equal">
      <formula>"未完成"</formula>
    </cfRule>
  </conditionalFormatting>
  <conditionalFormatting sqref="R535">
    <cfRule type="cellIs" dxfId="0" priority="3686" operator="equal">
      <formula>"欠"</formula>
    </cfRule>
  </conditionalFormatting>
  <conditionalFormatting sqref="S535">
    <cfRule type="cellIs" dxfId="0" priority="3659" operator="equal">
      <formula>"欠"</formula>
    </cfRule>
  </conditionalFormatting>
  <conditionalFormatting sqref="T535:U535">
    <cfRule type="cellIs" dxfId="0" priority="3632" operator="equal">
      <formula>"欠"</formula>
    </cfRule>
  </conditionalFormatting>
  <conditionalFormatting sqref="T535">
    <cfRule type="containsText" dxfId="2" priority="3551" operator="between" text="欠">
      <formula>NOT(ISERROR(SEARCH("欠",T535)))</formula>
    </cfRule>
  </conditionalFormatting>
  <conditionalFormatting sqref="AD535:AE535">
    <cfRule type="cellIs" dxfId="0" priority="3713" operator="equal">
      <formula>"未完成"</formula>
    </cfRule>
  </conditionalFormatting>
  <conditionalFormatting sqref="AI535:AJ535">
    <cfRule type="cellIs" dxfId="1" priority="3578" operator="equal">
      <formula>"未完成"</formula>
    </cfRule>
    <cfRule type="cellIs" dxfId="0" priority="3605" operator="equal">
      <formula>"未完成"</formula>
    </cfRule>
  </conditionalFormatting>
  <conditionalFormatting sqref="R536">
    <cfRule type="cellIs" dxfId="0" priority="3685" operator="equal">
      <formula>"欠"</formula>
    </cfRule>
  </conditionalFormatting>
  <conditionalFormatting sqref="S536">
    <cfRule type="cellIs" dxfId="0" priority="3658" operator="equal">
      <formula>"欠"</formula>
    </cfRule>
  </conditionalFormatting>
  <conditionalFormatting sqref="T536:U536">
    <cfRule type="cellIs" dxfId="0" priority="3631" operator="equal">
      <formula>"欠"</formula>
    </cfRule>
  </conditionalFormatting>
  <conditionalFormatting sqref="T536">
    <cfRule type="containsText" dxfId="2" priority="3550" operator="between" text="欠">
      <formula>NOT(ISERROR(SEARCH("欠",T536)))</formula>
    </cfRule>
  </conditionalFormatting>
  <conditionalFormatting sqref="AD536:AE536">
    <cfRule type="cellIs" dxfId="0" priority="3712" operator="equal">
      <formula>"未完成"</formula>
    </cfRule>
  </conditionalFormatting>
  <conditionalFormatting sqref="AI536:AJ536">
    <cfRule type="cellIs" dxfId="1" priority="3577" operator="equal">
      <formula>"未完成"</formula>
    </cfRule>
    <cfRule type="cellIs" dxfId="0" priority="3604" operator="equal">
      <formula>"未完成"</formula>
    </cfRule>
  </conditionalFormatting>
  <conditionalFormatting sqref="R537">
    <cfRule type="cellIs" dxfId="0" priority="3684" operator="equal">
      <formula>"欠"</formula>
    </cfRule>
  </conditionalFormatting>
  <conditionalFormatting sqref="S537">
    <cfRule type="cellIs" dxfId="0" priority="3657" operator="equal">
      <formula>"欠"</formula>
    </cfRule>
  </conditionalFormatting>
  <conditionalFormatting sqref="T537:U537">
    <cfRule type="cellIs" dxfId="0" priority="3630" operator="equal">
      <formula>"欠"</formula>
    </cfRule>
  </conditionalFormatting>
  <conditionalFormatting sqref="T537">
    <cfRule type="containsText" dxfId="2" priority="3549" operator="between" text="欠">
      <formula>NOT(ISERROR(SEARCH("欠",T537)))</formula>
    </cfRule>
  </conditionalFormatting>
  <conditionalFormatting sqref="AD537:AE537">
    <cfRule type="cellIs" dxfId="0" priority="3711" operator="equal">
      <formula>"未完成"</formula>
    </cfRule>
  </conditionalFormatting>
  <conditionalFormatting sqref="AI537:AJ537">
    <cfRule type="cellIs" dxfId="1" priority="3576" operator="equal">
      <formula>"未完成"</formula>
    </cfRule>
    <cfRule type="cellIs" dxfId="0" priority="3603" operator="equal">
      <formula>"未完成"</formula>
    </cfRule>
  </conditionalFormatting>
  <conditionalFormatting sqref="R538">
    <cfRule type="cellIs" dxfId="0" priority="3683" operator="equal">
      <formula>"欠"</formula>
    </cfRule>
  </conditionalFormatting>
  <conditionalFormatting sqref="S538">
    <cfRule type="cellIs" dxfId="0" priority="3656" operator="equal">
      <formula>"欠"</formula>
    </cfRule>
  </conditionalFormatting>
  <conditionalFormatting sqref="T538:U538">
    <cfRule type="cellIs" dxfId="0" priority="3629" operator="equal">
      <formula>"欠"</formula>
    </cfRule>
  </conditionalFormatting>
  <conditionalFormatting sqref="T538">
    <cfRule type="containsText" dxfId="2" priority="3548" operator="between" text="欠">
      <formula>NOT(ISERROR(SEARCH("欠",T538)))</formula>
    </cfRule>
  </conditionalFormatting>
  <conditionalFormatting sqref="AD538:AE538">
    <cfRule type="cellIs" dxfId="0" priority="3710" operator="equal">
      <formula>"未完成"</formula>
    </cfRule>
  </conditionalFormatting>
  <conditionalFormatting sqref="AI538:AJ538">
    <cfRule type="cellIs" dxfId="1" priority="3575" operator="equal">
      <formula>"未完成"</formula>
    </cfRule>
    <cfRule type="cellIs" dxfId="0" priority="3602" operator="equal">
      <formula>"未完成"</formula>
    </cfRule>
  </conditionalFormatting>
  <conditionalFormatting sqref="R539">
    <cfRule type="cellIs" dxfId="0" priority="3682" operator="equal">
      <formula>"欠"</formula>
    </cfRule>
  </conditionalFormatting>
  <conditionalFormatting sqref="S539">
    <cfRule type="cellIs" dxfId="0" priority="3655" operator="equal">
      <formula>"欠"</formula>
    </cfRule>
  </conditionalFormatting>
  <conditionalFormatting sqref="T539:U539">
    <cfRule type="cellIs" dxfId="0" priority="3628" operator="equal">
      <formula>"欠"</formula>
    </cfRule>
  </conditionalFormatting>
  <conditionalFormatting sqref="T539">
    <cfRule type="containsText" dxfId="2" priority="3547" operator="between" text="欠">
      <formula>NOT(ISERROR(SEARCH("欠",T539)))</formula>
    </cfRule>
  </conditionalFormatting>
  <conditionalFormatting sqref="AD539:AE539">
    <cfRule type="cellIs" dxfId="0" priority="3709" operator="equal">
      <formula>"未完成"</formula>
    </cfRule>
  </conditionalFormatting>
  <conditionalFormatting sqref="AI539:AJ539">
    <cfRule type="cellIs" dxfId="1" priority="3574" operator="equal">
      <formula>"未完成"</formula>
    </cfRule>
    <cfRule type="cellIs" dxfId="0" priority="3601" operator="equal">
      <formula>"未完成"</formula>
    </cfRule>
  </conditionalFormatting>
  <conditionalFormatting sqref="R540">
    <cfRule type="cellIs" dxfId="0" priority="3681" operator="equal">
      <formula>"欠"</formula>
    </cfRule>
  </conditionalFormatting>
  <conditionalFormatting sqref="S540">
    <cfRule type="cellIs" dxfId="0" priority="3654" operator="equal">
      <formula>"欠"</formula>
    </cfRule>
  </conditionalFormatting>
  <conditionalFormatting sqref="T540:U540">
    <cfRule type="cellIs" dxfId="0" priority="3627" operator="equal">
      <formula>"欠"</formula>
    </cfRule>
  </conditionalFormatting>
  <conditionalFormatting sqref="T540">
    <cfRule type="containsText" dxfId="2" priority="3546" operator="between" text="欠">
      <formula>NOT(ISERROR(SEARCH("欠",T540)))</formula>
    </cfRule>
  </conditionalFormatting>
  <conditionalFormatting sqref="AD540:AE540">
    <cfRule type="cellIs" dxfId="0" priority="3708" operator="equal">
      <formula>"未完成"</formula>
    </cfRule>
  </conditionalFormatting>
  <conditionalFormatting sqref="AI540:AJ540">
    <cfRule type="cellIs" dxfId="1" priority="3573" operator="equal">
      <formula>"未完成"</formula>
    </cfRule>
    <cfRule type="cellIs" dxfId="0" priority="3600" operator="equal">
      <formula>"未完成"</formula>
    </cfRule>
  </conditionalFormatting>
  <conditionalFormatting sqref="R541">
    <cfRule type="cellIs" dxfId="0" priority="3680" operator="equal">
      <formula>"欠"</formula>
    </cfRule>
  </conditionalFormatting>
  <conditionalFormatting sqref="S541">
    <cfRule type="cellIs" dxfId="0" priority="3653" operator="equal">
      <formula>"欠"</formula>
    </cfRule>
  </conditionalFormatting>
  <conditionalFormatting sqref="T541:U541">
    <cfRule type="cellIs" dxfId="0" priority="3626" operator="equal">
      <formula>"欠"</formula>
    </cfRule>
  </conditionalFormatting>
  <conditionalFormatting sqref="T541">
    <cfRule type="containsText" dxfId="2" priority="3545" operator="between" text="欠">
      <formula>NOT(ISERROR(SEARCH("欠",T541)))</formula>
    </cfRule>
  </conditionalFormatting>
  <conditionalFormatting sqref="AD541:AE541">
    <cfRule type="cellIs" dxfId="0" priority="3707" operator="equal">
      <formula>"未完成"</formula>
    </cfRule>
  </conditionalFormatting>
  <conditionalFormatting sqref="AI541:AJ541">
    <cfRule type="cellIs" dxfId="1" priority="3572" operator="equal">
      <formula>"未完成"</formula>
    </cfRule>
    <cfRule type="cellIs" dxfId="0" priority="3599" operator="equal">
      <formula>"未完成"</formula>
    </cfRule>
  </conditionalFormatting>
  <conditionalFormatting sqref="R542">
    <cfRule type="cellIs" dxfId="0" priority="3679" operator="equal">
      <formula>"欠"</formula>
    </cfRule>
  </conditionalFormatting>
  <conditionalFormatting sqref="AD542:AE542">
    <cfRule type="cellIs" dxfId="0" priority="3706" operator="equal">
      <formula>"未完成"</formula>
    </cfRule>
  </conditionalFormatting>
  <conditionalFormatting sqref="AI542:AJ542">
    <cfRule type="cellIs" dxfId="1" priority="3571" operator="equal">
      <formula>"未完成"</formula>
    </cfRule>
    <cfRule type="cellIs" dxfId="0" priority="3598" operator="equal">
      <formula>"未完成"</formula>
    </cfRule>
  </conditionalFormatting>
  <conditionalFormatting sqref="R543">
    <cfRule type="cellIs" dxfId="0" priority="3678" operator="equal">
      <formula>"欠"</formula>
    </cfRule>
  </conditionalFormatting>
  <conditionalFormatting sqref="S543">
    <cfRule type="cellIs" dxfId="0" priority="3651" operator="equal">
      <formula>"欠"</formula>
    </cfRule>
  </conditionalFormatting>
  <conditionalFormatting sqref="T543:U543">
    <cfRule type="cellIs" dxfId="0" priority="3624" operator="equal">
      <formula>"欠"</formula>
    </cfRule>
  </conditionalFormatting>
  <conditionalFormatting sqref="T543">
    <cfRule type="containsText" dxfId="2" priority="3543" operator="between" text="欠">
      <formula>NOT(ISERROR(SEARCH("欠",T543)))</formula>
    </cfRule>
  </conditionalFormatting>
  <conditionalFormatting sqref="AD543:AE543">
    <cfRule type="cellIs" dxfId="0" priority="3705" operator="equal">
      <formula>"未完成"</formula>
    </cfRule>
  </conditionalFormatting>
  <conditionalFormatting sqref="AI543:AJ543">
    <cfRule type="cellIs" dxfId="1" priority="3570" operator="equal">
      <formula>"未完成"</formula>
    </cfRule>
    <cfRule type="cellIs" dxfId="0" priority="3597" operator="equal">
      <formula>"未完成"</formula>
    </cfRule>
  </conditionalFormatting>
  <conditionalFormatting sqref="R544">
    <cfRule type="cellIs" dxfId="0" priority="3677" operator="equal">
      <formula>"欠"</formula>
    </cfRule>
  </conditionalFormatting>
  <conditionalFormatting sqref="S544">
    <cfRule type="cellIs" dxfId="0" priority="3650" operator="equal">
      <formula>"欠"</formula>
    </cfRule>
  </conditionalFormatting>
  <conditionalFormatting sqref="T544:U544">
    <cfRule type="cellIs" dxfId="0" priority="3623" operator="equal">
      <formula>"欠"</formula>
    </cfRule>
  </conditionalFormatting>
  <conditionalFormatting sqref="T544">
    <cfRule type="containsText" dxfId="2" priority="3542" operator="between" text="欠">
      <formula>NOT(ISERROR(SEARCH("欠",T544)))</formula>
    </cfRule>
  </conditionalFormatting>
  <conditionalFormatting sqref="AD544:AE544">
    <cfRule type="cellIs" dxfId="0" priority="3704" operator="equal">
      <formula>"未完成"</formula>
    </cfRule>
  </conditionalFormatting>
  <conditionalFormatting sqref="AI544:AJ544">
    <cfRule type="cellIs" dxfId="1" priority="3569" operator="equal">
      <formula>"未完成"</formula>
    </cfRule>
    <cfRule type="cellIs" dxfId="0" priority="3596" operator="equal">
      <formula>"未完成"</formula>
    </cfRule>
  </conditionalFormatting>
  <conditionalFormatting sqref="R545">
    <cfRule type="cellIs" dxfId="0" priority="3676" operator="equal">
      <formula>"欠"</formula>
    </cfRule>
  </conditionalFormatting>
  <conditionalFormatting sqref="S545">
    <cfRule type="cellIs" dxfId="0" priority="3649" operator="equal">
      <formula>"欠"</formula>
    </cfRule>
  </conditionalFormatting>
  <conditionalFormatting sqref="AD545:AE545">
    <cfRule type="cellIs" dxfId="0" priority="3703" operator="equal">
      <formula>"未完成"</formula>
    </cfRule>
  </conditionalFormatting>
  <conditionalFormatting sqref="AI545:AJ545">
    <cfRule type="cellIs" dxfId="1" priority="3568" operator="equal">
      <formula>"未完成"</formula>
    </cfRule>
    <cfRule type="cellIs" dxfId="0" priority="3595" operator="equal">
      <formula>"未完成"</formula>
    </cfRule>
  </conditionalFormatting>
  <conditionalFormatting sqref="R546">
    <cfRule type="cellIs" dxfId="0" priority="3675" operator="equal">
      <formula>"欠"</formula>
    </cfRule>
  </conditionalFormatting>
  <conditionalFormatting sqref="S546">
    <cfRule type="cellIs" dxfId="0" priority="3648" operator="equal">
      <formula>"欠"</formula>
    </cfRule>
  </conditionalFormatting>
  <conditionalFormatting sqref="T546:U546">
    <cfRule type="cellIs" dxfId="0" priority="3621" operator="equal">
      <formula>"欠"</formula>
    </cfRule>
  </conditionalFormatting>
  <conditionalFormatting sqref="T546">
    <cfRule type="containsText" dxfId="2" priority="3540" operator="between" text="欠">
      <formula>NOT(ISERROR(SEARCH("欠",T546)))</formula>
    </cfRule>
  </conditionalFormatting>
  <conditionalFormatting sqref="AD546:AE546">
    <cfRule type="cellIs" dxfId="0" priority="3702" operator="equal">
      <formula>"未完成"</formula>
    </cfRule>
  </conditionalFormatting>
  <conditionalFormatting sqref="AI546:AJ546">
    <cfRule type="cellIs" dxfId="1" priority="3567" operator="equal">
      <formula>"未完成"</formula>
    </cfRule>
    <cfRule type="cellIs" dxfId="0" priority="3594" operator="equal">
      <formula>"未完成"</formula>
    </cfRule>
  </conditionalFormatting>
  <conditionalFormatting sqref="R547">
    <cfRule type="cellIs" dxfId="0" priority="3674" operator="equal">
      <formula>"欠"</formula>
    </cfRule>
  </conditionalFormatting>
  <conditionalFormatting sqref="S547">
    <cfRule type="cellIs" dxfId="0" priority="3647" operator="equal">
      <formula>"欠"</formula>
    </cfRule>
  </conditionalFormatting>
  <conditionalFormatting sqref="T547:U547">
    <cfRule type="cellIs" dxfId="0" priority="3620" operator="equal">
      <formula>"欠"</formula>
    </cfRule>
  </conditionalFormatting>
  <conditionalFormatting sqref="T547">
    <cfRule type="containsText" dxfId="2" priority="3539" operator="between" text="欠">
      <formula>NOT(ISERROR(SEARCH("欠",T547)))</formula>
    </cfRule>
  </conditionalFormatting>
  <conditionalFormatting sqref="AD547:AE547">
    <cfRule type="cellIs" dxfId="0" priority="3701" operator="equal">
      <formula>"未完成"</formula>
    </cfRule>
  </conditionalFormatting>
  <conditionalFormatting sqref="AI547:AJ547">
    <cfRule type="cellIs" dxfId="1" priority="3566" operator="equal">
      <formula>"未完成"</formula>
    </cfRule>
    <cfRule type="cellIs" dxfId="0" priority="3593" operator="equal">
      <formula>"未完成"</formula>
    </cfRule>
  </conditionalFormatting>
  <conditionalFormatting sqref="R548">
    <cfRule type="cellIs" dxfId="0" priority="3673" operator="equal">
      <formula>"欠"</formula>
    </cfRule>
  </conditionalFormatting>
  <conditionalFormatting sqref="S548">
    <cfRule type="cellIs" dxfId="0" priority="3646" operator="equal">
      <formula>"欠"</formula>
    </cfRule>
  </conditionalFormatting>
  <conditionalFormatting sqref="T548:U548">
    <cfRule type="cellIs" dxfId="0" priority="3619" operator="equal">
      <formula>"欠"</formula>
    </cfRule>
  </conditionalFormatting>
  <conditionalFormatting sqref="T548">
    <cfRule type="containsText" dxfId="2" priority="3538" operator="between" text="欠">
      <formula>NOT(ISERROR(SEARCH("欠",T548)))</formula>
    </cfRule>
  </conditionalFormatting>
  <conditionalFormatting sqref="AD548:AE548">
    <cfRule type="cellIs" dxfId="0" priority="3700" operator="equal">
      <formula>"未完成"</formula>
    </cfRule>
  </conditionalFormatting>
  <conditionalFormatting sqref="AI548:AJ548">
    <cfRule type="cellIs" dxfId="1" priority="3565" operator="equal">
      <formula>"未完成"</formula>
    </cfRule>
    <cfRule type="cellIs" dxfId="0" priority="3592" operator="equal">
      <formula>"未完成"</formula>
    </cfRule>
  </conditionalFormatting>
  <conditionalFormatting sqref="R549">
    <cfRule type="cellIs" dxfId="0" priority="3672" operator="equal">
      <formula>"欠"</formula>
    </cfRule>
  </conditionalFormatting>
  <conditionalFormatting sqref="S549">
    <cfRule type="cellIs" dxfId="0" priority="3645" operator="equal">
      <formula>"欠"</formula>
    </cfRule>
  </conditionalFormatting>
  <conditionalFormatting sqref="T549:U549">
    <cfRule type="cellIs" dxfId="0" priority="3618" operator="equal">
      <formula>"欠"</formula>
    </cfRule>
  </conditionalFormatting>
  <conditionalFormatting sqref="T549">
    <cfRule type="containsText" dxfId="2" priority="3537" operator="between" text="欠">
      <formula>NOT(ISERROR(SEARCH("欠",T549)))</formula>
    </cfRule>
  </conditionalFormatting>
  <conditionalFormatting sqref="AD549:AE549">
    <cfRule type="cellIs" dxfId="0" priority="3699" operator="equal">
      <formula>"未完成"</formula>
    </cfRule>
  </conditionalFormatting>
  <conditionalFormatting sqref="AI549:AJ549">
    <cfRule type="cellIs" dxfId="1" priority="3564" operator="equal">
      <formula>"未完成"</formula>
    </cfRule>
    <cfRule type="cellIs" dxfId="0" priority="3591" operator="equal">
      <formula>"未完成"</formula>
    </cfRule>
  </conditionalFormatting>
  <conditionalFormatting sqref="R550">
    <cfRule type="cellIs" dxfId="0" priority="3671" operator="equal">
      <formula>"欠"</formula>
    </cfRule>
  </conditionalFormatting>
  <conditionalFormatting sqref="S550">
    <cfRule type="cellIs" dxfId="0" priority="3644" operator="equal">
      <formula>"欠"</formula>
    </cfRule>
  </conditionalFormatting>
  <conditionalFormatting sqref="T550:U550">
    <cfRule type="cellIs" dxfId="0" priority="3617" operator="equal">
      <formula>"欠"</formula>
    </cfRule>
  </conditionalFormatting>
  <conditionalFormatting sqref="T550">
    <cfRule type="containsText" dxfId="2" priority="3536" operator="between" text="欠">
      <formula>NOT(ISERROR(SEARCH("欠",T550)))</formula>
    </cfRule>
  </conditionalFormatting>
  <conditionalFormatting sqref="AD550:AE550">
    <cfRule type="cellIs" dxfId="0" priority="3698" operator="equal">
      <formula>"未完成"</formula>
    </cfRule>
  </conditionalFormatting>
  <conditionalFormatting sqref="AI550:AJ550">
    <cfRule type="cellIs" dxfId="1" priority="3563" operator="equal">
      <formula>"未完成"</formula>
    </cfRule>
    <cfRule type="cellIs" dxfId="0" priority="3590" operator="equal">
      <formula>"未完成"</formula>
    </cfRule>
  </conditionalFormatting>
  <conditionalFormatting sqref="R551">
    <cfRule type="cellIs" dxfId="0" priority="3670" operator="equal">
      <formula>"欠"</formula>
    </cfRule>
  </conditionalFormatting>
  <conditionalFormatting sqref="S551">
    <cfRule type="cellIs" dxfId="0" priority="3643" operator="equal">
      <formula>"欠"</formula>
    </cfRule>
  </conditionalFormatting>
  <conditionalFormatting sqref="T551:U551">
    <cfRule type="cellIs" dxfId="0" priority="3616" operator="equal">
      <formula>"欠"</formula>
    </cfRule>
  </conditionalFormatting>
  <conditionalFormatting sqref="T551">
    <cfRule type="containsText" dxfId="2" priority="3535" operator="between" text="欠">
      <formula>NOT(ISERROR(SEARCH("欠",T551)))</formula>
    </cfRule>
  </conditionalFormatting>
  <conditionalFormatting sqref="AD551:AE551">
    <cfRule type="cellIs" dxfId="0" priority="3697" operator="equal">
      <formula>"未完成"</formula>
    </cfRule>
  </conditionalFormatting>
  <conditionalFormatting sqref="AI551:AJ551">
    <cfRule type="cellIs" dxfId="1" priority="3562" operator="equal">
      <formula>"未完成"</formula>
    </cfRule>
    <cfRule type="cellIs" dxfId="0" priority="3589" operator="equal">
      <formula>"未完成"</formula>
    </cfRule>
  </conditionalFormatting>
  <conditionalFormatting sqref="R552">
    <cfRule type="cellIs" dxfId="0" priority="3669" operator="equal">
      <formula>"欠"</formula>
    </cfRule>
  </conditionalFormatting>
  <conditionalFormatting sqref="S552">
    <cfRule type="cellIs" dxfId="0" priority="3642" operator="equal">
      <formula>"欠"</formula>
    </cfRule>
  </conditionalFormatting>
  <conditionalFormatting sqref="T552:U552">
    <cfRule type="cellIs" dxfId="0" priority="3615" operator="equal">
      <formula>"欠"</formula>
    </cfRule>
  </conditionalFormatting>
  <conditionalFormatting sqref="T552">
    <cfRule type="containsText" dxfId="2" priority="3534" operator="between" text="欠">
      <formula>NOT(ISERROR(SEARCH("欠",T552)))</formula>
    </cfRule>
  </conditionalFormatting>
  <conditionalFormatting sqref="AD552:AE552">
    <cfRule type="cellIs" dxfId="0" priority="3696" operator="equal">
      <formula>"未完成"</formula>
    </cfRule>
  </conditionalFormatting>
  <conditionalFormatting sqref="AI552:AJ552">
    <cfRule type="cellIs" dxfId="1" priority="3561" operator="equal">
      <formula>"未完成"</formula>
    </cfRule>
    <cfRule type="cellIs" dxfId="0" priority="3588" operator="equal">
      <formula>"未完成"</formula>
    </cfRule>
  </conditionalFormatting>
  <conditionalFormatting sqref="R553">
    <cfRule type="cellIs" dxfId="0" priority="3668" operator="equal">
      <formula>"欠"</formula>
    </cfRule>
  </conditionalFormatting>
  <conditionalFormatting sqref="S553">
    <cfRule type="cellIs" dxfId="0" priority="3641" operator="equal">
      <formula>"欠"</formula>
    </cfRule>
  </conditionalFormatting>
  <conditionalFormatting sqref="T553:U553">
    <cfRule type="cellIs" dxfId="0" priority="3614" operator="equal">
      <formula>"欠"</formula>
    </cfRule>
  </conditionalFormatting>
  <conditionalFormatting sqref="T553">
    <cfRule type="containsText" dxfId="2" priority="3533" operator="between" text="欠">
      <formula>NOT(ISERROR(SEARCH("欠",T553)))</formula>
    </cfRule>
  </conditionalFormatting>
  <conditionalFormatting sqref="AD553:AE553">
    <cfRule type="cellIs" dxfId="0" priority="3695" operator="equal">
      <formula>"未完成"</formula>
    </cfRule>
  </conditionalFormatting>
  <conditionalFormatting sqref="AI553:AJ553">
    <cfRule type="cellIs" dxfId="1" priority="3560" operator="equal">
      <formula>"未完成"</formula>
    </cfRule>
    <cfRule type="cellIs" dxfId="0" priority="3587" operator="equal">
      <formula>"未完成"</formula>
    </cfRule>
  </conditionalFormatting>
  <conditionalFormatting sqref="R554">
    <cfRule type="cellIs" dxfId="0" priority="3667" operator="equal">
      <formula>"欠"</formula>
    </cfRule>
  </conditionalFormatting>
  <conditionalFormatting sqref="S554">
    <cfRule type="cellIs" dxfId="0" priority="3640" operator="equal">
      <formula>"欠"</formula>
    </cfRule>
  </conditionalFormatting>
  <conditionalFormatting sqref="T554:U554">
    <cfRule type="cellIs" dxfId="0" priority="3613" operator="equal">
      <formula>"欠"</formula>
    </cfRule>
  </conditionalFormatting>
  <conditionalFormatting sqref="T554">
    <cfRule type="containsText" dxfId="2" priority="3532" operator="between" text="欠">
      <formula>NOT(ISERROR(SEARCH("欠",T554)))</formula>
    </cfRule>
  </conditionalFormatting>
  <conditionalFormatting sqref="AD554:AE554">
    <cfRule type="cellIs" dxfId="0" priority="3694" operator="equal">
      <formula>"未完成"</formula>
    </cfRule>
  </conditionalFormatting>
  <conditionalFormatting sqref="AI554:AJ554">
    <cfRule type="cellIs" dxfId="1" priority="3559" operator="equal">
      <formula>"未完成"</formula>
    </cfRule>
    <cfRule type="cellIs" dxfId="0" priority="3586" operator="equal">
      <formula>"未完成"</formula>
    </cfRule>
  </conditionalFormatting>
  <conditionalFormatting sqref="R555">
    <cfRule type="cellIs" dxfId="0" priority="3666" operator="equal">
      <formula>"欠"</formula>
    </cfRule>
  </conditionalFormatting>
  <conditionalFormatting sqref="S555">
    <cfRule type="cellIs" dxfId="0" priority="3639" operator="equal">
      <formula>"欠"</formula>
    </cfRule>
  </conditionalFormatting>
  <conditionalFormatting sqref="T555:U555">
    <cfRule type="cellIs" dxfId="0" priority="3612" operator="equal">
      <formula>"欠"</formula>
    </cfRule>
  </conditionalFormatting>
  <conditionalFormatting sqref="T555">
    <cfRule type="containsText" dxfId="2" priority="3531" operator="between" text="欠">
      <formula>NOT(ISERROR(SEARCH("欠",T555)))</formula>
    </cfRule>
  </conditionalFormatting>
  <conditionalFormatting sqref="AD555:AE555">
    <cfRule type="cellIs" dxfId="0" priority="3693" operator="equal">
      <formula>"未完成"</formula>
    </cfRule>
  </conditionalFormatting>
  <conditionalFormatting sqref="AI555:AJ555">
    <cfRule type="cellIs" dxfId="1" priority="3558" operator="equal">
      <formula>"未完成"</formula>
    </cfRule>
    <cfRule type="cellIs" dxfId="0" priority="3585" operator="equal">
      <formula>"未完成"</formula>
    </cfRule>
  </conditionalFormatting>
  <conditionalFormatting sqref="R556">
    <cfRule type="cellIs" dxfId="0" priority="3665" operator="equal">
      <formula>"欠"</formula>
    </cfRule>
  </conditionalFormatting>
  <conditionalFormatting sqref="S556">
    <cfRule type="cellIs" dxfId="0" priority="3638" operator="equal">
      <formula>"欠"</formula>
    </cfRule>
  </conditionalFormatting>
  <conditionalFormatting sqref="T556:U556">
    <cfRule type="cellIs" dxfId="0" priority="3611" operator="equal">
      <formula>"欠"</formula>
    </cfRule>
  </conditionalFormatting>
  <conditionalFormatting sqref="T556">
    <cfRule type="containsText" dxfId="2" priority="3530" operator="between" text="欠">
      <formula>NOT(ISERROR(SEARCH("欠",T556)))</formula>
    </cfRule>
  </conditionalFormatting>
  <conditionalFormatting sqref="AD556:AE556">
    <cfRule type="cellIs" dxfId="0" priority="3692" operator="equal">
      <formula>"未完成"</formula>
    </cfRule>
  </conditionalFormatting>
  <conditionalFormatting sqref="AI556:AJ556">
    <cfRule type="cellIs" dxfId="1" priority="3557" operator="equal">
      <formula>"未完成"</formula>
    </cfRule>
    <cfRule type="cellIs" dxfId="0" priority="3584" operator="equal">
      <formula>"未完成"</formula>
    </cfRule>
  </conditionalFormatting>
  <conditionalFormatting sqref="R557">
    <cfRule type="cellIs" dxfId="0" priority="3664" operator="equal">
      <formula>"欠"</formula>
    </cfRule>
  </conditionalFormatting>
  <conditionalFormatting sqref="S557">
    <cfRule type="cellIs" dxfId="0" priority="3637" operator="equal">
      <formula>"欠"</formula>
    </cfRule>
  </conditionalFormatting>
  <conditionalFormatting sqref="T557:U557">
    <cfRule type="cellIs" dxfId="0" priority="3610" operator="equal">
      <formula>"欠"</formula>
    </cfRule>
  </conditionalFormatting>
  <conditionalFormatting sqref="T557">
    <cfRule type="containsText" dxfId="2" priority="3529" operator="between" text="欠">
      <formula>NOT(ISERROR(SEARCH("欠",T557)))</formula>
    </cfRule>
  </conditionalFormatting>
  <conditionalFormatting sqref="AD557:AE557">
    <cfRule type="cellIs" dxfId="0" priority="3691" operator="equal">
      <formula>"未完成"</formula>
    </cfRule>
  </conditionalFormatting>
  <conditionalFormatting sqref="AI557:AJ557">
    <cfRule type="cellIs" dxfId="1" priority="3556" operator="equal">
      <formula>"未完成"</formula>
    </cfRule>
    <cfRule type="cellIs" dxfId="0" priority="3583" operator="equal">
      <formula>"未完成"</formula>
    </cfRule>
  </conditionalFormatting>
  <conditionalFormatting sqref="AD570:AE570">
    <cfRule type="cellIs" dxfId="0" priority="7852" operator="equal">
      <formula>"未完成"</formula>
    </cfRule>
  </conditionalFormatting>
  <conditionalFormatting sqref="AI570:AJ570">
    <cfRule type="cellIs" dxfId="1" priority="7853" operator="equal">
      <formula>"未完成"</formula>
    </cfRule>
    <cfRule type="cellIs" dxfId="0" priority="7854" operator="equal">
      <formula>"未完成"</formula>
    </cfRule>
  </conditionalFormatting>
  <conditionalFormatting sqref="AK570">
    <cfRule type="cellIs" dxfId="0" priority="7847" operator="equal">
      <formula>"欠"</formula>
    </cfRule>
  </conditionalFormatting>
  <conditionalFormatting sqref="AD571:AE571">
    <cfRule type="cellIs" dxfId="0" priority="7628" operator="equal">
      <formula>"未完成"</formula>
    </cfRule>
  </conditionalFormatting>
  <conditionalFormatting sqref="AI571:AJ571">
    <cfRule type="cellIs" dxfId="1" priority="7629" operator="equal">
      <formula>"未完成"</formula>
    </cfRule>
    <cfRule type="cellIs" dxfId="0" priority="7630" operator="equal">
      <formula>"未完成"</formula>
    </cfRule>
  </conditionalFormatting>
  <conditionalFormatting sqref="AK571">
    <cfRule type="cellIs" dxfId="0" priority="7626" operator="equal">
      <formula>"欠"</formula>
    </cfRule>
  </conditionalFormatting>
  <conditionalFormatting sqref="AD574:AE574">
    <cfRule type="cellIs" dxfId="0" priority="4553" operator="equal">
      <formula>"未完成"</formula>
    </cfRule>
  </conditionalFormatting>
  <conditionalFormatting sqref="AI574:AJ574">
    <cfRule type="cellIs" dxfId="1" priority="4550" operator="equal">
      <formula>"未完成"</formula>
    </cfRule>
    <cfRule type="cellIs" dxfId="0" priority="4551" operator="equal">
      <formula>"未完成"</formula>
    </cfRule>
  </conditionalFormatting>
  <conditionalFormatting sqref="AK574">
    <cfRule type="cellIs" dxfId="0" priority="4548" operator="equal">
      <formula>"欠"</formula>
    </cfRule>
  </conditionalFormatting>
  <conditionalFormatting sqref="AK575">
    <cfRule type="cellIs" dxfId="0" priority="4540" operator="equal">
      <formula>"欠"</formula>
    </cfRule>
  </conditionalFormatting>
  <conditionalFormatting sqref="AD576:AE576">
    <cfRule type="cellIs" dxfId="0" priority="4945" operator="equal">
      <formula>"未完成"</formula>
    </cfRule>
  </conditionalFormatting>
  <conditionalFormatting sqref="AI576:AJ576">
    <cfRule type="cellIs" dxfId="1" priority="4941" operator="equal">
      <formula>"未完成"</formula>
    </cfRule>
    <cfRule type="cellIs" dxfId="0" priority="4942" operator="equal">
      <formula>"未完成"</formula>
    </cfRule>
  </conditionalFormatting>
  <conditionalFormatting sqref="AI581:AJ581">
    <cfRule type="cellIs" dxfId="1" priority="9311" operator="equal">
      <formula>"未完成"</formula>
    </cfRule>
    <cfRule type="cellIs" dxfId="0" priority="9322" operator="equal">
      <formula>"未完成"</formula>
    </cfRule>
  </conditionalFormatting>
  <conditionalFormatting sqref="AD583:AE583">
    <cfRule type="cellIs" dxfId="0" priority="4934" operator="equal">
      <formula>"未完成"</formula>
    </cfRule>
  </conditionalFormatting>
  <conditionalFormatting sqref="AI583:AJ583">
    <cfRule type="cellIs" dxfId="1" priority="4935" operator="equal">
      <formula>"未完成"</formula>
    </cfRule>
    <cfRule type="cellIs" dxfId="0" priority="4936" operator="equal">
      <formula>"未完成"</formula>
    </cfRule>
  </conditionalFormatting>
  <conditionalFormatting sqref="U588">
    <cfRule type="cellIs" dxfId="0" priority="3736" operator="equal">
      <formula>"欠"</formula>
    </cfRule>
  </conditionalFormatting>
  <conditionalFormatting sqref="W588">
    <cfRule type="cellIs" dxfId="0" priority="3735" operator="equal">
      <formula>"欠"</formula>
    </cfRule>
  </conditionalFormatting>
  <conditionalFormatting sqref="AD589:AE589">
    <cfRule type="cellIs" dxfId="0" priority="9284" operator="equal">
      <formula>"未完成"</formula>
    </cfRule>
  </conditionalFormatting>
  <conditionalFormatting sqref="AI589:AJ589">
    <cfRule type="cellIs" dxfId="1" priority="9306" operator="equal">
      <formula>"未完成"</formula>
    </cfRule>
    <cfRule type="cellIs" dxfId="0" priority="9317" operator="equal">
      <formula>"未完成"</formula>
    </cfRule>
  </conditionalFormatting>
  <conditionalFormatting sqref="AD592:AE592">
    <cfRule type="cellIs" dxfId="0" priority="4323" operator="equal">
      <formula>"未完成"</formula>
    </cfRule>
  </conditionalFormatting>
  <conditionalFormatting sqref="AI592:AJ592">
    <cfRule type="cellIs" dxfId="1" priority="4324" operator="equal">
      <formula>"未完成"</formula>
    </cfRule>
    <cfRule type="cellIs" dxfId="0" priority="4325" operator="equal">
      <formula>"未完成"</formula>
    </cfRule>
  </conditionalFormatting>
  <conditionalFormatting sqref="R597">
    <cfRule type="cellIs" dxfId="0" priority="4129" operator="equal">
      <formula>"欠"</formula>
    </cfRule>
  </conditionalFormatting>
  <conditionalFormatting sqref="T597">
    <cfRule type="containsText" dxfId="2" priority="4130" operator="between" text="欠">
      <formula>NOT(ISERROR(SEARCH("欠",T597)))</formula>
    </cfRule>
    <cfRule type="cellIs" dxfId="0" priority="4131" operator="equal">
      <formula>"欠"</formula>
    </cfRule>
  </conditionalFormatting>
  <conditionalFormatting sqref="U597">
    <cfRule type="cellIs" dxfId="0" priority="4125" operator="equal">
      <formula>"欠"</formula>
    </cfRule>
  </conditionalFormatting>
  <conditionalFormatting sqref="AD597:AE597">
    <cfRule type="cellIs" dxfId="0" priority="4126" operator="equal">
      <formula>"未完成"</formula>
    </cfRule>
  </conditionalFormatting>
  <conditionalFormatting sqref="AI597:AJ597">
    <cfRule type="cellIs" dxfId="1" priority="4123" operator="equal">
      <formula>"未完成"</formula>
    </cfRule>
    <cfRule type="cellIs" dxfId="0" priority="4124" operator="equal">
      <formula>"未完成"</formula>
    </cfRule>
  </conditionalFormatting>
  <conditionalFormatting sqref="AK597">
    <cfRule type="cellIs" dxfId="0" priority="4127" operator="equal">
      <formula>"欠"</formula>
    </cfRule>
  </conditionalFormatting>
  <conditionalFormatting sqref="R604">
    <cfRule type="cellIs" dxfId="0" priority="3471" operator="equal">
      <formula>"欠"</formula>
    </cfRule>
  </conditionalFormatting>
  <conditionalFormatting sqref="S604">
    <cfRule type="cellIs" dxfId="0" priority="4137" operator="equal">
      <formula>"欠"</formula>
    </cfRule>
  </conditionalFormatting>
  <conditionalFormatting sqref="T604">
    <cfRule type="cellIs" dxfId="0" priority="4132" operator="equal">
      <formula>"欠"</formula>
    </cfRule>
  </conditionalFormatting>
  <conditionalFormatting sqref="U604">
    <cfRule type="cellIs" dxfId="0" priority="4136" operator="equal">
      <formula>"欠"</formula>
    </cfRule>
  </conditionalFormatting>
  <conditionalFormatting sqref="AD604:AE604">
    <cfRule type="cellIs" dxfId="0" priority="4133" operator="equal">
      <formula>"未完成"</formula>
    </cfRule>
  </conditionalFormatting>
  <conditionalFormatting sqref="AI604:AJ604">
    <cfRule type="cellIs" dxfId="1" priority="4134" operator="equal">
      <formula>"未完成"</formula>
    </cfRule>
    <cfRule type="cellIs" dxfId="0" priority="4135" operator="equal">
      <formula>"未完成"</formula>
    </cfRule>
  </conditionalFormatting>
  <conditionalFormatting sqref="AK604">
    <cfRule type="cellIs" dxfId="0" priority="4141" operator="equal">
      <formula>"欠"</formula>
    </cfRule>
  </conditionalFormatting>
  <conditionalFormatting sqref="T605">
    <cfRule type="containsText" dxfId="2" priority="4120" operator="between" text="欠">
      <formula>NOT(ISERROR(SEARCH("欠",T605)))</formula>
    </cfRule>
    <cfRule type="cellIs" dxfId="0" priority="4121" operator="equal">
      <formula>"欠"</formula>
    </cfRule>
  </conditionalFormatting>
  <conditionalFormatting sqref="U605">
    <cfRule type="cellIs" dxfId="0" priority="4117" operator="equal">
      <formula>"欠"</formula>
    </cfRule>
  </conditionalFormatting>
  <conditionalFormatting sqref="AD605:AE605">
    <cfRule type="cellIs" dxfId="0" priority="4114" operator="equal">
      <formula>"未完成"</formula>
    </cfRule>
  </conditionalFormatting>
  <conditionalFormatting sqref="AI605:AJ605">
    <cfRule type="cellIs" dxfId="1" priority="4115" operator="equal">
      <formula>"未完成"</formula>
    </cfRule>
    <cfRule type="cellIs" dxfId="0" priority="4116" operator="equal">
      <formula>"未完成"</formula>
    </cfRule>
  </conditionalFormatting>
  <conditionalFormatting sqref="AK605">
    <cfRule type="cellIs" dxfId="0" priority="4122" operator="equal">
      <formula>"欠"</formula>
    </cfRule>
  </conditionalFormatting>
  <conditionalFormatting sqref="U606">
    <cfRule type="cellIs" dxfId="0" priority="4090" operator="equal">
      <formula>"欠"</formula>
    </cfRule>
  </conditionalFormatting>
  <conditionalFormatting sqref="AD606:AE606">
    <cfRule type="cellIs" dxfId="0" priority="4087" operator="equal">
      <formula>"未完成"</formula>
    </cfRule>
  </conditionalFormatting>
  <conditionalFormatting sqref="AI606:AJ606">
    <cfRule type="cellIs" dxfId="1" priority="4088" operator="equal">
      <formula>"未完成"</formula>
    </cfRule>
    <cfRule type="cellIs" dxfId="0" priority="4089" operator="equal">
      <formula>"未完成"</formula>
    </cfRule>
  </conditionalFormatting>
  <conditionalFormatting sqref="AK606">
    <cfRule type="cellIs" dxfId="0" priority="4095" operator="equal">
      <formula>"欠"</formula>
    </cfRule>
  </conditionalFormatting>
  <conditionalFormatting sqref="U607">
    <cfRule type="cellIs" dxfId="0" priority="4081" operator="equal">
      <formula>"欠"</formula>
    </cfRule>
  </conditionalFormatting>
  <conditionalFormatting sqref="AD607:AE607">
    <cfRule type="cellIs" dxfId="0" priority="4078" operator="equal">
      <formula>"未完成"</formula>
    </cfRule>
  </conditionalFormatting>
  <conditionalFormatting sqref="AI607:AJ607">
    <cfRule type="cellIs" dxfId="1" priority="4079" operator="equal">
      <formula>"未完成"</formula>
    </cfRule>
    <cfRule type="cellIs" dxfId="0" priority="4080" operator="equal">
      <formula>"未完成"</formula>
    </cfRule>
  </conditionalFormatting>
  <conditionalFormatting sqref="R608">
    <cfRule type="cellIs" dxfId="0" priority="9180" operator="equal">
      <formula>"欠"</formula>
    </cfRule>
  </conditionalFormatting>
  <conditionalFormatting sqref="AD608:AE608">
    <cfRule type="cellIs" dxfId="0" priority="9292" operator="equal">
      <formula>"未完成"</formula>
    </cfRule>
  </conditionalFormatting>
  <conditionalFormatting sqref="AI608:AJ608">
    <cfRule type="cellIs" dxfId="1" priority="9314" operator="equal">
      <formula>"未完成"</formula>
    </cfRule>
    <cfRule type="cellIs" dxfId="0" priority="9325" operator="equal">
      <formula>"未完成"</formula>
    </cfRule>
  </conditionalFormatting>
  <conditionalFormatting sqref="U620">
    <cfRule type="cellIs" dxfId="0" priority="4108" operator="equal">
      <formula>"欠"</formula>
    </cfRule>
  </conditionalFormatting>
  <conditionalFormatting sqref="AD620:AE620">
    <cfRule type="cellIs" dxfId="0" priority="4109" operator="equal">
      <formula>"未完成"</formula>
    </cfRule>
  </conditionalFormatting>
  <conditionalFormatting sqref="AI620:AJ620">
    <cfRule type="cellIs" dxfId="1" priority="4110" operator="equal">
      <formula>"未完成"</formula>
    </cfRule>
    <cfRule type="cellIs" dxfId="0" priority="4111" operator="equal">
      <formula>"未完成"</formula>
    </cfRule>
  </conditionalFormatting>
  <conditionalFormatting sqref="AK620">
    <cfRule type="cellIs" dxfId="0" priority="4107" operator="equal">
      <formula>"欠"</formula>
    </cfRule>
  </conditionalFormatting>
  <conditionalFormatting sqref="AD638:AE638">
    <cfRule type="cellIs" dxfId="0" priority="3917" operator="equal">
      <formula>"未完成"</formula>
    </cfRule>
  </conditionalFormatting>
  <conditionalFormatting sqref="AI638:AJ638">
    <cfRule type="cellIs" dxfId="1" priority="3918" operator="equal">
      <formula>"未完成"</formula>
    </cfRule>
    <cfRule type="cellIs" dxfId="0" priority="3919" operator="equal">
      <formula>"未完成"</formula>
    </cfRule>
  </conditionalFormatting>
  <conditionalFormatting sqref="AK638">
    <cfRule type="cellIs" dxfId="0" priority="3920" operator="equal">
      <formula>"欠"</formula>
    </cfRule>
  </conditionalFormatting>
  <conditionalFormatting sqref="R642:U642">
    <cfRule type="cellIs" dxfId="0" priority="3725" operator="equal">
      <formula>"欠"</formula>
    </cfRule>
  </conditionalFormatting>
  <conditionalFormatting sqref="T642">
    <cfRule type="containsText" dxfId="2" priority="3724" operator="between" text="欠">
      <formula>NOT(ISERROR(SEARCH("欠",T642)))</formula>
    </cfRule>
  </conditionalFormatting>
  <conditionalFormatting sqref="AD642:AE642">
    <cfRule type="cellIs" dxfId="0" priority="3726" operator="equal">
      <formula>"未完成"</formula>
    </cfRule>
  </conditionalFormatting>
  <conditionalFormatting sqref="AI642:AJ642">
    <cfRule type="cellIs" dxfId="1" priority="3727" operator="equal">
      <formula>"未完成"</formula>
    </cfRule>
    <cfRule type="cellIs" dxfId="0" priority="3728" operator="equal">
      <formula>"未完成"</formula>
    </cfRule>
  </conditionalFormatting>
  <conditionalFormatting sqref="AK642">
    <cfRule type="cellIs" dxfId="0" priority="3729" operator="equal">
      <formula>"欠"</formula>
    </cfRule>
  </conditionalFormatting>
  <conditionalFormatting sqref="AD654:AE654">
    <cfRule type="cellIs" dxfId="0" priority="3489" operator="equal">
      <formula>"未完成"</formula>
    </cfRule>
  </conditionalFormatting>
  <conditionalFormatting sqref="AI654:AJ654">
    <cfRule type="cellIs" dxfId="1" priority="3493" operator="equal">
      <formula>"未完成"</formula>
    </cfRule>
    <cfRule type="cellIs" dxfId="0" priority="3497" operator="equal">
      <formula>"未完成"</formula>
    </cfRule>
  </conditionalFormatting>
  <conditionalFormatting sqref="AK654">
    <cfRule type="cellIs" dxfId="0" priority="3501" operator="equal">
      <formula>"欠"</formula>
    </cfRule>
  </conditionalFormatting>
  <conditionalFormatting sqref="R658">
    <cfRule type="cellIs" dxfId="0" priority="3438" operator="equal">
      <formula>"欠"</formula>
    </cfRule>
  </conditionalFormatting>
  <conditionalFormatting sqref="S658">
    <cfRule type="cellIs" dxfId="0" priority="3437" operator="equal">
      <formula>"欠"</formula>
    </cfRule>
  </conditionalFormatting>
  <conditionalFormatting sqref="T659">
    <cfRule type="cellIs" dxfId="0" priority="3267" operator="equal">
      <formula>"欠"</formula>
    </cfRule>
  </conditionalFormatting>
  <conditionalFormatting sqref="T663">
    <cfRule type="containsText" dxfId="2" priority="3391" operator="between" text="欠">
      <formula>NOT(ISERROR(SEARCH("欠",T663)))</formula>
    </cfRule>
  </conditionalFormatting>
  <conditionalFormatting sqref="AD663:AE663">
    <cfRule type="cellIs" dxfId="0" priority="3396" operator="equal">
      <formula>"未完成"</formula>
    </cfRule>
  </conditionalFormatting>
  <conditionalFormatting sqref="AI663:AJ663">
    <cfRule type="cellIs" dxfId="1" priority="3397" operator="equal">
      <formula>"未完成"</formula>
    </cfRule>
    <cfRule type="cellIs" dxfId="0" priority="3398" operator="equal">
      <formula>"未完成"</formula>
    </cfRule>
  </conditionalFormatting>
  <conditionalFormatting sqref="R669">
    <cfRule type="containsText" dxfId="2" priority="3114" operator="between" text="欠">
      <formula>NOT(ISERROR(SEARCH("欠",R669)))</formula>
    </cfRule>
  </conditionalFormatting>
  <conditionalFormatting sqref="S669">
    <cfRule type="cellIs" dxfId="0" priority="3113" operator="equal">
      <formula>"欠"</formula>
    </cfRule>
  </conditionalFormatting>
  <conditionalFormatting sqref="T669">
    <cfRule type="cellIs" dxfId="0" priority="3112" operator="equal">
      <formula>"欠"</formula>
    </cfRule>
    <cfRule type="containsText" dxfId="2" priority="3110" operator="between" text="欠">
      <formula>NOT(ISERROR(SEARCH("欠",T669)))</formula>
    </cfRule>
  </conditionalFormatting>
  <conditionalFormatting sqref="AD669:AE669">
    <cfRule type="cellIs" dxfId="0" priority="3117" operator="equal">
      <formula>"未完成"</formula>
    </cfRule>
  </conditionalFormatting>
  <conditionalFormatting sqref="AI669:AJ669">
    <cfRule type="cellIs" dxfId="1" priority="3118" operator="equal">
      <formula>"未完成"</formula>
    </cfRule>
    <cfRule type="cellIs" dxfId="0" priority="3119" operator="equal">
      <formula>"未完成"</formula>
    </cfRule>
  </conditionalFormatting>
  <conditionalFormatting sqref="AK669">
    <cfRule type="cellIs" dxfId="0" priority="3116" operator="equal">
      <formula>"欠"</formula>
    </cfRule>
  </conditionalFormatting>
  <conditionalFormatting sqref="AD680:AE680">
    <cfRule type="cellIs" dxfId="0" priority="4333" operator="equal">
      <formula>"未完成"</formula>
    </cfRule>
  </conditionalFormatting>
  <conditionalFormatting sqref="AK680">
    <cfRule type="cellIs" dxfId="0" priority="4339" operator="equal">
      <formula>"欠"</formula>
    </cfRule>
  </conditionalFormatting>
  <conditionalFormatting sqref="AD681:AE681">
    <cfRule type="cellIs" dxfId="0" priority="4332" operator="equal">
      <formula>"未完成"</formula>
    </cfRule>
  </conditionalFormatting>
  <conditionalFormatting sqref="AK681">
    <cfRule type="cellIs" dxfId="0" priority="4338" operator="equal">
      <formula>"欠"</formula>
    </cfRule>
  </conditionalFormatting>
  <conditionalFormatting sqref="R682">
    <cfRule type="cellIs" dxfId="0" priority="4144" operator="equal">
      <formula>"欠"</formula>
    </cfRule>
  </conditionalFormatting>
  <conditionalFormatting sqref="U682">
    <cfRule type="cellIs" dxfId="0" priority="4145" operator="equal">
      <formula>"欠"</formula>
    </cfRule>
  </conditionalFormatting>
  <conditionalFormatting sqref="AD682:AE682">
    <cfRule type="cellIs" dxfId="0" priority="4146" operator="equal">
      <formula>"未完成"</formula>
    </cfRule>
  </conditionalFormatting>
  <conditionalFormatting sqref="AI682:AJ682">
    <cfRule type="cellIs" dxfId="1" priority="4148" operator="equal">
      <formula>"未完成"</formula>
    </cfRule>
    <cfRule type="cellIs" dxfId="0" priority="4149" operator="equal">
      <formula>"未完成"</formula>
    </cfRule>
  </conditionalFormatting>
  <conditionalFormatting sqref="AK682">
    <cfRule type="cellIs" dxfId="0" priority="4147" operator="equal">
      <formula>"欠"</formula>
    </cfRule>
  </conditionalFormatting>
  <conditionalFormatting sqref="AK683">
    <cfRule type="cellIs" dxfId="0" priority="3910" operator="equal">
      <formula>"欠"</formula>
    </cfRule>
  </conditionalFormatting>
  <conditionalFormatting sqref="R691:U691">
    <cfRule type="cellIs" dxfId="0" priority="3369" operator="equal">
      <formula>"欠"</formula>
    </cfRule>
  </conditionalFormatting>
  <conditionalFormatting sqref="T691">
    <cfRule type="containsText" dxfId="2" priority="3368" operator="between" text="欠">
      <formula>NOT(ISERROR(SEARCH("欠",T691)))</formula>
    </cfRule>
  </conditionalFormatting>
  <conditionalFormatting sqref="AD691:AE691">
    <cfRule type="cellIs" dxfId="0" priority="3370" operator="equal">
      <formula>"未完成"</formula>
    </cfRule>
  </conditionalFormatting>
  <conditionalFormatting sqref="AI691:AJ691">
    <cfRule type="cellIs" dxfId="1" priority="3371" operator="equal">
      <formula>"未完成"</formula>
    </cfRule>
    <cfRule type="cellIs" dxfId="0" priority="3372" operator="equal">
      <formula>"未完成"</formula>
    </cfRule>
  </conditionalFormatting>
  <conditionalFormatting sqref="AK691">
    <cfRule type="cellIs" dxfId="0" priority="3373" operator="equal">
      <formula>"欠"</formula>
    </cfRule>
  </conditionalFormatting>
  <conditionalFormatting sqref="T697">
    <cfRule type="containsText" dxfId="2" priority="3718" operator="between" text="欠">
      <formula>NOT(ISERROR(SEARCH("欠",T697)))</formula>
    </cfRule>
  </conditionalFormatting>
  <conditionalFormatting sqref="AD697:AE697">
    <cfRule type="cellIs" dxfId="0" priority="3720" operator="equal">
      <formula>"未完成"</formula>
    </cfRule>
  </conditionalFormatting>
  <conditionalFormatting sqref="AI697:AJ697">
    <cfRule type="cellIs" dxfId="1" priority="3721" operator="equal">
      <formula>"未完成"</formula>
    </cfRule>
    <cfRule type="cellIs" dxfId="0" priority="3722" operator="equal">
      <formula>"未完成"</formula>
    </cfRule>
  </conditionalFormatting>
  <conditionalFormatting sqref="AK697">
    <cfRule type="cellIs" dxfId="0" priority="3723" operator="equal">
      <formula>"欠"</formula>
    </cfRule>
  </conditionalFormatting>
  <conditionalFormatting sqref="AK712">
    <cfRule type="cellIs" dxfId="0" priority="3346" operator="equal">
      <formula>"欠"</formula>
    </cfRule>
  </conditionalFormatting>
  <conditionalFormatting sqref="T719">
    <cfRule type="containsText" dxfId="2" priority="3384" operator="between" text="欠">
      <formula>NOT(ISERROR(SEARCH("欠",T719)))</formula>
    </cfRule>
  </conditionalFormatting>
  <conditionalFormatting sqref="AD719:AE719">
    <cfRule type="cellIs" dxfId="0" priority="3386" operator="equal">
      <formula>"未完成"</formula>
    </cfRule>
  </conditionalFormatting>
  <conditionalFormatting sqref="AI719:AJ719">
    <cfRule type="cellIs" dxfId="1" priority="3387" operator="equal">
      <formula>"未完成"</formula>
    </cfRule>
    <cfRule type="cellIs" dxfId="0" priority="3388" operator="equal">
      <formula>"未完成"</formula>
    </cfRule>
  </conditionalFormatting>
  <conditionalFormatting sqref="AK719">
    <cfRule type="cellIs" dxfId="0" priority="3389" operator="equal">
      <formula>"欠"</formula>
    </cfRule>
  </conditionalFormatting>
  <conditionalFormatting sqref="AG721">
    <cfRule type="cellIs" dxfId="0" priority="3334" operator="equal">
      <formula>"未完成"</formula>
    </cfRule>
  </conditionalFormatting>
  <conditionalFormatting sqref="R723">
    <cfRule type="containsText" dxfId="2" priority="3463" operator="between" text="欠">
      <formula>NOT(ISERROR(SEARCH("欠",R723)))</formula>
    </cfRule>
  </conditionalFormatting>
  <conditionalFormatting sqref="AD723:AE723">
    <cfRule type="cellIs" dxfId="0" priority="3466" operator="equal">
      <formula>"未完成"</formula>
    </cfRule>
  </conditionalFormatting>
  <conditionalFormatting sqref="AI723:AJ723">
    <cfRule type="cellIs" dxfId="1" priority="3467" operator="equal">
      <formula>"未完成"</formula>
    </cfRule>
    <cfRule type="cellIs" dxfId="0" priority="3468" operator="equal">
      <formula>"未完成"</formula>
    </cfRule>
  </conditionalFormatting>
  <conditionalFormatting sqref="U727">
    <cfRule type="cellIs" dxfId="0" priority="3402" operator="equal">
      <formula>"欠"</formula>
    </cfRule>
  </conditionalFormatting>
  <conditionalFormatting sqref="AD727:AE727">
    <cfRule type="cellIs" dxfId="0" priority="3403" operator="equal">
      <formula>"未完成"</formula>
    </cfRule>
  </conditionalFormatting>
  <conditionalFormatting sqref="AI727:AJ727">
    <cfRule type="cellIs" dxfId="1" priority="3404" operator="equal">
      <formula>"未完成"</formula>
    </cfRule>
    <cfRule type="cellIs" dxfId="0" priority="3405" operator="equal">
      <formula>"未完成"</formula>
    </cfRule>
  </conditionalFormatting>
  <conditionalFormatting sqref="AK727">
    <cfRule type="cellIs" dxfId="0" priority="3406" operator="equal">
      <formula>"欠"</formula>
    </cfRule>
  </conditionalFormatting>
  <conditionalFormatting sqref="U730">
    <cfRule type="cellIs" dxfId="0" priority="3377" operator="equal">
      <formula>"欠"</formula>
    </cfRule>
  </conditionalFormatting>
  <conditionalFormatting sqref="AD730:AE730">
    <cfRule type="cellIs" dxfId="0" priority="3378" operator="equal">
      <formula>"未完成"</formula>
    </cfRule>
  </conditionalFormatting>
  <conditionalFormatting sqref="AI730:AJ730">
    <cfRule type="cellIs" dxfId="1" priority="3379" operator="equal">
      <formula>"未完成"</formula>
    </cfRule>
    <cfRule type="cellIs" dxfId="0" priority="3380" operator="equal">
      <formula>"未完成"</formula>
    </cfRule>
  </conditionalFormatting>
  <conditionalFormatting sqref="AK730">
    <cfRule type="cellIs" dxfId="0" priority="3381" operator="equal">
      <formula>"欠"</formula>
    </cfRule>
  </conditionalFormatting>
  <conditionalFormatting sqref="AK736">
    <cfRule type="cellIs" dxfId="0" priority="3311" operator="equal">
      <formula>"欠"</formula>
    </cfRule>
  </conditionalFormatting>
  <conditionalFormatting sqref="R740">
    <cfRule type="containsText" dxfId="2" priority="3275" operator="between" text="欠">
      <formula>NOT(ISERROR(SEARCH("欠",R740)))</formula>
    </cfRule>
    <cfRule type="cellIs" dxfId="0" priority="3276" operator="equal">
      <formula>"欠"</formula>
    </cfRule>
  </conditionalFormatting>
  <conditionalFormatting sqref="AK743">
    <cfRule type="cellIs" dxfId="0" priority="9437" operator="equal">
      <formula>"欠"</formula>
    </cfRule>
  </conditionalFormatting>
  <conditionalFormatting sqref="S747">
    <cfRule type="cellIs" dxfId="0" priority="2711" operator="equal">
      <formula>"欠"</formula>
    </cfRule>
  </conditionalFormatting>
  <conditionalFormatting sqref="S750">
    <cfRule type="cellIs" dxfId="0" priority="3322" operator="equal">
      <formula>"欠"</formula>
    </cfRule>
  </conditionalFormatting>
  <conditionalFormatting sqref="T750">
    <cfRule type="cellIs" dxfId="0" priority="3323" operator="equal">
      <formula>"欠"</formula>
    </cfRule>
  </conditionalFormatting>
  <conditionalFormatting sqref="R761">
    <cfRule type="containsText" dxfId="2" priority="2495" operator="between" text="欠">
      <formula>NOT(ISERROR(SEARCH("欠",R761)))</formula>
    </cfRule>
    <cfRule type="cellIs" dxfId="0" priority="2496" operator="equal">
      <formula>"欠"</formula>
    </cfRule>
  </conditionalFormatting>
  <conditionalFormatting sqref="S765">
    <cfRule type="containsText" dxfId="2" priority="2555" operator="between" text="欠">
      <formula>NOT(ISERROR(SEARCH("欠",S765)))</formula>
    </cfRule>
    <cfRule type="cellIs" dxfId="0" priority="2556" operator="equal">
      <formula>"欠"</formula>
    </cfRule>
  </conditionalFormatting>
  <conditionalFormatting sqref="T765">
    <cfRule type="cellIs" dxfId="0" priority="2504" operator="equal">
      <formula>"欠"</formula>
    </cfRule>
  </conditionalFormatting>
  <conditionalFormatting sqref="R766:S766">
    <cfRule type="cellIs" dxfId="0" priority="2494" operator="equal">
      <formula>"欠"</formula>
    </cfRule>
  </conditionalFormatting>
  <conditionalFormatting sqref="R766">
    <cfRule type="containsText" dxfId="2" priority="2489" operator="between" text="欠">
      <formula>NOT(ISERROR(SEARCH("欠",R766)))</formula>
    </cfRule>
  </conditionalFormatting>
  <conditionalFormatting sqref="T766">
    <cfRule type="cellIs" dxfId="0" priority="2488" operator="equal">
      <formula>"欠"</formula>
    </cfRule>
  </conditionalFormatting>
  <conditionalFormatting sqref="U766">
    <cfRule type="cellIs" dxfId="0" priority="2490" operator="equal">
      <formula>"欠"</formula>
    </cfRule>
  </conditionalFormatting>
  <conditionalFormatting sqref="AD766:AE766">
    <cfRule type="cellIs" dxfId="0" priority="2491" operator="equal">
      <formula>"未完成"</formula>
    </cfRule>
  </conditionalFormatting>
  <conditionalFormatting sqref="AI766:AJ766">
    <cfRule type="cellIs" dxfId="1" priority="2492" operator="equal">
      <formula>"未完成"</formula>
    </cfRule>
    <cfRule type="cellIs" dxfId="0" priority="2493" operator="equal">
      <formula>"未完成"</formula>
    </cfRule>
  </conditionalFormatting>
  <conditionalFormatting sqref="AK766">
    <cfRule type="cellIs" dxfId="0" priority="2559" operator="equal">
      <formula>"欠"</formula>
    </cfRule>
  </conditionalFormatting>
  <conditionalFormatting sqref="R772">
    <cfRule type="containsText" dxfId="2" priority="2502" operator="between" text="欠">
      <formula>NOT(ISERROR(SEARCH("欠",R772)))</formula>
    </cfRule>
    <cfRule type="cellIs" dxfId="0" priority="2503" operator="equal">
      <formula>"欠"</formula>
    </cfRule>
  </conditionalFormatting>
  <conditionalFormatting sqref="T772:U772">
    <cfRule type="cellIs" dxfId="0" priority="2498" operator="equal">
      <formula>"欠"</formula>
    </cfRule>
  </conditionalFormatting>
  <conditionalFormatting sqref="T772">
    <cfRule type="containsText" dxfId="2" priority="2497" operator="between" text="欠">
      <formula>NOT(ISERROR(SEARCH("欠",T772)))</formula>
    </cfRule>
  </conditionalFormatting>
  <conditionalFormatting sqref="AD772:AE772">
    <cfRule type="cellIs" dxfId="0" priority="2499" operator="equal">
      <formula>"未完成"</formula>
    </cfRule>
  </conditionalFormatting>
  <conditionalFormatting sqref="AI772:AJ772">
    <cfRule type="cellIs" dxfId="1" priority="2500" operator="equal">
      <formula>"未完成"</formula>
    </cfRule>
    <cfRule type="cellIs" dxfId="0" priority="2501" operator="equal">
      <formula>"未完成"</formula>
    </cfRule>
  </conditionalFormatting>
  <conditionalFormatting sqref="R776">
    <cfRule type="containsText" dxfId="2" priority="2475" operator="between" text="欠">
      <formula>NOT(ISERROR(SEARCH("欠",R776)))</formula>
    </cfRule>
    <cfRule type="cellIs" dxfId="0" priority="2479" operator="equal">
      <formula>"欠"</formula>
    </cfRule>
  </conditionalFormatting>
  <conditionalFormatting sqref="S776">
    <cfRule type="cellIs" dxfId="0" priority="2487" operator="equal">
      <formula>"欠"</formula>
    </cfRule>
  </conditionalFormatting>
  <conditionalFormatting sqref="T776:U776">
    <cfRule type="cellIs" dxfId="0" priority="2459" operator="equal">
      <formula>"欠"</formula>
    </cfRule>
  </conditionalFormatting>
  <conditionalFormatting sqref="T776">
    <cfRule type="containsText" dxfId="2" priority="2455" operator="between" text="欠">
      <formula>NOT(ISERROR(SEARCH("欠",T776)))</formula>
    </cfRule>
  </conditionalFormatting>
  <conditionalFormatting sqref="AD776:AE776">
    <cfRule type="cellIs" dxfId="0" priority="2463" operator="equal">
      <formula>"未完成"</formula>
    </cfRule>
  </conditionalFormatting>
  <conditionalFormatting sqref="AG776">
    <cfRule type="cellIs" dxfId="0" priority="2483" operator="equal">
      <formula>"未完成"</formula>
    </cfRule>
  </conditionalFormatting>
  <conditionalFormatting sqref="AI776:AJ776">
    <cfRule type="cellIs" dxfId="1" priority="2467" operator="equal">
      <formula>"未完成"</formula>
    </cfRule>
    <cfRule type="cellIs" dxfId="0" priority="2471" operator="equal">
      <formula>"未完成"</formula>
    </cfRule>
  </conditionalFormatting>
  <conditionalFormatting sqref="R777">
    <cfRule type="containsText" dxfId="2" priority="2474" operator="between" text="欠">
      <formula>NOT(ISERROR(SEARCH("欠",R777)))</formula>
    </cfRule>
    <cfRule type="cellIs" dxfId="0" priority="2478" operator="equal">
      <formula>"欠"</formula>
    </cfRule>
  </conditionalFormatting>
  <conditionalFormatting sqref="S777">
    <cfRule type="cellIs" dxfId="0" priority="2486" operator="equal">
      <formula>"欠"</formula>
    </cfRule>
  </conditionalFormatting>
  <conditionalFormatting sqref="T777:U777">
    <cfRule type="cellIs" dxfId="0" priority="2458" operator="equal">
      <formula>"欠"</formula>
    </cfRule>
  </conditionalFormatting>
  <conditionalFormatting sqref="T777">
    <cfRule type="containsText" dxfId="2" priority="2454" operator="between" text="欠">
      <formula>NOT(ISERROR(SEARCH("欠",T777)))</formula>
    </cfRule>
  </conditionalFormatting>
  <conditionalFormatting sqref="AD777:AE777">
    <cfRule type="cellIs" dxfId="0" priority="2462" operator="equal">
      <formula>"未完成"</formula>
    </cfRule>
  </conditionalFormatting>
  <conditionalFormatting sqref="AG777">
    <cfRule type="cellIs" dxfId="0" priority="2482" operator="equal">
      <formula>"未完成"</formula>
    </cfRule>
  </conditionalFormatting>
  <conditionalFormatting sqref="AI777:AJ777">
    <cfRule type="cellIs" dxfId="1" priority="2466" operator="equal">
      <formula>"未完成"</formula>
    </cfRule>
    <cfRule type="cellIs" dxfId="0" priority="2470" operator="equal">
      <formula>"未完成"</formula>
    </cfRule>
  </conditionalFormatting>
  <conditionalFormatting sqref="R778">
    <cfRule type="containsText" dxfId="2" priority="2473" operator="between" text="欠">
      <formula>NOT(ISERROR(SEARCH("欠",R778)))</formula>
    </cfRule>
    <cfRule type="cellIs" dxfId="0" priority="2477" operator="equal">
      <formula>"欠"</formula>
    </cfRule>
  </conditionalFormatting>
  <conditionalFormatting sqref="S778">
    <cfRule type="cellIs" dxfId="0" priority="2485" operator="equal">
      <formula>"欠"</formula>
    </cfRule>
  </conditionalFormatting>
  <conditionalFormatting sqref="T778:U778">
    <cfRule type="cellIs" dxfId="0" priority="2457" operator="equal">
      <formula>"欠"</formula>
    </cfRule>
  </conditionalFormatting>
  <conditionalFormatting sqref="T778">
    <cfRule type="containsText" dxfId="2" priority="2453" operator="between" text="欠">
      <formula>NOT(ISERROR(SEARCH("欠",T778)))</formula>
    </cfRule>
  </conditionalFormatting>
  <conditionalFormatting sqref="AD778:AE778">
    <cfRule type="cellIs" dxfId="0" priority="2461" operator="equal">
      <formula>"未完成"</formula>
    </cfRule>
  </conditionalFormatting>
  <conditionalFormatting sqref="AG778">
    <cfRule type="cellIs" dxfId="0" priority="2481" operator="equal">
      <formula>"未完成"</formula>
    </cfRule>
  </conditionalFormatting>
  <conditionalFormatting sqref="AI778:AJ778">
    <cfRule type="cellIs" dxfId="1" priority="2465" operator="equal">
      <formula>"未完成"</formula>
    </cfRule>
    <cfRule type="cellIs" dxfId="0" priority="2469" operator="equal">
      <formula>"未完成"</formula>
    </cfRule>
  </conditionalFormatting>
  <conditionalFormatting sqref="R779">
    <cfRule type="containsText" dxfId="2" priority="2472" operator="between" text="欠">
      <formula>NOT(ISERROR(SEARCH("欠",R779)))</formula>
    </cfRule>
    <cfRule type="cellIs" dxfId="0" priority="2476" operator="equal">
      <formula>"欠"</formula>
    </cfRule>
  </conditionalFormatting>
  <conditionalFormatting sqref="S779">
    <cfRule type="cellIs" dxfId="0" priority="2484" operator="equal">
      <formula>"欠"</formula>
    </cfRule>
  </conditionalFormatting>
  <conditionalFormatting sqref="T779:U779">
    <cfRule type="cellIs" dxfId="0" priority="2456" operator="equal">
      <formula>"欠"</formula>
    </cfRule>
  </conditionalFormatting>
  <conditionalFormatting sqref="T779">
    <cfRule type="containsText" dxfId="2" priority="2452" operator="between" text="欠">
      <formula>NOT(ISERROR(SEARCH("欠",T779)))</formula>
    </cfRule>
  </conditionalFormatting>
  <conditionalFormatting sqref="AD779:AE779">
    <cfRule type="cellIs" dxfId="0" priority="2460" operator="equal">
      <formula>"未完成"</formula>
    </cfRule>
  </conditionalFormatting>
  <conditionalFormatting sqref="AG779">
    <cfRule type="cellIs" dxfId="0" priority="2480" operator="equal">
      <formula>"未完成"</formula>
    </cfRule>
  </conditionalFormatting>
  <conditionalFormatting sqref="AI779:AJ779">
    <cfRule type="cellIs" dxfId="1" priority="2464" operator="equal">
      <formula>"未完成"</formula>
    </cfRule>
    <cfRule type="cellIs" dxfId="0" priority="2468" operator="equal">
      <formula>"未完成"</formula>
    </cfRule>
  </conditionalFormatting>
  <conditionalFormatting sqref="R780">
    <cfRule type="cellIs" dxfId="0" priority="3454" operator="equal">
      <formula>"欠"</formula>
    </cfRule>
  </conditionalFormatting>
  <conditionalFormatting sqref="T780">
    <cfRule type="containsText" dxfId="2" priority="3448" operator="between" text="欠">
      <formula>NOT(ISERROR(SEARCH("欠",T780)))</formula>
    </cfRule>
  </conditionalFormatting>
  <conditionalFormatting sqref="T780:U780">
    <cfRule type="cellIs" dxfId="0" priority="3449" operator="equal">
      <formula>"欠"</formula>
    </cfRule>
  </conditionalFormatting>
  <conditionalFormatting sqref="AD780:AE780">
    <cfRule type="cellIs" dxfId="0" priority="3450" operator="equal">
      <formula>"未完成"</formula>
    </cfRule>
  </conditionalFormatting>
  <conditionalFormatting sqref="AI780:AJ780">
    <cfRule type="cellIs" dxfId="1" priority="3451" operator="equal">
      <formula>"未完成"</formula>
    </cfRule>
    <cfRule type="cellIs" dxfId="0" priority="3452" operator="equal">
      <formula>"未完成"</formula>
    </cfRule>
  </conditionalFormatting>
  <conditionalFormatting sqref="AK780">
    <cfRule type="cellIs" dxfId="0" priority="3453" operator="equal">
      <formula>"欠"</formula>
    </cfRule>
  </conditionalFormatting>
  <conditionalFormatting sqref="R781">
    <cfRule type="containsText" dxfId="2" priority="2392" operator="between" text="欠">
      <formula>NOT(ISERROR(SEARCH("欠",R781)))</formula>
    </cfRule>
    <cfRule type="cellIs" dxfId="0" priority="2393" operator="equal">
      <formula>"欠"</formula>
    </cfRule>
  </conditionalFormatting>
  <conditionalFormatting sqref="S781">
    <cfRule type="cellIs" dxfId="0" priority="2401" operator="equal">
      <formula>"欠"</formula>
    </cfRule>
  </conditionalFormatting>
  <conditionalFormatting sqref="T781">
    <cfRule type="containsText" dxfId="2" priority="2390" operator="between" text="欠">
      <formula>NOT(ISERROR(SEARCH("欠",T781)))</formula>
    </cfRule>
    <cfRule type="cellIs" dxfId="0" priority="2398" operator="equal">
      <formula>"欠"</formula>
    </cfRule>
  </conditionalFormatting>
  <conditionalFormatting sqref="U781">
    <cfRule type="cellIs" dxfId="0" priority="2394" operator="equal">
      <formula>"欠"</formula>
    </cfRule>
  </conditionalFormatting>
  <conditionalFormatting sqref="AD781:AE781">
    <cfRule type="cellIs" dxfId="0" priority="2395" operator="equal">
      <formula>"未完成"</formula>
    </cfRule>
  </conditionalFormatting>
  <conditionalFormatting sqref="AG781">
    <cfRule type="cellIs" dxfId="0" priority="2400" operator="equal">
      <formula>"未完成"</formula>
    </cfRule>
  </conditionalFormatting>
  <conditionalFormatting sqref="AI781:AJ781">
    <cfRule type="cellIs" dxfId="1" priority="2396" operator="equal">
      <formula>"未完成"</formula>
    </cfRule>
    <cfRule type="cellIs" dxfId="0" priority="2397" operator="equal">
      <formula>"未完成"</formula>
    </cfRule>
  </conditionalFormatting>
  <conditionalFormatting sqref="AK781">
    <cfRule type="cellIs" dxfId="0" priority="2399" operator="equal">
      <formula>"欠"</formula>
    </cfRule>
  </conditionalFormatting>
  <conditionalFormatting sqref="R784">
    <cfRule type="containsText" dxfId="2" priority="3215" operator="between" text="欠">
      <formula>NOT(ISERROR(SEARCH("欠",R784)))</formula>
    </cfRule>
    <cfRule type="cellIs" dxfId="0" priority="3217" operator="equal">
      <formula>"欠"</formula>
    </cfRule>
  </conditionalFormatting>
  <conditionalFormatting sqref="T784">
    <cfRule type="containsText" dxfId="2" priority="3238" operator="between" text="欠">
      <formula>NOT(ISERROR(SEARCH("欠",T784)))</formula>
    </cfRule>
  </conditionalFormatting>
  <conditionalFormatting sqref="T784:U784">
    <cfRule type="cellIs" dxfId="0" priority="3242" operator="equal">
      <formula>"欠"</formula>
    </cfRule>
  </conditionalFormatting>
  <conditionalFormatting sqref="AD784:AE784">
    <cfRule type="cellIs" dxfId="0" priority="3243" operator="equal">
      <formula>"未完成"</formula>
    </cfRule>
  </conditionalFormatting>
  <conditionalFormatting sqref="AI784:AJ784">
    <cfRule type="cellIs" dxfId="1" priority="3244" operator="equal">
      <formula>"未完成"</formula>
    </cfRule>
    <cfRule type="cellIs" dxfId="0" priority="3245" operator="equal">
      <formula>"未完成"</formula>
    </cfRule>
  </conditionalFormatting>
  <conditionalFormatting sqref="S785">
    <cfRule type="cellIs" dxfId="0" priority="3174" operator="equal">
      <formula>"欠"</formula>
    </cfRule>
  </conditionalFormatting>
  <conditionalFormatting sqref="R787">
    <cfRule type="containsText" dxfId="2" priority="3086" operator="between" text="欠">
      <formula>NOT(ISERROR(SEARCH("欠",R787)))</formula>
    </cfRule>
  </conditionalFormatting>
  <conditionalFormatting sqref="S787">
    <cfRule type="cellIs" dxfId="0" priority="3009" operator="equal">
      <formula>"欠"</formula>
    </cfRule>
  </conditionalFormatting>
  <conditionalFormatting sqref="T787">
    <cfRule type="containsText" dxfId="2" priority="3088" operator="between" text="欠">
      <formula>NOT(ISERROR(SEARCH("欠",T787)))</formula>
    </cfRule>
  </conditionalFormatting>
  <conditionalFormatting sqref="U787">
    <cfRule type="cellIs" dxfId="0" priority="3080" operator="equal">
      <formula>"欠"</formula>
    </cfRule>
  </conditionalFormatting>
  <conditionalFormatting sqref="AD787:AE787">
    <cfRule type="cellIs" dxfId="0" priority="3081" operator="equal">
      <formula>"未完成"</formula>
    </cfRule>
  </conditionalFormatting>
  <conditionalFormatting sqref="AI787:AJ787">
    <cfRule type="cellIs" dxfId="1" priority="3082" operator="equal">
      <formula>"未完成"</formula>
    </cfRule>
    <cfRule type="cellIs" dxfId="0" priority="3083" operator="equal">
      <formula>"未完成"</formula>
    </cfRule>
  </conditionalFormatting>
  <conditionalFormatting sqref="R788">
    <cfRule type="containsText" dxfId="2" priority="3455" operator="between" text="欠">
      <formula>NOT(ISERROR(SEARCH("欠",R788)))</formula>
    </cfRule>
  </conditionalFormatting>
  <conditionalFormatting sqref="T788">
    <cfRule type="cellIs" dxfId="0" priority="3272" operator="equal">
      <formula>"欠"</formula>
    </cfRule>
  </conditionalFormatting>
  <conditionalFormatting sqref="AK788">
    <cfRule type="cellIs" dxfId="0" priority="3461" operator="equal">
      <formula>"欠"</formula>
    </cfRule>
  </conditionalFormatting>
  <conditionalFormatting sqref="R789">
    <cfRule type="containsText" dxfId="2" priority="3249" operator="between" text="欠">
      <formula>NOT(ISERROR(SEARCH("欠",R789)))</formula>
    </cfRule>
    <cfRule type="cellIs" dxfId="0" priority="3257" operator="equal">
      <formula>"欠"</formula>
    </cfRule>
  </conditionalFormatting>
  <conditionalFormatting sqref="T789">
    <cfRule type="containsText" dxfId="2" priority="3248" operator="between" text="欠">
      <formula>NOT(ISERROR(SEARCH("欠",T789)))</formula>
    </cfRule>
  </conditionalFormatting>
  <conditionalFormatting sqref="T800">
    <cfRule type="containsText" dxfId="2" priority="3268" operator="between" text="欠">
      <formula>NOT(ISERROR(SEARCH("欠",T800)))</formula>
    </cfRule>
    <cfRule type="cellIs" dxfId="0" priority="3271" operator="equal">
      <formula>"欠"</formula>
    </cfRule>
  </conditionalFormatting>
  <conditionalFormatting sqref="AF805">
    <cfRule type="cellIs" dxfId="0" priority="3001" operator="equal">
      <formula>"未完成"</formula>
    </cfRule>
  </conditionalFormatting>
  <conditionalFormatting sqref="S817">
    <cfRule type="cellIs" dxfId="0" priority="2750" operator="equal">
      <formula>"欠"</formula>
    </cfRule>
  </conditionalFormatting>
  <conditionalFormatting sqref="U818">
    <cfRule type="cellIs" dxfId="0" priority="2377" operator="equal">
      <formula>"欠"</formula>
    </cfRule>
  </conditionalFormatting>
  <conditionalFormatting sqref="AG818">
    <cfRule type="cellIs" dxfId="0" priority="2381" operator="equal">
      <formula>"未完成"</formula>
    </cfRule>
  </conditionalFormatting>
  <conditionalFormatting sqref="AI818:AJ818">
    <cfRule type="cellIs" dxfId="1" priority="2378" operator="equal">
      <formula>"未完成"</formula>
    </cfRule>
    <cfRule type="cellIs" dxfId="0" priority="2379" operator="equal">
      <formula>"未完成"</formula>
    </cfRule>
  </conditionalFormatting>
  <conditionalFormatting sqref="U819">
    <cfRule type="cellIs" dxfId="0" priority="2174" operator="equal">
      <formula>"欠"</formula>
    </cfRule>
  </conditionalFormatting>
  <conditionalFormatting sqref="AG819">
    <cfRule type="cellIs" dxfId="0" priority="2254" operator="equal">
      <formula>"未完成"</formula>
    </cfRule>
  </conditionalFormatting>
  <conditionalFormatting sqref="AI819:AJ819">
    <cfRule type="cellIs" dxfId="1" priority="2194" operator="equal">
      <formula>"未完成"</formula>
    </cfRule>
    <cfRule type="cellIs" dxfId="0" priority="2214" operator="equal">
      <formula>"未完成"</formula>
    </cfRule>
  </conditionalFormatting>
  <conditionalFormatting sqref="AK819">
    <cfRule type="cellIs" dxfId="0" priority="2334" operator="equal">
      <formula>"欠"</formula>
    </cfRule>
  </conditionalFormatting>
  <conditionalFormatting sqref="U820">
    <cfRule type="cellIs" dxfId="0" priority="2173" operator="equal">
      <formula>"欠"</formula>
    </cfRule>
  </conditionalFormatting>
  <conditionalFormatting sqref="AG820">
    <cfRule type="cellIs" dxfId="0" priority="2253" operator="equal">
      <formula>"未完成"</formula>
    </cfRule>
  </conditionalFormatting>
  <conditionalFormatting sqref="AI820:AJ820">
    <cfRule type="cellIs" dxfId="1" priority="2193" operator="equal">
      <formula>"未完成"</formula>
    </cfRule>
    <cfRule type="cellIs" dxfId="0" priority="2213" operator="equal">
      <formula>"未完成"</formula>
    </cfRule>
  </conditionalFormatting>
  <conditionalFormatting sqref="AK820">
    <cfRule type="cellIs" dxfId="0" priority="2333" operator="equal">
      <formula>"欠"</formula>
    </cfRule>
  </conditionalFormatting>
  <conditionalFormatting sqref="U821">
    <cfRule type="cellIs" dxfId="0" priority="2172" operator="equal">
      <formula>"欠"</formula>
    </cfRule>
  </conditionalFormatting>
  <conditionalFormatting sqref="AG821">
    <cfRule type="cellIs" dxfId="0" priority="2252" operator="equal">
      <formula>"未完成"</formula>
    </cfRule>
  </conditionalFormatting>
  <conditionalFormatting sqref="AI821:AJ821">
    <cfRule type="cellIs" dxfId="1" priority="2192" operator="equal">
      <formula>"未完成"</formula>
    </cfRule>
    <cfRule type="cellIs" dxfId="0" priority="2212" operator="equal">
      <formula>"未完成"</formula>
    </cfRule>
  </conditionalFormatting>
  <conditionalFormatting sqref="AK821">
    <cfRule type="cellIs" dxfId="0" priority="2332" operator="equal">
      <formula>"欠"</formula>
    </cfRule>
  </conditionalFormatting>
  <conditionalFormatting sqref="U822">
    <cfRule type="cellIs" dxfId="0" priority="2171" operator="equal">
      <formula>"欠"</formula>
    </cfRule>
  </conditionalFormatting>
  <conditionalFormatting sqref="AG822">
    <cfRule type="cellIs" dxfId="0" priority="2251" operator="equal">
      <formula>"未完成"</formula>
    </cfRule>
  </conditionalFormatting>
  <conditionalFormatting sqref="AI822:AJ822">
    <cfRule type="cellIs" dxfId="1" priority="2191" operator="equal">
      <formula>"未完成"</formula>
    </cfRule>
    <cfRule type="cellIs" dxfId="0" priority="2211" operator="equal">
      <formula>"未完成"</formula>
    </cfRule>
  </conditionalFormatting>
  <conditionalFormatting sqref="AK822">
    <cfRule type="cellIs" dxfId="0" priority="2331" operator="equal">
      <formula>"欠"</formula>
    </cfRule>
  </conditionalFormatting>
  <conditionalFormatting sqref="U823">
    <cfRule type="cellIs" dxfId="0" priority="2170" operator="equal">
      <formula>"欠"</formula>
    </cfRule>
  </conditionalFormatting>
  <conditionalFormatting sqref="AG823">
    <cfRule type="cellIs" dxfId="0" priority="2250" operator="equal">
      <formula>"未完成"</formula>
    </cfRule>
  </conditionalFormatting>
  <conditionalFormatting sqref="AI823:AJ823">
    <cfRule type="cellIs" dxfId="1" priority="2190" operator="equal">
      <formula>"未完成"</formula>
    </cfRule>
    <cfRule type="cellIs" dxfId="0" priority="2210" operator="equal">
      <formula>"未完成"</formula>
    </cfRule>
  </conditionalFormatting>
  <conditionalFormatting sqref="AK823">
    <cfRule type="cellIs" dxfId="0" priority="2330" operator="equal">
      <formula>"欠"</formula>
    </cfRule>
  </conditionalFormatting>
  <conditionalFormatting sqref="U824">
    <cfRule type="cellIs" dxfId="0" priority="2169" operator="equal">
      <formula>"欠"</formula>
    </cfRule>
  </conditionalFormatting>
  <conditionalFormatting sqref="AG824">
    <cfRule type="cellIs" dxfId="0" priority="2249" operator="equal">
      <formula>"未完成"</formula>
    </cfRule>
  </conditionalFormatting>
  <conditionalFormatting sqref="AI824:AJ824">
    <cfRule type="cellIs" dxfId="1" priority="2189" operator="equal">
      <formula>"未完成"</formula>
    </cfRule>
    <cfRule type="cellIs" dxfId="0" priority="2209" operator="equal">
      <formula>"未完成"</formula>
    </cfRule>
  </conditionalFormatting>
  <conditionalFormatting sqref="AK824">
    <cfRule type="cellIs" dxfId="0" priority="2329" operator="equal">
      <formula>"欠"</formula>
    </cfRule>
  </conditionalFormatting>
  <conditionalFormatting sqref="U825">
    <cfRule type="cellIs" dxfId="0" priority="2168" operator="equal">
      <formula>"欠"</formula>
    </cfRule>
  </conditionalFormatting>
  <conditionalFormatting sqref="AG825">
    <cfRule type="cellIs" dxfId="0" priority="2248" operator="equal">
      <formula>"未完成"</formula>
    </cfRule>
  </conditionalFormatting>
  <conditionalFormatting sqref="AI825:AJ825">
    <cfRule type="cellIs" dxfId="1" priority="2188" operator="equal">
      <formula>"未完成"</formula>
    </cfRule>
    <cfRule type="cellIs" dxfId="0" priority="2208" operator="equal">
      <formula>"未完成"</formula>
    </cfRule>
  </conditionalFormatting>
  <conditionalFormatting sqref="AK825">
    <cfRule type="cellIs" dxfId="0" priority="2328" operator="equal">
      <formula>"欠"</formula>
    </cfRule>
  </conditionalFormatting>
  <conditionalFormatting sqref="U826">
    <cfRule type="cellIs" dxfId="0" priority="2167" operator="equal">
      <formula>"欠"</formula>
    </cfRule>
  </conditionalFormatting>
  <conditionalFormatting sqref="AG826">
    <cfRule type="cellIs" dxfId="0" priority="2247" operator="equal">
      <formula>"未完成"</formula>
    </cfRule>
  </conditionalFormatting>
  <conditionalFormatting sqref="AI826:AJ826">
    <cfRule type="cellIs" dxfId="1" priority="2187" operator="equal">
      <formula>"未完成"</formula>
    </cfRule>
    <cfRule type="cellIs" dxfId="0" priority="2207" operator="equal">
      <formula>"未完成"</formula>
    </cfRule>
  </conditionalFormatting>
  <conditionalFormatting sqref="AK826">
    <cfRule type="cellIs" dxfId="0" priority="2327" operator="equal">
      <formula>"欠"</formula>
    </cfRule>
  </conditionalFormatting>
  <conditionalFormatting sqref="U827">
    <cfRule type="cellIs" dxfId="0" priority="2166" operator="equal">
      <formula>"欠"</formula>
    </cfRule>
  </conditionalFormatting>
  <conditionalFormatting sqref="AG827">
    <cfRule type="cellIs" dxfId="0" priority="2246" operator="equal">
      <formula>"未完成"</formula>
    </cfRule>
  </conditionalFormatting>
  <conditionalFormatting sqref="AI827:AJ827">
    <cfRule type="cellIs" dxfId="1" priority="2186" operator="equal">
      <formula>"未完成"</formula>
    </cfRule>
    <cfRule type="cellIs" dxfId="0" priority="2206" operator="equal">
      <formula>"未完成"</formula>
    </cfRule>
  </conditionalFormatting>
  <conditionalFormatting sqref="AK827">
    <cfRule type="cellIs" dxfId="0" priority="2326" operator="equal">
      <formula>"欠"</formula>
    </cfRule>
  </conditionalFormatting>
  <conditionalFormatting sqref="U828">
    <cfRule type="cellIs" dxfId="0" priority="2165" operator="equal">
      <formula>"欠"</formula>
    </cfRule>
  </conditionalFormatting>
  <conditionalFormatting sqref="AG828">
    <cfRule type="cellIs" dxfId="0" priority="2245" operator="equal">
      <formula>"未完成"</formula>
    </cfRule>
  </conditionalFormatting>
  <conditionalFormatting sqref="AI828:AJ828">
    <cfRule type="cellIs" dxfId="1" priority="2185" operator="equal">
      <formula>"未完成"</formula>
    </cfRule>
    <cfRule type="cellIs" dxfId="0" priority="2205" operator="equal">
      <formula>"未完成"</formula>
    </cfRule>
  </conditionalFormatting>
  <conditionalFormatting sqref="AK828">
    <cfRule type="cellIs" dxfId="0" priority="2325" operator="equal">
      <formula>"欠"</formula>
    </cfRule>
  </conditionalFormatting>
  <conditionalFormatting sqref="U829">
    <cfRule type="cellIs" dxfId="0" priority="2164" operator="equal">
      <formula>"欠"</formula>
    </cfRule>
  </conditionalFormatting>
  <conditionalFormatting sqref="AG829">
    <cfRule type="cellIs" dxfId="0" priority="2244" operator="equal">
      <formula>"未完成"</formula>
    </cfRule>
  </conditionalFormatting>
  <conditionalFormatting sqref="AI829:AJ829">
    <cfRule type="cellIs" dxfId="1" priority="2184" operator="equal">
      <formula>"未完成"</formula>
    </cfRule>
    <cfRule type="cellIs" dxfId="0" priority="2204" operator="equal">
      <formula>"未完成"</formula>
    </cfRule>
  </conditionalFormatting>
  <conditionalFormatting sqref="AK829">
    <cfRule type="cellIs" dxfId="0" priority="2324" operator="equal">
      <formula>"欠"</formula>
    </cfRule>
  </conditionalFormatting>
  <conditionalFormatting sqref="U830">
    <cfRule type="cellIs" dxfId="0" priority="2163" operator="equal">
      <formula>"欠"</formula>
    </cfRule>
  </conditionalFormatting>
  <conditionalFormatting sqref="AG830">
    <cfRule type="cellIs" dxfId="0" priority="2243" operator="equal">
      <formula>"未完成"</formula>
    </cfRule>
  </conditionalFormatting>
  <conditionalFormatting sqref="AI830:AJ830">
    <cfRule type="cellIs" dxfId="1" priority="2183" operator="equal">
      <formula>"未完成"</formula>
    </cfRule>
    <cfRule type="cellIs" dxfId="0" priority="2203" operator="equal">
      <formula>"未完成"</formula>
    </cfRule>
  </conditionalFormatting>
  <conditionalFormatting sqref="AK830">
    <cfRule type="cellIs" dxfId="0" priority="2323" operator="equal">
      <formula>"欠"</formula>
    </cfRule>
  </conditionalFormatting>
  <conditionalFormatting sqref="U831">
    <cfRule type="cellIs" dxfId="0" priority="2162" operator="equal">
      <formula>"欠"</formula>
    </cfRule>
  </conditionalFormatting>
  <conditionalFormatting sqref="AG831">
    <cfRule type="cellIs" dxfId="0" priority="2242" operator="equal">
      <formula>"未完成"</formula>
    </cfRule>
  </conditionalFormatting>
  <conditionalFormatting sqref="AI831:AJ831">
    <cfRule type="cellIs" dxfId="1" priority="2182" operator="equal">
      <formula>"未完成"</formula>
    </cfRule>
    <cfRule type="cellIs" dxfId="0" priority="2202" operator="equal">
      <formula>"未完成"</formula>
    </cfRule>
  </conditionalFormatting>
  <conditionalFormatting sqref="AK831">
    <cfRule type="cellIs" dxfId="0" priority="2322" operator="equal">
      <formula>"欠"</formula>
    </cfRule>
  </conditionalFormatting>
  <conditionalFormatting sqref="U832">
    <cfRule type="cellIs" dxfId="0" priority="2161" operator="equal">
      <formula>"欠"</formula>
    </cfRule>
  </conditionalFormatting>
  <conditionalFormatting sqref="AG832">
    <cfRule type="cellIs" dxfId="0" priority="2241" operator="equal">
      <formula>"未完成"</formula>
    </cfRule>
  </conditionalFormatting>
  <conditionalFormatting sqref="AI832:AJ832">
    <cfRule type="cellIs" dxfId="1" priority="2181" operator="equal">
      <formula>"未完成"</formula>
    </cfRule>
    <cfRule type="cellIs" dxfId="0" priority="2201" operator="equal">
      <formula>"未完成"</formula>
    </cfRule>
  </conditionalFormatting>
  <conditionalFormatting sqref="AK832">
    <cfRule type="cellIs" dxfId="0" priority="2321" operator="equal">
      <formula>"欠"</formula>
    </cfRule>
  </conditionalFormatting>
  <conditionalFormatting sqref="U833">
    <cfRule type="cellIs" dxfId="0" priority="2160" operator="equal">
      <formula>"欠"</formula>
    </cfRule>
  </conditionalFormatting>
  <conditionalFormatting sqref="AG833">
    <cfRule type="cellIs" dxfId="0" priority="2240" operator="equal">
      <formula>"未完成"</formula>
    </cfRule>
  </conditionalFormatting>
  <conditionalFormatting sqref="AI833:AJ833">
    <cfRule type="cellIs" dxfId="1" priority="2180" operator="equal">
      <formula>"未完成"</formula>
    </cfRule>
    <cfRule type="cellIs" dxfId="0" priority="2200" operator="equal">
      <formula>"未完成"</formula>
    </cfRule>
  </conditionalFormatting>
  <conditionalFormatting sqref="AK833">
    <cfRule type="cellIs" dxfId="0" priority="2320" operator="equal">
      <formula>"欠"</formula>
    </cfRule>
  </conditionalFormatting>
  <conditionalFormatting sqref="U834">
    <cfRule type="cellIs" dxfId="0" priority="2159" operator="equal">
      <formula>"欠"</formula>
    </cfRule>
  </conditionalFormatting>
  <conditionalFormatting sqref="AG834">
    <cfRule type="cellIs" dxfId="0" priority="2239" operator="equal">
      <formula>"未完成"</formula>
    </cfRule>
  </conditionalFormatting>
  <conditionalFormatting sqref="AI834:AJ834">
    <cfRule type="cellIs" dxfId="1" priority="2179" operator="equal">
      <formula>"未完成"</formula>
    </cfRule>
    <cfRule type="cellIs" dxfId="0" priority="2199" operator="equal">
      <formula>"未完成"</formula>
    </cfRule>
  </conditionalFormatting>
  <conditionalFormatting sqref="AK834">
    <cfRule type="cellIs" dxfId="0" priority="2319" operator="equal">
      <formula>"欠"</formula>
    </cfRule>
  </conditionalFormatting>
  <conditionalFormatting sqref="U835">
    <cfRule type="cellIs" dxfId="0" priority="2158" operator="equal">
      <formula>"欠"</formula>
    </cfRule>
  </conditionalFormatting>
  <conditionalFormatting sqref="AG835">
    <cfRule type="cellIs" dxfId="0" priority="2238" operator="equal">
      <formula>"未完成"</formula>
    </cfRule>
  </conditionalFormatting>
  <conditionalFormatting sqref="AI835:AJ835">
    <cfRule type="cellIs" dxfId="1" priority="2178" operator="equal">
      <formula>"未完成"</formula>
    </cfRule>
    <cfRule type="cellIs" dxfId="0" priority="2198" operator="equal">
      <formula>"未完成"</formula>
    </cfRule>
  </conditionalFormatting>
  <conditionalFormatting sqref="AK835">
    <cfRule type="cellIs" dxfId="0" priority="2318" operator="equal">
      <formula>"欠"</formula>
    </cfRule>
  </conditionalFormatting>
  <conditionalFormatting sqref="U836">
    <cfRule type="cellIs" dxfId="0" priority="2157" operator="equal">
      <formula>"欠"</formula>
    </cfRule>
  </conditionalFormatting>
  <conditionalFormatting sqref="AG836">
    <cfRule type="cellIs" dxfId="0" priority="2237" operator="equal">
      <formula>"未完成"</formula>
    </cfRule>
  </conditionalFormatting>
  <conditionalFormatting sqref="AI836:AJ836">
    <cfRule type="cellIs" dxfId="1" priority="2177" operator="equal">
      <formula>"未完成"</formula>
    </cfRule>
    <cfRule type="cellIs" dxfId="0" priority="2197" operator="equal">
      <formula>"未完成"</formula>
    </cfRule>
  </conditionalFormatting>
  <conditionalFormatting sqref="AK836">
    <cfRule type="cellIs" dxfId="0" priority="2317" operator="equal">
      <formula>"欠"</formula>
    </cfRule>
  </conditionalFormatting>
  <conditionalFormatting sqref="U837">
    <cfRule type="cellIs" dxfId="0" priority="2156" operator="equal">
      <formula>"欠"</formula>
    </cfRule>
  </conditionalFormatting>
  <conditionalFormatting sqref="AG837">
    <cfRule type="cellIs" dxfId="0" priority="2236" operator="equal">
      <formula>"未完成"</formula>
    </cfRule>
  </conditionalFormatting>
  <conditionalFormatting sqref="AI837:AJ837">
    <cfRule type="cellIs" dxfId="1" priority="2176" operator="equal">
      <formula>"未完成"</formula>
    </cfRule>
    <cfRule type="cellIs" dxfId="0" priority="2196" operator="equal">
      <formula>"未完成"</formula>
    </cfRule>
  </conditionalFormatting>
  <conditionalFormatting sqref="AK837">
    <cfRule type="cellIs" dxfId="0" priority="2316" operator="equal">
      <formula>"欠"</formula>
    </cfRule>
  </conditionalFormatting>
  <conditionalFormatting sqref="U838">
    <cfRule type="cellIs" dxfId="0" priority="2155" operator="equal">
      <formula>"欠"</formula>
    </cfRule>
  </conditionalFormatting>
  <conditionalFormatting sqref="AG838">
    <cfRule type="cellIs" dxfId="0" priority="2235" operator="equal">
      <formula>"未完成"</formula>
    </cfRule>
  </conditionalFormatting>
  <conditionalFormatting sqref="AI838:AJ838">
    <cfRule type="cellIs" dxfId="1" priority="2175" operator="equal">
      <formula>"未完成"</formula>
    </cfRule>
    <cfRule type="cellIs" dxfId="0" priority="2195" operator="equal">
      <formula>"未完成"</formula>
    </cfRule>
  </conditionalFormatting>
  <conditionalFormatting sqref="AK838">
    <cfRule type="cellIs" dxfId="0" priority="2315" operator="equal">
      <formula>"欠"</formula>
    </cfRule>
  </conditionalFormatting>
  <conditionalFormatting sqref="U845">
    <cfRule type="cellIs" dxfId="0" priority="3072" operator="equal">
      <formula>"欠"</formula>
    </cfRule>
  </conditionalFormatting>
  <conditionalFormatting sqref="AI845:AJ845">
    <cfRule type="cellIs" dxfId="1" priority="3023" operator="equal">
      <formula>"未完成"</formula>
    </cfRule>
    <cfRule type="cellIs" dxfId="0" priority="3030" operator="equal">
      <formula>"未完成"</formula>
    </cfRule>
  </conditionalFormatting>
  <conditionalFormatting sqref="U846">
    <cfRule type="cellIs" dxfId="0" priority="3071" operator="equal">
      <formula>"欠"</formula>
    </cfRule>
  </conditionalFormatting>
  <conditionalFormatting sqref="AI846:AJ846">
    <cfRule type="cellIs" dxfId="1" priority="3022" operator="equal">
      <formula>"未完成"</formula>
    </cfRule>
    <cfRule type="cellIs" dxfId="0" priority="3029" operator="equal">
      <formula>"未完成"</formula>
    </cfRule>
  </conditionalFormatting>
  <conditionalFormatting sqref="U847">
    <cfRule type="cellIs" dxfId="0" priority="3070" operator="equal">
      <formula>"欠"</formula>
    </cfRule>
  </conditionalFormatting>
  <conditionalFormatting sqref="AI847:AJ847">
    <cfRule type="cellIs" dxfId="1" priority="3021" operator="equal">
      <formula>"未完成"</formula>
    </cfRule>
    <cfRule type="cellIs" dxfId="0" priority="3028" operator="equal">
      <formula>"未完成"</formula>
    </cfRule>
  </conditionalFormatting>
  <conditionalFormatting sqref="U848">
    <cfRule type="cellIs" dxfId="0" priority="3069" operator="equal">
      <formula>"欠"</formula>
    </cfRule>
  </conditionalFormatting>
  <conditionalFormatting sqref="AI848:AJ848">
    <cfRule type="cellIs" dxfId="1" priority="3020" operator="equal">
      <formula>"未完成"</formula>
    </cfRule>
    <cfRule type="cellIs" dxfId="0" priority="3027" operator="equal">
      <formula>"未完成"</formula>
    </cfRule>
  </conditionalFormatting>
  <conditionalFormatting sqref="U849">
    <cfRule type="cellIs" dxfId="0" priority="3068" operator="equal">
      <formula>"欠"</formula>
    </cfRule>
  </conditionalFormatting>
  <conditionalFormatting sqref="AI849:AJ849">
    <cfRule type="cellIs" dxfId="1" priority="3019" operator="equal">
      <formula>"未完成"</formula>
    </cfRule>
    <cfRule type="cellIs" dxfId="0" priority="3026" operator="equal">
      <formula>"未完成"</formula>
    </cfRule>
  </conditionalFormatting>
  <conditionalFormatting sqref="U850">
    <cfRule type="cellIs" dxfId="0" priority="3067" operator="equal">
      <formula>"欠"</formula>
    </cfRule>
  </conditionalFormatting>
  <conditionalFormatting sqref="AI850:AJ850">
    <cfRule type="cellIs" dxfId="1" priority="3018" operator="equal">
      <formula>"未完成"</formula>
    </cfRule>
    <cfRule type="cellIs" dxfId="0" priority="3025" operator="equal">
      <formula>"未完成"</formula>
    </cfRule>
  </conditionalFormatting>
  <conditionalFormatting sqref="T853">
    <cfRule type="containsText" dxfId="2" priority="3136" operator="between" text="欠">
      <formula>NOT(ISERROR(SEARCH("欠",T853)))</formula>
    </cfRule>
  </conditionalFormatting>
  <conditionalFormatting sqref="S862">
    <cfRule type="cellIs" dxfId="0" priority="2878" operator="equal">
      <formula>"欠"</formula>
    </cfRule>
  </conditionalFormatting>
  <conditionalFormatting sqref="U863">
    <cfRule type="cellIs" dxfId="0" priority="3224" operator="equal">
      <formula>"欠"</formula>
    </cfRule>
  </conditionalFormatting>
  <conditionalFormatting sqref="AI863:AJ863">
    <cfRule type="cellIs" dxfId="1" priority="3226" operator="equal">
      <formula>"未完成"</formula>
    </cfRule>
    <cfRule type="cellIs" dxfId="0" priority="3227" operator="equal">
      <formula>"未完成"</formula>
    </cfRule>
  </conditionalFormatting>
  <conditionalFormatting sqref="AK863">
    <cfRule type="cellIs" dxfId="0" priority="3225" operator="equal">
      <formula>"欠"</formula>
    </cfRule>
  </conditionalFormatting>
  <conditionalFormatting sqref="S868">
    <cfRule type="cellIs" dxfId="0" priority="2748" operator="equal">
      <formula>"欠"</formula>
    </cfRule>
  </conditionalFormatting>
  <conditionalFormatting sqref="T868">
    <cfRule type="cellIs" dxfId="0" priority="2747" operator="equal">
      <formula>"欠"</formula>
    </cfRule>
  </conditionalFormatting>
  <conditionalFormatting sqref="S869">
    <cfRule type="cellIs" dxfId="0" priority="2746" operator="equal">
      <formula>"欠"</formula>
    </cfRule>
  </conditionalFormatting>
  <conditionalFormatting sqref="T869">
    <cfRule type="cellIs" dxfId="0" priority="2745" operator="equal">
      <formula>"欠"</formula>
    </cfRule>
  </conditionalFormatting>
  <conditionalFormatting sqref="R876">
    <cfRule type="containsText" dxfId="2" priority="2817" operator="between" text="欠">
      <formula>NOT(ISERROR(SEARCH("欠",R876)))</formula>
    </cfRule>
    <cfRule type="cellIs" dxfId="0" priority="2818" operator="equal">
      <formula>"欠"</formula>
    </cfRule>
  </conditionalFormatting>
  <conditionalFormatting sqref="T876">
    <cfRule type="containsText" dxfId="2" priority="2813" operator="between" text="欠">
      <formula>NOT(ISERROR(SEARCH("欠",T876)))</formula>
    </cfRule>
  </conditionalFormatting>
  <conditionalFormatting sqref="T876:U876">
    <cfRule type="cellIs" dxfId="0" priority="2814" operator="equal">
      <formula>"欠"</formula>
    </cfRule>
  </conditionalFormatting>
  <conditionalFormatting sqref="AI876:AJ876">
    <cfRule type="cellIs" dxfId="1" priority="2815" operator="equal">
      <formula>"未完成"</formula>
    </cfRule>
    <cfRule type="cellIs" dxfId="0" priority="2816" operator="equal">
      <formula>"未完成"</formula>
    </cfRule>
  </conditionalFormatting>
  <conditionalFormatting sqref="AK876">
    <cfRule type="cellIs" dxfId="0" priority="2821" operator="equal">
      <formula>"欠"</formula>
    </cfRule>
  </conditionalFormatting>
  <conditionalFormatting sqref="T882">
    <cfRule type="containsText" dxfId="2" priority="3157" operator="between" text="欠">
      <formula>NOT(ISERROR(SEARCH("欠",T882)))</formula>
    </cfRule>
  </conditionalFormatting>
  <conditionalFormatting sqref="T882:U882">
    <cfRule type="cellIs" dxfId="0" priority="3161" operator="equal">
      <formula>"欠"</formula>
    </cfRule>
  </conditionalFormatting>
  <conditionalFormatting sqref="AI882:AJ882">
    <cfRule type="cellIs" dxfId="1" priority="3162" operator="equal">
      <formula>"未完成"</formula>
    </cfRule>
    <cfRule type="cellIs" dxfId="0" priority="3163" operator="equal">
      <formula>"未完成"</formula>
    </cfRule>
  </conditionalFormatting>
  <conditionalFormatting sqref="AK882">
    <cfRule type="cellIs" dxfId="0" priority="3164" operator="equal">
      <formula>"欠"</formula>
    </cfRule>
  </conditionalFormatting>
  <conditionalFormatting sqref="S883:T883">
    <cfRule type="cellIs" dxfId="0" priority="2936" operator="equal">
      <formula>"欠"</formula>
    </cfRule>
  </conditionalFormatting>
  <conditionalFormatting sqref="T883">
    <cfRule type="containsText" dxfId="2" priority="2935" operator="between" text="欠">
      <formula>NOT(ISERROR(SEARCH("欠",T883)))</formula>
    </cfRule>
  </conditionalFormatting>
  <conditionalFormatting sqref="U883">
    <cfRule type="cellIs" dxfId="0" priority="2990" operator="equal">
      <formula>"欠"</formula>
    </cfRule>
  </conditionalFormatting>
  <conditionalFormatting sqref="AI883:AJ883">
    <cfRule type="cellIs" dxfId="1" priority="2983" operator="equal">
      <formula>"未完成"</formula>
    </cfRule>
    <cfRule type="cellIs" dxfId="0" priority="2984" operator="equal">
      <formula>"未完成"</formula>
    </cfRule>
  </conditionalFormatting>
  <conditionalFormatting sqref="R884">
    <cfRule type="containsText" dxfId="2" priority="2751" operator="between" text="欠">
      <formula>NOT(ISERROR(SEARCH("欠",R884)))</formula>
    </cfRule>
    <cfRule type="cellIs" dxfId="0" priority="2752" operator="equal">
      <formula>"欠"</formula>
    </cfRule>
  </conditionalFormatting>
  <conditionalFormatting sqref="R886">
    <cfRule type="containsText" dxfId="2" priority="2872" operator="between" text="欠">
      <formula>NOT(ISERROR(SEARCH("欠",R886)))</formula>
    </cfRule>
    <cfRule type="cellIs" dxfId="0" priority="2874" operator="equal">
      <formula>"欠"</formula>
    </cfRule>
  </conditionalFormatting>
  <conditionalFormatting sqref="T886">
    <cfRule type="cellIs" dxfId="0" priority="2908" operator="equal">
      <formula>"欠"</formula>
    </cfRule>
  </conditionalFormatting>
  <conditionalFormatting sqref="U886">
    <cfRule type="cellIs" dxfId="0" priority="2893" operator="equal">
      <formula>"欠"</formula>
    </cfRule>
  </conditionalFormatting>
  <conditionalFormatting sqref="AI886:AJ886">
    <cfRule type="cellIs" dxfId="1" priority="2894" operator="equal">
      <formula>"未完成"</formula>
    </cfRule>
    <cfRule type="cellIs" dxfId="0" priority="2895" operator="equal">
      <formula>"未完成"</formula>
    </cfRule>
  </conditionalFormatting>
  <conditionalFormatting sqref="AK886">
    <cfRule type="cellIs" dxfId="0" priority="2898" operator="equal">
      <formula>"欠"</formula>
    </cfRule>
  </conditionalFormatting>
  <conditionalFormatting sqref="R888">
    <cfRule type="containsText" dxfId="2" priority="3127" operator="between" text="欠">
      <formula>NOT(ISERROR(SEARCH("欠",R888)))</formula>
    </cfRule>
    <cfRule type="cellIs" dxfId="0" priority="3134" operator="equal">
      <formula>"欠"</formula>
    </cfRule>
  </conditionalFormatting>
  <conditionalFormatting sqref="T888">
    <cfRule type="containsText" dxfId="2" priority="3126" operator="between" text="欠">
      <formula>NOT(ISERROR(SEARCH("欠",T888)))</formula>
    </cfRule>
  </conditionalFormatting>
  <conditionalFormatting sqref="T888:U888">
    <cfRule type="cellIs" dxfId="0" priority="3130" operator="equal">
      <formula>"欠"</formula>
    </cfRule>
  </conditionalFormatting>
  <conditionalFormatting sqref="AI888:AJ888">
    <cfRule type="cellIs" dxfId="1" priority="3131" operator="equal">
      <formula>"未完成"</formula>
    </cfRule>
    <cfRule type="cellIs" dxfId="0" priority="3132" operator="equal">
      <formula>"未完成"</formula>
    </cfRule>
  </conditionalFormatting>
  <conditionalFormatting sqref="AK888">
    <cfRule type="cellIs" dxfId="0" priority="3133" operator="equal">
      <formula>"欠"</formula>
    </cfRule>
  </conditionalFormatting>
  <conditionalFormatting sqref="U889">
    <cfRule type="cellIs" dxfId="0" priority="2973" operator="equal">
      <formula>"欠"</formula>
    </cfRule>
  </conditionalFormatting>
  <conditionalFormatting sqref="AK897">
    <cfRule type="cellIs" dxfId="0" priority="2866" operator="equal">
      <formula>"欠"</formula>
    </cfRule>
  </conditionalFormatting>
  <conditionalFormatting sqref="R898">
    <cfRule type="containsText" dxfId="2" priority="3259" operator="between" text="欠">
      <formula>NOT(ISERROR(SEARCH("欠",R898)))</formula>
    </cfRule>
    <cfRule type="cellIs" dxfId="0" priority="3266" operator="equal">
      <formula>"欠"</formula>
    </cfRule>
  </conditionalFormatting>
  <conditionalFormatting sqref="AK898">
    <cfRule type="cellIs" dxfId="0" priority="3265" operator="equal">
      <formula>"欠"</formula>
    </cfRule>
  </conditionalFormatting>
  <conditionalFormatting sqref="S901">
    <cfRule type="cellIs" dxfId="0" priority="2925" operator="equal">
      <formula>"欠"</formula>
    </cfRule>
  </conditionalFormatting>
  <conditionalFormatting sqref="T901">
    <cfRule type="cellIs" dxfId="0" priority="2917" operator="equal">
      <formula>"欠"</formula>
    </cfRule>
  </conditionalFormatting>
  <conditionalFormatting sqref="S907">
    <cfRule type="cellIs" dxfId="0" priority="2865" operator="equal">
      <formula>"欠"</formula>
    </cfRule>
  </conditionalFormatting>
  <conditionalFormatting sqref="S912">
    <cfRule type="cellIs" dxfId="0" priority="3008" operator="equal">
      <formula>"欠"</formula>
    </cfRule>
  </conditionalFormatting>
  <conditionalFormatting sqref="T912">
    <cfRule type="containsText" dxfId="2" priority="3105" operator="between" text="欠">
      <formula>NOT(ISERROR(SEARCH("欠",T912)))</formula>
    </cfRule>
    <cfRule type="cellIs" dxfId="0" priority="3109" operator="equal">
      <formula>"欠"</formula>
    </cfRule>
  </conditionalFormatting>
  <conditionalFormatting sqref="U912">
    <cfRule type="cellIs" dxfId="0" priority="3100" operator="equal">
      <formula>"欠"</formula>
    </cfRule>
  </conditionalFormatting>
  <conditionalFormatting sqref="AD912:AE912">
    <cfRule type="cellIs" dxfId="0" priority="3101" operator="equal">
      <formula>"未完成"</formula>
    </cfRule>
  </conditionalFormatting>
  <conditionalFormatting sqref="AI912:AJ912">
    <cfRule type="cellIs" dxfId="1" priority="3102" operator="equal">
      <formula>"未完成"</formula>
    </cfRule>
    <cfRule type="cellIs" dxfId="0" priority="3103" operator="equal">
      <formula>"未完成"</formula>
    </cfRule>
  </conditionalFormatting>
  <conditionalFormatting sqref="U917">
    <cfRule type="cellIs" dxfId="0" priority="2626" operator="equal">
      <formula>"欠"</formula>
    </cfRule>
  </conditionalFormatting>
  <conditionalFormatting sqref="AI917:AJ917">
    <cfRule type="cellIs" dxfId="1" priority="2628" operator="equal">
      <formula>"未完成"</formula>
    </cfRule>
    <cfRule type="cellIs" dxfId="0" priority="2630" operator="equal">
      <formula>"未完成"</formula>
    </cfRule>
  </conditionalFormatting>
  <conditionalFormatting sqref="R919">
    <cfRule type="containsText" dxfId="2" priority="2615" operator="between" text="欠">
      <formula>NOT(ISERROR(SEARCH("欠",R919)))</formula>
    </cfRule>
    <cfRule type="cellIs" dxfId="0" priority="2619" operator="equal">
      <formula>"欠"</formula>
    </cfRule>
  </conditionalFormatting>
  <conditionalFormatting sqref="T919">
    <cfRule type="cellIs" dxfId="0" priority="2428" operator="equal">
      <formula>"欠"</formula>
    </cfRule>
  </conditionalFormatting>
  <conditionalFormatting sqref="U929">
    <cfRule type="cellIs" dxfId="0" priority="2929" operator="equal">
      <formula>"欠"</formula>
    </cfRule>
  </conditionalFormatting>
  <conditionalFormatting sqref="AI929:AJ929">
    <cfRule type="cellIs" dxfId="1" priority="2930" operator="equal">
      <formula>"未完成"</formula>
    </cfRule>
    <cfRule type="cellIs" dxfId="0" priority="2931" operator="equal">
      <formula>"未完成"</formula>
    </cfRule>
  </conditionalFormatting>
  <conditionalFormatting sqref="AK929">
    <cfRule type="cellIs" dxfId="0" priority="2933" operator="equal">
      <formula>"欠"</formula>
    </cfRule>
  </conditionalFormatting>
  <conditionalFormatting sqref="T941">
    <cfRule type="containsText" dxfId="2" priority="2742" operator="between" text="欠">
      <formula>NOT(ISERROR(SEARCH("欠",T941)))</formula>
    </cfRule>
    <cfRule type="cellIs" dxfId="0" priority="2743" operator="equal">
      <formula>"欠"</formula>
    </cfRule>
  </conditionalFormatting>
  <conditionalFormatting sqref="T942">
    <cfRule type="containsText" dxfId="2" priority="2786" operator="between" text="欠">
      <formula>NOT(ISERROR(SEARCH("欠",T942)))</formula>
    </cfRule>
    <cfRule type="cellIs" dxfId="0" priority="2787" operator="equal">
      <formula>"欠"</formula>
    </cfRule>
  </conditionalFormatting>
  <conditionalFormatting sqref="U942">
    <cfRule type="cellIs" dxfId="0" priority="2789" operator="equal">
      <formula>"欠"</formula>
    </cfRule>
  </conditionalFormatting>
  <conditionalFormatting sqref="AI942:AJ942">
    <cfRule type="cellIs" dxfId="1" priority="2790" operator="equal">
      <formula>"未完成"</formula>
    </cfRule>
    <cfRule type="cellIs" dxfId="0" priority="2791" operator="equal">
      <formula>"未完成"</formula>
    </cfRule>
  </conditionalFormatting>
  <conditionalFormatting sqref="U943">
    <cfRule type="cellIs" dxfId="0" priority="2775" operator="equal">
      <formula>"欠"</formula>
    </cfRule>
  </conditionalFormatting>
  <conditionalFormatting sqref="AI943:AJ943">
    <cfRule type="cellIs" dxfId="1" priority="2777" operator="equal">
      <formula>"未完成"</formula>
    </cfRule>
    <cfRule type="cellIs" dxfId="0" priority="2779" operator="equal">
      <formula>"未完成"</formula>
    </cfRule>
  </conditionalFormatting>
  <conditionalFormatting sqref="R948">
    <cfRule type="cellIs" dxfId="0" priority="1040" operator="equal">
      <formula>"欠"</formula>
    </cfRule>
    <cfRule type="containsText" dxfId="2" priority="969" operator="between" text="欠">
      <formula>NOT(ISERROR(SEARCH("欠",R948)))</formula>
    </cfRule>
  </conditionalFormatting>
  <conditionalFormatting sqref="S948">
    <cfRule type="cellIs" dxfId="0" priority="1324" operator="equal">
      <formula>"欠"</formula>
    </cfRule>
  </conditionalFormatting>
  <conditionalFormatting sqref="T948">
    <cfRule type="cellIs" dxfId="0" priority="1395" operator="equal">
      <formula>"欠"</formula>
    </cfRule>
  </conditionalFormatting>
  <conditionalFormatting sqref="U948">
    <cfRule type="cellIs" dxfId="0" priority="1111" operator="equal">
      <formula>"欠"</formula>
    </cfRule>
  </conditionalFormatting>
  <conditionalFormatting sqref="AG948">
    <cfRule type="cellIs" dxfId="0" priority="1466" operator="equal">
      <formula>"未完成"</formula>
    </cfRule>
  </conditionalFormatting>
  <conditionalFormatting sqref="AI948:AJ948">
    <cfRule type="cellIs" dxfId="0" priority="1253" operator="equal">
      <formula>"未完成"</formula>
    </cfRule>
    <cfRule type="cellIs" dxfId="1" priority="1182" operator="equal">
      <formula>"未完成"</formula>
    </cfRule>
  </conditionalFormatting>
  <conditionalFormatting sqref="AK948">
    <cfRule type="cellIs" dxfId="0" priority="1537" operator="equal">
      <formula>"欠"</formula>
    </cfRule>
  </conditionalFormatting>
  <conditionalFormatting sqref="R949">
    <cfRule type="cellIs" dxfId="0" priority="730" operator="equal">
      <formula>"欠"</formula>
    </cfRule>
    <cfRule type="containsText" dxfId="2" priority="725" operator="between" text="欠">
      <formula>NOT(ISERROR(SEARCH("欠",R949)))</formula>
    </cfRule>
  </conditionalFormatting>
  <conditionalFormatting sqref="S949">
    <cfRule type="cellIs" dxfId="0" priority="723" operator="equal">
      <formula>"欠"</formula>
    </cfRule>
  </conditionalFormatting>
  <conditionalFormatting sqref="T949:U949">
    <cfRule type="cellIs" dxfId="0" priority="726" operator="equal">
      <formula>"欠"</formula>
    </cfRule>
  </conditionalFormatting>
  <conditionalFormatting sqref="T949">
    <cfRule type="containsText" dxfId="2" priority="724" operator="between" text="欠">
      <formula>NOT(ISERROR(SEARCH("欠",T949)))</formula>
    </cfRule>
  </conditionalFormatting>
  <conditionalFormatting sqref="AD949:AE949">
    <cfRule type="cellIs" dxfId="0" priority="727" operator="equal">
      <formula>"未完成"</formula>
    </cfRule>
  </conditionalFormatting>
  <conditionalFormatting sqref="AG949">
    <cfRule type="cellIs" dxfId="0" priority="731" operator="equal">
      <formula>"未完成"</formula>
    </cfRule>
  </conditionalFormatting>
  <conditionalFormatting sqref="AI949:AJ949">
    <cfRule type="cellIs" dxfId="0" priority="729" operator="equal">
      <formula>"未完成"</formula>
    </cfRule>
    <cfRule type="cellIs" dxfId="1" priority="728" operator="equal">
      <formula>"未完成"</formula>
    </cfRule>
  </conditionalFormatting>
  <conditionalFormatting sqref="R950">
    <cfRule type="cellIs" dxfId="0" priority="1038" operator="equal">
      <formula>"欠"</formula>
    </cfRule>
    <cfRule type="containsText" dxfId="2" priority="967" operator="between" text="欠">
      <formula>NOT(ISERROR(SEARCH("欠",R950)))</formula>
    </cfRule>
  </conditionalFormatting>
  <conditionalFormatting sqref="S950">
    <cfRule type="cellIs" dxfId="0" priority="1322" operator="equal">
      <formula>"欠"</formula>
    </cfRule>
  </conditionalFormatting>
  <conditionalFormatting sqref="T950">
    <cfRule type="cellIs" dxfId="0" priority="1393" operator="equal">
      <formula>"欠"</formula>
    </cfRule>
  </conditionalFormatting>
  <conditionalFormatting sqref="U950">
    <cfRule type="cellIs" dxfId="0" priority="1109" operator="equal">
      <formula>"欠"</formula>
    </cfRule>
  </conditionalFormatting>
  <conditionalFormatting sqref="AG950">
    <cfRule type="cellIs" dxfId="0" priority="1464" operator="equal">
      <formula>"未完成"</formula>
    </cfRule>
  </conditionalFormatting>
  <conditionalFormatting sqref="AI950:AJ950">
    <cfRule type="cellIs" dxfId="0" priority="1251" operator="equal">
      <formula>"未完成"</formula>
    </cfRule>
    <cfRule type="cellIs" dxfId="1" priority="1180" operator="equal">
      <formula>"未完成"</formula>
    </cfRule>
  </conditionalFormatting>
  <conditionalFormatting sqref="AK950">
    <cfRule type="cellIs" dxfId="0" priority="1535" operator="equal">
      <formula>"欠"</formula>
    </cfRule>
  </conditionalFormatting>
  <conditionalFormatting sqref="R951">
    <cfRule type="cellIs" dxfId="0" priority="1037" operator="equal">
      <formula>"欠"</formula>
    </cfRule>
    <cfRule type="containsText" dxfId="2" priority="966" operator="between" text="欠">
      <formula>NOT(ISERROR(SEARCH("欠",R951)))</formula>
    </cfRule>
  </conditionalFormatting>
  <conditionalFormatting sqref="S951">
    <cfRule type="cellIs" dxfId="0" priority="1321" operator="equal">
      <formula>"欠"</formula>
    </cfRule>
  </conditionalFormatting>
  <conditionalFormatting sqref="T951">
    <cfRule type="cellIs" dxfId="0" priority="1392" operator="equal">
      <formula>"欠"</formula>
    </cfRule>
  </conditionalFormatting>
  <conditionalFormatting sqref="U951">
    <cfRule type="cellIs" dxfId="0" priority="1108" operator="equal">
      <formula>"欠"</formula>
    </cfRule>
  </conditionalFormatting>
  <conditionalFormatting sqref="AG951">
    <cfRule type="cellIs" dxfId="0" priority="1463" operator="equal">
      <formula>"未完成"</formula>
    </cfRule>
  </conditionalFormatting>
  <conditionalFormatting sqref="AI951:AJ951">
    <cfRule type="cellIs" dxfId="0" priority="1250" operator="equal">
      <formula>"未完成"</formula>
    </cfRule>
    <cfRule type="cellIs" dxfId="1" priority="1179" operator="equal">
      <formula>"未完成"</formula>
    </cfRule>
  </conditionalFormatting>
  <conditionalFormatting sqref="AK951">
    <cfRule type="cellIs" dxfId="0" priority="1534" operator="equal">
      <formula>"欠"</formula>
    </cfRule>
  </conditionalFormatting>
  <conditionalFormatting sqref="R952">
    <cfRule type="cellIs" dxfId="0" priority="1036" operator="equal">
      <formula>"欠"</formula>
    </cfRule>
    <cfRule type="containsText" dxfId="2" priority="965" operator="between" text="欠">
      <formula>NOT(ISERROR(SEARCH("欠",R952)))</formula>
    </cfRule>
  </conditionalFormatting>
  <conditionalFormatting sqref="S952">
    <cfRule type="cellIs" dxfId="0" priority="1320" operator="equal">
      <formula>"欠"</formula>
    </cfRule>
  </conditionalFormatting>
  <conditionalFormatting sqref="T952">
    <cfRule type="cellIs" dxfId="0" priority="1391" operator="equal">
      <formula>"欠"</formula>
    </cfRule>
  </conditionalFormatting>
  <conditionalFormatting sqref="U952">
    <cfRule type="cellIs" dxfId="0" priority="1107" operator="equal">
      <formula>"欠"</formula>
    </cfRule>
  </conditionalFormatting>
  <conditionalFormatting sqref="AG952">
    <cfRule type="cellIs" dxfId="0" priority="1462" operator="equal">
      <formula>"未完成"</formula>
    </cfRule>
  </conditionalFormatting>
  <conditionalFormatting sqref="AI952:AJ952">
    <cfRule type="cellIs" dxfId="0" priority="1249" operator="equal">
      <formula>"未完成"</formula>
    </cfRule>
    <cfRule type="cellIs" dxfId="1" priority="1178" operator="equal">
      <formula>"未完成"</formula>
    </cfRule>
  </conditionalFormatting>
  <conditionalFormatting sqref="AK952">
    <cfRule type="cellIs" dxfId="0" priority="1533" operator="equal">
      <formula>"欠"</formula>
    </cfRule>
  </conditionalFormatting>
  <conditionalFormatting sqref="R953">
    <cfRule type="cellIs" dxfId="0" priority="1035" operator="equal">
      <formula>"欠"</formula>
    </cfRule>
    <cfRule type="containsText" dxfId="2" priority="964" operator="between" text="欠">
      <formula>NOT(ISERROR(SEARCH("欠",R953)))</formula>
    </cfRule>
  </conditionalFormatting>
  <conditionalFormatting sqref="S953">
    <cfRule type="cellIs" dxfId="0" priority="1319" operator="equal">
      <formula>"欠"</formula>
    </cfRule>
  </conditionalFormatting>
  <conditionalFormatting sqref="T953">
    <cfRule type="cellIs" dxfId="0" priority="1390" operator="equal">
      <formula>"欠"</formula>
    </cfRule>
  </conditionalFormatting>
  <conditionalFormatting sqref="U953">
    <cfRule type="cellIs" dxfId="0" priority="1106" operator="equal">
      <formula>"欠"</formula>
    </cfRule>
  </conditionalFormatting>
  <conditionalFormatting sqref="AG953">
    <cfRule type="cellIs" dxfId="0" priority="1461" operator="equal">
      <formula>"未完成"</formula>
    </cfRule>
  </conditionalFormatting>
  <conditionalFormatting sqref="AI953:AJ953">
    <cfRule type="cellIs" dxfId="0" priority="1248" operator="equal">
      <formula>"未完成"</formula>
    </cfRule>
    <cfRule type="cellIs" dxfId="1" priority="1177" operator="equal">
      <formula>"未完成"</formula>
    </cfRule>
  </conditionalFormatting>
  <conditionalFormatting sqref="AK953">
    <cfRule type="cellIs" dxfId="0" priority="1532" operator="equal">
      <formula>"欠"</formula>
    </cfRule>
  </conditionalFormatting>
  <conditionalFormatting sqref="R954">
    <cfRule type="cellIs" dxfId="0" priority="1034" operator="equal">
      <formula>"欠"</formula>
    </cfRule>
    <cfRule type="containsText" dxfId="2" priority="963" operator="between" text="欠">
      <formula>NOT(ISERROR(SEARCH("欠",R954)))</formula>
    </cfRule>
  </conditionalFormatting>
  <conditionalFormatting sqref="S954">
    <cfRule type="cellIs" dxfId="0" priority="1318" operator="equal">
      <formula>"欠"</formula>
    </cfRule>
  </conditionalFormatting>
  <conditionalFormatting sqref="T954">
    <cfRule type="cellIs" dxfId="0" priority="1389" operator="equal">
      <formula>"欠"</formula>
    </cfRule>
  </conditionalFormatting>
  <conditionalFormatting sqref="U954">
    <cfRule type="cellIs" dxfId="0" priority="1105" operator="equal">
      <formula>"欠"</formula>
    </cfRule>
  </conditionalFormatting>
  <conditionalFormatting sqref="AG954">
    <cfRule type="cellIs" dxfId="0" priority="1460" operator="equal">
      <formula>"未完成"</formula>
    </cfRule>
  </conditionalFormatting>
  <conditionalFormatting sqref="AI954:AJ954">
    <cfRule type="cellIs" dxfId="0" priority="1247" operator="equal">
      <formula>"未完成"</formula>
    </cfRule>
    <cfRule type="cellIs" dxfId="1" priority="1176" operator="equal">
      <formula>"未完成"</formula>
    </cfRule>
  </conditionalFormatting>
  <conditionalFormatting sqref="AK954">
    <cfRule type="cellIs" dxfId="0" priority="1531" operator="equal">
      <formula>"欠"</formula>
    </cfRule>
  </conditionalFormatting>
  <conditionalFormatting sqref="R955">
    <cfRule type="cellIs" dxfId="0" priority="1033" operator="equal">
      <formula>"欠"</formula>
    </cfRule>
    <cfRule type="containsText" dxfId="2" priority="962" operator="between" text="欠">
      <formula>NOT(ISERROR(SEARCH("欠",R955)))</formula>
    </cfRule>
  </conditionalFormatting>
  <conditionalFormatting sqref="S955">
    <cfRule type="cellIs" dxfId="0" priority="1317" operator="equal">
      <formula>"欠"</formula>
    </cfRule>
  </conditionalFormatting>
  <conditionalFormatting sqref="T955">
    <cfRule type="cellIs" dxfId="0" priority="1388" operator="equal">
      <formula>"欠"</formula>
    </cfRule>
  </conditionalFormatting>
  <conditionalFormatting sqref="U955">
    <cfRule type="cellIs" dxfId="0" priority="1104" operator="equal">
      <formula>"欠"</formula>
    </cfRule>
  </conditionalFormatting>
  <conditionalFormatting sqref="AG955">
    <cfRule type="cellIs" dxfId="0" priority="1459" operator="equal">
      <formula>"未完成"</formula>
    </cfRule>
  </conditionalFormatting>
  <conditionalFormatting sqref="AI955:AJ955">
    <cfRule type="cellIs" dxfId="0" priority="1246" operator="equal">
      <formula>"未完成"</formula>
    </cfRule>
    <cfRule type="cellIs" dxfId="1" priority="1175" operator="equal">
      <formula>"未完成"</formula>
    </cfRule>
  </conditionalFormatting>
  <conditionalFormatting sqref="AK955">
    <cfRule type="cellIs" dxfId="0" priority="1530" operator="equal">
      <formula>"欠"</formula>
    </cfRule>
  </conditionalFormatting>
  <conditionalFormatting sqref="R956">
    <cfRule type="cellIs" dxfId="0" priority="1032" operator="equal">
      <formula>"欠"</formula>
    </cfRule>
    <cfRule type="containsText" dxfId="2" priority="961" operator="between" text="欠">
      <formula>NOT(ISERROR(SEARCH("欠",R956)))</formula>
    </cfRule>
  </conditionalFormatting>
  <conditionalFormatting sqref="S956">
    <cfRule type="cellIs" dxfId="0" priority="1316" operator="equal">
      <formula>"欠"</formula>
    </cfRule>
  </conditionalFormatting>
  <conditionalFormatting sqref="T956">
    <cfRule type="cellIs" dxfId="0" priority="1387" operator="equal">
      <formula>"欠"</formula>
    </cfRule>
  </conditionalFormatting>
  <conditionalFormatting sqref="U956">
    <cfRule type="cellIs" dxfId="0" priority="1103" operator="equal">
      <formula>"欠"</formula>
    </cfRule>
  </conditionalFormatting>
  <conditionalFormatting sqref="AG956">
    <cfRule type="cellIs" dxfId="0" priority="1458" operator="equal">
      <formula>"未完成"</formula>
    </cfRule>
  </conditionalFormatting>
  <conditionalFormatting sqref="AI956:AJ956">
    <cfRule type="cellIs" dxfId="0" priority="1245" operator="equal">
      <formula>"未完成"</formula>
    </cfRule>
    <cfRule type="cellIs" dxfId="1" priority="1174" operator="equal">
      <formula>"未完成"</formula>
    </cfRule>
  </conditionalFormatting>
  <conditionalFormatting sqref="AK956">
    <cfRule type="cellIs" dxfId="0" priority="1529" operator="equal">
      <formula>"欠"</formula>
    </cfRule>
  </conditionalFormatting>
  <conditionalFormatting sqref="R957">
    <cfRule type="cellIs" dxfId="0" priority="1031" operator="equal">
      <formula>"欠"</formula>
    </cfRule>
    <cfRule type="containsText" dxfId="2" priority="960" operator="between" text="欠">
      <formula>NOT(ISERROR(SEARCH("欠",R957)))</formula>
    </cfRule>
  </conditionalFormatting>
  <conditionalFormatting sqref="S957">
    <cfRule type="cellIs" dxfId="0" priority="1315" operator="equal">
      <formula>"欠"</formula>
    </cfRule>
  </conditionalFormatting>
  <conditionalFormatting sqref="T957">
    <cfRule type="cellIs" dxfId="0" priority="1386" operator="equal">
      <formula>"欠"</formula>
    </cfRule>
  </conditionalFormatting>
  <conditionalFormatting sqref="U957">
    <cfRule type="cellIs" dxfId="0" priority="1102" operator="equal">
      <formula>"欠"</formula>
    </cfRule>
  </conditionalFormatting>
  <conditionalFormatting sqref="AG957">
    <cfRule type="cellIs" dxfId="0" priority="1457" operator="equal">
      <formula>"未完成"</formula>
    </cfRule>
  </conditionalFormatting>
  <conditionalFormatting sqref="AI957:AJ957">
    <cfRule type="cellIs" dxfId="0" priority="1244" operator="equal">
      <formula>"未完成"</formula>
    </cfRule>
    <cfRule type="cellIs" dxfId="1" priority="1173" operator="equal">
      <formula>"未完成"</formula>
    </cfRule>
  </conditionalFormatting>
  <conditionalFormatting sqref="AK957">
    <cfRule type="cellIs" dxfId="0" priority="1528" operator="equal">
      <formula>"欠"</formula>
    </cfRule>
  </conditionalFormatting>
  <conditionalFormatting sqref="R958">
    <cfRule type="cellIs" dxfId="0" priority="1030" operator="equal">
      <formula>"欠"</formula>
    </cfRule>
    <cfRule type="containsText" dxfId="2" priority="959" operator="between" text="欠">
      <formula>NOT(ISERROR(SEARCH("欠",R958)))</formula>
    </cfRule>
  </conditionalFormatting>
  <conditionalFormatting sqref="S958">
    <cfRule type="cellIs" dxfId="0" priority="1314" operator="equal">
      <formula>"欠"</formula>
    </cfRule>
  </conditionalFormatting>
  <conditionalFormatting sqref="T958">
    <cfRule type="cellIs" dxfId="0" priority="1385" operator="equal">
      <formula>"欠"</formula>
    </cfRule>
  </conditionalFormatting>
  <conditionalFormatting sqref="U958">
    <cfRule type="cellIs" dxfId="0" priority="1101" operator="equal">
      <formula>"欠"</formula>
    </cfRule>
  </conditionalFormatting>
  <conditionalFormatting sqref="AG958">
    <cfRule type="cellIs" dxfId="0" priority="1456" operator="equal">
      <formula>"未完成"</formula>
    </cfRule>
  </conditionalFormatting>
  <conditionalFormatting sqref="AI958:AJ958">
    <cfRule type="cellIs" dxfId="0" priority="1243" operator="equal">
      <formula>"未完成"</formula>
    </cfRule>
    <cfRule type="cellIs" dxfId="1" priority="1172" operator="equal">
      <formula>"未完成"</formula>
    </cfRule>
  </conditionalFormatting>
  <conditionalFormatting sqref="AK958">
    <cfRule type="cellIs" dxfId="0" priority="1527" operator="equal">
      <formula>"欠"</formula>
    </cfRule>
  </conditionalFormatting>
  <conditionalFormatting sqref="R959">
    <cfRule type="cellIs" dxfId="0" priority="1029" operator="equal">
      <formula>"欠"</formula>
    </cfRule>
    <cfRule type="containsText" dxfId="2" priority="958" operator="between" text="欠">
      <formula>NOT(ISERROR(SEARCH("欠",R959)))</formula>
    </cfRule>
  </conditionalFormatting>
  <conditionalFormatting sqref="S959">
    <cfRule type="cellIs" dxfId="0" priority="1313" operator="equal">
      <formula>"欠"</formula>
    </cfRule>
  </conditionalFormatting>
  <conditionalFormatting sqref="T959">
    <cfRule type="cellIs" dxfId="0" priority="1384" operator="equal">
      <formula>"欠"</formula>
    </cfRule>
  </conditionalFormatting>
  <conditionalFormatting sqref="U959">
    <cfRule type="cellIs" dxfId="0" priority="1100" operator="equal">
      <formula>"欠"</formula>
    </cfRule>
  </conditionalFormatting>
  <conditionalFormatting sqref="AG959">
    <cfRule type="cellIs" dxfId="0" priority="1455" operator="equal">
      <formula>"未完成"</formula>
    </cfRule>
  </conditionalFormatting>
  <conditionalFormatting sqref="AI959:AJ959">
    <cfRule type="cellIs" dxfId="0" priority="1242" operator="equal">
      <formula>"未完成"</formula>
    </cfRule>
    <cfRule type="cellIs" dxfId="1" priority="1171" operator="equal">
      <formula>"未完成"</formula>
    </cfRule>
  </conditionalFormatting>
  <conditionalFormatting sqref="AK959">
    <cfRule type="cellIs" dxfId="0" priority="1526" operator="equal">
      <formula>"欠"</formula>
    </cfRule>
  </conditionalFormatting>
  <conditionalFormatting sqref="R960">
    <cfRule type="cellIs" dxfId="0" priority="1028" operator="equal">
      <formula>"欠"</formula>
    </cfRule>
    <cfRule type="containsText" dxfId="2" priority="957" operator="between" text="欠">
      <formula>NOT(ISERROR(SEARCH("欠",R960)))</formula>
    </cfRule>
  </conditionalFormatting>
  <conditionalFormatting sqref="S960">
    <cfRule type="cellIs" dxfId="0" priority="1312" operator="equal">
      <formula>"欠"</formula>
    </cfRule>
  </conditionalFormatting>
  <conditionalFormatting sqref="T960">
    <cfRule type="cellIs" dxfId="0" priority="1383" operator="equal">
      <formula>"欠"</formula>
    </cfRule>
  </conditionalFormatting>
  <conditionalFormatting sqref="U960">
    <cfRule type="cellIs" dxfId="0" priority="1099" operator="equal">
      <formula>"欠"</formula>
    </cfRule>
  </conditionalFormatting>
  <conditionalFormatting sqref="AG960">
    <cfRule type="cellIs" dxfId="0" priority="1454" operator="equal">
      <formula>"未完成"</formula>
    </cfRule>
  </conditionalFormatting>
  <conditionalFormatting sqref="AI960:AJ960">
    <cfRule type="cellIs" dxfId="0" priority="1241" operator="equal">
      <formula>"未完成"</formula>
    </cfRule>
    <cfRule type="cellIs" dxfId="1" priority="1170" operator="equal">
      <formula>"未完成"</formula>
    </cfRule>
  </conditionalFormatting>
  <conditionalFormatting sqref="AK960">
    <cfRule type="cellIs" dxfId="0" priority="1525" operator="equal">
      <formula>"欠"</formula>
    </cfRule>
  </conditionalFormatting>
  <conditionalFormatting sqref="R961">
    <cfRule type="cellIs" dxfId="0" priority="1027" operator="equal">
      <formula>"欠"</formula>
    </cfRule>
    <cfRule type="containsText" dxfId="2" priority="956" operator="between" text="欠">
      <formula>NOT(ISERROR(SEARCH("欠",R961)))</formula>
    </cfRule>
  </conditionalFormatting>
  <conditionalFormatting sqref="S961">
    <cfRule type="cellIs" dxfId="0" priority="1311" operator="equal">
      <formula>"欠"</formula>
    </cfRule>
  </conditionalFormatting>
  <conditionalFormatting sqref="T961">
    <cfRule type="cellIs" dxfId="0" priority="1382" operator="equal">
      <formula>"欠"</formula>
    </cfRule>
  </conditionalFormatting>
  <conditionalFormatting sqref="U961">
    <cfRule type="cellIs" dxfId="0" priority="1098" operator="equal">
      <formula>"欠"</formula>
    </cfRule>
  </conditionalFormatting>
  <conditionalFormatting sqref="AG961">
    <cfRule type="cellIs" dxfId="0" priority="1453" operator="equal">
      <formula>"未完成"</formula>
    </cfRule>
  </conditionalFormatting>
  <conditionalFormatting sqref="AI961:AJ961">
    <cfRule type="cellIs" dxfId="0" priority="1240" operator="equal">
      <formula>"未完成"</formula>
    </cfRule>
    <cfRule type="cellIs" dxfId="1" priority="1169" operator="equal">
      <formula>"未完成"</formula>
    </cfRule>
  </conditionalFormatting>
  <conditionalFormatting sqref="AK961">
    <cfRule type="cellIs" dxfId="0" priority="1524" operator="equal">
      <formula>"欠"</formula>
    </cfRule>
  </conditionalFormatting>
  <conditionalFormatting sqref="R962">
    <cfRule type="cellIs" dxfId="0" priority="1026" operator="equal">
      <formula>"欠"</formula>
    </cfRule>
    <cfRule type="containsText" dxfId="2" priority="955" operator="between" text="欠">
      <formula>NOT(ISERROR(SEARCH("欠",R962)))</formula>
    </cfRule>
  </conditionalFormatting>
  <conditionalFormatting sqref="S962">
    <cfRule type="cellIs" dxfId="0" priority="1310" operator="equal">
      <formula>"欠"</formula>
    </cfRule>
  </conditionalFormatting>
  <conditionalFormatting sqref="T962">
    <cfRule type="cellIs" dxfId="0" priority="1381" operator="equal">
      <formula>"欠"</formula>
    </cfRule>
  </conditionalFormatting>
  <conditionalFormatting sqref="U962">
    <cfRule type="cellIs" dxfId="0" priority="1097" operator="equal">
      <formula>"欠"</formula>
    </cfRule>
  </conditionalFormatting>
  <conditionalFormatting sqref="AG962">
    <cfRule type="cellIs" dxfId="0" priority="1452" operator="equal">
      <formula>"未完成"</formula>
    </cfRule>
  </conditionalFormatting>
  <conditionalFormatting sqref="AI962:AJ962">
    <cfRule type="cellIs" dxfId="0" priority="1239" operator="equal">
      <formula>"未完成"</formula>
    </cfRule>
    <cfRule type="cellIs" dxfId="1" priority="1168" operator="equal">
      <formula>"未完成"</formula>
    </cfRule>
  </conditionalFormatting>
  <conditionalFormatting sqref="AK962">
    <cfRule type="cellIs" dxfId="0" priority="1523" operator="equal">
      <formula>"欠"</formula>
    </cfRule>
  </conditionalFormatting>
  <conditionalFormatting sqref="R963">
    <cfRule type="cellIs" dxfId="0" priority="1025" operator="equal">
      <formula>"欠"</formula>
    </cfRule>
    <cfRule type="containsText" dxfId="2" priority="954" operator="between" text="欠">
      <formula>NOT(ISERROR(SEARCH("欠",R963)))</formula>
    </cfRule>
  </conditionalFormatting>
  <conditionalFormatting sqref="S963">
    <cfRule type="cellIs" dxfId="0" priority="1309" operator="equal">
      <formula>"欠"</formula>
    </cfRule>
  </conditionalFormatting>
  <conditionalFormatting sqref="T963">
    <cfRule type="cellIs" dxfId="0" priority="1380" operator="equal">
      <formula>"欠"</formula>
    </cfRule>
  </conditionalFormatting>
  <conditionalFormatting sqref="U963">
    <cfRule type="cellIs" dxfId="0" priority="1096" operator="equal">
      <formula>"欠"</formula>
    </cfRule>
  </conditionalFormatting>
  <conditionalFormatting sqref="AG963">
    <cfRule type="cellIs" dxfId="0" priority="1451" operator="equal">
      <formula>"未完成"</formula>
    </cfRule>
  </conditionalFormatting>
  <conditionalFormatting sqref="AI963:AJ963">
    <cfRule type="cellIs" dxfId="0" priority="1238" operator="equal">
      <formula>"未完成"</formula>
    </cfRule>
    <cfRule type="cellIs" dxfId="1" priority="1167" operator="equal">
      <formula>"未完成"</formula>
    </cfRule>
  </conditionalFormatting>
  <conditionalFormatting sqref="AK963">
    <cfRule type="cellIs" dxfId="0" priority="1522" operator="equal">
      <formula>"欠"</formula>
    </cfRule>
  </conditionalFormatting>
  <conditionalFormatting sqref="R964">
    <cfRule type="cellIs" dxfId="0" priority="1024" operator="equal">
      <formula>"欠"</formula>
    </cfRule>
    <cfRule type="containsText" dxfId="2" priority="953" operator="between" text="欠">
      <formula>NOT(ISERROR(SEARCH("欠",R964)))</formula>
    </cfRule>
  </conditionalFormatting>
  <conditionalFormatting sqref="S964">
    <cfRule type="cellIs" dxfId="0" priority="1308" operator="equal">
      <formula>"欠"</formula>
    </cfRule>
  </conditionalFormatting>
  <conditionalFormatting sqref="T964">
    <cfRule type="cellIs" dxfId="0" priority="1379" operator="equal">
      <formula>"欠"</formula>
    </cfRule>
  </conditionalFormatting>
  <conditionalFormatting sqref="U964">
    <cfRule type="cellIs" dxfId="0" priority="1095" operator="equal">
      <formula>"欠"</formula>
    </cfRule>
  </conditionalFormatting>
  <conditionalFormatting sqref="AG964">
    <cfRule type="cellIs" dxfId="0" priority="1450" operator="equal">
      <formula>"未完成"</formula>
    </cfRule>
  </conditionalFormatting>
  <conditionalFormatting sqref="AI964:AJ964">
    <cfRule type="cellIs" dxfId="0" priority="1237" operator="equal">
      <formula>"未完成"</formula>
    </cfRule>
    <cfRule type="cellIs" dxfId="1" priority="1166" operator="equal">
      <formula>"未完成"</formula>
    </cfRule>
  </conditionalFormatting>
  <conditionalFormatting sqref="AK964">
    <cfRule type="cellIs" dxfId="0" priority="1521" operator="equal">
      <formula>"欠"</formula>
    </cfRule>
  </conditionalFormatting>
  <conditionalFormatting sqref="R965">
    <cfRule type="cellIs" dxfId="0" priority="1023" operator="equal">
      <formula>"欠"</formula>
    </cfRule>
    <cfRule type="containsText" dxfId="2" priority="952" operator="between" text="欠">
      <formula>NOT(ISERROR(SEARCH("欠",R965)))</formula>
    </cfRule>
  </conditionalFormatting>
  <conditionalFormatting sqref="S965">
    <cfRule type="cellIs" dxfId="0" priority="1307" operator="equal">
      <formula>"欠"</formula>
    </cfRule>
  </conditionalFormatting>
  <conditionalFormatting sqref="T965">
    <cfRule type="cellIs" dxfId="0" priority="1378" operator="equal">
      <formula>"欠"</formula>
    </cfRule>
  </conditionalFormatting>
  <conditionalFormatting sqref="U965">
    <cfRule type="cellIs" dxfId="0" priority="1094" operator="equal">
      <formula>"欠"</formula>
    </cfRule>
  </conditionalFormatting>
  <conditionalFormatting sqref="AG965">
    <cfRule type="cellIs" dxfId="0" priority="1449" operator="equal">
      <formula>"未完成"</formula>
    </cfRule>
  </conditionalFormatting>
  <conditionalFormatting sqref="AI965:AJ965">
    <cfRule type="cellIs" dxfId="0" priority="1236" operator="equal">
      <formula>"未完成"</formula>
    </cfRule>
    <cfRule type="cellIs" dxfId="1" priority="1165" operator="equal">
      <formula>"未完成"</formula>
    </cfRule>
  </conditionalFormatting>
  <conditionalFormatting sqref="AK965">
    <cfRule type="cellIs" dxfId="0" priority="1520" operator="equal">
      <formula>"欠"</formula>
    </cfRule>
  </conditionalFormatting>
  <conditionalFormatting sqref="R966">
    <cfRule type="cellIs" dxfId="0" priority="1022" operator="equal">
      <formula>"欠"</formula>
    </cfRule>
    <cfRule type="containsText" dxfId="2" priority="951" operator="between" text="欠">
      <formula>NOT(ISERROR(SEARCH("欠",R966)))</formula>
    </cfRule>
  </conditionalFormatting>
  <conditionalFormatting sqref="S966">
    <cfRule type="cellIs" dxfId="0" priority="1306" operator="equal">
      <formula>"欠"</formula>
    </cfRule>
  </conditionalFormatting>
  <conditionalFormatting sqref="T966">
    <cfRule type="cellIs" dxfId="0" priority="1377" operator="equal">
      <formula>"欠"</formula>
    </cfRule>
  </conditionalFormatting>
  <conditionalFormatting sqref="U966">
    <cfRule type="cellIs" dxfId="0" priority="1093" operator="equal">
      <formula>"欠"</formula>
    </cfRule>
  </conditionalFormatting>
  <conditionalFormatting sqref="AG966">
    <cfRule type="cellIs" dxfId="0" priority="1448" operator="equal">
      <formula>"未完成"</formula>
    </cfRule>
  </conditionalFormatting>
  <conditionalFormatting sqref="AI966:AJ966">
    <cfRule type="cellIs" dxfId="0" priority="1235" operator="equal">
      <formula>"未完成"</formula>
    </cfRule>
    <cfRule type="cellIs" dxfId="1" priority="1164" operator="equal">
      <formula>"未完成"</formula>
    </cfRule>
  </conditionalFormatting>
  <conditionalFormatting sqref="AK966">
    <cfRule type="cellIs" dxfId="0" priority="1519" operator="equal">
      <formula>"欠"</formula>
    </cfRule>
  </conditionalFormatting>
  <conditionalFormatting sqref="R967">
    <cfRule type="cellIs" dxfId="0" priority="1021" operator="equal">
      <formula>"欠"</formula>
    </cfRule>
    <cfRule type="containsText" dxfId="2" priority="950" operator="between" text="欠">
      <formula>NOT(ISERROR(SEARCH("欠",R967)))</formula>
    </cfRule>
  </conditionalFormatting>
  <conditionalFormatting sqref="S967">
    <cfRule type="cellIs" dxfId="0" priority="1305" operator="equal">
      <formula>"欠"</formula>
    </cfRule>
  </conditionalFormatting>
  <conditionalFormatting sqref="T967">
    <cfRule type="cellIs" dxfId="0" priority="1376" operator="equal">
      <formula>"欠"</formula>
    </cfRule>
  </conditionalFormatting>
  <conditionalFormatting sqref="U967">
    <cfRule type="cellIs" dxfId="0" priority="1092" operator="equal">
      <formula>"欠"</formula>
    </cfRule>
  </conditionalFormatting>
  <conditionalFormatting sqref="AG967">
    <cfRule type="cellIs" dxfId="0" priority="1447" operator="equal">
      <formula>"未完成"</formula>
    </cfRule>
  </conditionalFormatting>
  <conditionalFormatting sqref="AI967:AJ967">
    <cfRule type="cellIs" dxfId="0" priority="1234" operator="equal">
      <formula>"未完成"</formula>
    </cfRule>
    <cfRule type="cellIs" dxfId="1" priority="1163" operator="equal">
      <formula>"未完成"</formula>
    </cfRule>
  </conditionalFormatting>
  <conditionalFormatting sqref="AK967">
    <cfRule type="cellIs" dxfId="0" priority="1518" operator="equal">
      <formula>"欠"</formula>
    </cfRule>
  </conditionalFormatting>
  <conditionalFormatting sqref="R968">
    <cfRule type="cellIs" dxfId="0" priority="1020" operator="equal">
      <formula>"欠"</formula>
    </cfRule>
    <cfRule type="containsText" dxfId="2" priority="949" operator="between" text="欠">
      <formula>NOT(ISERROR(SEARCH("欠",R968)))</formula>
    </cfRule>
  </conditionalFormatting>
  <conditionalFormatting sqref="S968">
    <cfRule type="cellIs" dxfId="0" priority="1304" operator="equal">
      <formula>"欠"</formula>
    </cfRule>
  </conditionalFormatting>
  <conditionalFormatting sqref="T968">
    <cfRule type="cellIs" dxfId="0" priority="1375" operator="equal">
      <formula>"欠"</formula>
    </cfRule>
  </conditionalFormatting>
  <conditionalFormatting sqref="U968">
    <cfRule type="cellIs" dxfId="0" priority="1091" operator="equal">
      <formula>"欠"</formula>
    </cfRule>
  </conditionalFormatting>
  <conditionalFormatting sqref="AG968">
    <cfRule type="cellIs" dxfId="0" priority="1446" operator="equal">
      <formula>"未完成"</formula>
    </cfRule>
  </conditionalFormatting>
  <conditionalFormatting sqref="AI968:AJ968">
    <cfRule type="cellIs" dxfId="0" priority="1233" operator="equal">
      <formula>"未完成"</formula>
    </cfRule>
    <cfRule type="cellIs" dxfId="1" priority="1162" operator="equal">
      <formula>"未完成"</formula>
    </cfRule>
  </conditionalFormatting>
  <conditionalFormatting sqref="AK968">
    <cfRule type="cellIs" dxfId="0" priority="1517" operator="equal">
      <formula>"欠"</formula>
    </cfRule>
  </conditionalFormatting>
  <conditionalFormatting sqref="R969">
    <cfRule type="cellIs" dxfId="0" priority="1019" operator="equal">
      <formula>"欠"</formula>
    </cfRule>
    <cfRule type="containsText" dxfId="2" priority="948" operator="between" text="欠">
      <formula>NOT(ISERROR(SEARCH("欠",R969)))</formula>
    </cfRule>
  </conditionalFormatting>
  <conditionalFormatting sqref="S969">
    <cfRule type="cellIs" dxfId="0" priority="1303" operator="equal">
      <formula>"欠"</formula>
    </cfRule>
  </conditionalFormatting>
  <conditionalFormatting sqref="T969">
    <cfRule type="cellIs" dxfId="0" priority="1374" operator="equal">
      <formula>"欠"</formula>
    </cfRule>
  </conditionalFormatting>
  <conditionalFormatting sqref="U969">
    <cfRule type="cellIs" dxfId="0" priority="1090" operator="equal">
      <formula>"欠"</formula>
    </cfRule>
  </conditionalFormatting>
  <conditionalFormatting sqref="AG969">
    <cfRule type="cellIs" dxfId="0" priority="1445" operator="equal">
      <formula>"未完成"</formula>
    </cfRule>
  </conditionalFormatting>
  <conditionalFormatting sqref="AI969:AJ969">
    <cfRule type="cellIs" dxfId="0" priority="1232" operator="equal">
      <formula>"未完成"</formula>
    </cfRule>
    <cfRule type="cellIs" dxfId="1" priority="1161" operator="equal">
      <formula>"未完成"</formula>
    </cfRule>
  </conditionalFormatting>
  <conditionalFormatting sqref="AK969">
    <cfRule type="cellIs" dxfId="0" priority="1516" operator="equal">
      <formula>"欠"</formula>
    </cfRule>
  </conditionalFormatting>
  <conditionalFormatting sqref="R970">
    <cfRule type="cellIs" dxfId="0" priority="1018" operator="equal">
      <formula>"欠"</formula>
    </cfRule>
    <cfRule type="containsText" dxfId="2" priority="947" operator="between" text="欠">
      <formula>NOT(ISERROR(SEARCH("欠",R970)))</formula>
    </cfRule>
  </conditionalFormatting>
  <conditionalFormatting sqref="S970">
    <cfRule type="cellIs" dxfId="0" priority="1302" operator="equal">
      <formula>"欠"</formula>
    </cfRule>
  </conditionalFormatting>
  <conditionalFormatting sqref="T970">
    <cfRule type="cellIs" dxfId="0" priority="1373" operator="equal">
      <formula>"欠"</formula>
    </cfRule>
  </conditionalFormatting>
  <conditionalFormatting sqref="U970">
    <cfRule type="cellIs" dxfId="0" priority="1089" operator="equal">
      <formula>"欠"</formula>
    </cfRule>
  </conditionalFormatting>
  <conditionalFormatting sqref="AG970">
    <cfRule type="cellIs" dxfId="0" priority="1444" operator="equal">
      <formula>"未完成"</formula>
    </cfRule>
  </conditionalFormatting>
  <conditionalFormatting sqref="AI970:AJ970">
    <cfRule type="cellIs" dxfId="0" priority="1231" operator="equal">
      <formula>"未完成"</formula>
    </cfRule>
    <cfRule type="cellIs" dxfId="1" priority="1160" operator="equal">
      <formula>"未完成"</formula>
    </cfRule>
  </conditionalFormatting>
  <conditionalFormatting sqref="AK970">
    <cfRule type="cellIs" dxfId="0" priority="1515" operator="equal">
      <formula>"欠"</formula>
    </cfRule>
  </conditionalFormatting>
  <conditionalFormatting sqref="R971">
    <cfRule type="cellIs" dxfId="0" priority="1017" operator="equal">
      <formula>"欠"</formula>
    </cfRule>
    <cfRule type="containsText" dxfId="2" priority="946" operator="between" text="欠">
      <formula>NOT(ISERROR(SEARCH("欠",R971)))</formula>
    </cfRule>
  </conditionalFormatting>
  <conditionalFormatting sqref="S971">
    <cfRule type="cellIs" dxfId="0" priority="1301" operator="equal">
      <formula>"欠"</formula>
    </cfRule>
  </conditionalFormatting>
  <conditionalFormatting sqref="T971">
    <cfRule type="cellIs" dxfId="0" priority="1372" operator="equal">
      <formula>"欠"</formula>
    </cfRule>
  </conditionalFormatting>
  <conditionalFormatting sqref="U971">
    <cfRule type="cellIs" dxfId="0" priority="1088" operator="equal">
      <formula>"欠"</formula>
    </cfRule>
  </conditionalFormatting>
  <conditionalFormatting sqref="AG971">
    <cfRule type="cellIs" dxfId="0" priority="1443" operator="equal">
      <formula>"未完成"</formula>
    </cfRule>
  </conditionalFormatting>
  <conditionalFormatting sqref="AI971:AJ971">
    <cfRule type="cellIs" dxfId="0" priority="1230" operator="equal">
      <formula>"未完成"</formula>
    </cfRule>
    <cfRule type="cellIs" dxfId="1" priority="1159" operator="equal">
      <formula>"未完成"</formula>
    </cfRule>
  </conditionalFormatting>
  <conditionalFormatting sqref="AK971">
    <cfRule type="cellIs" dxfId="0" priority="1514" operator="equal">
      <formula>"欠"</formula>
    </cfRule>
  </conditionalFormatting>
  <conditionalFormatting sqref="R972">
    <cfRule type="cellIs" dxfId="0" priority="1016" operator="equal">
      <formula>"欠"</formula>
    </cfRule>
    <cfRule type="containsText" dxfId="2" priority="945" operator="between" text="欠">
      <formula>NOT(ISERROR(SEARCH("欠",R972)))</formula>
    </cfRule>
  </conditionalFormatting>
  <conditionalFormatting sqref="S972">
    <cfRule type="cellIs" dxfId="0" priority="1300" operator="equal">
      <formula>"欠"</formula>
    </cfRule>
  </conditionalFormatting>
  <conditionalFormatting sqref="T972">
    <cfRule type="cellIs" dxfId="0" priority="1371" operator="equal">
      <formula>"欠"</formula>
    </cfRule>
  </conditionalFormatting>
  <conditionalFormatting sqref="U972">
    <cfRule type="cellIs" dxfId="0" priority="1087" operator="equal">
      <formula>"欠"</formula>
    </cfRule>
  </conditionalFormatting>
  <conditionalFormatting sqref="AG972">
    <cfRule type="cellIs" dxfId="0" priority="1442" operator="equal">
      <formula>"未完成"</formula>
    </cfRule>
  </conditionalFormatting>
  <conditionalFormatting sqref="AI972:AJ972">
    <cfRule type="cellIs" dxfId="0" priority="1229" operator="equal">
      <formula>"未完成"</formula>
    </cfRule>
    <cfRule type="cellIs" dxfId="1" priority="1158" operator="equal">
      <formula>"未完成"</formula>
    </cfRule>
  </conditionalFormatting>
  <conditionalFormatting sqref="AK972">
    <cfRule type="cellIs" dxfId="0" priority="1513" operator="equal">
      <formula>"欠"</formula>
    </cfRule>
  </conditionalFormatting>
  <conditionalFormatting sqref="R973">
    <cfRule type="cellIs" dxfId="0" priority="1015" operator="equal">
      <formula>"欠"</formula>
    </cfRule>
    <cfRule type="containsText" dxfId="2" priority="944" operator="between" text="欠">
      <formula>NOT(ISERROR(SEARCH("欠",R973)))</formula>
    </cfRule>
  </conditionalFormatting>
  <conditionalFormatting sqref="S973">
    <cfRule type="cellIs" dxfId="0" priority="1299" operator="equal">
      <formula>"欠"</formula>
    </cfRule>
  </conditionalFormatting>
  <conditionalFormatting sqref="T973">
    <cfRule type="cellIs" dxfId="0" priority="1370" operator="equal">
      <formula>"欠"</formula>
    </cfRule>
  </conditionalFormatting>
  <conditionalFormatting sqref="U973">
    <cfRule type="cellIs" dxfId="0" priority="1086" operator="equal">
      <formula>"欠"</formula>
    </cfRule>
  </conditionalFormatting>
  <conditionalFormatting sqref="AG973">
    <cfRule type="cellIs" dxfId="0" priority="1441" operator="equal">
      <formula>"未完成"</formula>
    </cfRule>
  </conditionalFormatting>
  <conditionalFormatting sqref="AI973:AJ973">
    <cfRule type="cellIs" dxfId="0" priority="1228" operator="equal">
      <formula>"未完成"</formula>
    </cfRule>
    <cfRule type="cellIs" dxfId="1" priority="1157" operator="equal">
      <formula>"未完成"</formula>
    </cfRule>
  </conditionalFormatting>
  <conditionalFormatting sqref="AK973">
    <cfRule type="cellIs" dxfId="0" priority="1512" operator="equal">
      <formula>"欠"</formula>
    </cfRule>
  </conditionalFormatting>
  <conditionalFormatting sqref="R974">
    <cfRule type="cellIs" dxfId="0" priority="1014" operator="equal">
      <formula>"欠"</formula>
    </cfRule>
    <cfRule type="containsText" dxfId="2" priority="943" operator="between" text="欠">
      <formula>NOT(ISERROR(SEARCH("欠",R974)))</formula>
    </cfRule>
  </conditionalFormatting>
  <conditionalFormatting sqref="S974">
    <cfRule type="cellIs" dxfId="0" priority="1298" operator="equal">
      <formula>"欠"</formula>
    </cfRule>
  </conditionalFormatting>
  <conditionalFormatting sqref="T974">
    <cfRule type="cellIs" dxfId="0" priority="1369" operator="equal">
      <formula>"欠"</formula>
    </cfRule>
  </conditionalFormatting>
  <conditionalFormatting sqref="U974">
    <cfRule type="cellIs" dxfId="0" priority="1085" operator="equal">
      <formula>"欠"</formula>
    </cfRule>
  </conditionalFormatting>
  <conditionalFormatting sqref="AG974">
    <cfRule type="cellIs" dxfId="0" priority="1440" operator="equal">
      <formula>"未完成"</formula>
    </cfRule>
  </conditionalFormatting>
  <conditionalFormatting sqref="AI974:AJ974">
    <cfRule type="cellIs" dxfId="0" priority="1227" operator="equal">
      <formula>"未完成"</formula>
    </cfRule>
    <cfRule type="cellIs" dxfId="1" priority="1156" operator="equal">
      <formula>"未完成"</formula>
    </cfRule>
  </conditionalFormatting>
  <conditionalFormatting sqref="AK974">
    <cfRule type="cellIs" dxfId="0" priority="1511" operator="equal">
      <formula>"欠"</formula>
    </cfRule>
  </conditionalFormatting>
  <conditionalFormatting sqref="R975">
    <cfRule type="cellIs" dxfId="0" priority="1013" operator="equal">
      <formula>"欠"</formula>
    </cfRule>
    <cfRule type="containsText" dxfId="2" priority="942" operator="between" text="欠">
      <formula>NOT(ISERROR(SEARCH("欠",R975)))</formula>
    </cfRule>
  </conditionalFormatting>
  <conditionalFormatting sqref="S975">
    <cfRule type="cellIs" dxfId="0" priority="1297" operator="equal">
      <formula>"欠"</formula>
    </cfRule>
  </conditionalFormatting>
  <conditionalFormatting sqref="T975">
    <cfRule type="cellIs" dxfId="0" priority="1368" operator="equal">
      <formula>"欠"</formula>
    </cfRule>
  </conditionalFormatting>
  <conditionalFormatting sqref="U975">
    <cfRule type="cellIs" dxfId="0" priority="1084" operator="equal">
      <formula>"欠"</formula>
    </cfRule>
  </conditionalFormatting>
  <conditionalFormatting sqref="AG975">
    <cfRule type="cellIs" dxfId="0" priority="1439" operator="equal">
      <formula>"未完成"</formula>
    </cfRule>
  </conditionalFormatting>
  <conditionalFormatting sqref="AI975:AJ975">
    <cfRule type="cellIs" dxfId="0" priority="1226" operator="equal">
      <formula>"未完成"</formula>
    </cfRule>
    <cfRule type="cellIs" dxfId="1" priority="1155" operator="equal">
      <formula>"未完成"</formula>
    </cfRule>
  </conditionalFormatting>
  <conditionalFormatting sqref="AK975">
    <cfRule type="cellIs" dxfId="0" priority="1510" operator="equal">
      <formula>"欠"</formula>
    </cfRule>
  </conditionalFormatting>
  <conditionalFormatting sqref="R976">
    <cfRule type="cellIs" dxfId="0" priority="1012" operator="equal">
      <formula>"欠"</formula>
    </cfRule>
    <cfRule type="containsText" dxfId="2" priority="941" operator="between" text="欠">
      <formula>NOT(ISERROR(SEARCH("欠",R976)))</formula>
    </cfRule>
  </conditionalFormatting>
  <conditionalFormatting sqref="T976">
    <cfRule type="cellIs" dxfId="0" priority="1367" operator="equal">
      <formula>"欠"</formula>
    </cfRule>
  </conditionalFormatting>
  <conditionalFormatting sqref="U976">
    <cfRule type="cellIs" dxfId="0" priority="1083" operator="equal">
      <formula>"欠"</formula>
    </cfRule>
  </conditionalFormatting>
  <conditionalFormatting sqref="AG976">
    <cfRule type="cellIs" dxfId="0" priority="1438" operator="equal">
      <formula>"未完成"</formula>
    </cfRule>
  </conditionalFormatting>
  <conditionalFormatting sqref="AI976:AJ976">
    <cfRule type="cellIs" dxfId="0" priority="1225" operator="equal">
      <formula>"未完成"</formula>
    </cfRule>
    <cfRule type="cellIs" dxfId="1" priority="1154" operator="equal">
      <formula>"未完成"</formula>
    </cfRule>
  </conditionalFormatting>
  <conditionalFormatting sqref="AK976">
    <cfRule type="cellIs" dxfId="0" priority="1509" operator="equal">
      <formula>"欠"</formula>
    </cfRule>
  </conditionalFormatting>
  <conditionalFormatting sqref="R977">
    <cfRule type="cellIs" dxfId="0" priority="1011" operator="equal">
      <formula>"欠"</formula>
    </cfRule>
    <cfRule type="containsText" dxfId="2" priority="940" operator="between" text="欠">
      <formula>NOT(ISERROR(SEARCH("欠",R977)))</formula>
    </cfRule>
  </conditionalFormatting>
  <conditionalFormatting sqref="S977">
    <cfRule type="cellIs" dxfId="0" priority="1295" operator="equal">
      <formula>"欠"</formula>
    </cfRule>
  </conditionalFormatting>
  <conditionalFormatting sqref="T977">
    <cfRule type="cellIs" dxfId="0" priority="1366" operator="equal">
      <formula>"欠"</formula>
    </cfRule>
  </conditionalFormatting>
  <conditionalFormatting sqref="U977">
    <cfRule type="cellIs" dxfId="0" priority="1082" operator="equal">
      <formula>"欠"</formula>
    </cfRule>
  </conditionalFormatting>
  <conditionalFormatting sqref="AG977">
    <cfRule type="cellIs" dxfId="0" priority="1437" operator="equal">
      <formula>"未完成"</formula>
    </cfRule>
  </conditionalFormatting>
  <conditionalFormatting sqref="AI977:AJ977">
    <cfRule type="cellIs" dxfId="0" priority="1224" operator="equal">
      <formula>"未完成"</formula>
    </cfRule>
    <cfRule type="cellIs" dxfId="1" priority="1153" operator="equal">
      <formula>"未完成"</formula>
    </cfRule>
  </conditionalFormatting>
  <conditionalFormatting sqref="AK977">
    <cfRule type="cellIs" dxfId="0" priority="1508" operator="equal">
      <formula>"欠"</formula>
    </cfRule>
  </conditionalFormatting>
  <conditionalFormatting sqref="R978">
    <cfRule type="cellIs" dxfId="0" priority="1010" operator="equal">
      <formula>"欠"</formula>
    </cfRule>
    <cfRule type="containsText" dxfId="2" priority="939" operator="between" text="欠">
      <formula>NOT(ISERROR(SEARCH("欠",R978)))</formula>
    </cfRule>
  </conditionalFormatting>
  <conditionalFormatting sqref="S978">
    <cfRule type="cellIs" dxfId="0" priority="1294" operator="equal">
      <formula>"欠"</formula>
    </cfRule>
  </conditionalFormatting>
  <conditionalFormatting sqref="T978">
    <cfRule type="cellIs" dxfId="0" priority="1365" operator="equal">
      <formula>"欠"</formula>
    </cfRule>
  </conditionalFormatting>
  <conditionalFormatting sqref="U978">
    <cfRule type="cellIs" dxfId="0" priority="1081" operator="equal">
      <formula>"欠"</formula>
    </cfRule>
  </conditionalFormatting>
  <conditionalFormatting sqref="AG978">
    <cfRule type="cellIs" dxfId="0" priority="1436" operator="equal">
      <formula>"未完成"</formula>
    </cfRule>
  </conditionalFormatting>
  <conditionalFormatting sqref="AI978:AJ978">
    <cfRule type="cellIs" dxfId="0" priority="1223" operator="equal">
      <formula>"未完成"</formula>
    </cfRule>
    <cfRule type="cellIs" dxfId="1" priority="1152" operator="equal">
      <formula>"未完成"</formula>
    </cfRule>
  </conditionalFormatting>
  <conditionalFormatting sqref="AK978">
    <cfRule type="cellIs" dxfId="0" priority="1507" operator="equal">
      <formula>"欠"</formula>
    </cfRule>
  </conditionalFormatting>
  <conditionalFormatting sqref="R979">
    <cfRule type="cellIs" dxfId="0" priority="1009" operator="equal">
      <formula>"欠"</formula>
    </cfRule>
    <cfRule type="containsText" dxfId="2" priority="938" operator="between" text="欠">
      <formula>NOT(ISERROR(SEARCH("欠",R979)))</formula>
    </cfRule>
  </conditionalFormatting>
  <conditionalFormatting sqref="S979">
    <cfRule type="cellIs" dxfId="0" priority="1293" operator="equal">
      <formula>"欠"</formula>
    </cfRule>
  </conditionalFormatting>
  <conditionalFormatting sqref="T979">
    <cfRule type="cellIs" dxfId="0" priority="1364" operator="equal">
      <formula>"欠"</formula>
    </cfRule>
  </conditionalFormatting>
  <conditionalFormatting sqref="U979">
    <cfRule type="cellIs" dxfId="0" priority="1080" operator="equal">
      <formula>"欠"</formula>
    </cfRule>
  </conditionalFormatting>
  <conditionalFormatting sqref="AG979">
    <cfRule type="cellIs" dxfId="0" priority="1435" operator="equal">
      <formula>"未完成"</formula>
    </cfRule>
  </conditionalFormatting>
  <conditionalFormatting sqref="AI979:AJ979">
    <cfRule type="cellIs" dxfId="0" priority="1222" operator="equal">
      <formula>"未完成"</formula>
    </cfRule>
    <cfRule type="cellIs" dxfId="1" priority="1151" operator="equal">
      <formula>"未完成"</formula>
    </cfRule>
  </conditionalFormatting>
  <conditionalFormatting sqref="AK979">
    <cfRule type="cellIs" dxfId="0" priority="1506" operator="equal">
      <formula>"欠"</formula>
    </cfRule>
  </conditionalFormatting>
  <conditionalFormatting sqref="R980">
    <cfRule type="cellIs" dxfId="0" priority="1008" operator="equal">
      <formula>"欠"</formula>
    </cfRule>
    <cfRule type="containsText" dxfId="2" priority="937" operator="between" text="欠">
      <formula>NOT(ISERROR(SEARCH("欠",R980)))</formula>
    </cfRule>
  </conditionalFormatting>
  <conditionalFormatting sqref="S980">
    <cfRule type="cellIs" dxfId="0" priority="1292" operator="equal">
      <formula>"欠"</formula>
    </cfRule>
  </conditionalFormatting>
  <conditionalFormatting sqref="T980">
    <cfRule type="cellIs" dxfId="0" priority="1363" operator="equal">
      <formula>"欠"</formula>
    </cfRule>
  </conditionalFormatting>
  <conditionalFormatting sqref="U980">
    <cfRule type="cellIs" dxfId="0" priority="1079" operator="equal">
      <formula>"欠"</formula>
    </cfRule>
  </conditionalFormatting>
  <conditionalFormatting sqref="AG980">
    <cfRule type="cellIs" dxfId="0" priority="1434" operator="equal">
      <formula>"未完成"</formula>
    </cfRule>
  </conditionalFormatting>
  <conditionalFormatting sqref="AI980:AJ980">
    <cfRule type="cellIs" dxfId="0" priority="1221" operator="equal">
      <formula>"未完成"</formula>
    </cfRule>
    <cfRule type="cellIs" dxfId="1" priority="1150" operator="equal">
      <formula>"未完成"</formula>
    </cfRule>
  </conditionalFormatting>
  <conditionalFormatting sqref="AK980">
    <cfRule type="cellIs" dxfId="0" priority="1505" operator="equal">
      <formula>"欠"</formula>
    </cfRule>
  </conditionalFormatting>
  <conditionalFormatting sqref="R981">
    <cfRule type="cellIs" dxfId="0" priority="1007" operator="equal">
      <formula>"欠"</formula>
    </cfRule>
    <cfRule type="containsText" dxfId="2" priority="936" operator="between" text="欠">
      <formula>NOT(ISERROR(SEARCH("欠",R981)))</formula>
    </cfRule>
  </conditionalFormatting>
  <conditionalFormatting sqref="S981">
    <cfRule type="cellIs" dxfId="0" priority="1291" operator="equal">
      <formula>"欠"</formula>
    </cfRule>
  </conditionalFormatting>
  <conditionalFormatting sqref="T981">
    <cfRule type="cellIs" dxfId="0" priority="1362" operator="equal">
      <formula>"欠"</formula>
    </cfRule>
  </conditionalFormatting>
  <conditionalFormatting sqref="U981">
    <cfRule type="cellIs" dxfId="0" priority="1078" operator="equal">
      <formula>"欠"</formula>
    </cfRule>
  </conditionalFormatting>
  <conditionalFormatting sqref="AG981">
    <cfRule type="cellIs" dxfId="0" priority="1433" operator="equal">
      <formula>"未完成"</formula>
    </cfRule>
  </conditionalFormatting>
  <conditionalFormatting sqref="AI981:AJ981">
    <cfRule type="cellIs" dxfId="0" priority="1220" operator="equal">
      <formula>"未完成"</formula>
    </cfRule>
    <cfRule type="cellIs" dxfId="1" priority="1149" operator="equal">
      <formula>"未完成"</formula>
    </cfRule>
  </conditionalFormatting>
  <conditionalFormatting sqref="AK981">
    <cfRule type="cellIs" dxfId="0" priority="1504" operator="equal">
      <formula>"欠"</formula>
    </cfRule>
  </conditionalFormatting>
  <conditionalFormatting sqref="R982">
    <cfRule type="cellIs" dxfId="0" priority="1006" operator="equal">
      <formula>"欠"</formula>
    </cfRule>
    <cfRule type="containsText" dxfId="2" priority="935" operator="between" text="欠">
      <formula>NOT(ISERROR(SEARCH("欠",R982)))</formula>
    </cfRule>
  </conditionalFormatting>
  <conditionalFormatting sqref="S982">
    <cfRule type="cellIs" dxfId="0" priority="1290" operator="equal">
      <formula>"欠"</formula>
    </cfRule>
  </conditionalFormatting>
  <conditionalFormatting sqref="T982">
    <cfRule type="cellIs" dxfId="0" priority="1361" operator="equal">
      <formula>"欠"</formula>
    </cfRule>
  </conditionalFormatting>
  <conditionalFormatting sqref="U982">
    <cfRule type="cellIs" dxfId="0" priority="1077" operator="equal">
      <formula>"欠"</formula>
    </cfRule>
  </conditionalFormatting>
  <conditionalFormatting sqref="AG982">
    <cfRule type="cellIs" dxfId="0" priority="1432" operator="equal">
      <formula>"未完成"</formula>
    </cfRule>
  </conditionalFormatting>
  <conditionalFormatting sqref="AI982:AJ982">
    <cfRule type="cellIs" dxfId="0" priority="1219" operator="equal">
      <formula>"未完成"</formula>
    </cfRule>
    <cfRule type="cellIs" dxfId="1" priority="1148" operator="equal">
      <formula>"未完成"</formula>
    </cfRule>
  </conditionalFormatting>
  <conditionalFormatting sqref="AK982">
    <cfRule type="cellIs" dxfId="0" priority="1503" operator="equal">
      <formula>"欠"</formula>
    </cfRule>
  </conditionalFormatting>
  <conditionalFormatting sqref="R983">
    <cfRule type="cellIs" dxfId="0" priority="1005" operator="equal">
      <formula>"欠"</formula>
    </cfRule>
    <cfRule type="containsText" dxfId="2" priority="934" operator="between" text="欠">
      <formula>NOT(ISERROR(SEARCH("欠",R983)))</formula>
    </cfRule>
  </conditionalFormatting>
  <conditionalFormatting sqref="S983">
    <cfRule type="cellIs" dxfId="0" priority="1289" operator="equal">
      <formula>"欠"</formula>
    </cfRule>
  </conditionalFormatting>
  <conditionalFormatting sqref="T983">
    <cfRule type="cellIs" dxfId="0" priority="1360" operator="equal">
      <formula>"欠"</formula>
    </cfRule>
  </conditionalFormatting>
  <conditionalFormatting sqref="U983">
    <cfRule type="cellIs" dxfId="0" priority="1076" operator="equal">
      <formula>"欠"</formula>
    </cfRule>
  </conditionalFormatting>
  <conditionalFormatting sqref="AG983">
    <cfRule type="cellIs" dxfId="0" priority="1431" operator="equal">
      <formula>"未完成"</formula>
    </cfRule>
  </conditionalFormatting>
  <conditionalFormatting sqref="AI983:AJ983">
    <cfRule type="cellIs" dxfId="0" priority="1218" operator="equal">
      <formula>"未完成"</formula>
    </cfRule>
    <cfRule type="cellIs" dxfId="1" priority="1147" operator="equal">
      <formula>"未完成"</formula>
    </cfRule>
  </conditionalFormatting>
  <conditionalFormatting sqref="AK983">
    <cfRule type="cellIs" dxfId="0" priority="1502" operator="equal">
      <formula>"欠"</formula>
    </cfRule>
  </conditionalFormatting>
  <conditionalFormatting sqref="R984">
    <cfRule type="cellIs" dxfId="0" priority="1004" operator="equal">
      <formula>"欠"</formula>
    </cfRule>
    <cfRule type="containsText" dxfId="2" priority="933" operator="between" text="欠">
      <formula>NOT(ISERROR(SEARCH("欠",R984)))</formula>
    </cfRule>
  </conditionalFormatting>
  <conditionalFormatting sqref="S984">
    <cfRule type="cellIs" dxfId="0" priority="1288" operator="equal">
      <formula>"欠"</formula>
    </cfRule>
  </conditionalFormatting>
  <conditionalFormatting sqref="T984">
    <cfRule type="cellIs" dxfId="0" priority="1359" operator="equal">
      <formula>"欠"</formula>
    </cfRule>
  </conditionalFormatting>
  <conditionalFormatting sqref="U984">
    <cfRule type="cellIs" dxfId="0" priority="1075" operator="equal">
      <formula>"欠"</formula>
    </cfRule>
  </conditionalFormatting>
  <conditionalFormatting sqref="AG984">
    <cfRule type="cellIs" dxfId="0" priority="1430" operator="equal">
      <formula>"未完成"</formula>
    </cfRule>
  </conditionalFormatting>
  <conditionalFormatting sqref="AI984:AJ984">
    <cfRule type="cellIs" dxfId="0" priority="1217" operator="equal">
      <formula>"未完成"</formula>
    </cfRule>
    <cfRule type="cellIs" dxfId="1" priority="1146" operator="equal">
      <formula>"未完成"</formula>
    </cfRule>
  </conditionalFormatting>
  <conditionalFormatting sqref="AK984">
    <cfRule type="cellIs" dxfId="0" priority="1501" operator="equal">
      <formula>"欠"</formula>
    </cfRule>
  </conditionalFormatting>
  <conditionalFormatting sqref="R985">
    <cfRule type="cellIs" dxfId="0" priority="1003" operator="equal">
      <formula>"欠"</formula>
    </cfRule>
    <cfRule type="containsText" dxfId="2" priority="932" operator="between" text="欠">
      <formula>NOT(ISERROR(SEARCH("欠",R985)))</formula>
    </cfRule>
  </conditionalFormatting>
  <conditionalFormatting sqref="S985">
    <cfRule type="cellIs" dxfId="0" priority="1287" operator="equal">
      <formula>"欠"</formula>
    </cfRule>
  </conditionalFormatting>
  <conditionalFormatting sqref="T985">
    <cfRule type="cellIs" dxfId="0" priority="1358" operator="equal">
      <formula>"欠"</formula>
    </cfRule>
  </conditionalFormatting>
  <conditionalFormatting sqref="U985">
    <cfRule type="cellIs" dxfId="0" priority="1074" operator="equal">
      <formula>"欠"</formula>
    </cfRule>
  </conditionalFormatting>
  <conditionalFormatting sqref="AG985">
    <cfRule type="cellIs" dxfId="0" priority="1429" operator="equal">
      <formula>"未完成"</formula>
    </cfRule>
  </conditionalFormatting>
  <conditionalFormatting sqref="AI985:AJ985">
    <cfRule type="cellIs" dxfId="0" priority="1216" operator="equal">
      <formula>"未完成"</formula>
    </cfRule>
    <cfRule type="cellIs" dxfId="1" priority="1145" operator="equal">
      <formula>"未完成"</formula>
    </cfRule>
  </conditionalFormatting>
  <conditionalFormatting sqref="AK985">
    <cfRule type="cellIs" dxfId="0" priority="1500" operator="equal">
      <formula>"欠"</formula>
    </cfRule>
  </conditionalFormatting>
  <conditionalFormatting sqref="R986">
    <cfRule type="cellIs" dxfId="0" priority="1002" operator="equal">
      <formula>"欠"</formula>
    </cfRule>
    <cfRule type="containsText" dxfId="2" priority="931" operator="between" text="欠">
      <formula>NOT(ISERROR(SEARCH("欠",R986)))</formula>
    </cfRule>
  </conditionalFormatting>
  <conditionalFormatting sqref="T986">
    <cfRule type="cellIs" dxfId="0" priority="1357" operator="equal">
      <formula>"欠"</formula>
    </cfRule>
  </conditionalFormatting>
  <conditionalFormatting sqref="U986">
    <cfRule type="cellIs" dxfId="0" priority="1073" operator="equal">
      <formula>"欠"</formula>
    </cfRule>
  </conditionalFormatting>
  <conditionalFormatting sqref="AG986">
    <cfRule type="cellIs" dxfId="0" priority="1428" operator="equal">
      <formula>"未完成"</formula>
    </cfRule>
  </conditionalFormatting>
  <conditionalFormatting sqref="AI986:AJ986">
    <cfRule type="cellIs" dxfId="0" priority="1215" operator="equal">
      <formula>"未完成"</formula>
    </cfRule>
    <cfRule type="cellIs" dxfId="1" priority="1144" operator="equal">
      <formula>"未完成"</formula>
    </cfRule>
  </conditionalFormatting>
  <conditionalFormatting sqref="AK986">
    <cfRule type="cellIs" dxfId="0" priority="1499" operator="equal">
      <formula>"欠"</formula>
    </cfRule>
  </conditionalFormatting>
  <conditionalFormatting sqref="R987">
    <cfRule type="cellIs" dxfId="0" priority="1001" operator="equal">
      <formula>"欠"</formula>
    </cfRule>
    <cfRule type="containsText" dxfId="2" priority="930" operator="between" text="欠">
      <formula>NOT(ISERROR(SEARCH("欠",R987)))</formula>
    </cfRule>
  </conditionalFormatting>
  <conditionalFormatting sqref="T987">
    <cfRule type="cellIs" dxfId="0" priority="1356" operator="equal">
      <formula>"欠"</formula>
    </cfRule>
  </conditionalFormatting>
  <conditionalFormatting sqref="U987">
    <cfRule type="cellIs" dxfId="0" priority="1072" operator="equal">
      <formula>"欠"</formula>
    </cfRule>
  </conditionalFormatting>
  <conditionalFormatting sqref="AG987">
    <cfRule type="cellIs" dxfId="0" priority="1427" operator="equal">
      <formula>"未完成"</formula>
    </cfRule>
  </conditionalFormatting>
  <conditionalFormatting sqref="AI987:AJ987">
    <cfRule type="cellIs" dxfId="0" priority="1214" operator="equal">
      <formula>"未完成"</formula>
    </cfRule>
    <cfRule type="cellIs" dxfId="1" priority="1143" operator="equal">
      <formula>"未完成"</formula>
    </cfRule>
  </conditionalFormatting>
  <conditionalFormatting sqref="AK987">
    <cfRule type="cellIs" dxfId="0" priority="1498" operator="equal">
      <formula>"欠"</formula>
    </cfRule>
  </conditionalFormatting>
  <conditionalFormatting sqref="R988">
    <cfRule type="cellIs" dxfId="0" priority="1000" operator="equal">
      <formula>"欠"</formula>
    </cfRule>
    <cfRule type="containsText" dxfId="2" priority="929" operator="between" text="欠">
      <formula>NOT(ISERROR(SEARCH("欠",R988)))</formula>
    </cfRule>
  </conditionalFormatting>
  <conditionalFormatting sqref="T988">
    <cfRule type="cellIs" dxfId="0" priority="1355" operator="equal">
      <formula>"欠"</formula>
    </cfRule>
  </conditionalFormatting>
  <conditionalFormatting sqref="U988">
    <cfRule type="cellIs" dxfId="0" priority="1071" operator="equal">
      <formula>"欠"</formula>
    </cfRule>
  </conditionalFormatting>
  <conditionalFormatting sqref="AG988">
    <cfRule type="cellIs" dxfId="0" priority="1426" operator="equal">
      <formula>"未完成"</formula>
    </cfRule>
  </conditionalFormatting>
  <conditionalFormatting sqref="AI988:AJ988">
    <cfRule type="cellIs" dxfId="0" priority="1213" operator="equal">
      <formula>"未完成"</formula>
    </cfRule>
    <cfRule type="cellIs" dxfId="1" priority="1142" operator="equal">
      <formula>"未完成"</formula>
    </cfRule>
  </conditionalFormatting>
  <conditionalFormatting sqref="AK988">
    <cfRule type="cellIs" dxfId="0" priority="1497" operator="equal">
      <formula>"欠"</formula>
    </cfRule>
  </conditionalFormatting>
  <conditionalFormatting sqref="R989">
    <cfRule type="cellIs" dxfId="0" priority="999" operator="equal">
      <formula>"欠"</formula>
    </cfRule>
    <cfRule type="containsText" dxfId="2" priority="928" operator="between" text="欠">
      <formula>NOT(ISERROR(SEARCH("欠",R989)))</formula>
    </cfRule>
  </conditionalFormatting>
  <conditionalFormatting sqref="S989">
    <cfRule type="cellIs" dxfId="0" priority="1283" operator="equal">
      <formula>"欠"</formula>
    </cfRule>
  </conditionalFormatting>
  <conditionalFormatting sqref="T989">
    <cfRule type="cellIs" dxfId="0" priority="1354" operator="equal">
      <formula>"欠"</formula>
    </cfRule>
  </conditionalFormatting>
  <conditionalFormatting sqref="U989">
    <cfRule type="cellIs" dxfId="0" priority="1070" operator="equal">
      <formula>"欠"</formula>
    </cfRule>
  </conditionalFormatting>
  <conditionalFormatting sqref="AG989">
    <cfRule type="cellIs" dxfId="0" priority="1425" operator="equal">
      <formula>"未完成"</formula>
    </cfRule>
  </conditionalFormatting>
  <conditionalFormatting sqref="AI989:AJ989">
    <cfRule type="cellIs" dxfId="0" priority="1212" operator="equal">
      <formula>"未完成"</formula>
    </cfRule>
    <cfRule type="cellIs" dxfId="1" priority="1141" operator="equal">
      <formula>"未完成"</formula>
    </cfRule>
  </conditionalFormatting>
  <conditionalFormatting sqref="AK989">
    <cfRule type="cellIs" dxfId="0" priority="1496" operator="equal">
      <formula>"欠"</formula>
    </cfRule>
  </conditionalFormatting>
  <conditionalFormatting sqref="R990">
    <cfRule type="cellIs" dxfId="0" priority="998" operator="equal">
      <formula>"欠"</formula>
    </cfRule>
    <cfRule type="containsText" dxfId="2" priority="927" operator="between" text="欠">
      <formula>NOT(ISERROR(SEARCH("欠",R990)))</formula>
    </cfRule>
  </conditionalFormatting>
  <conditionalFormatting sqref="S990">
    <cfRule type="cellIs" dxfId="0" priority="1282" operator="equal">
      <formula>"欠"</formula>
    </cfRule>
  </conditionalFormatting>
  <conditionalFormatting sqref="T990">
    <cfRule type="cellIs" dxfId="0" priority="1353" operator="equal">
      <formula>"欠"</formula>
    </cfRule>
  </conditionalFormatting>
  <conditionalFormatting sqref="U990">
    <cfRule type="cellIs" dxfId="0" priority="1069" operator="equal">
      <formula>"欠"</formula>
    </cfRule>
  </conditionalFormatting>
  <conditionalFormatting sqref="AG990">
    <cfRule type="cellIs" dxfId="0" priority="1424" operator="equal">
      <formula>"未完成"</formula>
    </cfRule>
  </conditionalFormatting>
  <conditionalFormatting sqref="AI990:AJ990">
    <cfRule type="cellIs" dxfId="0" priority="1211" operator="equal">
      <formula>"未完成"</formula>
    </cfRule>
    <cfRule type="cellIs" dxfId="1" priority="1140" operator="equal">
      <formula>"未完成"</formula>
    </cfRule>
  </conditionalFormatting>
  <conditionalFormatting sqref="AK990">
    <cfRule type="cellIs" dxfId="0" priority="1495" operator="equal">
      <formula>"欠"</formula>
    </cfRule>
  </conditionalFormatting>
  <conditionalFormatting sqref="R991">
    <cfRule type="cellIs" dxfId="0" priority="997" operator="equal">
      <formula>"欠"</formula>
    </cfRule>
    <cfRule type="containsText" dxfId="2" priority="926" operator="between" text="欠">
      <formula>NOT(ISERROR(SEARCH("欠",R991)))</formula>
    </cfRule>
  </conditionalFormatting>
  <conditionalFormatting sqref="S991">
    <cfRule type="cellIs" dxfId="0" priority="1281" operator="equal">
      <formula>"欠"</formula>
    </cfRule>
  </conditionalFormatting>
  <conditionalFormatting sqref="T991">
    <cfRule type="cellIs" dxfId="0" priority="1352" operator="equal">
      <formula>"欠"</formula>
    </cfRule>
  </conditionalFormatting>
  <conditionalFormatting sqref="U991">
    <cfRule type="cellIs" dxfId="0" priority="1068" operator="equal">
      <formula>"欠"</formula>
    </cfRule>
  </conditionalFormatting>
  <conditionalFormatting sqref="AG991">
    <cfRule type="cellIs" dxfId="0" priority="1423" operator="equal">
      <formula>"未完成"</formula>
    </cfRule>
  </conditionalFormatting>
  <conditionalFormatting sqref="AI991:AJ991">
    <cfRule type="cellIs" dxfId="0" priority="1210" operator="equal">
      <formula>"未完成"</formula>
    </cfRule>
    <cfRule type="cellIs" dxfId="1" priority="1139" operator="equal">
      <formula>"未完成"</formula>
    </cfRule>
  </conditionalFormatting>
  <conditionalFormatting sqref="AK991">
    <cfRule type="cellIs" dxfId="0" priority="1494" operator="equal">
      <formula>"欠"</formula>
    </cfRule>
  </conditionalFormatting>
  <conditionalFormatting sqref="R992">
    <cfRule type="cellIs" dxfId="0" priority="996" operator="equal">
      <formula>"欠"</formula>
    </cfRule>
    <cfRule type="containsText" dxfId="2" priority="925" operator="between" text="欠">
      <formula>NOT(ISERROR(SEARCH("欠",R992)))</formula>
    </cfRule>
  </conditionalFormatting>
  <conditionalFormatting sqref="S992">
    <cfRule type="cellIs" dxfId="0" priority="1280" operator="equal">
      <formula>"欠"</formula>
    </cfRule>
  </conditionalFormatting>
  <conditionalFormatting sqref="T992">
    <cfRule type="cellIs" dxfId="0" priority="1351" operator="equal">
      <formula>"欠"</formula>
    </cfRule>
  </conditionalFormatting>
  <conditionalFormatting sqref="U992">
    <cfRule type="cellIs" dxfId="0" priority="1067" operator="equal">
      <formula>"欠"</formula>
    </cfRule>
  </conditionalFormatting>
  <conditionalFormatting sqref="AG992">
    <cfRule type="cellIs" dxfId="0" priority="1422" operator="equal">
      <formula>"未完成"</formula>
    </cfRule>
  </conditionalFormatting>
  <conditionalFormatting sqref="AI992:AJ992">
    <cfRule type="cellIs" dxfId="0" priority="1209" operator="equal">
      <formula>"未完成"</formula>
    </cfRule>
    <cfRule type="cellIs" dxfId="1" priority="1138" operator="equal">
      <formula>"未完成"</formula>
    </cfRule>
  </conditionalFormatting>
  <conditionalFormatting sqref="AK992">
    <cfRule type="cellIs" dxfId="0" priority="1493" operator="equal">
      <formula>"欠"</formula>
    </cfRule>
  </conditionalFormatting>
  <conditionalFormatting sqref="R993">
    <cfRule type="cellIs" dxfId="0" priority="995" operator="equal">
      <formula>"欠"</formula>
    </cfRule>
    <cfRule type="containsText" dxfId="2" priority="924" operator="between" text="欠">
      <formula>NOT(ISERROR(SEARCH("欠",R993)))</formula>
    </cfRule>
  </conditionalFormatting>
  <conditionalFormatting sqref="S993">
    <cfRule type="cellIs" dxfId="0" priority="1279" operator="equal">
      <formula>"欠"</formula>
    </cfRule>
  </conditionalFormatting>
  <conditionalFormatting sqref="T993">
    <cfRule type="cellIs" dxfId="0" priority="1350" operator="equal">
      <formula>"欠"</formula>
    </cfRule>
  </conditionalFormatting>
  <conditionalFormatting sqref="U993">
    <cfRule type="cellIs" dxfId="0" priority="1066" operator="equal">
      <formula>"欠"</formula>
    </cfRule>
  </conditionalFormatting>
  <conditionalFormatting sqref="AG993">
    <cfRule type="cellIs" dxfId="0" priority="1421" operator="equal">
      <formula>"未完成"</formula>
    </cfRule>
  </conditionalFormatting>
  <conditionalFormatting sqref="AI993:AJ993">
    <cfRule type="cellIs" dxfId="0" priority="1208" operator="equal">
      <formula>"未完成"</formula>
    </cfRule>
    <cfRule type="cellIs" dxfId="1" priority="1137" operator="equal">
      <formula>"未完成"</formula>
    </cfRule>
  </conditionalFormatting>
  <conditionalFormatting sqref="AK993">
    <cfRule type="cellIs" dxfId="0" priority="1492" operator="equal">
      <formula>"欠"</formula>
    </cfRule>
  </conditionalFormatting>
  <conditionalFormatting sqref="R994">
    <cfRule type="cellIs" dxfId="0" priority="994" operator="equal">
      <formula>"欠"</formula>
    </cfRule>
    <cfRule type="containsText" dxfId="2" priority="923" operator="between" text="欠">
      <formula>NOT(ISERROR(SEARCH("欠",R994)))</formula>
    </cfRule>
  </conditionalFormatting>
  <conditionalFormatting sqref="S994">
    <cfRule type="cellIs" dxfId="0" priority="1278" operator="equal">
      <formula>"欠"</formula>
    </cfRule>
  </conditionalFormatting>
  <conditionalFormatting sqref="T994">
    <cfRule type="cellIs" dxfId="0" priority="1349" operator="equal">
      <formula>"欠"</formula>
    </cfRule>
  </conditionalFormatting>
  <conditionalFormatting sqref="U994">
    <cfRule type="cellIs" dxfId="0" priority="1065" operator="equal">
      <formula>"欠"</formula>
    </cfRule>
  </conditionalFormatting>
  <conditionalFormatting sqref="AG994">
    <cfRule type="cellIs" dxfId="0" priority="1420" operator="equal">
      <formula>"未完成"</formula>
    </cfRule>
  </conditionalFormatting>
  <conditionalFormatting sqref="AI994:AJ994">
    <cfRule type="cellIs" dxfId="0" priority="1207" operator="equal">
      <formula>"未完成"</formula>
    </cfRule>
    <cfRule type="cellIs" dxfId="1" priority="1136" operator="equal">
      <formula>"未完成"</formula>
    </cfRule>
  </conditionalFormatting>
  <conditionalFormatting sqref="AK994">
    <cfRule type="cellIs" dxfId="0" priority="1491" operator="equal">
      <formula>"欠"</formula>
    </cfRule>
  </conditionalFormatting>
  <conditionalFormatting sqref="R995">
    <cfRule type="cellIs" dxfId="0" priority="993" operator="equal">
      <formula>"欠"</formula>
    </cfRule>
    <cfRule type="containsText" dxfId="2" priority="922" operator="between" text="欠">
      <formula>NOT(ISERROR(SEARCH("欠",R995)))</formula>
    </cfRule>
  </conditionalFormatting>
  <conditionalFormatting sqref="S995">
    <cfRule type="cellIs" dxfId="0" priority="1277" operator="equal">
      <formula>"欠"</formula>
    </cfRule>
  </conditionalFormatting>
  <conditionalFormatting sqref="T995">
    <cfRule type="cellIs" dxfId="0" priority="1348" operator="equal">
      <formula>"欠"</formula>
    </cfRule>
  </conditionalFormatting>
  <conditionalFormatting sqref="U995">
    <cfRule type="cellIs" dxfId="0" priority="1064" operator="equal">
      <formula>"欠"</formula>
    </cfRule>
  </conditionalFormatting>
  <conditionalFormatting sqref="AG995">
    <cfRule type="cellIs" dxfId="0" priority="1419" operator="equal">
      <formula>"未完成"</formula>
    </cfRule>
  </conditionalFormatting>
  <conditionalFormatting sqref="AI995:AJ995">
    <cfRule type="cellIs" dxfId="0" priority="1206" operator="equal">
      <formula>"未完成"</formula>
    </cfRule>
    <cfRule type="cellIs" dxfId="1" priority="1135" operator="equal">
      <formula>"未完成"</formula>
    </cfRule>
  </conditionalFormatting>
  <conditionalFormatting sqref="AK995">
    <cfRule type="cellIs" dxfId="0" priority="1490" operator="equal">
      <formula>"欠"</formula>
    </cfRule>
  </conditionalFormatting>
  <conditionalFormatting sqref="R996">
    <cfRule type="cellIs" dxfId="0" priority="992" operator="equal">
      <formula>"欠"</formula>
    </cfRule>
    <cfRule type="containsText" dxfId="2" priority="921" operator="between" text="欠">
      <formula>NOT(ISERROR(SEARCH("欠",R996)))</formula>
    </cfRule>
  </conditionalFormatting>
  <conditionalFormatting sqref="S996">
    <cfRule type="cellIs" dxfId="0" priority="1276" operator="equal">
      <formula>"欠"</formula>
    </cfRule>
  </conditionalFormatting>
  <conditionalFormatting sqref="T996">
    <cfRule type="cellIs" dxfId="0" priority="1347" operator="equal">
      <formula>"欠"</formula>
    </cfRule>
  </conditionalFormatting>
  <conditionalFormatting sqref="U996">
    <cfRule type="cellIs" dxfId="0" priority="1063" operator="equal">
      <formula>"欠"</formula>
    </cfRule>
  </conditionalFormatting>
  <conditionalFormatting sqref="AG996">
    <cfRule type="cellIs" dxfId="0" priority="1418" operator="equal">
      <formula>"未完成"</formula>
    </cfRule>
  </conditionalFormatting>
  <conditionalFormatting sqref="AI996:AJ996">
    <cfRule type="cellIs" dxfId="0" priority="1205" operator="equal">
      <formula>"未完成"</formula>
    </cfRule>
    <cfRule type="cellIs" dxfId="1" priority="1134" operator="equal">
      <formula>"未完成"</formula>
    </cfRule>
  </conditionalFormatting>
  <conditionalFormatting sqref="AK996">
    <cfRule type="cellIs" dxfId="0" priority="1489" operator="equal">
      <formula>"欠"</formula>
    </cfRule>
  </conditionalFormatting>
  <conditionalFormatting sqref="R997">
    <cfRule type="cellIs" dxfId="0" priority="991" operator="equal">
      <formula>"欠"</formula>
    </cfRule>
    <cfRule type="containsText" dxfId="2" priority="920" operator="between" text="欠">
      <formula>NOT(ISERROR(SEARCH("欠",R997)))</formula>
    </cfRule>
  </conditionalFormatting>
  <conditionalFormatting sqref="S997">
    <cfRule type="cellIs" dxfId="0" priority="1275" operator="equal">
      <formula>"欠"</formula>
    </cfRule>
  </conditionalFormatting>
  <conditionalFormatting sqref="T997">
    <cfRule type="cellIs" dxfId="0" priority="1346" operator="equal">
      <formula>"欠"</formula>
    </cfRule>
  </conditionalFormatting>
  <conditionalFormatting sqref="U997">
    <cfRule type="cellIs" dxfId="0" priority="1062" operator="equal">
      <formula>"欠"</formula>
    </cfRule>
  </conditionalFormatting>
  <conditionalFormatting sqref="AG997">
    <cfRule type="cellIs" dxfId="0" priority="1417" operator="equal">
      <formula>"未完成"</formula>
    </cfRule>
  </conditionalFormatting>
  <conditionalFormatting sqref="AI997:AJ997">
    <cfRule type="cellIs" dxfId="0" priority="1204" operator="equal">
      <formula>"未完成"</formula>
    </cfRule>
    <cfRule type="cellIs" dxfId="1" priority="1133" operator="equal">
      <formula>"未完成"</formula>
    </cfRule>
  </conditionalFormatting>
  <conditionalFormatting sqref="AK997">
    <cfRule type="cellIs" dxfId="0" priority="1488" operator="equal">
      <formula>"欠"</formula>
    </cfRule>
  </conditionalFormatting>
  <conditionalFormatting sqref="R998">
    <cfRule type="cellIs" dxfId="0" priority="990" operator="equal">
      <formula>"欠"</formula>
    </cfRule>
    <cfRule type="containsText" dxfId="2" priority="919" operator="between" text="欠">
      <formula>NOT(ISERROR(SEARCH("欠",R998)))</formula>
    </cfRule>
  </conditionalFormatting>
  <conditionalFormatting sqref="S998">
    <cfRule type="cellIs" dxfId="0" priority="1274" operator="equal">
      <formula>"欠"</formula>
    </cfRule>
  </conditionalFormatting>
  <conditionalFormatting sqref="T998">
    <cfRule type="cellIs" dxfId="0" priority="1345" operator="equal">
      <formula>"欠"</formula>
    </cfRule>
  </conditionalFormatting>
  <conditionalFormatting sqref="U998">
    <cfRule type="cellIs" dxfId="0" priority="1061" operator="equal">
      <formula>"欠"</formula>
    </cfRule>
  </conditionalFormatting>
  <conditionalFormatting sqref="AG998">
    <cfRule type="cellIs" dxfId="0" priority="1416" operator="equal">
      <formula>"未完成"</formula>
    </cfRule>
  </conditionalFormatting>
  <conditionalFormatting sqref="AI998:AJ998">
    <cfRule type="cellIs" dxfId="0" priority="1203" operator="equal">
      <formula>"未完成"</formula>
    </cfRule>
    <cfRule type="cellIs" dxfId="1" priority="1132" operator="equal">
      <formula>"未完成"</formula>
    </cfRule>
  </conditionalFormatting>
  <conditionalFormatting sqref="AK998">
    <cfRule type="cellIs" dxfId="0" priority="1487" operator="equal">
      <formula>"欠"</formula>
    </cfRule>
  </conditionalFormatting>
  <conditionalFormatting sqref="R999">
    <cfRule type="cellIs" dxfId="0" priority="989" operator="equal">
      <formula>"欠"</formula>
    </cfRule>
    <cfRule type="containsText" dxfId="2" priority="918" operator="between" text="欠">
      <formula>NOT(ISERROR(SEARCH("欠",R999)))</formula>
    </cfRule>
  </conditionalFormatting>
  <conditionalFormatting sqref="S999">
    <cfRule type="cellIs" dxfId="0" priority="1273" operator="equal">
      <formula>"欠"</formula>
    </cfRule>
  </conditionalFormatting>
  <conditionalFormatting sqref="T999">
    <cfRule type="cellIs" dxfId="0" priority="1344" operator="equal">
      <formula>"欠"</formula>
    </cfRule>
  </conditionalFormatting>
  <conditionalFormatting sqref="U999">
    <cfRule type="cellIs" dxfId="0" priority="1060" operator="equal">
      <formula>"欠"</formula>
    </cfRule>
  </conditionalFormatting>
  <conditionalFormatting sqref="AG999">
    <cfRule type="cellIs" dxfId="0" priority="1415" operator="equal">
      <formula>"未完成"</formula>
    </cfRule>
  </conditionalFormatting>
  <conditionalFormatting sqref="AI999:AJ999">
    <cfRule type="cellIs" dxfId="0" priority="1202" operator="equal">
      <formula>"未完成"</formula>
    </cfRule>
    <cfRule type="cellIs" dxfId="1" priority="1131" operator="equal">
      <formula>"未完成"</formula>
    </cfRule>
  </conditionalFormatting>
  <conditionalFormatting sqref="AK999">
    <cfRule type="cellIs" dxfId="0" priority="1486" operator="equal">
      <formula>"欠"</formula>
    </cfRule>
  </conditionalFormatting>
  <conditionalFormatting sqref="R1000">
    <cfRule type="cellIs" dxfId="0" priority="988" operator="equal">
      <formula>"欠"</formula>
    </cfRule>
    <cfRule type="containsText" dxfId="2" priority="917" operator="between" text="欠">
      <formula>NOT(ISERROR(SEARCH("欠",R1000)))</formula>
    </cfRule>
  </conditionalFormatting>
  <conditionalFormatting sqref="S1000">
    <cfRule type="cellIs" dxfId="0" priority="1272" operator="equal">
      <formula>"欠"</formula>
    </cfRule>
  </conditionalFormatting>
  <conditionalFormatting sqref="T1000">
    <cfRule type="cellIs" dxfId="0" priority="1343" operator="equal">
      <formula>"欠"</formula>
    </cfRule>
  </conditionalFormatting>
  <conditionalFormatting sqref="U1000">
    <cfRule type="cellIs" dxfId="0" priority="1059" operator="equal">
      <formula>"欠"</formula>
    </cfRule>
  </conditionalFormatting>
  <conditionalFormatting sqref="AG1000">
    <cfRule type="cellIs" dxfId="0" priority="1414" operator="equal">
      <formula>"未完成"</formula>
    </cfRule>
  </conditionalFormatting>
  <conditionalFormatting sqref="AI1000:AJ1000">
    <cfRule type="cellIs" dxfId="0" priority="1201" operator="equal">
      <formula>"未完成"</formula>
    </cfRule>
    <cfRule type="cellIs" dxfId="1" priority="1130" operator="equal">
      <formula>"未完成"</formula>
    </cfRule>
  </conditionalFormatting>
  <conditionalFormatting sqref="AK1000">
    <cfRule type="cellIs" dxfId="0" priority="1485" operator="equal">
      <formula>"欠"</formula>
    </cfRule>
  </conditionalFormatting>
  <conditionalFormatting sqref="R1001">
    <cfRule type="cellIs" dxfId="0" priority="987" operator="equal">
      <formula>"欠"</formula>
    </cfRule>
    <cfRule type="containsText" dxfId="2" priority="916" operator="between" text="欠">
      <formula>NOT(ISERROR(SEARCH("欠",R1001)))</formula>
    </cfRule>
  </conditionalFormatting>
  <conditionalFormatting sqref="S1001">
    <cfRule type="cellIs" dxfId="0" priority="1271" operator="equal">
      <formula>"欠"</formula>
    </cfRule>
  </conditionalFormatting>
  <conditionalFormatting sqref="T1001">
    <cfRule type="cellIs" dxfId="0" priority="1342" operator="equal">
      <formula>"欠"</formula>
    </cfRule>
  </conditionalFormatting>
  <conditionalFormatting sqref="U1001">
    <cfRule type="cellIs" dxfId="0" priority="1058" operator="equal">
      <formula>"欠"</formula>
    </cfRule>
  </conditionalFormatting>
  <conditionalFormatting sqref="AG1001">
    <cfRule type="cellIs" dxfId="0" priority="1413" operator="equal">
      <formula>"未完成"</formula>
    </cfRule>
  </conditionalFormatting>
  <conditionalFormatting sqref="AI1001:AJ1001">
    <cfRule type="cellIs" dxfId="0" priority="1200" operator="equal">
      <formula>"未完成"</formula>
    </cfRule>
    <cfRule type="cellIs" dxfId="1" priority="1129" operator="equal">
      <formula>"未完成"</formula>
    </cfRule>
  </conditionalFormatting>
  <conditionalFormatting sqref="AK1001">
    <cfRule type="cellIs" dxfId="0" priority="1484" operator="equal">
      <formula>"欠"</formula>
    </cfRule>
  </conditionalFormatting>
  <conditionalFormatting sqref="R1002">
    <cfRule type="cellIs" dxfId="0" priority="986" operator="equal">
      <formula>"欠"</formula>
    </cfRule>
    <cfRule type="containsText" dxfId="2" priority="915" operator="between" text="欠">
      <formula>NOT(ISERROR(SEARCH("欠",R1002)))</formula>
    </cfRule>
  </conditionalFormatting>
  <conditionalFormatting sqref="S1002">
    <cfRule type="cellIs" dxfId="0" priority="1270" operator="equal">
      <formula>"欠"</formula>
    </cfRule>
  </conditionalFormatting>
  <conditionalFormatting sqref="T1002">
    <cfRule type="cellIs" dxfId="0" priority="1341" operator="equal">
      <formula>"欠"</formula>
    </cfRule>
  </conditionalFormatting>
  <conditionalFormatting sqref="U1002">
    <cfRule type="cellIs" dxfId="0" priority="1057" operator="equal">
      <formula>"欠"</formula>
    </cfRule>
  </conditionalFormatting>
  <conditionalFormatting sqref="AG1002">
    <cfRule type="cellIs" dxfId="0" priority="1412" operator="equal">
      <formula>"未完成"</formula>
    </cfRule>
  </conditionalFormatting>
  <conditionalFormatting sqref="AI1002:AJ1002">
    <cfRule type="cellIs" dxfId="0" priority="1199" operator="equal">
      <formula>"未完成"</formula>
    </cfRule>
    <cfRule type="cellIs" dxfId="1" priority="1128" operator="equal">
      <formula>"未完成"</formula>
    </cfRule>
  </conditionalFormatting>
  <conditionalFormatting sqref="AK1002">
    <cfRule type="cellIs" dxfId="0" priority="1483" operator="equal">
      <formula>"欠"</formula>
    </cfRule>
  </conditionalFormatting>
  <conditionalFormatting sqref="R1003">
    <cfRule type="cellIs" dxfId="0" priority="985" operator="equal">
      <formula>"欠"</formula>
    </cfRule>
    <cfRule type="containsText" dxfId="2" priority="914" operator="between" text="欠">
      <formula>NOT(ISERROR(SEARCH("欠",R1003)))</formula>
    </cfRule>
  </conditionalFormatting>
  <conditionalFormatting sqref="S1003">
    <cfRule type="cellIs" dxfId="0" priority="1269" operator="equal">
      <formula>"欠"</formula>
    </cfRule>
  </conditionalFormatting>
  <conditionalFormatting sqref="T1003">
    <cfRule type="cellIs" dxfId="0" priority="1340" operator="equal">
      <formula>"欠"</formula>
    </cfRule>
  </conditionalFormatting>
  <conditionalFormatting sqref="U1003">
    <cfRule type="cellIs" dxfId="0" priority="1056" operator="equal">
      <formula>"欠"</formula>
    </cfRule>
  </conditionalFormatting>
  <conditionalFormatting sqref="AG1003">
    <cfRule type="cellIs" dxfId="0" priority="1411" operator="equal">
      <formula>"未完成"</formula>
    </cfRule>
  </conditionalFormatting>
  <conditionalFormatting sqref="AI1003:AJ1003">
    <cfRule type="cellIs" dxfId="0" priority="1198" operator="equal">
      <formula>"未完成"</formula>
    </cfRule>
    <cfRule type="cellIs" dxfId="1" priority="1127" operator="equal">
      <formula>"未完成"</formula>
    </cfRule>
  </conditionalFormatting>
  <conditionalFormatting sqref="AK1003">
    <cfRule type="cellIs" dxfId="0" priority="1482" operator="equal">
      <formula>"欠"</formula>
    </cfRule>
  </conditionalFormatting>
  <conditionalFormatting sqref="R1004">
    <cfRule type="cellIs" dxfId="0" priority="984" operator="equal">
      <formula>"欠"</formula>
    </cfRule>
    <cfRule type="containsText" dxfId="2" priority="913" operator="between" text="欠">
      <formula>NOT(ISERROR(SEARCH("欠",R1004)))</formula>
    </cfRule>
  </conditionalFormatting>
  <conditionalFormatting sqref="S1004">
    <cfRule type="cellIs" dxfId="0" priority="1268" operator="equal">
      <formula>"欠"</formula>
    </cfRule>
  </conditionalFormatting>
  <conditionalFormatting sqref="T1004">
    <cfRule type="cellIs" dxfId="0" priority="1339" operator="equal">
      <formula>"欠"</formula>
    </cfRule>
  </conditionalFormatting>
  <conditionalFormatting sqref="U1004">
    <cfRule type="cellIs" dxfId="0" priority="1055" operator="equal">
      <formula>"欠"</formula>
    </cfRule>
  </conditionalFormatting>
  <conditionalFormatting sqref="AG1004">
    <cfRule type="cellIs" dxfId="0" priority="1410" operator="equal">
      <formula>"未完成"</formula>
    </cfRule>
  </conditionalFormatting>
  <conditionalFormatting sqref="AI1004:AJ1004">
    <cfRule type="cellIs" dxfId="0" priority="1197" operator="equal">
      <formula>"未完成"</formula>
    </cfRule>
    <cfRule type="cellIs" dxfId="1" priority="1126" operator="equal">
      <formula>"未完成"</formula>
    </cfRule>
  </conditionalFormatting>
  <conditionalFormatting sqref="AK1004">
    <cfRule type="cellIs" dxfId="0" priority="1481" operator="equal">
      <formula>"欠"</formula>
    </cfRule>
  </conditionalFormatting>
  <conditionalFormatting sqref="R1005">
    <cfRule type="cellIs" dxfId="0" priority="983" operator="equal">
      <formula>"欠"</formula>
    </cfRule>
    <cfRule type="containsText" dxfId="2" priority="912" operator="between" text="欠">
      <formula>NOT(ISERROR(SEARCH("欠",R1005)))</formula>
    </cfRule>
  </conditionalFormatting>
  <conditionalFormatting sqref="S1005">
    <cfRule type="cellIs" dxfId="0" priority="1267" operator="equal">
      <formula>"欠"</formula>
    </cfRule>
  </conditionalFormatting>
  <conditionalFormatting sqref="T1005">
    <cfRule type="cellIs" dxfId="0" priority="1338" operator="equal">
      <formula>"欠"</formula>
    </cfRule>
  </conditionalFormatting>
  <conditionalFormatting sqref="U1005">
    <cfRule type="cellIs" dxfId="0" priority="1054" operator="equal">
      <formula>"欠"</formula>
    </cfRule>
  </conditionalFormatting>
  <conditionalFormatting sqref="AG1005">
    <cfRule type="cellIs" dxfId="0" priority="1409" operator="equal">
      <formula>"未完成"</formula>
    </cfRule>
  </conditionalFormatting>
  <conditionalFormatting sqref="AI1005:AJ1005">
    <cfRule type="cellIs" dxfId="0" priority="1196" operator="equal">
      <formula>"未完成"</formula>
    </cfRule>
    <cfRule type="cellIs" dxfId="1" priority="1125" operator="equal">
      <formula>"未完成"</formula>
    </cfRule>
  </conditionalFormatting>
  <conditionalFormatting sqref="AK1005">
    <cfRule type="cellIs" dxfId="0" priority="1480" operator="equal">
      <formula>"欠"</formula>
    </cfRule>
  </conditionalFormatting>
  <conditionalFormatting sqref="R1006">
    <cfRule type="cellIs" dxfId="0" priority="982" operator="equal">
      <formula>"欠"</formula>
    </cfRule>
    <cfRule type="containsText" dxfId="2" priority="911" operator="between" text="欠">
      <formula>NOT(ISERROR(SEARCH("欠",R1006)))</formula>
    </cfRule>
  </conditionalFormatting>
  <conditionalFormatting sqref="S1006">
    <cfRule type="cellIs" dxfId="0" priority="1266" operator="equal">
      <formula>"欠"</formula>
    </cfRule>
  </conditionalFormatting>
  <conditionalFormatting sqref="T1006">
    <cfRule type="cellIs" dxfId="0" priority="1337" operator="equal">
      <formula>"欠"</formula>
    </cfRule>
  </conditionalFormatting>
  <conditionalFormatting sqref="U1006">
    <cfRule type="cellIs" dxfId="0" priority="1053" operator="equal">
      <formula>"欠"</formula>
    </cfRule>
  </conditionalFormatting>
  <conditionalFormatting sqref="AG1006">
    <cfRule type="cellIs" dxfId="0" priority="1408" operator="equal">
      <formula>"未完成"</formula>
    </cfRule>
  </conditionalFormatting>
  <conditionalFormatting sqref="AI1006:AJ1006">
    <cfRule type="cellIs" dxfId="0" priority="1195" operator="equal">
      <formula>"未完成"</formula>
    </cfRule>
    <cfRule type="cellIs" dxfId="1" priority="1124" operator="equal">
      <formula>"未完成"</formula>
    </cfRule>
  </conditionalFormatting>
  <conditionalFormatting sqref="AK1006">
    <cfRule type="cellIs" dxfId="0" priority="1479" operator="equal">
      <formula>"欠"</formula>
    </cfRule>
  </conditionalFormatting>
  <conditionalFormatting sqref="R1007">
    <cfRule type="cellIs" dxfId="0" priority="981" operator="equal">
      <formula>"欠"</formula>
    </cfRule>
    <cfRule type="containsText" dxfId="2" priority="910" operator="between" text="欠">
      <formula>NOT(ISERROR(SEARCH("欠",R1007)))</formula>
    </cfRule>
  </conditionalFormatting>
  <conditionalFormatting sqref="T1007">
    <cfRule type="cellIs" dxfId="0" priority="1336" operator="equal">
      <formula>"欠"</formula>
    </cfRule>
  </conditionalFormatting>
  <conditionalFormatting sqref="U1007">
    <cfRule type="cellIs" dxfId="0" priority="1052" operator="equal">
      <formula>"欠"</formula>
    </cfRule>
  </conditionalFormatting>
  <conditionalFormatting sqref="AG1007">
    <cfRule type="cellIs" dxfId="0" priority="1407" operator="equal">
      <formula>"未完成"</formula>
    </cfRule>
  </conditionalFormatting>
  <conditionalFormatting sqref="AI1007:AJ1007">
    <cfRule type="cellIs" dxfId="0" priority="1194" operator="equal">
      <formula>"未完成"</formula>
    </cfRule>
    <cfRule type="cellIs" dxfId="1" priority="1123" operator="equal">
      <formula>"未完成"</formula>
    </cfRule>
  </conditionalFormatting>
  <conditionalFormatting sqref="AK1007">
    <cfRule type="cellIs" dxfId="0" priority="1478" operator="equal">
      <formula>"欠"</formula>
    </cfRule>
  </conditionalFormatting>
  <conditionalFormatting sqref="R1008">
    <cfRule type="cellIs" dxfId="0" priority="980" operator="equal">
      <formula>"欠"</formula>
    </cfRule>
    <cfRule type="containsText" dxfId="2" priority="909" operator="between" text="欠">
      <formula>NOT(ISERROR(SEARCH("欠",R1008)))</formula>
    </cfRule>
  </conditionalFormatting>
  <conditionalFormatting sqref="T1008">
    <cfRule type="cellIs" dxfId="0" priority="1335" operator="equal">
      <formula>"欠"</formula>
    </cfRule>
  </conditionalFormatting>
  <conditionalFormatting sqref="U1008">
    <cfRule type="cellIs" dxfId="0" priority="1051" operator="equal">
      <formula>"欠"</formula>
    </cfRule>
  </conditionalFormatting>
  <conditionalFormatting sqref="AG1008">
    <cfRule type="cellIs" dxfId="0" priority="1406" operator="equal">
      <formula>"未完成"</formula>
    </cfRule>
  </conditionalFormatting>
  <conditionalFormatting sqref="AI1008:AJ1008">
    <cfRule type="cellIs" dxfId="0" priority="1193" operator="equal">
      <formula>"未完成"</formula>
    </cfRule>
    <cfRule type="cellIs" dxfId="1" priority="1122" operator="equal">
      <formula>"未完成"</formula>
    </cfRule>
  </conditionalFormatting>
  <conditionalFormatting sqref="AK1008">
    <cfRule type="cellIs" dxfId="0" priority="1477" operator="equal">
      <formula>"欠"</formula>
    </cfRule>
  </conditionalFormatting>
  <conditionalFormatting sqref="R1009">
    <cfRule type="cellIs" dxfId="0" priority="979" operator="equal">
      <formula>"欠"</formula>
    </cfRule>
    <cfRule type="containsText" dxfId="2" priority="908" operator="between" text="欠">
      <formula>NOT(ISERROR(SEARCH("欠",R1009)))</formula>
    </cfRule>
  </conditionalFormatting>
  <conditionalFormatting sqref="T1009">
    <cfRule type="cellIs" dxfId="0" priority="1334" operator="equal">
      <formula>"欠"</formula>
    </cfRule>
  </conditionalFormatting>
  <conditionalFormatting sqref="U1009">
    <cfRule type="cellIs" dxfId="0" priority="1050" operator="equal">
      <formula>"欠"</formula>
    </cfRule>
  </conditionalFormatting>
  <conditionalFormatting sqref="AG1009">
    <cfRule type="cellIs" dxfId="0" priority="1405" operator="equal">
      <formula>"未完成"</formula>
    </cfRule>
  </conditionalFormatting>
  <conditionalFormatting sqref="AI1009:AJ1009">
    <cfRule type="cellIs" dxfId="0" priority="1192" operator="equal">
      <formula>"未完成"</formula>
    </cfRule>
    <cfRule type="cellIs" dxfId="1" priority="1121" operator="equal">
      <formula>"未完成"</formula>
    </cfRule>
  </conditionalFormatting>
  <conditionalFormatting sqref="AK1009">
    <cfRule type="cellIs" dxfId="0" priority="1476" operator="equal">
      <formula>"欠"</formula>
    </cfRule>
  </conditionalFormatting>
  <conditionalFormatting sqref="R1010">
    <cfRule type="cellIs" dxfId="0" priority="978" operator="equal">
      <formula>"欠"</formula>
    </cfRule>
    <cfRule type="containsText" dxfId="2" priority="907" operator="between" text="欠">
      <formula>NOT(ISERROR(SEARCH("欠",R1010)))</formula>
    </cfRule>
  </conditionalFormatting>
  <conditionalFormatting sqref="S1010">
    <cfRule type="cellIs" dxfId="0" priority="1262" operator="equal">
      <formula>"欠"</formula>
    </cfRule>
  </conditionalFormatting>
  <conditionalFormatting sqref="T1010">
    <cfRule type="cellIs" dxfId="0" priority="1333" operator="equal">
      <formula>"欠"</formula>
    </cfRule>
  </conditionalFormatting>
  <conditionalFormatting sqref="U1010">
    <cfRule type="cellIs" dxfId="0" priority="1049" operator="equal">
      <formula>"欠"</formula>
    </cfRule>
  </conditionalFormatting>
  <conditionalFormatting sqref="AG1010">
    <cfRule type="cellIs" dxfId="0" priority="1404" operator="equal">
      <formula>"未完成"</formula>
    </cfRule>
  </conditionalFormatting>
  <conditionalFormatting sqref="AI1010:AJ1010">
    <cfRule type="cellIs" dxfId="0" priority="1191" operator="equal">
      <formula>"未完成"</formula>
    </cfRule>
    <cfRule type="cellIs" dxfId="1" priority="1120" operator="equal">
      <formula>"未完成"</formula>
    </cfRule>
  </conditionalFormatting>
  <conditionalFormatting sqref="AK1010">
    <cfRule type="cellIs" dxfId="0" priority="1475" operator="equal">
      <formula>"欠"</formula>
    </cfRule>
  </conditionalFormatting>
  <conditionalFormatting sqref="R1011">
    <cfRule type="cellIs" dxfId="0" priority="977" operator="equal">
      <formula>"欠"</formula>
    </cfRule>
    <cfRule type="containsText" dxfId="2" priority="906" operator="between" text="欠">
      <formula>NOT(ISERROR(SEARCH("欠",R1011)))</formula>
    </cfRule>
  </conditionalFormatting>
  <conditionalFormatting sqref="S1011">
    <cfRule type="cellIs" dxfId="0" priority="1261" operator="equal">
      <formula>"欠"</formula>
    </cfRule>
  </conditionalFormatting>
  <conditionalFormatting sqref="T1011">
    <cfRule type="cellIs" dxfId="0" priority="1332" operator="equal">
      <formula>"欠"</formula>
    </cfRule>
  </conditionalFormatting>
  <conditionalFormatting sqref="U1011">
    <cfRule type="cellIs" dxfId="0" priority="1048" operator="equal">
      <formula>"欠"</formula>
    </cfRule>
  </conditionalFormatting>
  <conditionalFormatting sqref="AG1011">
    <cfRule type="cellIs" dxfId="0" priority="1403" operator="equal">
      <formula>"未完成"</formula>
    </cfRule>
  </conditionalFormatting>
  <conditionalFormatting sqref="AI1011:AJ1011">
    <cfRule type="cellIs" dxfId="0" priority="1190" operator="equal">
      <formula>"未完成"</formula>
    </cfRule>
    <cfRule type="cellIs" dxfId="1" priority="1119" operator="equal">
      <formula>"未完成"</formula>
    </cfRule>
  </conditionalFormatting>
  <conditionalFormatting sqref="AK1011">
    <cfRule type="cellIs" dxfId="0" priority="1474" operator="equal">
      <formula>"欠"</formula>
    </cfRule>
  </conditionalFormatting>
  <conditionalFormatting sqref="R1012">
    <cfRule type="cellIs" dxfId="0" priority="976" operator="equal">
      <formula>"欠"</formula>
    </cfRule>
    <cfRule type="containsText" dxfId="2" priority="905" operator="between" text="欠">
      <formula>NOT(ISERROR(SEARCH("欠",R1012)))</formula>
    </cfRule>
  </conditionalFormatting>
  <conditionalFormatting sqref="S1012">
    <cfRule type="cellIs" dxfId="0" priority="1260" operator="equal">
      <formula>"欠"</formula>
    </cfRule>
  </conditionalFormatting>
  <conditionalFormatting sqref="T1012">
    <cfRule type="cellIs" dxfId="0" priority="1331" operator="equal">
      <formula>"欠"</formula>
    </cfRule>
  </conditionalFormatting>
  <conditionalFormatting sqref="U1012">
    <cfRule type="cellIs" dxfId="0" priority="1047" operator="equal">
      <formula>"欠"</formula>
    </cfRule>
  </conditionalFormatting>
  <conditionalFormatting sqref="AG1012">
    <cfRule type="cellIs" dxfId="0" priority="1402" operator="equal">
      <formula>"未完成"</formula>
    </cfRule>
  </conditionalFormatting>
  <conditionalFormatting sqref="AI1012:AJ1012">
    <cfRule type="cellIs" dxfId="0" priority="1189" operator="equal">
      <formula>"未完成"</formula>
    </cfRule>
    <cfRule type="cellIs" dxfId="1" priority="1118" operator="equal">
      <formula>"未完成"</formula>
    </cfRule>
  </conditionalFormatting>
  <conditionalFormatting sqref="AK1012">
    <cfRule type="cellIs" dxfId="0" priority="1473" operator="equal">
      <formula>"欠"</formula>
    </cfRule>
  </conditionalFormatting>
  <conditionalFormatting sqref="R1013">
    <cfRule type="cellIs" dxfId="0" priority="975" operator="equal">
      <formula>"欠"</formula>
    </cfRule>
    <cfRule type="containsText" dxfId="2" priority="904" operator="between" text="欠">
      <formula>NOT(ISERROR(SEARCH("欠",R1013)))</formula>
    </cfRule>
  </conditionalFormatting>
  <conditionalFormatting sqref="S1013">
    <cfRule type="cellIs" dxfId="0" priority="1259" operator="equal">
      <formula>"欠"</formula>
    </cfRule>
  </conditionalFormatting>
  <conditionalFormatting sqref="T1013">
    <cfRule type="cellIs" dxfId="0" priority="1330" operator="equal">
      <formula>"欠"</formula>
    </cfRule>
  </conditionalFormatting>
  <conditionalFormatting sqref="U1013">
    <cfRule type="cellIs" dxfId="0" priority="1046" operator="equal">
      <formula>"欠"</formula>
    </cfRule>
  </conditionalFormatting>
  <conditionalFormatting sqref="AG1013">
    <cfRule type="cellIs" dxfId="0" priority="1401" operator="equal">
      <formula>"未完成"</formula>
    </cfRule>
  </conditionalFormatting>
  <conditionalFormatting sqref="AI1013:AJ1013">
    <cfRule type="cellIs" dxfId="0" priority="1188" operator="equal">
      <formula>"未完成"</formula>
    </cfRule>
    <cfRule type="cellIs" dxfId="1" priority="1117" operator="equal">
      <formula>"未完成"</formula>
    </cfRule>
  </conditionalFormatting>
  <conditionalFormatting sqref="AK1013">
    <cfRule type="cellIs" dxfId="0" priority="1472" operator="equal">
      <formula>"欠"</formula>
    </cfRule>
  </conditionalFormatting>
  <conditionalFormatting sqref="R1014">
    <cfRule type="cellIs" dxfId="0" priority="974" operator="equal">
      <formula>"欠"</formula>
    </cfRule>
    <cfRule type="containsText" dxfId="2" priority="903" operator="between" text="欠">
      <formula>NOT(ISERROR(SEARCH("欠",R1014)))</formula>
    </cfRule>
  </conditionalFormatting>
  <conditionalFormatting sqref="S1014">
    <cfRule type="cellIs" dxfId="0" priority="1258" operator="equal">
      <formula>"欠"</formula>
    </cfRule>
  </conditionalFormatting>
  <conditionalFormatting sqref="T1014">
    <cfRule type="cellIs" dxfId="0" priority="1329" operator="equal">
      <formula>"欠"</formula>
    </cfRule>
  </conditionalFormatting>
  <conditionalFormatting sqref="U1014">
    <cfRule type="cellIs" dxfId="0" priority="1045" operator="equal">
      <formula>"欠"</formula>
    </cfRule>
  </conditionalFormatting>
  <conditionalFormatting sqref="AG1014">
    <cfRule type="cellIs" dxfId="0" priority="1400" operator="equal">
      <formula>"未完成"</formula>
    </cfRule>
  </conditionalFormatting>
  <conditionalFormatting sqref="AI1014:AJ1014">
    <cfRule type="cellIs" dxfId="0" priority="1187" operator="equal">
      <formula>"未完成"</formula>
    </cfRule>
    <cfRule type="cellIs" dxfId="1" priority="1116" operator="equal">
      <formula>"未完成"</formula>
    </cfRule>
  </conditionalFormatting>
  <conditionalFormatting sqref="AK1014">
    <cfRule type="cellIs" dxfId="0" priority="1471" operator="equal">
      <formula>"欠"</formula>
    </cfRule>
  </conditionalFormatting>
  <conditionalFormatting sqref="R1015">
    <cfRule type="cellIs" dxfId="0" priority="973" operator="equal">
      <formula>"欠"</formula>
    </cfRule>
    <cfRule type="containsText" dxfId="2" priority="902" operator="between" text="欠">
      <formula>NOT(ISERROR(SEARCH("欠",R1015)))</formula>
    </cfRule>
  </conditionalFormatting>
  <conditionalFormatting sqref="S1015">
    <cfRule type="cellIs" dxfId="0" priority="1257" operator="equal">
      <formula>"欠"</formula>
    </cfRule>
  </conditionalFormatting>
  <conditionalFormatting sqref="T1015">
    <cfRule type="cellIs" dxfId="0" priority="1328" operator="equal">
      <formula>"欠"</formula>
    </cfRule>
  </conditionalFormatting>
  <conditionalFormatting sqref="U1015">
    <cfRule type="cellIs" dxfId="0" priority="1044" operator="equal">
      <formula>"欠"</formula>
    </cfRule>
  </conditionalFormatting>
  <conditionalFormatting sqref="AG1015">
    <cfRule type="cellIs" dxfId="0" priority="1399" operator="equal">
      <formula>"未完成"</formula>
    </cfRule>
  </conditionalFormatting>
  <conditionalFormatting sqref="AI1015:AJ1015">
    <cfRule type="cellIs" dxfId="0" priority="1186" operator="equal">
      <formula>"未完成"</formula>
    </cfRule>
    <cfRule type="cellIs" dxfId="1" priority="1115" operator="equal">
      <formula>"未完成"</formula>
    </cfRule>
  </conditionalFormatting>
  <conditionalFormatting sqref="AK1015">
    <cfRule type="cellIs" dxfId="0" priority="1470" operator="equal">
      <formula>"欠"</formula>
    </cfRule>
  </conditionalFormatting>
  <conditionalFormatting sqref="R1016">
    <cfRule type="cellIs" dxfId="0" priority="972" operator="equal">
      <formula>"欠"</formula>
    </cfRule>
    <cfRule type="containsText" dxfId="2" priority="901" operator="between" text="欠">
      <formula>NOT(ISERROR(SEARCH("欠",R1016)))</formula>
    </cfRule>
  </conditionalFormatting>
  <conditionalFormatting sqref="S1016">
    <cfRule type="cellIs" dxfId="0" priority="1256" operator="equal">
      <formula>"欠"</formula>
    </cfRule>
  </conditionalFormatting>
  <conditionalFormatting sqref="T1016">
    <cfRule type="cellIs" dxfId="0" priority="1327" operator="equal">
      <formula>"欠"</formula>
    </cfRule>
  </conditionalFormatting>
  <conditionalFormatting sqref="U1016">
    <cfRule type="cellIs" dxfId="0" priority="1043" operator="equal">
      <formula>"欠"</formula>
    </cfRule>
  </conditionalFormatting>
  <conditionalFormatting sqref="AG1016">
    <cfRule type="cellIs" dxfId="0" priority="1398" operator="equal">
      <formula>"未完成"</formula>
    </cfRule>
  </conditionalFormatting>
  <conditionalFormatting sqref="AI1016:AJ1016">
    <cfRule type="cellIs" dxfId="0" priority="1185" operator="equal">
      <formula>"未完成"</formula>
    </cfRule>
    <cfRule type="cellIs" dxfId="1" priority="1114" operator="equal">
      <formula>"未完成"</formula>
    </cfRule>
  </conditionalFormatting>
  <conditionalFormatting sqref="AK1016">
    <cfRule type="cellIs" dxfId="0" priority="1469" operator="equal">
      <formula>"欠"</formula>
    </cfRule>
  </conditionalFormatting>
  <conditionalFormatting sqref="R1017">
    <cfRule type="cellIs" dxfId="0" priority="971" operator="equal">
      <formula>"欠"</formula>
    </cfRule>
    <cfRule type="containsText" dxfId="2" priority="900" operator="between" text="欠">
      <formula>NOT(ISERROR(SEARCH("欠",R1017)))</formula>
    </cfRule>
  </conditionalFormatting>
  <conditionalFormatting sqref="S1017">
    <cfRule type="cellIs" dxfId="0" priority="1255" operator="equal">
      <formula>"欠"</formula>
    </cfRule>
  </conditionalFormatting>
  <conditionalFormatting sqref="T1017">
    <cfRule type="cellIs" dxfId="0" priority="1326" operator="equal">
      <formula>"欠"</formula>
    </cfRule>
  </conditionalFormatting>
  <conditionalFormatting sqref="U1017">
    <cfRule type="cellIs" dxfId="0" priority="1042" operator="equal">
      <formula>"欠"</formula>
    </cfRule>
  </conditionalFormatting>
  <conditionalFormatting sqref="AG1017">
    <cfRule type="cellIs" dxfId="0" priority="1397" operator="equal">
      <formula>"未完成"</formula>
    </cfRule>
  </conditionalFormatting>
  <conditionalFormatting sqref="AI1017:AJ1017">
    <cfRule type="cellIs" dxfId="0" priority="1184" operator="equal">
      <formula>"未完成"</formula>
    </cfRule>
    <cfRule type="cellIs" dxfId="1" priority="1113" operator="equal">
      <formula>"未完成"</formula>
    </cfRule>
  </conditionalFormatting>
  <conditionalFormatting sqref="AK1017">
    <cfRule type="cellIs" dxfId="0" priority="1468" operator="equal">
      <formula>"欠"</formula>
    </cfRule>
  </conditionalFormatting>
  <conditionalFormatting sqref="R1018">
    <cfRule type="cellIs" dxfId="0" priority="970" operator="equal">
      <formula>"欠"</formula>
    </cfRule>
    <cfRule type="containsText" dxfId="2" priority="899" operator="between" text="欠">
      <formula>NOT(ISERROR(SEARCH("欠",R1018)))</formula>
    </cfRule>
  </conditionalFormatting>
  <conditionalFormatting sqref="S1018">
    <cfRule type="cellIs" dxfId="0" priority="1254" operator="equal">
      <formula>"欠"</formula>
    </cfRule>
  </conditionalFormatting>
  <conditionalFormatting sqref="T1018">
    <cfRule type="cellIs" dxfId="0" priority="1325" operator="equal">
      <formula>"欠"</formula>
    </cfRule>
  </conditionalFormatting>
  <conditionalFormatting sqref="U1018">
    <cfRule type="cellIs" dxfId="0" priority="1041" operator="equal">
      <formula>"欠"</formula>
    </cfRule>
  </conditionalFormatting>
  <conditionalFormatting sqref="AG1018">
    <cfRule type="cellIs" dxfId="0" priority="1396" operator="equal">
      <formula>"未完成"</formula>
    </cfRule>
  </conditionalFormatting>
  <conditionalFormatting sqref="AI1018:AJ1018">
    <cfRule type="cellIs" dxfId="0" priority="1183" operator="equal">
      <formula>"未完成"</formula>
    </cfRule>
    <cfRule type="cellIs" dxfId="1" priority="1112" operator="equal">
      <formula>"未完成"</formula>
    </cfRule>
  </conditionalFormatting>
  <conditionalFormatting sqref="AK1018">
    <cfRule type="cellIs" dxfId="0" priority="1467" operator="equal">
      <formula>"欠"</formula>
    </cfRule>
  </conditionalFormatting>
  <conditionalFormatting sqref="R1019">
    <cfRule type="cellIs" dxfId="0" priority="380" operator="equal">
      <formula>"欠"</formula>
    </cfRule>
    <cfRule type="containsText" dxfId="2" priority="342" operator="between" text="欠">
      <formula>NOT(ISERROR(SEARCH("欠",R1019)))</formula>
    </cfRule>
  </conditionalFormatting>
  <conditionalFormatting sqref="S1019">
    <cfRule type="cellIs" dxfId="0" priority="532" operator="equal">
      <formula>"欠"</formula>
    </cfRule>
  </conditionalFormatting>
  <conditionalFormatting sqref="T1019">
    <cfRule type="cellIs" dxfId="0" priority="570" operator="equal">
      <formula>"欠"</formula>
    </cfRule>
  </conditionalFormatting>
  <conditionalFormatting sqref="U1019">
    <cfRule type="cellIs" dxfId="0" priority="418" operator="equal">
      <formula>"欠"</formula>
    </cfRule>
  </conditionalFormatting>
  <conditionalFormatting sqref="AG1019">
    <cfRule type="cellIs" dxfId="0" priority="608" operator="equal">
      <formula>"未完成"</formula>
    </cfRule>
  </conditionalFormatting>
  <conditionalFormatting sqref="AI1019:AJ1019">
    <cfRule type="cellIs" dxfId="0" priority="494" operator="equal">
      <formula>"未完成"</formula>
    </cfRule>
    <cfRule type="cellIs" dxfId="1" priority="456" operator="equal">
      <formula>"未完成"</formula>
    </cfRule>
  </conditionalFormatting>
  <conditionalFormatting sqref="AK1019">
    <cfRule type="cellIs" dxfId="0" priority="646" operator="equal">
      <formula>"欠"</formula>
    </cfRule>
  </conditionalFormatting>
  <conditionalFormatting sqref="R1020">
    <cfRule type="cellIs" dxfId="0" priority="379" operator="equal">
      <formula>"欠"</formula>
    </cfRule>
    <cfRule type="containsText" dxfId="2" priority="341" operator="between" text="欠">
      <formula>NOT(ISERROR(SEARCH("欠",R1020)))</formula>
    </cfRule>
  </conditionalFormatting>
  <conditionalFormatting sqref="S1020">
    <cfRule type="cellIs" dxfId="0" priority="531" operator="equal">
      <formula>"欠"</formula>
    </cfRule>
  </conditionalFormatting>
  <conditionalFormatting sqref="T1020">
    <cfRule type="cellIs" dxfId="0" priority="569" operator="equal">
      <formula>"欠"</formula>
    </cfRule>
  </conditionalFormatting>
  <conditionalFormatting sqref="U1020">
    <cfRule type="cellIs" dxfId="0" priority="417" operator="equal">
      <formula>"欠"</formula>
    </cfRule>
  </conditionalFormatting>
  <conditionalFormatting sqref="AG1020">
    <cfRule type="cellIs" dxfId="0" priority="607" operator="equal">
      <formula>"未完成"</formula>
    </cfRule>
  </conditionalFormatting>
  <conditionalFormatting sqref="AI1020:AJ1020">
    <cfRule type="cellIs" dxfId="0" priority="493" operator="equal">
      <formula>"未完成"</formula>
    </cfRule>
    <cfRule type="cellIs" dxfId="1" priority="455" operator="equal">
      <formula>"未完成"</formula>
    </cfRule>
  </conditionalFormatting>
  <conditionalFormatting sqref="AK1020">
    <cfRule type="cellIs" dxfId="0" priority="645" operator="equal">
      <formula>"欠"</formula>
    </cfRule>
  </conditionalFormatting>
  <conditionalFormatting sqref="R1021">
    <cfRule type="cellIs" dxfId="0" priority="378" operator="equal">
      <formula>"欠"</formula>
    </cfRule>
    <cfRule type="containsText" dxfId="2" priority="340" operator="between" text="欠">
      <formula>NOT(ISERROR(SEARCH("欠",R1021)))</formula>
    </cfRule>
  </conditionalFormatting>
  <conditionalFormatting sqref="S1021">
    <cfRule type="cellIs" dxfId="0" priority="530" operator="equal">
      <formula>"欠"</formula>
    </cfRule>
  </conditionalFormatting>
  <conditionalFormatting sqref="T1021">
    <cfRule type="cellIs" dxfId="0" priority="568" operator="equal">
      <formula>"欠"</formula>
    </cfRule>
  </conditionalFormatting>
  <conditionalFormatting sqref="U1021">
    <cfRule type="cellIs" dxfId="0" priority="416" operator="equal">
      <formula>"欠"</formula>
    </cfRule>
  </conditionalFormatting>
  <conditionalFormatting sqref="AG1021">
    <cfRule type="cellIs" dxfId="0" priority="606" operator="equal">
      <formula>"未完成"</formula>
    </cfRule>
  </conditionalFormatting>
  <conditionalFormatting sqref="AI1021:AJ1021">
    <cfRule type="cellIs" dxfId="0" priority="492" operator="equal">
      <formula>"未完成"</formula>
    </cfRule>
    <cfRule type="cellIs" dxfId="1" priority="454" operator="equal">
      <formula>"未完成"</formula>
    </cfRule>
  </conditionalFormatting>
  <conditionalFormatting sqref="AK1021">
    <cfRule type="cellIs" dxfId="0" priority="644" operator="equal">
      <formula>"欠"</formula>
    </cfRule>
  </conditionalFormatting>
  <conditionalFormatting sqref="R1022">
    <cfRule type="cellIs" dxfId="0" priority="377" operator="equal">
      <formula>"欠"</formula>
    </cfRule>
    <cfRule type="containsText" dxfId="2" priority="339" operator="between" text="欠">
      <formula>NOT(ISERROR(SEARCH("欠",R1022)))</formula>
    </cfRule>
  </conditionalFormatting>
  <conditionalFormatting sqref="S1022">
    <cfRule type="cellIs" dxfId="0" priority="529" operator="equal">
      <formula>"欠"</formula>
    </cfRule>
  </conditionalFormatting>
  <conditionalFormatting sqref="T1022">
    <cfRule type="cellIs" dxfId="0" priority="567" operator="equal">
      <formula>"欠"</formula>
    </cfRule>
  </conditionalFormatting>
  <conditionalFormatting sqref="U1022">
    <cfRule type="cellIs" dxfId="0" priority="415" operator="equal">
      <formula>"欠"</formula>
    </cfRule>
  </conditionalFormatting>
  <conditionalFormatting sqref="AG1022">
    <cfRule type="cellIs" dxfId="0" priority="605" operator="equal">
      <formula>"未完成"</formula>
    </cfRule>
  </conditionalFormatting>
  <conditionalFormatting sqref="AI1022:AJ1022">
    <cfRule type="cellIs" dxfId="0" priority="491" operator="equal">
      <formula>"未完成"</formula>
    </cfRule>
    <cfRule type="cellIs" dxfId="1" priority="453" operator="equal">
      <formula>"未完成"</formula>
    </cfRule>
  </conditionalFormatting>
  <conditionalFormatting sqref="AK1022">
    <cfRule type="cellIs" dxfId="0" priority="643" operator="equal">
      <formula>"欠"</formula>
    </cfRule>
  </conditionalFormatting>
  <conditionalFormatting sqref="R1023">
    <cfRule type="cellIs" dxfId="0" priority="376" operator="equal">
      <formula>"欠"</formula>
    </cfRule>
    <cfRule type="containsText" dxfId="2" priority="338" operator="between" text="欠">
      <formula>NOT(ISERROR(SEARCH("欠",R1023)))</formula>
    </cfRule>
  </conditionalFormatting>
  <conditionalFormatting sqref="S1023">
    <cfRule type="cellIs" dxfId="0" priority="528" operator="equal">
      <formula>"欠"</formula>
    </cfRule>
  </conditionalFormatting>
  <conditionalFormatting sqref="T1023">
    <cfRule type="cellIs" dxfId="0" priority="566" operator="equal">
      <formula>"欠"</formula>
    </cfRule>
  </conditionalFormatting>
  <conditionalFormatting sqref="U1023">
    <cfRule type="cellIs" dxfId="0" priority="414" operator="equal">
      <formula>"欠"</formula>
    </cfRule>
  </conditionalFormatting>
  <conditionalFormatting sqref="AG1023">
    <cfRule type="cellIs" dxfId="0" priority="604" operator="equal">
      <formula>"未完成"</formula>
    </cfRule>
  </conditionalFormatting>
  <conditionalFormatting sqref="AI1023:AJ1023">
    <cfRule type="cellIs" dxfId="0" priority="490" operator="equal">
      <formula>"未完成"</formula>
    </cfRule>
    <cfRule type="cellIs" dxfId="1" priority="452" operator="equal">
      <formula>"未完成"</formula>
    </cfRule>
  </conditionalFormatting>
  <conditionalFormatting sqref="AK1023">
    <cfRule type="cellIs" dxfId="0" priority="642" operator="equal">
      <formula>"欠"</formula>
    </cfRule>
  </conditionalFormatting>
  <conditionalFormatting sqref="R1024">
    <cfRule type="cellIs" dxfId="0" priority="375" operator="equal">
      <formula>"欠"</formula>
    </cfRule>
    <cfRule type="containsText" dxfId="2" priority="337" operator="between" text="欠">
      <formula>NOT(ISERROR(SEARCH("欠",R1024)))</formula>
    </cfRule>
  </conditionalFormatting>
  <conditionalFormatting sqref="S1024">
    <cfRule type="cellIs" dxfId="0" priority="527" operator="equal">
      <formula>"欠"</formula>
    </cfRule>
  </conditionalFormatting>
  <conditionalFormatting sqref="T1024">
    <cfRule type="cellIs" dxfId="0" priority="565" operator="equal">
      <formula>"欠"</formula>
    </cfRule>
  </conditionalFormatting>
  <conditionalFormatting sqref="U1024">
    <cfRule type="cellIs" dxfId="0" priority="413" operator="equal">
      <formula>"欠"</formula>
    </cfRule>
  </conditionalFormatting>
  <conditionalFormatting sqref="AG1024">
    <cfRule type="cellIs" dxfId="0" priority="603" operator="equal">
      <formula>"未完成"</formula>
    </cfRule>
  </conditionalFormatting>
  <conditionalFormatting sqref="AI1024:AJ1024">
    <cfRule type="cellIs" dxfId="0" priority="489" operator="equal">
      <formula>"未完成"</formula>
    </cfRule>
    <cfRule type="cellIs" dxfId="1" priority="451" operator="equal">
      <formula>"未完成"</formula>
    </cfRule>
  </conditionalFormatting>
  <conditionalFormatting sqref="AK1024">
    <cfRule type="cellIs" dxfId="0" priority="641" operator="equal">
      <formula>"欠"</formula>
    </cfRule>
  </conditionalFormatting>
  <conditionalFormatting sqref="R1025">
    <cfRule type="cellIs" dxfId="0" priority="374" operator="equal">
      <formula>"欠"</formula>
    </cfRule>
    <cfRule type="containsText" dxfId="2" priority="336" operator="between" text="欠">
      <formula>NOT(ISERROR(SEARCH("欠",R1025)))</formula>
    </cfRule>
  </conditionalFormatting>
  <conditionalFormatting sqref="S1025">
    <cfRule type="cellIs" dxfId="0" priority="526" operator="equal">
      <formula>"欠"</formula>
    </cfRule>
  </conditionalFormatting>
  <conditionalFormatting sqref="T1025">
    <cfRule type="cellIs" dxfId="0" priority="564" operator="equal">
      <formula>"欠"</formula>
    </cfRule>
  </conditionalFormatting>
  <conditionalFormatting sqref="U1025">
    <cfRule type="cellIs" dxfId="0" priority="412" operator="equal">
      <formula>"欠"</formula>
    </cfRule>
  </conditionalFormatting>
  <conditionalFormatting sqref="AG1025">
    <cfRule type="cellIs" dxfId="0" priority="602" operator="equal">
      <formula>"未完成"</formula>
    </cfRule>
  </conditionalFormatting>
  <conditionalFormatting sqref="AI1025:AJ1025">
    <cfRule type="cellIs" dxfId="0" priority="488" operator="equal">
      <formula>"未完成"</formula>
    </cfRule>
    <cfRule type="cellIs" dxfId="1" priority="450" operator="equal">
      <formula>"未完成"</formula>
    </cfRule>
  </conditionalFormatting>
  <conditionalFormatting sqref="AK1025">
    <cfRule type="cellIs" dxfId="0" priority="640" operator="equal">
      <formula>"欠"</formula>
    </cfRule>
  </conditionalFormatting>
  <conditionalFormatting sqref="R1026">
    <cfRule type="cellIs" dxfId="0" priority="373" operator="equal">
      <formula>"欠"</formula>
    </cfRule>
    <cfRule type="containsText" dxfId="2" priority="335" operator="between" text="欠">
      <formula>NOT(ISERROR(SEARCH("欠",R1026)))</formula>
    </cfRule>
  </conditionalFormatting>
  <conditionalFormatting sqref="S1026">
    <cfRule type="cellIs" dxfId="0" priority="525" operator="equal">
      <formula>"欠"</formula>
    </cfRule>
  </conditionalFormatting>
  <conditionalFormatting sqref="T1026">
    <cfRule type="cellIs" dxfId="0" priority="563" operator="equal">
      <formula>"欠"</formula>
    </cfRule>
  </conditionalFormatting>
  <conditionalFormatting sqref="U1026">
    <cfRule type="cellIs" dxfId="0" priority="411" operator="equal">
      <formula>"欠"</formula>
    </cfRule>
  </conditionalFormatting>
  <conditionalFormatting sqref="AG1026">
    <cfRule type="cellIs" dxfId="0" priority="601" operator="equal">
      <formula>"未完成"</formula>
    </cfRule>
  </conditionalFormatting>
  <conditionalFormatting sqref="AI1026:AJ1026">
    <cfRule type="cellIs" dxfId="0" priority="487" operator="equal">
      <formula>"未完成"</formula>
    </cfRule>
    <cfRule type="cellIs" dxfId="1" priority="449" operator="equal">
      <formula>"未完成"</formula>
    </cfRule>
  </conditionalFormatting>
  <conditionalFormatting sqref="AK1026">
    <cfRule type="cellIs" dxfId="0" priority="639" operator="equal">
      <formula>"欠"</formula>
    </cfRule>
  </conditionalFormatting>
  <conditionalFormatting sqref="R1027">
    <cfRule type="cellIs" dxfId="0" priority="372" operator="equal">
      <formula>"欠"</formula>
    </cfRule>
    <cfRule type="containsText" dxfId="2" priority="334" operator="between" text="欠">
      <formula>NOT(ISERROR(SEARCH("欠",R1027)))</formula>
    </cfRule>
  </conditionalFormatting>
  <conditionalFormatting sqref="S1027">
    <cfRule type="cellIs" dxfId="0" priority="524" operator="equal">
      <formula>"欠"</formula>
    </cfRule>
  </conditionalFormatting>
  <conditionalFormatting sqref="T1027">
    <cfRule type="cellIs" dxfId="0" priority="562" operator="equal">
      <formula>"欠"</formula>
    </cfRule>
  </conditionalFormatting>
  <conditionalFormatting sqref="U1027">
    <cfRule type="cellIs" dxfId="0" priority="410" operator="equal">
      <formula>"欠"</formula>
    </cfRule>
  </conditionalFormatting>
  <conditionalFormatting sqref="AG1027">
    <cfRule type="cellIs" dxfId="0" priority="600" operator="equal">
      <formula>"未完成"</formula>
    </cfRule>
  </conditionalFormatting>
  <conditionalFormatting sqref="AI1027:AJ1027">
    <cfRule type="cellIs" dxfId="0" priority="486" operator="equal">
      <formula>"未完成"</formula>
    </cfRule>
    <cfRule type="cellIs" dxfId="1" priority="448" operator="equal">
      <formula>"未完成"</formula>
    </cfRule>
  </conditionalFormatting>
  <conditionalFormatting sqref="AK1027">
    <cfRule type="cellIs" dxfId="0" priority="638" operator="equal">
      <formula>"欠"</formula>
    </cfRule>
  </conditionalFormatting>
  <conditionalFormatting sqref="R1028">
    <cfRule type="cellIs" dxfId="0" priority="371" operator="equal">
      <formula>"欠"</formula>
    </cfRule>
    <cfRule type="containsText" dxfId="2" priority="333" operator="between" text="欠">
      <formula>NOT(ISERROR(SEARCH("欠",R1028)))</formula>
    </cfRule>
  </conditionalFormatting>
  <conditionalFormatting sqref="S1028">
    <cfRule type="cellIs" dxfId="0" priority="523" operator="equal">
      <formula>"欠"</formula>
    </cfRule>
  </conditionalFormatting>
  <conditionalFormatting sqref="T1028">
    <cfRule type="cellIs" dxfId="0" priority="561" operator="equal">
      <formula>"欠"</formula>
    </cfRule>
  </conditionalFormatting>
  <conditionalFormatting sqref="U1028">
    <cfRule type="cellIs" dxfId="0" priority="409" operator="equal">
      <formula>"欠"</formula>
    </cfRule>
  </conditionalFormatting>
  <conditionalFormatting sqref="AG1028">
    <cfRule type="cellIs" dxfId="0" priority="599" operator="equal">
      <formula>"未完成"</formula>
    </cfRule>
  </conditionalFormatting>
  <conditionalFormatting sqref="AI1028:AJ1028">
    <cfRule type="cellIs" dxfId="0" priority="485" operator="equal">
      <formula>"未完成"</formula>
    </cfRule>
    <cfRule type="cellIs" dxfId="1" priority="447" operator="equal">
      <formula>"未完成"</formula>
    </cfRule>
  </conditionalFormatting>
  <conditionalFormatting sqref="AK1028">
    <cfRule type="cellIs" dxfId="0" priority="637" operator="equal">
      <formula>"欠"</formula>
    </cfRule>
  </conditionalFormatting>
  <conditionalFormatting sqref="R1029">
    <cfRule type="cellIs" dxfId="0" priority="370" operator="equal">
      <formula>"欠"</formula>
    </cfRule>
    <cfRule type="containsText" dxfId="2" priority="332" operator="between" text="欠">
      <formula>NOT(ISERROR(SEARCH("欠",R1029)))</formula>
    </cfRule>
  </conditionalFormatting>
  <conditionalFormatting sqref="S1029">
    <cfRule type="cellIs" dxfId="0" priority="522" operator="equal">
      <formula>"欠"</formula>
    </cfRule>
  </conditionalFormatting>
  <conditionalFormatting sqref="T1029">
    <cfRule type="cellIs" dxfId="0" priority="560" operator="equal">
      <formula>"欠"</formula>
    </cfRule>
  </conditionalFormatting>
  <conditionalFormatting sqref="U1029">
    <cfRule type="cellIs" dxfId="0" priority="408" operator="equal">
      <formula>"欠"</formula>
    </cfRule>
  </conditionalFormatting>
  <conditionalFormatting sqref="AG1029">
    <cfRule type="cellIs" dxfId="0" priority="598" operator="equal">
      <formula>"未完成"</formula>
    </cfRule>
  </conditionalFormatting>
  <conditionalFormatting sqref="AI1029:AJ1029">
    <cfRule type="cellIs" dxfId="0" priority="484" operator="equal">
      <formula>"未完成"</formula>
    </cfRule>
    <cfRule type="cellIs" dxfId="1" priority="446" operator="equal">
      <formula>"未完成"</formula>
    </cfRule>
  </conditionalFormatting>
  <conditionalFormatting sqref="AK1029">
    <cfRule type="cellIs" dxfId="0" priority="636" operator="equal">
      <formula>"欠"</formula>
    </cfRule>
  </conditionalFormatting>
  <conditionalFormatting sqref="R1030">
    <cfRule type="cellIs" dxfId="0" priority="369" operator="equal">
      <formula>"欠"</formula>
    </cfRule>
    <cfRule type="containsText" dxfId="2" priority="331" operator="between" text="欠">
      <formula>NOT(ISERROR(SEARCH("欠",R1030)))</formula>
    </cfRule>
  </conditionalFormatting>
  <conditionalFormatting sqref="S1030">
    <cfRule type="cellIs" dxfId="0" priority="521" operator="equal">
      <formula>"欠"</formula>
    </cfRule>
  </conditionalFormatting>
  <conditionalFormatting sqref="T1030">
    <cfRule type="cellIs" dxfId="0" priority="559" operator="equal">
      <formula>"欠"</formula>
    </cfRule>
  </conditionalFormatting>
  <conditionalFormatting sqref="U1030">
    <cfRule type="cellIs" dxfId="0" priority="407" operator="equal">
      <formula>"欠"</formula>
    </cfRule>
  </conditionalFormatting>
  <conditionalFormatting sqref="AG1030">
    <cfRule type="cellIs" dxfId="0" priority="597" operator="equal">
      <formula>"未完成"</formula>
    </cfRule>
  </conditionalFormatting>
  <conditionalFormatting sqref="AI1030:AJ1030">
    <cfRule type="cellIs" dxfId="0" priority="483" operator="equal">
      <formula>"未完成"</formula>
    </cfRule>
    <cfRule type="cellIs" dxfId="1" priority="445" operator="equal">
      <formula>"未完成"</formula>
    </cfRule>
  </conditionalFormatting>
  <conditionalFormatting sqref="AK1030">
    <cfRule type="cellIs" dxfId="0" priority="635" operator="equal">
      <formula>"欠"</formula>
    </cfRule>
  </conditionalFormatting>
  <conditionalFormatting sqref="R1031">
    <cfRule type="cellIs" dxfId="0" priority="368" operator="equal">
      <formula>"欠"</formula>
    </cfRule>
    <cfRule type="containsText" dxfId="2" priority="330" operator="between" text="欠">
      <formula>NOT(ISERROR(SEARCH("欠",R1031)))</formula>
    </cfRule>
  </conditionalFormatting>
  <conditionalFormatting sqref="S1031">
    <cfRule type="cellIs" dxfId="0" priority="520" operator="equal">
      <formula>"欠"</formula>
    </cfRule>
  </conditionalFormatting>
  <conditionalFormatting sqref="T1031">
    <cfRule type="cellIs" dxfId="0" priority="558" operator="equal">
      <formula>"欠"</formula>
    </cfRule>
  </conditionalFormatting>
  <conditionalFormatting sqref="U1031">
    <cfRule type="cellIs" dxfId="0" priority="406" operator="equal">
      <formula>"欠"</formula>
    </cfRule>
  </conditionalFormatting>
  <conditionalFormatting sqref="AG1031">
    <cfRule type="cellIs" dxfId="0" priority="596" operator="equal">
      <formula>"未完成"</formula>
    </cfRule>
  </conditionalFormatting>
  <conditionalFormatting sqref="AI1031:AJ1031">
    <cfRule type="cellIs" dxfId="0" priority="482" operator="equal">
      <formula>"未完成"</formula>
    </cfRule>
    <cfRule type="cellIs" dxfId="1" priority="444" operator="equal">
      <formula>"未完成"</formula>
    </cfRule>
  </conditionalFormatting>
  <conditionalFormatting sqref="AK1031">
    <cfRule type="cellIs" dxfId="0" priority="634" operator="equal">
      <formula>"欠"</formula>
    </cfRule>
  </conditionalFormatting>
  <conditionalFormatting sqref="R1032">
    <cfRule type="cellIs" dxfId="0" priority="367" operator="equal">
      <formula>"欠"</formula>
    </cfRule>
    <cfRule type="containsText" dxfId="2" priority="329" operator="between" text="欠">
      <formula>NOT(ISERROR(SEARCH("欠",R1032)))</formula>
    </cfRule>
  </conditionalFormatting>
  <conditionalFormatting sqref="S1032">
    <cfRule type="cellIs" dxfId="0" priority="519" operator="equal">
      <formula>"欠"</formula>
    </cfRule>
  </conditionalFormatting>
  <conditionalFormatting sqref="T1032">
    <cfRule type="cellIs" dxfId="0" priority="557" operator="equal">
      <formula>"欠"</formula>
    </cfRule>
  </conditionalFormatting>
  <conditionalFormatting sqref="U1032">
    <cfRule type="cellIs" dxfId="0" priority="405" operator="equal">
      <formula>"欠"</formula>
    </cfRule>
  </conditionalFormatting>
  <conditionalFormatting sqref="AG1032">
    <cfRule type="cellIs" dxfId="0" priority="595" operator="equal">
      <formula>"未完成"</formula>
    </cfRule>
  </conditionalFormatting>
  <conditionalFormatting sqref="AI1032:AJ1032">
    <cfRule type="cellIs" dxfId="0" priority="481" operator="equal">
      <formula>"未完成"</formula>
    </cfRule>
    <cfRule type="cellIs" dxfId="1" priority="443" operator="equal">
      <formula>"未完成"</formula>
    </cfRule>
  </conditionalFormatting>
  <conditionalFormatting sqref="AK1032">
    <cfRule type="cellIs" dxfId="0" priority="633" operator="equal">
      <formula>"欠"</formula>
    </cfRule>
  </conditionalFormatting>
  <conditionalFormatting sqref="R1033">
    <cfRule type="cellIs" dxfId="0" priority="366" operator="equal">
      <formula>"欠"</formula>
    </cfRule>
    <cfRule type="containsText" dxfId="2" priority="328" operator="between" text="欠">
      <formula>NOT(ISERROR(SEARCH("欠",R1033)))</formula>
    </cfRule>
  </conditionalFormatting>
  <conditionalFormatting sqref="S1033">
    <cfRule type="cellIs" dxfId="0" priority="518" operator="equal">
      <formula>"欠"</formula>
    </cfRule>
  </conditionalFormatting>
  <conditionalFormatting sqref="T1033">
    <cfRule type="cellIs" dxfId="0" priority="556" operator="equal">
      <formula>"欠"</formula>
    </cfRule>
  </conditionalFormatting>
  <conditionalFormatting sqref="U1033">
    <cfRule type="cellIs" dxfId="0" priority="404" operator="equal">
      <formula>"欠"</formula>
    </cfRule>
  </conditionalFormatting>
  <conditionalFormatting sqref="AG1033">
    <cfRule type="cellIs" dxfId="0" priority="594" operator="equal">
      <formula>"未完成"</formula>
    </cfRule>
  </conditionalFormatting>
  <conditionalFormatting sqref="AI1033:AJ1033">
    <cfRule type="cellIs" dxfId="0" priority="480" operator="equal">
      <formula>"未完成"</formula>
    </cfRule>
    <cfRule type="cellIs" dxfId="1" priority="442" operator="equal">
      <formula>"未完成"</formula>
    </cfRule>
  </conditionalFormatting>
  <conditionalFormatting sqref="AK1033">
    <cfRule type="cellIs" dxfId="0" priority="632" operator="equal">
      <formula>"欠"</formula>
    </cfRule>
  </conditionalFormatting>
  <conditionalFormatting sqref="R1034">
    <cfRule type="cellIs" dxfId="0" priority="365" operator="equal">
      <formula>"欠"</formula>
    </cfRule>
    <cfRule type="containsText" dxfId="2" priority="327" operator="between" text="欠">
      <formula>NOT(ISERROR(SEARCH("欠",R1034)))</formula>
    </cfRule>
  </conditionalFormatting>
  <conditionalFormatting sqref="S1034">
    <cfRule type="cellIs" dxfId="0" priority="517" operator="equal">
      <formula>"欠"</formula>
    </cfRule>
  </conditionalFormatting>
  <conditionalFormatting sqref="T1034">
    <cfRule type="cellIs" dxfId="0" priority="555" operator="equal">
      <formula>"欠"</formula>
    </cfRule>
  </conditionalFormatting>
  <conditionalFormatting sqref="U1034">
    <cfRule type="cellIs" dxfId="0" priority="403" operator="equal">
      <formula>"欠"</formula>
    </cfRule>
  </conditionalFormatting>
  <conditionalFormatting sqref="AG1034">
    <cfRule type="cellIs" dxfId="0" priority="593" operator="equal">
      <formula>"未完成"</formula>
    </cfRule>
  </conditionalFormatting>
  <conditionalFormatting sqref="AI1034:AJ1034">
    <cfRule type="cellIs" dxfId="0" priority="479" operator="equal">
      <formula>"未完成"</formula>
    </cfRule>
    <cfRule type="cellIs" dxfId="1" priority="441" operator="equal">
      <formula>"未完成"</formula>
    </cfRule>
  </conditionalFormatting>
  <conditionalFormatting sqref="AK1034">
    <cfRule type="cellIs" dxfId="0" priority="631" operator="equal">
      <formula>"欠"</formula>
    </cfRule>
  </conditionalFormatting>
  <conditionalFormatting sqref="R1035">
    <cfRule type="cellIs" dxfId="0" priority="364" operator="equal">
      <formula>"欠"</formula>
    </cfRule>
    <cfRule type="containsText" dxfId="2" priority="326" operator="between" text="欠">
      <formula>NOT(ISERROR(SEARCH("欠",R1035)))</formula>
    </cfRule>
  </conditionalFormatting>
  <conditionalFormatting sqref="S1035">
    <cfRule type="cellIs" dxfId="0" priority="516" operator="equal">
      <formula>"欠"</formula>
    </cfRule>
  </conditionalFormatting>
  <conditionalFormatting sqref="T1035">
    <cfRule type="cellIs" dxfId="0" priority="554" operator="equal">
      <formula>"欠"</formula>
    </cfRule>
  </conditionalFormatting>
  <conditionalFormatting sqref="U1035">
    <cfRule type="cellIs" dxfId="0" priority="402" operator="equal">
      <formula>"欠"</formula>
    </cfRule>
  </conditionalFormatting>
  <conditionalFormatting sqref="AG1035">
    <cfRule type="cellIs" dxfId="0" priority="592" operator="equal">
      <formula>"未完成"</formula>
    </cfRule>
  </conditionalFormatting>
  <conditionalFormatting sqref="AI1035:AJ1035">
    <cfRule type="cellIs" dxfId="0" priority="478" operator="equal">
      <formula>"未完成"</formula>
    </cfRule>
    <cfRule type="cellIs" dxfId="1" priority="440" operator="equal">
      <formula>"未完成"</formula>
    </cfRule>
  </conditionalFormatting>
  <conditionalFormatting sqref="AK1035">
    <cfRule type="cellIs" dxfId="0" priority="630" operator="equal">
      <formula>"欠"</formula>
    </cfRule>
  </conditionalFormatting>
  <conditionalFormatting sqref="R1036">
    <cfRule type="cellIs" dxfId="0" priority="363" operator="equal">
      <formula>"欠"</formula>
    </cfRule>
    <cfRule type="containsText" dxfId="2" priority="325" operator="between" text="欠">
      <formula>NOT(ISERROR(SEARCH("欠",R1036)))</formula>
    </cfRule>
  </conditionalFormatting>
  <conditionalFormatting sqref="S1036">
    <cfRule type="cellIs" dxfId="0" priority="515" operator="equal">
      <formula>"欠"</formula>
    </cfRule>
  </conditionalFormatting>
  <conditionalFormatting sqref="T1036">
    <cfRule type="cellIs" dxfId="0" priority="553" operator="equal">
      <formula>"欠"</formula>
    </cfRule>
  </conditionalFormatting>
  <conditionalFormatting sqref="U1036">
    <cfRule type="cellIs" dxfId="0" priority="401" operator="equal">
      <formula>"欠"</formula>
    </cfRule>
  </conditionalFormatting>
  <conditionalFormatting sqref="AG1036">
    <cfRule type="cellIs" dxfId="0" priority="591" operator="equal">
      <formula>"未完成"</formula>
    </cfRule>
  </conditionalFormatting>
  <conditionalFormatting sqref="AI1036:AJ1036">
    <cfRule type="cellIs" dxfId="0" priority="477" operator="equal">
      <formula>"未完成"</formula>
    </cfRule>
    <cfRule type="cellIs" dxfId="1" priority="439" operator="equal">
      <formula>"未完成"</formula>
    </cfRule>
  </conditionalFormatting>
  <conditionalFormatting sqref="AK1036">
    <cfRule type="cellIs" dxfId="0" priority="629" operator="equal">
      <formula>"欠"</formula>
    </cfRule>
  </conditionalFormatting>
  <conditionalFormatting sqref="R1037">
    <cfRule type="cellIs" dxfId="0" priority="362" operator="equal">
      <formula>"欠"</formula>
    </cfRule>
    <cfRule type="containsText" dxfId="2" priority="324" operator="between" text="欠">
      <formula>NOT(ISERROR(SEARCH("欠",R1037)))</formula>
    </cfRule>
  </conditionalFormatting>
  <conditionalFormatting sqref="T1037">
    <cfRule type="cellIs" dxfId="0" priority="552" operator="equal">
      <formula>"欠"</formula>
    </cfRule>
  </conditionalFormatting>
  <conditionalFormatting sqref="U1037">
    <cfRule type="cellIs" dxfId="0" priority="400" operator="equal">
      <formula>"欠"</formula>
    </cfRule>
  </conditionalFormatting>
  <conditionalFormatting sqref="AG1037">
    <cfRule type="cellIs" dxfId="0" priority="590" operator="equal">
      <formula>"未完成"</formula>
    </cfRule>
  </conditionalFormatting>
  <conditionalFormatting sqref="AI1037:AJ1037">
    <cfRule type="cellIs" dxfId="0" priority="476" operator="equal">
      <formula>"未完成"</formula>
    </cfRule>
    <cfRule type="cellIs" dxfId="1" priority="438" operator="equal">
      <formula>"未完成"</formula>
    </cfRule>
  </conditionalFormatting>
  <conditionalFormatting sqref="AK1037">
    <cfRule type="cellIs" dxfId="0" priority="628" operator="equal">
      <formula>"欠"</formula>
    </cfRule>
  </conditionalFormatting>
  <conditionalFormatting sqref="R1038">
    <cfRule type="cellIs" dxfId="0" priority="361" operator="equal">
      <formula>"欠"</formula>
    </cfRule>
    <cfRule type="containsText" dxfId="2" priority="323" operator="between" text="欠">
      <formula>NOT(ISERROR(SEARCH("欠",R1038)))</formula>
    </cfRule>
  </conditionalFormatting>
  <conditionalFormatting sqref="S1038">
    <cfRule type="cellIs" dxfId="0" priority="513" operator="equal">
      <formula>"欠"</formula>
    </cfRule>
  </conditionalFormatting>
  <conditionalFormatting sqref="T1038">
    <cfRule type="cellIs" dxfId="0" priority="551" operator="equal">
      <formula>"欠"</formula>
    </cfRule>
  </conditionalFormatting>
  <conditionalFormatting sqref="U1038">
    <cfRule type="cellIs" dxfId="0" priority="399" operator="equal">
      <formula>"欠"</formula>
    </cfRule>
  </conditionalFormatting>
  <conditionalFormatting sqref="AG1038">
    <cfRule type="cellIs" dxfId="0" priority="589" operator="equal">
      <formula>"未完成"</formula>
    </cfRule>
  </conditionalFormatting>
  <conditionalFormatting sqref="AI1038:AJ1038">
    <cfRule type="cellIs" dxfId="0" priority="475" operator="equal">
      <formula>"未完成"</formula>
    </cfRule>
    <cfRule type="cellIs" dxfId="1" priority="437" operator="equal">
      <formula>"未完成"</formula>
    </cfRule>
  </conditionalFormatting>
  <conditionalFormatting sqref="AK1038">
    <cfRule type="cellIs" dxfId="0" priority="627" operator="equal">
      <formula>"欠"</formula>
    </cfRule>
  </conditionalFormatting>
  <conditionalFormatting sqref="R1039">
    <cfRule type="cellIs" dxfId="0" priority="360" operator="equal">
      <formula>"欠"</formula>
    </cfRule>
    <cfRule type="containsText" dxfId="2" priority="322" operator="between" text="欠">
      <formula>NOT(ISERROR(SEARCH("欠",R1039)))</formula>
    </cfRule>
  </conditionalFormatting>
  <conditionalFormatting sqref="S1039">
    <cfRule type="cellIs" dxfId="0" priority="512" operator="equal">
      <formula>"欠"</formula>
    </cfRule>
  </conditionalFormatting>
  <conditionalFormatting sqref="T1039">
    <cfRule type="cellIs" dxfId="0" priority="550" operator="equal">
      <formula>"欠"</formula>
    </cfRule>
  </conditionalFormatting>
  <conditionalFormatting sqref="U1039">
    <cfRule type="cellIs" dxfId="0" priority="398" operator="equal">
      <formula>"欠"</formula>
    </cfRule>
  </conditionalFormatting>
  <conditionalFormatting sqref="AG1039">
    <cfRule type="cellIs" dxfId="0" priority="588" operator="equal">
      <formula>"未完成"</formula>
    </cfRule>
  </conditionalFormatting>
  <conditionalFormatting sqref="AI1039:AJ1039">
    <cfRule type="cellIs" dxfId="0" priority="474" operator="equal">
      <formula>"未完成"</formula>
    </cfRule>
    <cfRule type="cellIs" dxfId="1" priority="436" operator="equal">
      <formula>"未完成"</formula>
    </cfRule>
  </conditionalFormatting>
  <conditionalFormatting sqref="AK1039">
    <cfRule type="cellIs" dxfId="0" priority="626" operator="equal">
      <formula>"欠"</formula>
    </cfRule>
  </conditionalFormatting>
  <conditionalFormatting sqref="R1040">
    <cfRule type="cellIs" dxfId="0" priority="359" operator="equal">
      <formula>"欠"</formula>
    </cfRule>
    <cfRule type="containsText" dxfId="2" priority="321" operator="between" text="欠">
      <formula>NOT(ISERROR(SEARCH("欠",R1040)))</formula>
    </cfRule>
  </conditionalFormatting>
  <conditionalFormatting sqref="S1040">
    <cfRule type="cellIs" dxfId="0" priority="511" operator="equal">
      <formula>"欠"</formula>
    </cfRule>
  </conditionalFormatting>
  <conditionalFormatting sqref="T1040">
    <cfRule type="cellIs" dxfId="0" priority="549" operator="equal">
      <formula>"欠"</formula>
    </cfRule>
  </conditionalFormatting>
  <conditionalFormatting sqref="U1040">
    <cfRule type="cellIs" dxfId="0" priority="397" operator="equal">
      <formula>"欠"</formula>
    </cfRule>
  </conditionalFormatting>
  <conditionalFormatting sqref="AG1040">
    <cfRule type="cellIs" dxfId="0" priority="587" operator="equal">
      <formula>"未完成"</formula>
    </cfRule>
  </conditionalFormatting>
  <conditionalFormatting sqref="AI1040:AJ1040">
    <cfRule type="cellIs" dxfId="0" priority="473" operator="equal">
      <formula>"未完成"</formula>
    </cfRule>
    <cfRule type="cellIs" dxfId="1" priority="435" operator="equal">
      <formula>"未完成"</formula>
    </cfRule>
  </conditionalFormatting>
  <conditionalFormatting sqref="AK1040">
    <cfRule type="cellIs" dxfId="0" priority="625" operator="equal">
      <formula>"欠"</formula>
    </cfRule>
  </conditionalFormatting>
  <conditionalFormatting sqref="R1041">
    <cfRule type="cellIs" dxfId="0" priority="358" operator="equal">
      <formula>"欠"</formula>
    </cfRule>
    <cfRule type="containsText" dxfId="2" priority="320" operator="between" text="欠">
      <formula>NOT(ISERROR(SEARCH("欠",R1041)))</formula>
    </cfRule>
  </conditionalFormatting>
  <conditionalFormatting sqref="S1041">
    <cfRule type="cellIs" dxfId="0" priority="510" operator="equal">
      <formula>"欠"</formula>
    </cfRule>
  </conditionalFormatting>
  <conditionalFormatting sqref="T1041">
    <cfRule type="cellIs" dxfId="0" priority="548" operator="equal">
      <formula>"欠"</formula>
    </cfRule>
  </conditionalFormatting>
  <conditionalFormatting sqref="U1041">
    <cfRule type="cellIs" dxfId="0" priority="396" operator="equal">
      <formula>"欠"</formula>
    </cfRule>
  </conditionalFormatting>
  <conditionalFormatting sqref="AG1041">
    <cfRule type="cellIs" dxfId="0" priority="586" operator="equal">
      <formula>"未完成"</formula>
    </cfRule>
  </conditionalFormatting>
  <conditionalFormatting sqref="AI1041:AJ1041">
    <cfRule type="cellIs" dxfId="0" priority="472" operator="equal">
      <formula>"未完成"</formula>
    </cfRule>
    <cfRule type="cellIs" dxfId="1" priority="434" operator="equal">
      <formula>"未完成"</formula>
    </cfRule>
  </conditionalFormatting>
  <conditionalFormatting sqref="AK1041">
    <cfRule type="cellIs" dxfId="0" priority="624" operator="equal">
      <formula>"欠"</formula>
    </cfRule>
  </conditionalFormatting>
  <conditionalFormatting sqref="R1042">
    <cfRule type="cellIs" dxfId="0" priority="357" operator="equal">
      <formula>"欠"</formula>
    </cfRule>
    <cfRule type="containsText" dxfId="2" priority="319" operator="between" text="欠">
      <formula>NOT(ISERROR(SEARCH("欠",R1042)))</formula>
    </cfRule>
  </conditionalFormatting>
  <conditionalFormatting sqref="S1042">
    <cfRule type="cellIs" dxfId="0" priority="509" operator="equal">
      <formula>"欠"</formula>
    </cfRule>
  </conditionalFormatting>
  <conditionalFormatting sqref="T1042">
    <cfRule type="cellIs" dxfId="0" priority="547" operator="equal">
      <formula>"欠"</formula>
    </cfRule>
  </conditionalFormatting>
  <conditionalFormatting sqref="U1042">
    <cfRule type="cellIs" dxfId="0" priority="395" operator="equal">
      <formula>"欠"</formula>
    </cfRule>
  </conditionalFormatting>
  <conditionalFormatting sqref="AG1042">
    <cfRule type="cellIs" dxfId="0" priority="585" operator="equal">
      <formula>"未完成"</formula>
    </cfRule>
  </conditionalFormatting>
  <conditionalFormatting sqref="AI1042:AJ1042">
    <cfRule type="cellIs" dxfId="0" priority="471" operator="equal">
      <formula>"未完成"</formula>
    </cfRule>
    <cfRule type="cellIs" dxfId="1" priority="433" operator="equal">
      <formula>"未完成"</formula>
    </cfRule>
  </conditionalFormatting>
  <conditionalFormatting sqref="AK1042">
    <cfRule type="cellIs" dxfId="0" priority="623" operator="equal">
      <formula>"欠"</formula>
    </cfRule>
  </conditionalFormatting>
  <conditionalFormatting sqref="R1043">
    <cfRule type="cellIs" dxfId="0" priority="356" operator="equal">
      <formula>"欠"</formula>
    </cfRule>
    <cfRule type="containsText" dxfId="2" priority="318" operator="between" text="欠">
      <formula>NOT(ISERROR(SEARCH("欠",R1043)))</formula>
    </cfRule>
  </conditionalFormatting>
  <conditionalFormatting sqref="S1043">
    <cfRule type="cellIs" dxfId="0" priority="508" operator="equal">
      <formula>"欠"</formula>
    </cfRule>
  </conditionalFormatting>
  <conditionalFormatting sqref="T1043">
    <cfRule type="cellIs" dxfId="0" priority="546" operator="equal">
      <formula>"欠"</formula>
    </cfRule>
  </conditionalFormatting>
  <conditionalFormatting sqref="U1043">
    <cfRule type="cellIs" dxfId="0" priority="394" operator="equal">
      <formula>"欠"</formula>
    </cfRule>
  </conditionalFormatting>
  <conditionalFormatting sqref="AG1043">
    <cfRule type="cellIs" dxfId="0" priority="584" operator="equal">
      <formula>"未完成"</formula>
    </cfRule>
  </conditionalFormatting>
  <conditionalFormatting sqref="AI1043:AJ1043">
    <cfRule type="cellIs" dxfId="0" priority="470" operator="equal">
      <formula>"未完成"</formula>
    </cfRule>
    <cfRule type="cellIs" dxfId="1" priority="432" operator="equal">
      <formula>"未完成"</formula>
    </cfRule>
  </conditionalFormatting>
  <conditionalFormatting sqref="AK1043">
    <cfRule type="cellIs" dxfId="0" priority="622" operator="equal">
      <formula>"欠"</formula>
    </cfRule>
  </conditionalFormatting>
  <conditionalFormatting sqref="R1044">
    <cfRule type="cellIs" dxfId="0" priority="355" operator="equal">
      <formula>"欠"</formula>
    </cfRule>
    <cfRule type="containsText" dxfId="2" priority="317" operator="between" text="欠">
      <formula>NOT(ISERROR(SEARCH("欠",R1044)))</formula>
    </cfRule>
  </conditionalFormatting>
  <conditionalFormatting sqref="S1044">
    <cfRule type="cellIs" dxfId="0" priority="507" operator="equal">
      <formula>"欠"</formula>
    </cfRule>
  </conditionalFormatting>
  <conditionalFormatting sqref="T1044">
    <cfRule type="cellIs" dxfId="0" priority="545" operator="equal">
      <formula>"欠"</formula>
    </cfRule>
  </conditionalFormatting>
  <conditionalFormatting sqref="U1044">
    <cfRule type="cellIs" dxfId="0" priority="393" operator="equal">
      <formula>"欠"</formula>
    </cfRule>
  </conditionalFormatting>
  <conditionalFormatting sqref="AG1044">
    <cfRule type="cellIs" dxfId="0" priority="583" operator="equal">
      <formula>"未完成"</formula>
    </cfRule>
  </conditionalFormatting>
  <conditionalFormatting sqref="AI1044:AJ1044">
    <cfRule type="cellIs" dxfId="0" priority="469" operator="equal">
      <formula>"未完成"</formula>
    </cfRule>
    <cfRule type="cellIs" dxfId="1" priority="431" operator="equal">
      <formula>"未完成"</formula>
    </cfRule>
  </conditionalFormatting>
  <conditionalFormatting sqref="AK1044">
    <cfRule type="cellIs" dxfId="0" priority="621" operator="equal">
      <formula>"欠"</formula>
    </cfRule>
  </conditionalFormatting>
  <conditionalFormatting sqref="R1045">
    <cfRule type="cellIs" dxfId="0" priority="354" operator="equal">
      <formula>"欠"</formula>
    </cfRule>
    <cfRule type="containsText" dxfId="2" priority="316" operator="between" text="欠">
      <formula>NOT(ISERROR(SEARCH("欠",R1045)))</formula>
    </cfRule>
  </conditionalFormatting>
  <conditionalFormatting sqref="S1045">
    <cfRule type="cellIs" dxfId="0" priority="506" operator="equal">
      <formula>"欠"</formula>
    </cfRule>
  </conditionalFormatting>
  <conditionalFormatting sqref="T1045">
    <cfRule type="cellIs" dxfId="0" priority="544" operator="equal">
      <formula>"欠"</formula>
    </cfRule>
  </conditionalFormatting>
  <conditionalFormatting sqref="U1045">
    <cfRule type="cellIs" dxfId="0" priority="392" operator="equal">
      <formula>"欠"</formula>
    </cfRule>
  </conditionalFormatting>
  <conditionalFormatting sqref="AG1045">
    <cfRule type="cellIs" dxfId="0" priority="582" operator="equal">
      <formula>"未完成"</formula>
    </cfRule>
  </conditionalFormatting>
  <conditionalFormatting sqref="AI1045:AJ1045">
    <cfRule type="cellIs" dxfId="0" priority="468" operator="equal">
      <formula>"未完成"</formula>
    </cfRule>
    <cfRule type="cellIs" dxfId="1" priority="430" operator="equal">
      <formula>"未完成"</formula>
    </cfRule>
  </conditionalFormatting>
  <conditionalFormatting sqref="AK1045">
    <cfRule type="cellIs" dxfId="0" priority="620" operator="equal">
      <formula>"欠"</formula>
    </cfRule>
  </conditionalFormatting>
  <conditionalFormatting sqref="R1046">
    <cfRule type="cellIs" dxfId="0" priority="353" operator="equal">
      <formula>"欠"</formula>
    </cfRule>
    <cfRule type="containsText" dxfId="2" priority="315" operator="between" text="欠">
      <formula>NOT(ISERROR(SEARCH("欠",R1046)))</formula>
    </cfRule>
  </conditionalFormatting>
  <conditionalFormatting sqref="S1046">
    <cfRule type="cellIs" dxfId="0" priority="505" operator="equal">
      <formula>"欠"</formula>
    </cfRule>
  </conditionalFormatting>
  <conditionalFormatting sqref="T1046">
    <cfRule type="cellIs" dxfId="0" priority="543" operator="equal">
      <formula>"欠"</formula>
    </cfRule>
  </conditionalFormatting>
  <conditionalFormatting sqref="U1046">
    <cfRule type="cellIs" dxfId="0" priority="391" operator="equal">
      <formula>"欠"</formula>
    </cfRule>
  </conditionalFormatting>
  <conditionalFormatting sqref="AG1046">
    <cfRule type="cellIs" dxfId="0" priority="581" operator="equal">
      <formula>"未完成"</formula>
    </cfRule>
  </conditionalFormatting>
  <conditionalFormatting sqref="AI1046:AJ1046">
    <cfRule type="cellIs" dxfId="0" priority="467" operator="equal">
      <formula>"未完成"</formula>
    </cfRule>
    <cfRule type="cellIs" dxfId="1" priority="429" operator="equal">
      <formula>"未完成"</formula>
    </cfRule>
  </conditionalFormatting>
  <conditionalFormatting sqref="AK1046">
    <cfRule type="cellIs" dxfId="0" priority="619" operator="equal">
      <formula>"欠"</formula>
    </cfRule>
  </conditionalFormatting>
  <conditionalFormatting sqref="R1047">
    <cfRule type="cellIs" dxfId="0" priority="352" operator="equal">
      <formula>"欠"</formula>
    </cfRule>
    <cfRule type="containsText" dxfId="2" priority="314" operator="between" text="欠">
      <formula>NOT(ISERROR(SEARCH("欠",R1047)))</formula>
    </cfRule>
  </conditionalFormatting>
  <conditionalFormatting sqref="S1047">
    <cfRule type="cellIs" dxfId="0" priority="504" operator="equal">
      <formula>"欠"</formula>
    </cfRule>
  </conditionalFormatting>
  <conditionalFormatting sqref="T1047">
    <cfRule type="cellIs" dxfId="0" priority="542" operator="equal">
      <formula>"欠"</formula>
    </cfRule>
  </conditionalFormatting>
  <conditionalFormatting sqref="U1047">
    <cfRule type="cellIs" dxfId="0" priority="390" operator="equal">
      <formula>"欠"</formula>
    </cfRule>
  </conditionalFormatting>
  <conditionalFormatting sqref="AG1047">
    <cfRule type="cellIs" dxfId="0" priority="580" operator="equal">
      <formula>"未完成"</formula>
    </cfRule>
  </conditionalFormatting>
  <conditionalFormatting sqref="AI1047:AJ1047">
    <cfRule type="cellIs" dxfId="0" priority="466" operator="equal">
      <formula>"未完成"</formula>
    </cfRule>
    <cfRule type="cellIs" dxfId="1" priority="428" operator="equal">
      <formula>"未完成"</formula>
    </cfRule>
  </conditionalFormatting>
  <conditionalFormatting sqref="AK1047">
    <cfRule type="cellIs" dxfId="0" priority="618" operator="equal">
      <formula>"欠"</formula>
    </cfRule>
  </conditionalFormatting>
  <conditionalFormatting sqref="R1048">
    <cfRule type="cellIs" dxfId="0" priority="351" operator="equal">
      <formula>"欠"</formula>
    </cfRule>
    <cfRule type="containsText" dxfId="2" priority="313" operator="between" text="欠">
      <formula>NOT(ISERROR(SEARCH("欠",R1048)))</formula>
    </cfRule>
  </conditionalFormatting>
  <conditionalFormatting sqref="S1048">
    <cfRule type="cellIs" dxfId="0" priority="503" operator="equal">
      <formula>"欠"</formula>
    </cfRule>
  </conditionalFormatting>
  <conditionalFormatting sqref="T1048">
    <cfRule type="cellIs" dxfId="0" priority="541" operator="equal">
      <formula>"欠"</formula>
    </cfRule>
  </conditionalFormatting>
  <conditionalFormatting sqref="U1048">
    <cfRule type="cellIs" dxfId="0" priority="389" operator="equal">
      <formula>"欠"</formula>
    </cfRule>
  </conditionalFormatting>
  <conditionalFormatting sqref="AG1048">
    <cfRule type="cellIs" dxfId="0" priority="579" operator="equal">
      <formula>"未完成"</formula>
    </cfRule>
  </conditionalFormatting>
  <conditionalFormatting sqref="AI1048:AJ1048">
    <cfRule type="cellIs" dxfId="0" priority="465" operator="equal">
      <formula>"未完成"</formula>
    </cfRule>
    <cfRule type="cellIs" dxfId="1" priority="427" operator="equal">
      <formula>"未完成"</formula>
    </cfRule>
  </conditionalFormatting>
  <conditionalFormatting sqref="AK1048">
    <cfRule type="cellIs" dxfId="0" priority="617" operator="equal">
      <formula>"欠"</formula>
    </cfRule>
  </conditionalFormatting>
  <conditionalFormatting sqref="R1049">
    <cfRule type="cellIs" dxfId="0" priority="350" operator="equal">
      <formula>"欠"</formula>
    </cfRule>
    <cfRule type="containsText" dxfId="2" priority="312" operator="between" text="欠">
      <formula>NOT(ISERROR(SEARCH("欠",R1049)))</formula>
    </cfRule>
  </conditionalFormatting>
  <conditionalFormatting sqref="S1049">
    <cfRule type="cellIs" dxfId="0" priority="502" operator="equal">
      <formula>"欠"</formula>
    </cfRule>
  </conditionalFormatting>
  <conditionalFormatting sqref="T1049">
    <cfRule type="cellIs" dxfId="0" priority="540" operator="equal">
      <formula>"欠"</formula>
    </cfRule>
  </conditionalFormatting>
  <conditionalFormatting sqref="U1049">
    <cfRule type="cellIs" dxfId="0" priority="388" operator="equal">
      <formula>"欠"</formula>
    </cfRule>
  </conditionalFormatting>
  <conditionalFormatting sqref="AG1049">
    <cfRule type="cellIs" dxfId="0" priority="578" operator="equal">
      <formula>"未完成"</formula>
    </cfRule>
  </conditionalFormatting>
  <conditionalFormatting sqref="AI1049:AJ1049">
    <cfRule type="cellIs" dxfId="0" priority="464" operator="equal">
      <formula>"未完成"</formula>
    </cfRule>
    <cfRule type="cellIs" dxfId="1" priority="426" operator="equal">
      <formula>"未完成"</formula>
    </cfRule>
  </conditionalFormatting>
  <conditionalFormatting sqref="AK1049">
    <cfRule type="cellIs" dxfId="0" priority="616" operator="equal">
      <formula>"欠"</formula>
    </cfRule>
  </conditionalFormatting>
  <conditionalFormatting sqref="R1050">
    <cfRule type="cellIs" dxfId="0" priority="349" operator="equal">
      <formula>"欠"</formula>
    </cfRule>
    <cfRule type="containsText" dxfId="2" priority="311" operator="between" text="欠">
      <formula>NOT(ISERROR(SEARCH("欠",R1050)))</formula>
    </cfRule>
  </conditionalFormatting>
  <conditionalFormatting sqref="S1050">
    <cfRule type="cellIs" dxfId="0" priority="501" operator="equal">
      <formula>"欠"</formula>
    </cfRule>
  </conditionalFormatting>
  <conditionalFormatting sqref="T1050">
    <cfRule type="cellIs" dxfId="0" priority="539" operator="equal">
      <formula>"欠"</formula>
    </cfRule>
  </conditionalFormatting>
  <conditionalFormatting sqref="U1050">
    <cfRule type="cellIs" dxfId="0" priority="387" operator="equal">
      <formula>"欠"</formula>
    </cfRule>
  </conditionalFormatting>
  <conditionalFormatting sqref="AG1050">
    <cfRule type="cellIs" dxfId="0" priority="577" operator="equal">
      <formula>"未完成"</formula>
    </cfRule>
  </conditionalFormatting>
  <conditionalFormatting sqref="AI1050:AJ1050">
    <cfRule type="cellIs" dxfId="0" priority="463" operator="equal">
      <formula>"未完成"</formula>
    </cfRule>
    <cfRule type="cellIs" dxfId="1" priority="425" operator="equal">
      <formula>"未完成"</formula>
    </cfRule>
  </conditionalFormatting>
  <conditionalFormatting sqref="AK1050">
    <cfRule type="cellIs" dxfId="0" priority="615" operator="equal">
      <formula>"欠"</formula>
    </cfRule>
  </conditionalFormatting>
  <conditionalFormatting sqref="R1051">
    <cfRule type="cellIs" dxfId="0" priority="348" operator="equal">
      <formula>"欠"</formula>
    </cfRule>
    <cfRule type="containsText" dxfId="2" priority="310" operator="between" text="欠">
      <formula>NOT(ISERROR(SEARCH("欠",R1051)))</formula>
    </cfRule>
  </conditionalFormatting>
  <conditionalFormatting sqref="S1051">
    <cfRule type="cellIs" dxfId="0" priority="500" operator="equal">
      <formula>"欠"</formula>
    </cfRule>
  </conditionalFormatting>
  <conditionalFormatting sqref="T1051">
    <cfRule type="cellIs" dxfId="0" priority="538" operator="equal">
      <formula>"欠"</formula>
    </cfRule>
  </conditionalFormatting>
  <conditionalFormatting sqref="U1051">
    <cfRule type="cellIs" dxfId="0" priority="386" operator="equal">
      <formula>"欠"</formula>
    </cfRule>
  </conditionalFormatting>
  <conditionalFormatting sqref="AG1051">
    <cfRule type="cellIs" dxfId="0" priority="576" operator="equal">
      <formula>"未完成"</formula>
    </cfRule>
  </conditionalFormatting>
  <conditionalFormatting sqref="AI1051:AJ1051">
    <cfRule type="cellIs" dxfId="0" priority="462" operator="equal">
      <formula>"未完成"</formula>
    </cfRule>
    <cfRule type="cellIs" dxfId="1" priority="424" operator="equal">
      <formula>"未完成"</formula>
    </cfRule>
  </conditionalFormatting>
  <conditionalFormatting sqref="AK1051">
    <cfRule type="cellIs" dxfId="0" priority="614" operator="equal">
      <formula>"欠"</formula>
    </cfRule>
  </conditionalFormatting>
  <conditionalFormatting sqref="R1052">
    <cfRule type="cellIs" dxfId="0" priority="347" operator="equal">
      <formula>"欠"</formula>
    </cfRule>
    <cfRule type="containsText" dxfId="2" priority="309" operator="between" text="欠">
      <formula>NOT(ISERROR(SEARCH("欠",R1052)))</formula>
    </cfRule>
  </conditionalFormatting>
  <conditionalFormatting sqref="S1052">
    <cfRule type="cellIs" dxfId="0" priority="499" operator="equal">
      <formula>"欠"</formula>
    </cfRule>
  </conditionalFormatting>
  <conditionalFormatting sqref="T1052">
    <cfRule type="cellIs" dxfId="0" priority="537" operator="equal">
      <formula>"欠"</formula>
    </cfRule>
  </conditionalFormatting>
  <conditionalFormatting sqref="U1052">
    <cfRule type="cellIs" dxfId="0" priority="385" operator="equal">
      <formula>"欠"</formula>
    </cfRule>
  </conditionalFormatting>
  <conditionalFormatting sqref="AG1052">
    <cfRule type="cellIs" dxfId="0" priority="575" operator="equal">
      <formula>"未完成"</formula>
    </cfRule>
  </conditionalFormatting>
  <conditionalFormatting sqref="AI1052:AJ1052">
    <cfRule type="cellIs" dxfId="0" priority="461" operator="equal">
      <formula>"未完成"</formula>
    </cfRule>
    <cfRule type="cellIs" dxfId="1" priority="423" operator="equal">
      <formula>"未完成"</formula>
    </cfRule>
  </conditionalFormatting>
  <conditionalFormatting sqref="AK1052">
    <cfRule type="cellIs" dxfId="0" priority="613" operator="equal">
      <formula>"欠"</formula>
    </cfRule>
  </conditionalFormatting>
  <conditionalFormatting sqref="R1053">
    <cfRule type="cellIs" dxfId="0" priority="346" operator="equal">
      <formula>"欠"</formula>
    </cfRule>
    <cfRule type="containsText" dxfId="2" priority="308" operator="between" text="欠">
      <formula>NOT(ISERROR(SEARCH("欠",R1053)))</formula>
    </cfRule>
  </conditionalFormatting>
  <conditionalFormatting sqref="S1053">
    <cfRule type="cellIs" dxfId="0" priority="498" operator="equal">
      <formula>"欠"</formula>
    </cfRule>
  </conditionalFormatting>
  <conditionalFormatting sqref="T1053">
    <cfRule type="cellIs" dxfId="0" priority="536" operator="equal">
      <formula>"欠"</formula>
    </cfRule>
  </conditionalFormatting>
  <conditionalFormatting sqref="U1053">
    <cfRule type="cellIs" dxfId="0" priority="384" operator="equal">
      <formula>"欠"</formula>
    </cfRule>
  </conditionalFormatting>
  <conditionalFormatting sqref="AG1053">
    <cfRule type="cellIs" dxfId="0" priority="574" operator="equal">
      <formula>"未完成"</formula>
    </cfRule>
  </conditionalFormatting>
  <conditionalFormatting sqref="AI1053:AJ1053">
    <cfRule type="cellIs" dxfId="0" priority="460" operator="equal">
      <formula>"未完成"</formula>
    </cfRule>
    <cfRule type="cellIs" dxfId="1" priority="422" operator="equal">
      <formula>"未完成"</formula>
    </cfRule>
  </conditionalFormatting>
  <conditionalFormatting sqref="AK1053">
    <cfRule type="cellIs" dxfId="0" priority="612" operator="equal">
      <formula>"欠"</formula>
    </cfRule>
  </conditionalFormatting>
  <conditionalFormatting sqref="R1054">
    <cfRule type="cellIs" dxfId="0" priority="345" operator="equal">
      <formula>"欠"</formula>
    </cfRule>
    <cfRule type="containsText" dxfId="2" priority="307" operator="between" text="欠">
      <formula>NOT(ISERROR(SEARCH("欠",R1054)))</formula>
    </cfRule>
  </conditionalFormatting>
  <conditionalFormatting sqref="S1054">
    <cfRule type="cellIs" dxfId="0" priority="497" operator="equal">
      <formula>"欠"</formula>
    </cfRule>
  </conditionalFormatting>
  <conditionalFormatting sqref="T1054">
    <cfRule type="cellIs" dxfId="0" priority="535" operator="equal">
      <formula>"欠"</formula>
    </cfRule>
  </conditionalFormatting>
  <conditionalFormatting sqref="U1054">
    <cfRule type="cellIs" dxfId="0" priority="383" operator="equal">
      <formula>"欠"</formula>
    </cfRule>
  </conditionalFormatting>
  <conditionalFormatting sqref="AG1054">
    <cfRule type="cellIs" dxfId="0" priority="573" operator="equal">
      <formula>"未完成"</formula>
    </cfRule>
  </conditionalFormatting>
  <conditionalFormatting sqref="AI1054:AJ1054">
    <cfRule type="cellIs" dxfId="0" priority="459" operator="equal">
      <formula>"未完成"</formula>
    </cfRule>
    <cfRule type="cellIs" dxfId="1" priority="421" operator="equal">
      <formula>"未完成"</formula>
    </cfRule>
  </conditionalFormatting>
  <conditionalFormatting sqref="AK1054">
    <cfRule type="cellIs" dxfId="0" priority="611" operator="equal">
      <formula>"欠"</formula>
    </cfRule>
  </conditionalFormatting>
  <conditionalFormatting sqref="R1055">
    <cfRule type="cellIs" dxfId="0" priority="344" operator="equal">
      <formula>"欠"</formula>
    </cfRule>
    <cfRule type="containsText" dxfId="2" priority="306" operator="between" text="欠">
      <formula>NOT(ISERROR(SEARCH("欠",R1055)))</formula>
    </cfRule>
  </conditionalFormatting>
  <conditionalFormatting sqref="S1055">
    <cfRule type="cellIs" dxfId="0" priority="496" operator="equal">
      <formula>"欠"</formula>
    </cfRule>
  </conditionalFormatting>
  <conditionalFormatting sqref="T1055">
    <cfRule type="cellIs" dxfId="0" priority="534" operator="equal">
      <formula>"欠"</formula>
    </cfRule>
  </conditionalFormatting>
  <conditionalFormatting sqref="U1055">
    <cfRule type="cellIs" dxfId="0" priority="382" operator="equal">
      <formula>"欠"</formula>
    </cfRule>
  </conditionalFormatting>
  <conditionalFormatting sqref="AG1055">
    <cfRule type="cellIs" dxfId="0" priority="572" operator="equal">
      <formula>"未完成"</formula>
    </cfRule>
  </conditionalFormatting>
  <conditionalFormatting sqref="AI1055:AJ1055">
    <cfRule type="cellIs" dxfId="0" priority="458" operator="equal">
      <formula>"未完成"</formula>
    </cfRule>
    <cfRule type="cellIs" dxfId="1" priority="420" operator="equal">
      <formula>"未完成"</formula>
    </cfRule>
  </conditionalFormatting>
  <conditionalFormatting sqref="AK1055">
    <cfRule type="cellIs" dxfId="0" priority="610" operator="equal">
      <formula>"欠"</formula>
    </cfRule>
  </conditionalFormatting>
  <conditionalFormatting sqref="R1056">
    <cfRule type="cellIs" dxfId="0" priority="343" operator="equal">
      <formula>"欠"</formula>
    </cfRule>
    <cfRule type="containsText" dxfId="2" priority="305" operator="between" text="欠">
      <formula>NOT(ISERROR(SEARCH("欠",R1056)))</formula>
    </cfRule>
  </conditionalFormatting>
  <conditionalFormatting sqref="S1056">
    <cfRule type="cellIs" dxfId="0" priority="495" operator="equal">
      <formula>"欠"</formula>
    </cfRule>
  </conditionalFormatting>
  <conditionalFormatting sqref="T1056">
    <cfRule type="cellIs" dxfId="0" priority="533" operator="equal">
      <formula>"欠"</formula>
    </cfRule>
  </conditionalFormatting>
  <conditionalFormatting sqref="U1056">
    <cfRule type="cellIs" dxfId="0" priority="381" operator="equal">
      <formula>"欠"</formula>
    </cfRule>
  </conditionalFormatting>
  <conditionalFormatting sqref="AG1056">
    <cfRule type="cellIs" dxfId="0" priority="571" operator="equal">
      <formula>"未完成"</formula>
    </cfRule>
  </conditionalFormatting>
  <conditionalFormatting sqref="AI1056:AJ1056">
    <cfRule type="cellIs" dxfId="0" priority="457" operator="equal">
      <formula>"未完成"</formula>
    </cfRule>
    <cfRule type="cellIs" dxfId="1" priority="419" operator="equal">
      <formula>"未完成"</formula>
    </cfRule>
  </conditionalFormatting>
  <conditionalFormatting sqref="AK1056">
    <cfRule type="cellIs" dxfId="0" priority="609" operator="equal">
      <formula>"欠"</formula>
    </cfRule>
  </conditionalFormatting>
  <conditionalFormatting sqref="S1057">
    <cfRule type="cellIs" dxfId="0" priority="2864" operator="equal">
      <formula>"欠"</formula>
    </cfRule>
  </conditionalFormatting>
  <conditionalFormatting sqref="T1057">
    <cfRule type="containsText" dxfId="2" priority="2093" operator="between" text="欠">
      <formula>NOT(ISERROR(SEARCH("欠",T1057)))</formula>
    </cfRule>
    <cfRule type="cellIs" dxfId="0" priority="2100" operator="equal">
      <formula>"欠"</formula>
    </cfRule>
  </conditionalFormatting>
  <conditionalFormatting sqref="U1057">
    <cfRule type="cellIs" dxfId="0" priority="2097" operator="equal">
      <formula>"欠"</formula>
    </cfRule>
  </conditionalFormatting>
  <conditionalFormatting sqref="AI1057:AJ1057">
    <cfRule type="cellIs" dxfId="1" priority="2091" operator="equal">
      <formula>"未完成"</formula>
    </cfRule>
    <cfRule type="cellIs" dxfId="0" priority="2092" operator="equal">
      <formula>"未完成"</formula>
    </cfRule>
  </conditionalFormatting>
  <conditionalFormatting sqref="AK1057">
    <cfRule type="cellIs" dxfId="0" priority="2099" operator="equal">
      <formula>"欠"</formula>
    </cfRule>
  </conditionalFormatting>
  <conditionalFormatting sqref="T1059">
    <cfRule type="cellIs" dxfId="0" priority="1909" operator="equal">
      <formula>"欠"</formula>
    </cfRule>
  </conditionalFormatting>
  <conditionalFormatting sqref="R1063">
    <cfRule type="containsText" dxfId="2" priority="1820" operator="between" text="欠">
      <formula>NOT(ISERROR(SEARCH("欠",R1063)))</formula>
    </cfRule>
    <cfRule type="cellIs" dxfId="0" priority="1821" operator="equal">
      <formula>"欠"</formula>
    </cfRule>
  </conditionalFormatting>
  <conditionalFormatting sqref="S1063">
    <cfRule type="cellIs" dxfId="0" priority="1713" operator="equal">
      <formula>"欠"</formula>
    </cfRule>
  </conditionalFormatting>
  <conditionalFormatting sqref="AI1064:AJ1064">
    <cfRule type="cellIs" dxfId="1" priority="1795" operator="equal">
      <formula>"未完成"</formula>
    </cfRule>
    <cfRule type="cellIs" dxfId="0" priority="1797" operator="equal">
      <formula>"未完成"</formula>
    </cfRule>
  </conditionalFormatting>
  <conditionalFormatting sqref="AK1064">
    <cfRule type="cellIs" dxfId="0" priority="1791" operator="equal">
      <formula>"欠"</formula>
    </cfRule>
  </conditionalFormatting>
  <conditionalFormatting sqref="AI1065:AJ1065">
    <cfRule type="cellIs" dxfId="1" priority="1794" operator="equal">
      <formula>"未完成"</formula>
    </cfRule>
    <cfRule type="cellIs" dxfId="0" priority="1796" operator="equal">
      <formula>"未完成"</formula>
    </cfRule>
  </conditionalFormatting>
  <conditionalFormatting sqref="AK1065">
    <cfRule type="cellIs" dxfId="0" priority="1790" operator="equal">
      <formula>"欠"</formula>
    </cfRule>
  </conditionalFormatting>
  <conditionalFormatting sqref="S1068">
    <cfRule type="cellIs" dxfId="0" priority="1696" operator="equal">
      <formula>"欠"</formula>
    </cfRule>
  </conditionalFormatting>
  <conditionalFormatting sqref="T1068">
    <cfRule type="cellIs" dxfId="0" priority="1695" operator="equal">
      <formula>"欠"</formula>
    </cfRule>
  </conditionalFormatting>
  <conditionalFormatting sqref="T1070">
    <cfRule type="containsText" dxfId="2" priority="1887" operator="between" text="欠">
      <formula>NOT(ISERROR(SEARCH("欠",T1070)))</formula>
    </cfRule>
    <cfRule type="cellIs" dxfId="0" priority="1888" operator="equal">
      <formula>"欠"</formula>
    </cfRule>
  </conditionalFormatting>
  <conditionalFormatting sqref="AK1070">
    <cfRule type="cellIs" dxfId="0" priority="1892" operator="equal">
      <formula>"欠"</formula>
    </cfRule>
  </conditionalFormatting>
  <conditionalFormatting sqref="U1071">
    <cfRule type="cellIs" dxfId="0" priority="3090" operator="equal">
      <formula>"欠"</formula>
    </cfRule>
  </conditionalFormatting>
  <conditionalFormatting sqref="AD1071:AE1071">
    <cfRule type="cellIs" dxfId="0" priority="3091" operator="equal">
      <formula>"未完成"</formula>
    </cfRule>
  </conditionalFormatting>
  <conditionalFormatting sqref="AI1071:AJ1071">
    <cfRule type="cellIs" dxfId="1" priority="3092" operator="equal">
      <formula>"未完成"</formula>
    </cfRule>
    <cfRule type="cellIs" dxfId="0" priority="3093" operator="equal">
      <formula>"未完成"</formula>
    </cfRule>
  </conditionalFormatting>
  <conditionalFormatting sqref="AG1074">
    <cfRule type="cellIs" dxfId="0" priority="1766" operator="equal">
      <formula>"未完成"</formula>
    </cfRule>
  </conditionalFormatting>
  <conditionalFormatting sqref="R1082">
    <cfRule type="containsText" dxfId="2" priority="1947" operator="between" text="欠">
      <formula>NOT(ISERROR(SEARCH("欠",R1082)))</formula>
    </cfRule>
    <cfRule type="cellIs" dxfId="0" priority="1948" operator="equal">
      <formula>"欠"</formula>
    </cfRule>
  </conditionalFormatting>
  <conditionalFormatting sqref="AG1082">
    <cfRule type="cellIs" dxfId="0" priority="1952" operator="equal">
      <formula>"未完成"</formula>
    </cfRule>
  </conditionalFormatting>
  <conditionalFormatting sqref="R1085">
    <cfRule type="containsText" dxfId="2" priority="1605" operator="between" text="欠">
      <formula>NOT(ISERROR(SEARCH("欠",R1085)))</formula>
    </cfRule>
    <cfRule type="cellIs" dxfId="0" priority="1606" operator="equal">
      <formula>"欠"</formula>
    </cfRule>
  </conditionalFormatting>
  <conditionalFormatting sqref="T1085">
    <cfRule type="cellIs" dxfId="0" priority="1659" operator="equal">
      <formula>"欠"</formula>
    </cfRule>
  </conditionalFormatting>
  <conditionalFormatting sqref="U1085">
    <cfRule type="cellIs" dxfId="0" priority="1660" operator="equal">
      <formula>"欠"</formula>
    </cfRule>
  </conditionalFormatting>
  <conditionalFormatting sqref="AI1085:AJ1085">
    <cfRule type="cellIs" dxfId="1" priority="1661" operator="equal">
      <formula>"未完成"</formula>
    </cfRule>
    <cfRule type="cellIs" dxfId="0" priority="1662" operator="equal">
      <formula>"未完成"</formula>
    </cfRule>
  </conditionalFormatting>
  <conditionalFormatting sqref="AK1085">
    <cfRule type="cellIs" dxfId="0" priority="1663" operator="equal">
      <formula>"欠"</formula>
    </cfRule>
  </conditionalFormatting>
  <conditionalFormatting sqref="AK1086">
    <cfRule type="cellIs" dxfId="0" priority="2450" operator="equal">
      <formula>"欠"</formula>
    </cfRule>
  </conditionalFormatting>
  <conditionalFormatting sqref="U1093">
    <cfRule type="cellIs" dxfId="0" priority="2601" operator="equal">
      <formula>"欠"</formula>
    </cfRule>
  </conditionalFormatting>
  <conditionalFormatting sqref="AI1093:AJ1093">
    <cfRule type="cellIs" dxfId="1" priority="2602" operator="equal">
      <formula>"未完成"</formula>
    </cfRule>
    <cfRule type="cellIs" dxfId="0" priority="2603" operator="equal">
      <formula>"未完成"</formula>
    </cfRule>
  </conditionalFormatting>
  <conditionalFormatting sqref="R1094">
    <cfRule type="containsText" dxfId="2" priority="1839" operator="between" text="欠">
      <formula>NOT(ISERROR(SEARCH("欠",R1094)))</formula>
    </cfRule>
    <cfRule type="cellIs" dxfId="0" priority="1840" operator="equal">
      <formula>"欠"</formula>
    </cfRule>
  </conditionalFormatting>
  <conditionalFormatting sqref="S1094">
    <cfRule type="cellIs" dxfId="0" priority="1982" operator="equal">
      <formula>"欠"</formula>
    </cfRule>
  </conditionalFormatting>
  <conditionalFormatting sqref="T1094">
    <cfRule type="cellIs" dxfId="0" priority="1981" operator="equal">
      <formula>"欠"</formula>
    </cfRule>
  </conditionalFormatting>
  <conditionalFormatting sqref="U1094">
    <cfRule type="cellIs" dxfId="0" priority="1835" operator="equal">
      <formula>"欠"</formula>
    </cfRule>
  </conditionalFormatting>
  <conditionalFormatting sqref="AI1094:AJ1094">
    <cfRule type="cellIs" dxfId="1" priority="1833" operator="equal">
      <formula>"未完成"</formula>
    </cfRule>
    <cfRule type="cellIs" dxfId="0" priority="1834" operator="equal">
      <formula>"未完成"</formula>
    </cfRule>
  </conditionalFormatting>
  <conditionalFormatting sqref="AK1094">
    <cfRule type="cellIs" dxfId="0" priority="1836" operator="equal">
      <formula>"欠"</formula>
    </cfRule>
  </conditionalFormatting>
  <conditionalFormatting sqref="AK1095">
    <cfRule type="cellIs" dxfId="0" priority="2074" operator="equal">
      <formula>"欠"</formula>
    </cfRule>
  </conditionalFormatting>
  <conditionalFormatting sqref="R1104">
    <cfRule type="containsText" dxfId="2" priority="1656" operator="between" text="欠">
      <formula>NOT(ISERROR(SEARCH("欠",R1104)))</formula>
    </cfRule>
    <cfRule type="cellIs" dxfId="0" priority="1657" operator="equal">
      <formula>"欠"</formula>
    </cfRule>
  </conditionalFormatting>
  <conditionalFormatting sqref="S1104">
    <cfRule type="cellIs" dxfId="0" priority="1602" operator="equal">
      <formula>"欠"</formula>
    </cfRule>
  </conditionalFormatting>
  <conditionalFormatting sqref="T1104">
    <cfRule type="containsText" dxfId="2" priority="1650" operator="between" text="欠">
      <formula>NOT(ISERROR(SEARCH("欠",T1104)))</formula>
    </cfRule>
    <cfRule type="cellIs" dxfId="0" priority="1651" operator="equal">
      <formula>"欠"</formula>
    </cfRule>
  </conditionalFormatting>
  <conditionalFormatting sqref="U1104">
    <cfRule type="cellIs" dxfId="0" priority="1652" operator="equal">
      <formula>"欠"</formula>
    </cfRule>
  </conditionalFormatting>
  <conditionalFormatting sqref="AI1104:AJ1104">
    <cfRule type="cellIs" dxfId="1" priority="1653" operator="equal">
      <formula>"未完成"</formula>
    </cfRule>
    <cfRule type="cellIs" dxfId="0" priority="1654" operator="equal">
      <formula>"未完成"</formula>
    </cfRule>
  </conditionalFormatting>
  <conditionalFormatting sqref="AK1104">
    <cfRule type="cellIs" dxfId="0" priority="1655" operator="equal">
      <formula>"欠"</formula>
    </cfRule>
  </conditionalFormatting>
  <conditionalFormatting sqref="S1108">
    <cfRule type="cellIs" dxfId="0" priority="2802" operator="equal">
      <formula>"欠"</formula>
    </cfRule>
  </conditionalFormatting>
  <conditionalFormatting sqref="S1109">
    <cfRule type="cellIs" dxfId="0" priority="1572" operator="equal">
      <formula>"欠"</formula>
    </cfRule>
  </conditionalFormatting>
  <conditionalFormatting sqref="T1109">
    <cfRule type="containsText" dxfId="2" priority="1576" operator="between" text="欠">
      <formula>NOT(ISERROR(SEARCH("欠",T1109)))</formula>
    </cfRule>
    <cfRule type="cellIs" dxfId="0" priority="1577" operator="equal">
      <formula>"欠"</formula>
    </cfRule>
  </conditionalFormatting>
  <conditionalFormatting sqref="U1109">
    <cfRule type="cellIs" dxfId="0" priority="1573" operator="equal">
      <formula>"欠"</formula>
    </cfRule>
  </conditionalFormatting>
  <conditionalFormatting sqref="AI1109:AJ1109">
    <cfRule type="cellIs" dxfId="1" priority="1574" operator="equal">
      <formula>"未完成"</formula>
    </cfRule>
    <cfRule type="cellIs" dxfId="0" priority="1575" operator="equal">
      <formula>"未完成"</formula>
    </cfRule>
  </conditionalFormatting>
  <conditionalFormatting sqref="AK1109">
    <cfRule type="cellIs" dxfId="0" priority="1578" operator="equal">
      <formula>"欠"</formula>
    </cfRule>
  </conditionalFormatting>
  <conditionalFormatting sqref="R1112">
    <cfRule type="containsText" dxfId="2" priority="1798" operator="between" text="欠">
      <formula>NOT(ISERROR(SEARCH("欠",R1112)))</formula>
    </cfRule>
    <cfRule type="cellIs" dxfId="0" priority="1799" operator="equal">
      <formula>"欠"</formula>
    </cfRule>
  </conditionalFormatting>
  <conditionalFormatting sqref="T1112">
    <cfRule type="containsText" dxfId="2" priority="1803" operator="between" text="欠">
      <formula>NOT(ISERROR(SEARCH("欠",T1112)))</formula>
    </cfRule>
    <cfRule type="cellIs" dxfId="0" priority="1809" operator="equal">
      <formula>"欠"</formula>
    </cfRule>
  </conditionalFormatting>
  <conditionalFormatting sqref="U1112">
    <cfRule type="cellIs" dxfId="0" priority="1800" operator="equal">
      <formula>"欠"</formula>
    </cfRule>
  </conditionalFormatting>
  <conditionalFormatting sqref="AI1112:AJ1112">
    <cfRule type="cellIs" dxfId="1" priority="1801" operator="equal">
      <formula>"未完成"</formula>
    </cfRule>
    <cfRule type="cellIs" dxfId="0" priority="1802" operator="equal">
      <formula>"未完成"</formula>
    </cfRule>
  </conditionalFormatting>
  <conditionalFormatting sqref="AK1112">
    <cfRule type="cellIs" dxfId="0" priority="1808" operator="equal">
      <formula>"欠"</formula>
    </cfRule>
  </conditionalFormatting>
  <conditionalFormatting sqref="R1113">
    <cfRule type="containsText" dxfId="2" priority="1698" operator="between" text="欠">
      <formula>NOT(ISERROR(SEARCH("欠",R1113)))</formula>
    </cfRule>
    <cfRule type="cellIs" dxfId="0" priority="1702" operator="equal">
      <formula>"欠"</formula>
    </cfRule>
  </conditionalFormatting>
  <conditionalFormatting sqref="T1113">
    <cfRule type="containsText" dxfId="2" priority="1703" operator="between" text="欠">
      <formula>NOT(ISERROR(SEARCH("欠",T1113)))</formula>
    </cfRule>
    <cfRule type="cellIs" dxfId="0" priority="1707" operator="equal">
      <formula>"欠"</formula>
    </cfRule>
  </conditionalFormatting>
  <conditionalFormatting sqref="U1113">
    <cfRule type="cellIs" dxfId="0" priority="1699" operator="equal">
      <formula>"欠"</formula>
    </cfRule>
  </conditionalFormatting>
  <conditionalFormatting sqref="AI1113:AJ1113">
    <cfRule type="cellIs" dxfId="1" priority="1700" operator="equal">
      <formula>"未完成"</formula>
    </cfRule>
    <cfRule type="cellIs" dxfId="0" priority="1701" operator="equal">
      <formula>"未完成"</formula>
    </cfRule>
  </conditionalFormatting>
  <conditionalFormatting sqref="AK1113">
    <cfRule type="cellIs" dxfId="0" priority="1708" operator="equal">
      <formula>"欠"</formula>
    </cfRule>
  </conditionalFormatting>
  <conditionalFormatting sqref="R1121">
    <cfRule type="containsText" dxfId="2" priority="1933" operator="between" text="欠">
      <formula>NOT(ISERROR(SEARCH("欠",R1121)))</formula>
    </cfRule>
    <cfRule type="cellIs" dxfId="0" priority="1934" operator="equal">
      <formula>"欠"</formula>
    </cfRule>
  </conditionalFormatting>
  <conditionalFormatting sqref="S1121">
    <cfRule type="cellIs" dxfId="0" priority="2710" operator="equal">
      <formula>"欠"</formula>
    </cfRule>
  </conditionalFormatting>
  <conditionalFormatting sqref="T1121">
    <cfRule type="cellIs" dxfId="0" priority="2709" operator="equal">
      <formula>"欠"</formula>
    </cfRule>
  </conditionalFormatting>
  <conditionalFormatting sqref="U1121">
    <cfRule type="cellIs" dxfId="0" priority="1930" operator="equal">
      <formula>"欠"</formula>
    </cfRule>
  </conditionalFormatting>
  <conditionalFormatting sqref="AI1121:AJ1121">
    <cfRule type="cellIs" dxfId="1" priority="1931" operator="equal">
      <formula>"未完成"</formula>
    </cfRule>
    <cfRule type="cellIs" dxfId="0" priority="1932" operator="equal">
      <formula>"未完成"</formula>
    </cfRule>
  </conditionalFormatting>
  <conditionalFormatting sqref="AK1121">
    <cfRule type="cellIs" dxfId="0" priority="1936" operator="equal">
      <formula>"欠"</formula>
    </cfRule>
  </conditionalFormatting>
  <conditionalFormatting sqref="R1127">
    <cfRule type="containsText" dxfId="2" priority="1643" operator="between" text="欠">
      <formula>NOT(ISERROR(SEARCH("欠",R1127)))</formula>
    </cfRule>
    <cfRule type="cellIs" dxfId="0" priority="1644" operator="equal">
      <formula>"欠"</formula>
    </cfRule>
  </conditionalFormatting>
  <conditionalFormatting sqref="U1127">
    <cfRule type="cellIs" dxfId="0" priority="1647" operator="equal">
      <formula>"欠"</formula>
    </cfRule>
  </conditionalFormatting>
  <conditionalFormatting sqref="AI1127:AJ1127">
    <cfRule type="cellIs" dxfId="1" priority="1648" operator="equal">
      <formula>"未完成"</formula>
    </cfRule>
    <cfRule type="cellIs" dxfId="0" priority="1649" operator="equal">
      <formula>"未完成"</formula>
    </cfRule>
  </conditionalFormatting>
  <conditionalFormatting sqref="AK1127">
    <cfRule type="cellIs" dxfId="0" priority="1646" operator="equal">
      <formula>"欠"</formula>
    </cfRule>
  </conditionalFormatting>
  <conditionalFormatting sqref="R1128">
    <cfRule type="containsText" dxfId="2" priority="1586" operator="between" text="欠">
      <formula>NOT(ISERROR(SEARCH("欠",R1128)))</formula>
    </cfRule>
    <cfRule type="cellIs" dxfId="0" priority="1589" operator="equal">
      <formula>"欠"</formula>
    </cfRule>
  </conditionalFormatting>
  <conditionalFormatting sqref="S1128">
    <cfRule type="cellIs" dxfId="0" priority="1585" operator="equal">
      <formula>"欠"</formula>
    </cfRule>
  </conditionalFormatting>
  <conditionalFormatting sqref="T1128">
    <cfRule type="cellIs" dxfId="0" priority="1580" operator="equal">
      <formula>"欠"</formula>
    </cfRule>
  </conditionalFormatting>
  <conditionalFormatting sqref="U1128">
    <cfRule type="cellIs" dxfId="0" priority="1581" operator="equal">
      <formula>"欠"</formula>
    </cfRule>
  </conditionalFormatting>
  <conditionalFormatting sqref="AI1128:AJ1128">
    <cfRule type="cellIs" dxfId="1" priority="1582" operator="equal">
      <formula>"未完成"</formula>
    </cfRule>
    <cfRule type="cellIs" dxfId="0" priority="1583" operator="equal">
      <formula>"未完成"</formula>
    </cfRule>
  </conditionalFormatting>
  <conditionalFormatting sqref="AK1128">
    <cfRule type="cellIs" dxfId="0" priority="1584" operator="equal">
      <formula>"欠"</formula>
    </cfRule>
  </conditionalFormatting>
  <conditionalFormatting sqref="R1133">
    <cfRule type="containsText" dxfId="2" priority="1675" operator="between" text="欠">
      <formula>NOT(ISERROR(SEARCH("欠",R1133)))</formula>
    </cfRule>
    <cfRule type="cellIs" dxfId="0" priority="1678" operator="equal">
      <formula>"欠"</formula>
    </cfRule>
  </conditionalFormatting>
  <conditionalFormatting sqref="S1133">
    <cfRule type="cellIs" dxfId="0" priority="1603" operator="equal">
      <formula>"欠"</formula>
    </cfRule>
  </conditionalFormatting>
  <conditionalFormatting sqref="T1133">
    <cfRule type="cellIs" dxfId="0" priority="1669" operator="equal">
      <formula>"欠"</formula>
    </cfRule>
  </conditionalFormatting>
  <conditionalFormatting sqref="U1133">
    <cfRule type="cellIs" dxfId="0" priority="1670" operator="equal">
      <formula>"欠"</formula>
    </cfRule>
  </conditionalFormatting>
  <conditionalFormatting sqref="AI1133:AJ1133">
    <cfRule type="cellIs" dxfId="1" priority="1671" operator="equal">
      <formula>"未完成"</formula>
    </cfRule>
    <cfRule type="cellIs" dxfId="0" priority="1672" operator="equal">
      <formula>"未完成"</formula>
    </cfRule>
  </conditionalFormatting>
  <conditionalFormatting sqref="AK1133">
    <cfRule type="cellIs" dxfId="0" priority="1673" operator="equal">
      <formula>"欠"</formula>
    </cfRule>
  </conditionalFormatting>
  <conditionalFormatting sqref="R1134">
    <cfRule type="containsText" dxfId="2" priority="1562" operator="between" text="欠">
      <formula>NOT(ISERROR(SEARCH("欠",R1134)))</formula>
    </cfRule>
    <cfRule type="cellIs" dxfId="0" priority="1563" operator="equal">
      <formula>"欠"</formula>
    </cfRule>
  </conditionalFormatting>
  <conditionalFormatting sqref="S1134">
    <cfRule type="cellIs" dxfId="0" priority="1561" operator="equal">
      <formula>"欠"</formula>
    </cfRule>
  </conditionalFormatting>
  <conditionalFormatting sqref="T1134">
    <cfRule type="cellIs" dxfId="0" priority="1568" operator="equal">
      <formula>"欠"</formula>
    </cfRule>
  </conditionalFormatting>
  <conditionalFormatting sqref="U1134">
    <cfRule type="cellIs" dxfId="0" priority="1566" operator="equal">
      <formula>"欠"</formula>
    </cfRule>
  </conditionalFormatting>
  <conditionalFormatting sqref="AI1134:AJ1134">
    <cfRule type="cellIs" dxfId="1" priority="1564" operator="equal">
      <formula>"未完成"</formula>
    </cfRule>
    <cfRule type="cellIs" dxfId="0" priority="1565" operator="equal">
      <formula>"未完成"</formula>
    </cfRule>
  </conditionalFormatting>
  <conditionalFormatting sqref="AK1134">
    <cfRule type="cellIs" dxfId="0" priority="1567" operator="equal">
      <formula>"欠"</formula>
    </cfRule>
  </conditionalFormatting>
  <conditionalFormatting sqref="U1135">
    <cfRule type="cellIs" dxfId="0" priority="793" operator="equal">
      <formula>"欠"</formula>
    </cfRule>
  </conditionalFormatting>
  <conditionalFormatting sqref="AG1135">
    <cfRule type="cellIs" dxfId="0" priority="805" operator="equal">
      <formula>"未完成"</formula>
    </cfRule>
  </conditionalFormatting>
  <conditionalFormatting sqref="AI1135:AJ1135">
    <cfRule type="cellIs" dxfId="1" priority="795" operator="equal">
      <formula>"未完成"</formula>
    </cfRule>
    <cfRule type="cellIs" dxfId="0" priority="797" operator="equal">
      <formula>"未完成"</formula>
    </cfRule>
  </conditionalFormatting>
  <conditionalFormatting sqref="AK1135">
    <cfRule type="cellIs" dxfId="0" priority="799" operator="equal">
      <formula>"欠"</formula>
    </cfRule>
  </conditionalFormatting>
  <conditionalFormatting sqref="U1137">
    <cfRule type="containsText" dxfId="2" priority="776" operator="between" text="欠">
      <formula>NOT(ISERROR(SEARCH("欠",U1137)))</formula>
    </cfRule>
    <cfRule type="cellIs" dxfId="0" priority="777" operator="equal">
      <formula>"欠"</formula>
    </cfRule>
  </conditionalFormatting>
  <conditionalFormatting sqref="V1137">
    <cfRule type="cellIs" dxfId="0" priority="779" operator="equal">
      <formula>"欠"</formula>
    </cfRule>
  </conditionalFormatting>
  <conditionalFormatting sqref="AJ1137">
    <cfRule type="cellIs" dxfId="1" priority="781" operator="equal">
      <formula>"未完成"</formula>
    </cfRule>
    <cfRule type="cellIs" dxfId="0" priority="782" operator="equal">
      <formula>"未完成"</formula>
    </cfRule>
  </conditionalFormatting>
  <conditionalFormatting sqref="AK1137">
    <cfRule type="cellIs" dxfId="0" priority="780" operator="equal">
      <formula>"欠"</formula>
    </cfRule>
  </conditionalFormatting>
  <conditionalFormatting sqref="R1146">
    <cfRule type="containsText" dxfId="2" priority="1545" operator="between" text="欠">
      <formula>NOT(ISERROR(SEARCH("欠",R1146)))</formula>
    </cfRule>
    <cfRule type="cellIs" dxfId="0" priority="1546" operator="equal">
      <formula>"欠"</formula>
    </cfRule>
  </conditionalFormatting>
  <conditionalFormatting sqref="S1146">
    <cfRule type="cellIs" dxfId="0" priority="1540" operator="equal">
      <formula>"欠"</formula>
    </cfRule>
  </conditionalFormatting>
  <conditionalFormatting sqref="T1146">
    <cfRule type="cellIs" dxfId="0" priority="1539" operator="equal">
      <formula>"欠"</formula>
    </cfRule>
  </conditionalFormatting>
  <conditionalFormatting sqref="U1146">
    <cfRule type="cellIs" dxfId="0" priority="1541" operator="equal">
      <formula>"欠"</formula>
    </cfRule>
  </conditionalFormatting>
  <conditionalFormatting sqref="AK1146">
    <cfRule type="cellIs" dxfId="0" priority="1542" operator="equal">
      <formula>"欠"</formula>
    </cfRule>
  </conditionalFormatting>
  <conditionalFormatting sqref="R1152">
    <cfRule type="containsText" dxfId="2" priority="679" operator="between" text="欠">
      <formula>NOT(ISERROR(SEARCH("欠",R1152)))</formula>
    </cfRule>
    <cfRule type="cellIs" dxfId="0" priority="680" operator="equal">
      <formula>"欠"</formula>
    </cfRule>
  </conditionalFormatting>
  <conditionalFormatting sqref="S1152">
    <cfRule type="cellIs" dxfId="0" priority="673" operator="equal">
      <formula>"欠"</formula>
    </cfRule>
  </conditionalFormatting>
  <conditionalFormatting sqref="T1152">
    <cfRule type="cellIs" dxfId="0" priority="674" operator="equal">
      <formula>"欠"</formula>
    </cfRule>
  </conditionalFormatting>
  <conditionalFormatting sqref="U1152">
    <cfRule type="cellIs" dxfId="0" priority="675" operator="equal">
      <formula>"欠"</formula>
    </cfRule>
  </conditionalFormatting>
  <conditionalFormatting sqref="AI1152:AJ1152">
    <cfRule type="cellIs" dxfId="1" priority="676" operator="equal">
      <formula>"未完成"</formula>
    </cfRule>
    <cfRule type="cellIs" dxfId="0" priority="677" operator="equal">
      <formula>"未完成"</formula>
    </cfRule>
  </conditionalFormatting>
  <conditionalFormatting sqref="AK1152">
    <cfRule type="cellIs" dxfId="0" priority="678" operator="equal">
      <formula>"欠"</formula>
    </cfRule>
  </conditionalFormatting>
  <conditionalFormatting sqref="R1157">
    <cfRule type="containsText" dxfId="2" priority="193" operator="between" text="欠">
      <formula>NOT(ISERROR(SEARCH("欠",R1157)))</formula>
    </cfRule>
    <cfRule type="cellIs" dxfId="0" priority="194" operator="equal">
      <formula>"欠"</formula>
    </cfRule>
  </conditionalFormatting>
  <conditionalFormatting sqref="S1157">
    <cfRule type="cellIs" dxfId="0" priority="187" operator="equal">
      <formula>"欠"</formula>
    </cfRule>
  </conditionalFormatting>
  <conditionalFormatting sqref="T1157">
    <cfRule type="cellIs" dxfId="0" priority="188" operator="equal">
      <formula>"欠"</formula>
    </cfRule>
  </conditionalFormatting>
  <conditionalFormatting sqref="U1157">
    <cfRule type="cellIs" dxfId="0" priority="189" operator="equal">
      <formula>"欠"</formula>
    </cfRule>
  </conditionalFormatting>
  <conditionalFormatting sqref="AG1157">
    <cfRule type="cellIs" dxfId="0" priority="195" operator="equal">
      <formula>"未完成"</formula>
    </cfRule>
  </conditionalFormatting>
  <conditionalFormatting sqref="AI1157:AJ1157">
    <cfRule type="cellIs" dxfId="1" priority="190" operator="equal">
      <formula>"未完成"</formula>
    </cfRule>
    <cfRule type="cellIs" dxfId="0" priority="191" operator="equal">
      <formula>"未完成"</formula>
    </cfRule>
  </conditionalFormatting>
  <conditionalFormatting sqref="AK1157">
    <cfRule type="cellIs" dxfId="0" priority="192" operator="equal">
      <formula>"欠"</formula>
    </cfRule>
  </conditionalFormatting>
  <conditionalFormatting sqref="U1161">
    <cfRule type="cellIs" dxfId="0" priority="743" operator="equal">
      <formula>"欠"</formula>
    </cfRule>
  </conditionalFormatting>
  <conditionalFormatting sqref="AI1161:AJ1161">
    <cfRule type="cellIs" dxfId="1" priority="746" operator="equal">
      <formula>"未完成"</formula>
    </cfRule>
    <cfRule type="cellIs" dxfId="0" priority="749" operator="equal">
      <formula>"未完成"</formula>
    </cfRule>
  </conditionalFormatting>
  <conditionalFormatting sqref="AK1161">
    <cfRule type="cellIs" dxfId="0" priority="767" operator="equal">
      <formula>"欠"</formula>
    </cfRule>
  </conditionalFormatting>
  <conditionalFormatting sqref="U1162">
    <cfRule type="cellIs" dxfId="0" priority="742" operator="equal">
      <formula>"欠"</formula>
    </cfRule>
  </conditionalFormatting>
  <conditionalFormatting sqref="AI1162:AJ1162">
    <cfRule type="cellIs" dxfId="1" priority="745" operator="equal">
      <formula>"未完成"</formula>
    </cfRule>
    <cfRule type="cellIs" dxfId="0" priority="748" operator="equal">
      <formula>"未完成"</formula>
    </cfRule>
  </conditionalFormatting>
  <conditionalFormatting sqref="AK1162">
    <cfRule type="cellIs" dxfId="0" priority="766" operator="equal">
      <formula>"欠"</formula>
    </cfRule>
  </conditionalFormatting>
  <conditionalFormatting sqref="R1165">
    <cfRule type="containsText" dxfId="2" priority="248" operator="between" text="欠">
      <formula>NOT(ISERROR(SEARCH("欠",R1165)))</formula>
    </cfRule>
    <cfRule type="cellIs" dxfId="0" priority="250" operator="equal">
      <formula>"欠"</formula>
    </cfRule>
  </conditionalFormatting>
  <conditionalFormatting sqref="S1165">
    <cfRule type="cellIs" dxfId="0" priority="264" operator="equal">
      <formula>"欠"</formula>
    </cfRule>
  </conditionalFormatting>
  <conditionalFormatting sqref="U1165">
    <cfRule type="cellIs" dxfId="0" priority="252" operator="equal">
      <formula>"欠"</formula>
    </cfRule>
  </conditionalFormatting>
  <conditionalFormatting sqref="AG1165">
    <cfRule type="cellIs" dxfId="0" priority="266" operator="equal">
      <formula>"未完成"</formula>
    </cfRule>
  </conditionalFormatting>
  <conditionalFormatting sqref="AI1165:AJ1165">
    <cfRule type="cellIs" dxfId="1" priority="254" operator="equal">
      <formula>"未完成"</formula>
    </cfRule>
    <cfRule type="cellIs" dxfId="0" priority="256" operator="equal">
      <formula>"未完成"</formula>
    </cfRule>
  </conditionalFormatting>
  <conditionalFormatting sqref="AK1165">
    <cfRule type="cellIs" dxfId="0" priority="260" operator="equal">
      <formula>"欠"</formula>
    </cfRule>
  </conditionalFormatting>
  <conditionalFormatting sqref="R1167">
    <cfRule type="containsText" dxfId="2" priority="158" operator="between" text="欠">
      <formula>NOT(ISERROR(SEARCH("欠",R1167)))</formula>
    </cfRule>
    <cfRule type="cellIs" dxfId="0" priority="159" operator="equal">
      <formula>"欠"</formula>
    </cfRule>
  </conditionalFormatting>
  <conditionalFormatting sqref="S1167">
    <cfRule type="cellIs" dxfId="0" priority="152" operator="equal">
      <formula>"欠"</formula>
    </cfRule>
  </conditionalFormatting>
  <conditionalFormatting sqref="T1167">
    <cfRule type="cellIs" dxfId="0" priority="153" operator="equal">
      <formula>"欠"</formula>
    </cfRule>
  </conditionalFormatting>
  <conditionalFormatting sqref="U1167">
    <cfRule type="cellIs" dxfId="0" priority="154" operator="equal">
      <formula>"欠"</formula>
    </cfRule>
  </conditionalFormatting>
  <conditionalFormatting sqref="AG1167">
    <cfRule type="cellIs" dxfId="0" priority="160" operator="equal">
      <formula>"未完成"</formula>
    </cfRule>
  </conditionalFormatting>
  <conditionalFormatting sqref="AI1167:AJ1167">
    <cfRule type="cellIs" dxfId="1" priority="155" operator="equal">
      <formula>"未完成"</formula>
    </cfRule>
    <cfRule type="cellIs" dxfId="0" priority="156" operator="equal">
      <formula>"未完成"</formula>
    </cfRule>
  </conditionalFormatting>
  <conditionalFormatting sqref="AK1167">
    <cfRule type="cellIs" dxfId="0" priority="157" operator="equal">
      <formula>"欠"</formula>
    </cfRule>
  </conditionalFormatting>
  <conditionalFormatting sqref="R1175">
    <cfRule type="containsText" dxfId="2" priority="715" operator="between" text="欠">
      <formula>NOT(ISERROR(SEARCH("欠",R1175)))</formula>
    </cfRule>
    <cfRule type="cellIs" dxfId="0" priority="716" operator="equal">
      <formula>"欠"</formula>
    </cfRule>
  </conditionalFormatting>
  <conditionalFormatting sqref="S1175">
    <cfRule type="cellIs" dxfId="0" priority="717" operator="equal">
      <formula>"欠"</formula>
    </cfRule>
  </conditionalFormatting>
  <conditionalFormatting sqref="T1175">
    <cfRule type="containsText" dxfId="2" priority="718" operator="between" text="欠">
      <formula>NOT(ISERROR(SEARCH("欠",T1175)))</formula>
    </cfRule>
    <cfRule type="cellIs" dxfId="0" priority="719" operator="equal">
      <formula>"欠"</formula>
    </cfRule>
  </conditionalFormatting>
  <conditionalFormatting sqref="U1175">
    <cfRule type="cellIs" dxfId="0" priority="714" operator="equal">
      <formula>"欠"</formula>
    </cfRule>
  </conditionalFormatting>
  <conditionalFormatting sqref="AI1175:AJ1175">
    <cfRule type="cellIs" dxfId="1" priority="711" operator="equal">
      <formula>"未完成"</formula>
    </cfRule>
    <cfRule type="cellIs" dxfId="0" priority="712" operator="equal">
      <formula>"未完成"</formula>
    </cfRule>
  </conditionalFormatting>
  <conditionalFormatting sqref="AK1175">
    <cfRule type="cellIs" dxfId="0" priority="720" operator="equal">
      <formula>"欠"</formula>
    </cfRule>
  </conditionalFormatting>
  <conditionalFormatting sqref="U1176">
    <cfRule type="cellIs" dxfId="0" priority="203" operator="equal">
      <formula>"欠"</formula>
    </cfRule>
  </conditionalFormatting>
  <conditionalFormatting sqref="AG1176">
    <cfRule type="cellIs" dxfId="0" priority="217" operator="equal">
      <formula>"未完成"</formula>
    </cfRule>
  </conditionalFormatting>
  <conditionalFormatting sqref="AI1176:AJ1176">
    <cfRule type="cellIs" dxfId="1" priority="205" operator="equal">
      <formula>"未完成"</formula>
    </cfRule>
    <cfRule type="cellIs" dxfId="0" priority="207" operator="equal">
      <formula>"未完成"</formula>
    </cfRule>
  </conditionalFormatting>
  <conditionalFormatting sqref="AK1176">
    <cfRule type="cellIs" dxfId="0" priority="211" operator="equal">
      <formula>"欠"</formula>
    </cfRule>
  </conditionalFormatting>
  <conditionalFormatting sqref="U1177">
    <cfRule type="cellIs" dxfId="0" priority="202" operator="equal">
      <formula>"欠"</formula>
    </cfRule>
  </conditionalFormatting>
  <conditionalFormatting sqref="AG1177">
    <cfRule type="cellIs" dxfId="0" priority="216" operator="equal">
      <formula>"未完成"</formula>
    </cfRule>
  </conditionalFormatting>
  <conditionalFormatting sqref="AI1177:AJ1177">
    <cfRule type="cellIs" dxfId="1" priority="204" operator="equal">
      <formula>"未完成"</formula>
    </cfRule>
    <cfRule type="cellIs" dxfId="0" priority="206" operator="equal">
      <formula>"未完成"</formula>
    </cfRule>
  </conditionalFormatting>
  <conditionalFormatting sqref="AK1177">
    <cfRule type="cellIs" dxfId="0" priority="210" operator="equal">
      <formula>"欠"</formula>
    </cfRule>
  </conditionalFormatting>
  <conditionalFormatting sqref="R1178">
    <cfRule type="cellIs" dxfId="0" priority="4" operator="equal">
      <formula>"欠"</formula>
    </cfRule>
    <cfRule type="containsText" dxfId="2" priority="3" operator="between" text="欠">
      <formula>NOT(ISERROR(SEARCH("欠",R1178)))</formula>
    </cfRule>
  </conditionalFormatting>
  <conditionalFormatting sqref="S1178:T1178">
    <cfRule type="cellIs" dxfId="0" priority="6" operator="equal">
      <formula>"欠"</formula>
    </cfRule>
  </conditionalFormatting>
  <conditionalFormatting sqref="T1178">
    <cfRule type="containsText" dxfId="2" priority="5" operator="between" text="欠">
      <formula>NOT(ISERROR(SEARCH("欠",T1178)))</formula>
    </cfRule>
  </conditionalFormatting>
  <conditionalFormatting sqref="U1178">
    <cfRule type="cellIs" dxfId="0" priority="7" operator="equal">
      <formula>"欠"</formula>
    </cfRule>
  </conditionalFormatting>
  <conditionalFormatting sqref="AG1178">
    <cfRule type="cellIs" dxfId="0" priority="11" operator="equal">
      <formula>"未完成"</formula>
    </cfRule>
  </conditionalFormatting>
  <conditionalFormatting sqref="AI1178:AJ1178">
    <cfRule type="cellIs" dxfId="0" priority="9" operator="equal">
      <formula>"未完成"</formula>
    </cfRule>
    <cfRule type="cellIs" dxfId="1" priority="8" operator="equal">
      <formula>"未完成"</formula>
    </cfRule>
  </conditionalFormatting>
  <conditionalFormatting sqref="AK1178">
    <cfRule type="cellIs" dxfId="0" priority="1" operator="equal">
      <formula>"欠"</formula>
    </cfRule>
  </conditionalFormatting>
  <conditionalFormatting sqref="U1180">
    <cfRule type="cellIs" dxfId="0" priority="693" operator="equal">
      <formula>"欠"</formula>
    </cfRule>
  </conditionalFormatting>
  <conditionalFormatting sqref="AI1180:AJ1180">
    <cfRule type="cellIs" dxfId="1" priority="695" operator="equal">
      <formula>"未完成"</formula>
    </cfRule>
    <cfRule type="cellIs" dxfId="0" priority="697" operator="equal">
      <formula>"未完成"</formula>
    </cfRule>
  </conditionalFormatting>
  <conditionalFormatting sqref="AK1180">
    <cfRule type="cellIs" dxfId="0" priority="685" operator="equal">
      <formula>"欠"</formula>
    </cfRule>
  </conditionalFormatting>
  <conditionalFormatting sqref="R1182">
    <cfRule type="containsText" dxfId="2" priority="686" operator="between" text="欠">
      <formula>NOT(ISERROR(SEARCH("欠",R1182)))</formula>
    </cfRule>
    <cfRule type="cellIs" dxfId="0" priority="688" operator="equal">
      <formula>"欠"</formula>
    </cfRule>
  </conditionalFormatting>
  <conditionalFormatting sqref="S1182">
    <cfRule type="cellIs" dxfId="0" priority="690" operator="equal">
      <formula>"欠"</formula>
    </cfRule>
  </conditionalFormatting>
  <conditionalFormatting sqref="T1182">
    <cfRule type="containsText" dxfId="2" priority="698" operator="between" text="欠">
      <formula>NOT(ISERROR(SEARCH("欠",T1182)))</formula>
    </cfRule>
    <cfRule type="cellIs" dxfId="0" priority="708" operator="equal">
      <formula>"欠"</formula>
    </cfRule>
  </conditionalFormatting>
  <conditionalFormatting sqref="R1183">
    <cfRule type="containsText" dxfId="2" priority="108" operator="between" text="欠">
      <formula>NOT(ISERROR(SEARCH("欠",R1183)))</formula>
    </cfRule>
    <cfRule type="cellIs" dxfId="0" priority="109" operator="equal">
      <formula>"欠"</formula>
    </cfRule>
  </conditionalFormatting>
  <conditionalFormatting sqref="S1183">
    <cfRule type="cellIs" dxfId="0" priority="110" operator="equal">
      <formula>"欠"</formula>
    </cfRule>
  </conditionalFormatting>
  <conditionalFormatting sqref="T1183">
    <cfRule type="containsText" dxfId="2" priority="114" operator="between" text="欠">
      <formula>NOT(ISERROR(SEARCH("欠",T1183)))</formula>
    </cfRule>
    <cfRule type="cellIs" dxfId="0" priority="115" operator="equal">
      <formula>"欠"</formula>
    </cfRule>
  </conditionalFormatting>
  <conditionalFormatting sqref="U1183">
    <cfRule type="cellIs" dxfId="0" priority="111" operator="equal">
      <formula>"欠"</formula>
    </cfRule>
  </conditionalFormatting>
  <conditionalFormatting sqref="AG1183">
    <cfRule type="cellIs" dxfId="0" priority="116" operator="equal">
      <formula>"未完成"</formula>
    </cfRule>
  </conditionalFormatting>
  <conditionalFormatting sqref="AI1183:AJ1183">
    <cfRule type="cellIs" dxfId="1" priority="112" operator="equal">
      <formula>"未完成"</formula>
    </cfRule>
    <cfRule type="cellIs" dxfId="0" priority="113" operator="equal">
      <formula>"未完成"</formula>
    </cfRule>
  </conditionalFormatting>
  <conditionalFormatting sqref="AK1183">
    <cfRule type="cellIs" dxfId="0" priority="117" operator="equal">
      <formula>"欠"</formula>
    </cfRule>
  </conditionalFormatting>
  <conditionalFormatting sqref="R1188">
    <cfRule type="containsText" dxfId="2" priority="233" operator="between" text="欠">
      <formula>NOT(ISERROR(SEARCH("欠",R1188)))</formula>
    </cfRule>
    <cfRule type="cellIs" dxfId="0" priority="234" operator="equal">
      <formula>"欠"</formula>
    </cfRule>
  </conditionalFormatting>
  <conditionalFormatting sqref="R1190">
    <cfRule type="containsText" dxfId="2" priority="230" operator="between" text="欠">
      <formula>NOT(ISERROR(SEARCH("欠",R1190)))</formula>
    </cfRule>
    <cfRule type="cellIs" dxfId="0" priority="231" operator="equal">
      <formula>"欠"</formula>
    </cfRule>
  </conditionalFormatting>
  <conditionalFormatting sqref="U1190">
    <cfRule type="cellIs" dxfId="0" priority="251" operator="equal">
      <formula>"欠"</formula>
    </cfRule>
  </conditionalFormatting>
  <conditionalFormatting sqref="AG1190">
    <cfRule type="cellIs" dxfId="0" priority="265" operator="equal">
      <formula>"未完成"</formula>
    </cfRule>
  </conditionalFormatting>
  <conditionalFormatting sqref="AI1190:AJ1190">
    <cfRule type="cellIs" dxfId="1" priority="253" operator="equal">
      <formula>"未完成"</formula>
    </cfRule>
    <cfRule type="cellIs" dxfId="0" priority="255" operator="equal">
      <formula>"未完成"</formula>
    </cfRule>
  </conditionalFormatting>
  <conditionalFormatting sqref="AK1190">
    <cfRule type="cellIs" dxfId="0" priority="259" operator="equal">
      <formula>"欠"</formula>
    </cfRule>
  </conditionalFormatting>
  <conditionalFormatting sqref="R1192">
    <cfRule type="containsText" dxfId="2" priority="163" operator="between" text="欠">
      <formula>NOT(ISERROR(SEARCH("欠",R1192)))</formula>
    </cfRule>
    <cfRule type="cellIs" dxfId="0" priority="164" operator="equal">
      <formula>"欠"</formula>
    </cfRule>
  </conditionalFormatting>
  <conditionalFormatting sqref="S1192">
    <cfRule type="cellIs" dxfId="0" priority="165" operator="equal">
      <formula>"欠"</formula>
    </cfRule>
  </conditionalFormatting>
  <conditionalFormatting sqref="T1192">
    <cfRule type="containsText" dxfId="2" priority="169" operator="between" text="欠">
      <formula>NOT(ISERROR(SEARCH("欠",T1192)))</formula>
    </cfRule>
    <cfRule type="cellIs" dxfId="0" priority="170" operator="equal">
      <formula>"欠"</formula>
    </cfRule>
  </conditionalFormatting>
  <conditionalFormatting sqref="U1192">
    <cfRule type="cellIs" dxfId="0" priority="166" operator="equal">
      <formula>"欠"</formula>
    </cfRule>
  </conditionalFormatting>
  <conditionalFormatting sqref="AI1192:AJ1192">
    <cfRule type="cellIs" dxfId="1" priority="167" operator="equal">
      <formula>"未完成"</formula>
    </cfRule>
    <cfRule type="cellIs" dxfId="0" priority="168" operator="equal">
      <formula>"未完成"</formula>
    </cfRule>
  </conditionalFormatting>
  <conditionalFormatting sqref="AK1192">
    <cfRule type="cellIs" dxfId="0" priority="162" operator="equal">
      <formula>"欠"</formula>
    </cfRule>
  </conditionalFormatting>
  <conditionalFormatting sqref="AG1195">
    <cfRule type="cellIs" dxfId="0" priority="228" operator="equal">
      <formula>"未完成"</formula>
    </cfRule>
  </conditionalFormatting>
  <conditionalFormatting sqref="R1197">
    <cfRule type="containsText" dxfId="2" priority="141" operator="between" text="欠">
      <formula>NOT(ISERROR(SEARCH("欠",R1197)))</formula>
    </cfRule>
    <cfRule type="cellIs" dxfId="0" priority="142" operator="equal">
      <formula>"欠"</formula>
    </cfRule>
  </conditionalFormatting>
  <conditionalFormatting sqref="T1197">
    <cfRule type="containsText" dxfId="2" priority="146" operator="between" text="欠">
      <formula>NOT(ISERROR(SEARCH("欠",T1197)))</formula>
    </cfRule>
    <cfRule type="cellIs" dxfId="0" priority="148" operator="equal">
      <formula>"欠"</formula>
    </cfRule>
  </conditionalFormatting>
  <conditionalFormatting sqref="U1197">
    <cfRule type="cellIs" dxfId="0" priority="143" operator="equal">
      <formula>"欠"</formula>
    </cfRule>
  </conditionalFormatting>
  <conditionalFormatting sqref="AG1197">
    <cfRule type="cellIs" dxfId="0" priority="150" operator="equal">
      <formula>"未完成"</formula>
    </cfRule>
  </conditionalFormatting>
  <conditionalFormatting sqref="AI1197:AJ1197">
    <cfRule type="cellIs" dxfId="1" priority="144" operator="equal">
      <formula>"未完成"</formula>
    </cfRule>
    <cfRule type="cellIs" dxfId="0" priority="145" operator="equal">
      <formula>"未完成"</formula>
    </cfRule>
  </conditionalFormatting>
  <conditionalFormatting sqref="AK1197">
    <cfRule type="cellIs" dxfId="0" priority="147" operator="equal">
      <formula>"欠"</formula>
    </cfRule>
  </conditionalFormatting>
  <conditionalFormatting sqref="R1198">
    <cfRule type="containsText" dxfId="2" priority="124" operator="between" text="欠">
      <formula>NOT(ISERROR(SEARCH("欠",R1198)))</formula>
    </cfRule>
    <cfRule type="cellIs" dxfId="0" priority="134" operator="equal">
      <formula>"欠"</formula>
    </cfRule>
  </conditionalFormatting>
  <conditionalFormatting sqref="S1198">
    <cfRule type="cellIs" dxfId="0" priority="136" operator="equal">
      <formula>"欠"</formula>
    </cfRule>
  </conditionalFormatting>
  <conditionalFormatting sqref="T1198">
    <cfRule type="containsText" dxfId="2" priority="118" operator="between" text="欠">
      <formula>NOT(ISERROR(SEARCH("欠",T1198)))</formula>
    </cfRule>
    <cfRule type="cellIs" dxfId="0" priority="122" operator="equal">
      <formula>"欠"</formula>
    </cfRule>
  </conditionalFormatting>
  <conditionalFormatting sqref="U1198">
    <cfRule type="cellIs" dxfId="0" priority="126" operator="equal">
      <formula>"欠"</formula>
    </cfRule>
  </conditionalFormatting>
  <conditionalFormatting sqref="AG1198">
    <cfRule type="cellIs" dxfId="0" priority="138" operator="equal">
      <formula>"未完成"</formula>
    </cfRule>
  </conditionalFormatting>
  <conditionalFormatting sqref="AI1198:AJ1198">
    <cfRule type="cellIs" dxfId="1" priority="128" operator="equal">
      <formula>"未完成"</formula>
    </cfRule>
    <cfRule type="cellIs" dxfId="0" priority="130" operator="equal">
      <formula>"未完成"</formula>
    </cfRule>
  </conditionalFormatting>
  <conditionalFormatting sqref="R1200">
    <cfRule type="containsText" dxfId="2" priority="78" operator="between" text="欠">
      <formula>NOT(ISERROR(SEARCH("欠",R1200)))</formula>
    </cfRule>
    <cfRule type="cellIs" dxfId="0" priority="79" operator="equal">
      <formula>"欠"</formula>
    </cfRule>
  </conditionalFormatting>
  <conditionalFormatting sqref="S1200">
    <cfRule type="cellIs" dxfId="0" priority="80" operator="equal">
      <formula>"欠"</formula>
    </cfRule>
  </conditionalFormatting>
  <conditionalFormatting sqref="T1200">
    <cfRule type="containsText" dxfId="2" priority="72" operator="between" text="欠">
      <formula>NOT(ISERROR(SEARCH("欠",T1200)))</formula>
    </cfRule>
    <cfRule type="cellIs" dxfId="0" priority="73" operator="equal">
      <formula>"欠"</formula>
    </cfRule>
  </conditionalFormatting>
  <conditionalFormatting sqref="U1200">
    <cfRule type="cellIs" dxfId="0" priority="75" operator="equal">
      <formula>"欠"</formula>
    </cfRule>
  </conditionalFormatting>
  <conditionalFormatting sqref="AG1200">
    <cfRule type="cellIs" dxfId="0" priority="81" operator="equal">
      <formula>"未完成"</formula>
    </cfRule>
  </conditionalFormatting>
  <conditionalFormatting sqref="AI1200:AJ1200">
    <cfRule type="cellIs" dxfId="1" priority="76" operator="equal">
      <formula>"未完成"</formula>
    </cfRule>
    <cfRule type="cellIs" dxfId="0" priority="77" operator="equal">
      <formula>"未完成"</formula>
    </cfRule>
  </conditionalFormatting>
  <conditionalFormatting sqref="U1201">
    <cfRule type="cellIs" dxfId="0" priority="1616" operator="equal">
      <formula>"欠"</formula>
    </cfRule>
  </conditionalFormatting>
  <conditionalFormatting sqref="AI1201:AJ1201">
    <cfRule type="cellIs" dxfId="1" priority="1618" operator="equal">
      <formula>"未完成"</formula>
    </cfRule>
    <cfRule type="cellIs" dxfId="0" priority="1620" operator="equal">
      <formula>"未完成"</formula>
    </cfRule>
  </conditionalFormatting>
  <conditionalFormatting sqref="AK1201">
    <cfRule type="cellIs" dxfId="0" priority="1622" operator="equal">
      <formula>"欠"</formula>
    </cfRule>
  </conditionalFormatting>
  <conditionalFormatting sqref="U1202">
    <cfRule type="cellIs" dxfId="0" priority="1615" operator="equal">
      <formula>"欠"</formula>
    </cfRule>
  </conditionalFormatting>
  <conditionalFormatting sqref="AI1202:AJ1202">
    <cfRule type="cellIs" dxfId="1" priority="1617" operator="equal">
      <formula>"未完成"</formula>
    </cfRule>
    <cfRule type="cellIs" dxfId="0" priority="1619" operator="equal">
      <formula>"未完成"</formula>
    </cfRule>
  </conditionalFormatting>
  <conditionalFormatting sqref="AK1202">
    <cfRule type="cellIs" dxfId="0" priority="1621" operator="equal">
      <formula>"欠"</formula>
    </cfRule>
  </conditionalFormatting>
  <conditionalFormatting sqref="R1203">
    <cfRule type="containsText" dxfId="2" priority="97" operator="between" text="欠">
      <formula>NOT(ISERROR(SEARCH("欠",R1203)))</formula>
    </cfRule>
    <cfRule type="cellIs" dxfId="0" priority="98" operator="equal">
      <formula>"欠"</formula>
    </cfRule>
  </conditionalFormatting>
  <conditionalFormatting sqref="S1203">
    <cfRule type="cellIs" dxfId="0" priority="99" operator="equal">
      <formula>"欠"</formula>
    </cfRule>
  </conditionalFormatting>
  <conditionalFormatting sqref="T1203">
    <cfRule type="containsText" dxfId="2" priority="103" operator="between" text="欠">
      <formula>NOT(ISERROR(SEARCH("欠",T1203)))</formula>
    </cfRule>
    <cfRule type="cellIs" dxfId="0" priority="104" operator="equal">
      <formula>"欠"</formula>
    </cfRule>
  </conditionalFormatting>
  <conditionalFormatting sqref="U1203">
    <cfRule type="cellIs" dxfId="0" priority="100" operator="equal">
      <formula>"欠"</formula>
    </cfRule>
  </conditionalFormatting>
  <conditionalFormatting sqref="AG1203">
    <cfRule type="cellIs" dxfId="0" priority="105" operator="equal">
      <formula>"未完成"</formula>
    </cfRule>
  </conditionalFormatting>
  <conditionalFormatting sqref="AI1203:AJ1203">
    <cfRule type="cellIs" dxfId="1" priority="101" operator="equal">
      <formula>"未完成"</formula>
    </cfRule>
    <cfRule type="cellIs" dxfId="0" priority="102" operator="equal">
      <formula>"未完成"</formula>
    </cfRule>
  </conditionalFormatting>
  <conditionalFormatting sqref="AK1203">
    <cfRule type="cellIs" dxfId="0" priority="106" operator="equal">
      <formula>"欠"</formula>
    </cfRule>
  </conditionalFormatting>
  <conditionalFormatting sqref="R1213">
    <cfRule type="containsText" dxfId="2" priority="58" operator="between" text="欠">
      <formula>NOT(ISERROR(SEARCH("欠",R1213)))</formula>
    </cfRule>
    <cfRule type="cellIs" dxfId="0" priority="59" operator="equal">
      <formula>"欠"</formula>
    </cfRule>
  </conditionalFormatting>
  <conditionalFormatting sqref="S1213">
    <cfRule type="cellIs" dxfId="0" priority="70" operator="equal">
      <formula>"欠"</formula>
    </cfRule>
  </conditionalFormatting>
  <conditionalFormatting sqref="T1213">
    <cfRule type="containsText" dxfId="2" priority="63" operator="between" text="欠">
      <formula>NOT(ISERROR(SEARCH("欠",T1213)))</formula>
    </cfRule>
    <cfRule type="cellIs" dxfId="0" priority="69" operator="equal">
      <formula>"欠"</formula>
    </cfRule>
  </conditionalFormatting>
  <conditionalFormatting sqref="U1213">
    <cfRule type="cellIs" dxfId="0" priority="60" operator="equal">
      <formula>"欠"</formula>
    </cfRule>
  </conditionalFormatting>
  <conditionalFormatting sqref="AG1213">
    <cfRule type="cellIs" dxfId="0" priority="64" operator="equal">
      <formula>"未完成"</formula>
    </cfRule>
  </conditionalFormatting>
  <conditionalFormatting sqref="AI1213:AJ1213">
    <cfRule type="cellIs" dxfId="1" priority="61" operator="equal">
      <formula>"未完成"</formula>
    </cfRule>
    <cfRule type="cellIs" dxfId="0" priority="62" operator="equal">
      <formula>"未完成"</formula>
    </cfRule>
  </conditionalFormatting>
  <conditionalFormatting sqref="AK1213">
    <cfRule type="cellIs" dxfId="0" priority="68" operator="equal">
      <formula>"欠"</formula>
    </cfRule>
  </conditionalFormatting>
  <conditionalFormatting sqref="R1214">
    <cfRule type="containsText" dxfId="2" priority="47" operator="between" text="欠">
      <formula>NOT(ISERROR(SEARCH("欠",R1214)))</formula>
    </cfRule>
  </conditionalFormatting>
  <conditionalFormatting sqref="S1214">
    <cfRule type="cellIs" dxfId="0" priority="55" operator="equal">
      <formula>"欠"</formula>
    </cfRule>
  </conditionalFormatting>
  <conditionalFormatting sqref="T1214">
    <cfRule type="containsText" dxfId="2" priority="46" operator="between" text="欠">
      <formula>NOT(ISERROR(SEARCH("欠",T1214)))</formula>
    </cfRule>
  </conditionalFormatting>
  <conditionalFormatting sqref="U1214">
    <cfRule type="cellIs" dxfId="0" priority="50" operator="equal">
      <formula>"欠"</formula>
    </cfRule>
  </conditionalFormatting>
  <conditionalFormatting sqref="AD1214:AE1214">
    <cfRule type="cellIs" dxfId="0" priority="52" operator="equal">
      <formula>"未完成"</formula>
    </cfRule>
  </conditionalFormatting>
  <conditionalFormatting sqref="AI1214:AJ1214">
    <cfRule type="cellIs" dxfId="1" priority="53" operator="equal">
      <formula>"未完成"</formula>
    </cfRule>
    <cfRule type="cellIs" dxfId="0" priority="54" operator="equal">
      <formula>"未完成"</formula>
    </cfRule>
  </conditionalFormatting>
  <conditionalFormatting sqref="AK1214">
    <cfRule type="cellIs" dxfId="0" priority="56" operator="equal">
      <formula>"欠"</formula>
    </cfRule>
  </conditionalFormatting>
  <conditionalFormatting sqref="R1222">
    <cfRule type="containsText" dxfId="2" priority="1767" operator="between" text="欠">
      <formula>NOT(ISERROR(SEARCH("欠",R1222)))</formula>
    </cfRule>
    <cfRule type="cellIs" dxfId="0" priority="1768" operator="equal">
      <formula>"欠"</formula>
    </cfRule>
  </conditionalFormatting>
  <conditionalFormatting sqref="T1222">
    <cfRule type="containsText" dxfId="2" priority="1772" operator="between" text="欠">
      <formula>NOT(ISERROR(SEARCH("欠",T1222)))</formula>
    </cfRule>
    <cfRule type="cellIs" dxfId="0" priority="1778" operator="equal">
      <formula>"欠"</formula>
    </cfRule>
  </conditionalFormatting>
  <conditionalFormatting sqref="U1222">
    <cfRule type="cellIs" dxfId="0" priority="1769" operator="equal">
      <formula>"欠"</formula>
    </cfRule>
  </conditionalFormatting>
  <conditionalFormatting sqref="AI1222:AJ1222">
    <cfRule type="cellIs" dxfId="1" priority="1770" operator="equal">
      <formula>"未完成"</formula>
    </cfRule>
    <cfRule type="cellIs" dxfId="0" priority="1771" operator="equal">
      <formula>"未完成"</formula>
    </cfRule>
  </conditionalFormatting>
  <conditionalFormatting sqref="AF1230">
    <cfRule type="cellIs" dxfId="0" priority="17182" operator="equal">
      <formula>"未完成"</formula>
    </cfRule>
  </conditionalFormatting>
  <conditionalFormatting sqref="R2:R15">
    <cfRule type="cellIs" dxfId="0" priority="17029" operator="equal">
      <formula>"欠"</formula>
    </cfRule>
  </conditionalFormatting>
  <conditionalFormatting sqref="R161:R163">
    <cfRule type="cellIs" dxfId="0" priority="6872" operator="equal">
      <formula>"欠"</formula>
    </cfRule>
  </conditionalFormatting>
  <conditionalFormatting sqref="R558:R563">
    <cfRule type="cellIs" dxfId="0" priority="5403" operator="equal">
      <formula>"欠"</formula>
    </cfRule>
  </conditionalFormatting>
  <conditionalFormatting sqref="R605:R607">
    <cfRule type="cellIs" dxfId="0" priority="4138" operator="equal">
      <formula>"欠"</formula>
    </cfRule>
  </conditionalFormatting>
  <conditionalFormatting sqref="R635:R636">
    <cfRule type="cellIs" dxfId="0" priority="9283" operator="equal">
      <formula>"欠"</formula>
    </cfRule>
  </conditionalFormatting>
  <conditionalFormatting sqref="R667:R668">
    <cfRule type="containsText" dxfId="2" priority="3428" operator="between" text="欠">
      <formula>NOT(ISERROR(SEARCH("欠",R667)))</formula>
    </cfRule>
  </conditionalFormatting>
  <conditionalFormatting sqref="R727:R730">
    <cfRule type="containsText" dxfId="2" priority="3362" operator="between" text="欠">
      <formula>NOT(ISERROR(SEARCH("欠",R727)))</formula>
    </cfRule>
    <cfRule type="cellIs" dxfId="0" priority="3363" operator="equal">
      <formula>"欠"</formula>
    </cfRule>
  </conditionalFormatting>
  <conditionalFormatting sqref="R754:R756">
    <cfRule type="cellIs" dxfId="0" priority="2510" operator="equal">
      <formula>"欠"</formula>
    </cfRule>
    <cfRule type="containsText" dxfId="2" priority="2505" operator="between" text="欠">
      <formula>NOT(ISERROR(SEARCH("欠",R754)))</formula>
    </cfRule>
  </conditionalFormatting>
  <conditionalFormatting sqref="R785:R786">
    <cfRule type="containsText" dxfId="2" priority="3167" operator="between" text="欠">
      <formula>NOT(ISERROR(SEARCH("欠",R785)))</formula>
    </cfRule>
    <cfRule type="cellIs" dxfId="0" priority="3172" operator="equal">
      <formula>"欠"</formula>
    </cfRule>
  </conditionalFormatting>
  <conditionalFormatting sqref="R805:R807">
    <cfRule type="containsText" dxfId="2" priority="2945" operator="between" text="欠">
      <formula>NOT(ISERROR(SEARCH("欠",R805)))</formula>
    </cfRule>
    <cfRule type="cellIs" dxfId="0" priority="2947" operator="equal">
      <formula>"欠"</formula>
    </cfRule>
  </conditionalFormatting>
  <conditionalFormatting sqref="R818:R838">
    <cfRule type="containsText" dxfId="2" priority="2375" operator="between" text="欠">
      <formula>NOT(ISERROR(SEARCH("欠",R818)))</formula>
    </cfRule>
    <cfRule type="cellIs" dxfId="0" priority="2376" operator="equal">
      <formula>"欠"</formula>
    </cfRule>
  </conditionalFormatting>
  <conditionalFormatting sqref="R844:R850">
    <cfRule type="containsText" dxfId="2" priority="3045" operator="between" text="欠">
      <formula>NOT(ISERROR(SEARCH("欠",R844)))</formula>
    </cfRule>
    <cfRule type="cellIs" dxfId="0" priority="3073" operator="equal">
      <formula>"欠"</formula>
    </cfRule>
  </conditionalFormatting>
  <conditionalFormatting sqref="R907:R908">
    <cfRule type="containsText" dxfId="2" priority="3200" operator="between" text="欠">
      <formula>NOT(ISERROR(SEARCH("欠",R907)))</formula>
    </cfRule>
    <cfRule type="cellIs" dxfId="0" priority="3207" operator="equal">
      <formula>"欠"</formula>
    </cfRule>
  </conditionalFormatting>
  <conditionalFormatting sqref="R917:R918">
    <cfRule type="containsText" dxfId="2" priority="2616" operator="between" text="欠">
      <formula>NOT(ISERROR(SEARCH("欠",R917)))</formula>
    </cfRule>
    <cfRule type="cellIs" dxfId="0" priority="2620" operator="equal">
      <formula>"欠"</formula>
    </cfRule>
  </conditionalFormatting>
  <conditionalFormatting sqref="R923:R926">
    <cfRule type="containsText" dxfId="2" priority="3177" operator="between" text="欠">
      <formula>NOT(ISERROR(SEARCH("欠",R923)))</formula>
    </cfRule>
    <cfRule type="cellIs" dxfId="0" priority="3183" operator="equal">
      <formula>"欠"</formula>
    </cfRule>
  </conditionalFormatting>
  <conditionalFormatting sqref="R927:R930">
    <cfRule type="containsText" dxfId="2" priority="2879" operator="between" text="欠">
      <formula>NOT(ISERROR(SEARCH("欠",R927)))</formula>
    </cfRule>
    <cfRule type="cellIs" dxfId="0" priority="2881" operator="equal">
      <formula>"欠"</formula>
    </cfRule>
  </conditionalFormatting>
  <conditionalFormatting sqref="R943:R947">
    <cfRule type="containsText" dxfId="2" priority="2765" operator="between" text="欠">
      <formula>NOT(ISERROR(SEARCH("欠",R943)))</formula>
    </cfRule>
    <cfRule type="cellIs" dxfId="0" priority="2767" operator="equal">
      <formula>"欠"</formula>
    </cfRule>
  </conditionalFormatting>
  <conditionalFormatting sqref="R1060:R1062">
    <cfRule type="containsText" dxfId="2" priority="1914" operator="between" text="欠">
      <formula>NOT(ISERROR(SEARCH("欠",R1060)))</formula>
    </cfRule>
    <cfRule type="cellIs" dxfId="0" priority="1915" operator="equal">
      <formula>"欠"</formula>
    </cfRule>
  </conditionalFormatting>
  <conditionalFormatting sqref="R1064:R1068">
    <cfRule type="containsText" dxfId="2" priority="1875" operator="between" text="欠">
      <formula>NOT(ISERROR(SEARCH("欠",R1064)))</formula>
    </cfRule>
    <cfRule type="cellIs" dxfId="0" priority="1876" operator="equal">
      <formula>"欠"</formula>
    </cfRule>
  </conditionalFormatting>
  <conditionalFormatting sqref="R1071:R1072">
    <cfRule type="containsText" dxfId="2" priority="3004" operator="between" text="欠">
      <formula>NOT(ISERROR(SEARCH("欠",R1071)))</formula>
    </cfRule>
    <cfRule type="cellIs" dxfId="0" priority="3006" operator="equal">
      <formula>"欠"</formula>
    </cfRule>
  </conditionalFormatting>
  <conditionalFormatting sqref="R1078:R1080">
    <cfRule type="containsText" dxfId="2" priority="1813" operator="between" text="欠">
      <formula>NOT(ISERROR(SEARCH("欠",R1078)))</formula>
    </cfRule>
    <cfRule type="cellIs" dxfId="0" priority="1814" operator="equal">
      <formula>"欠"</formula>
    </cfRule>
  </conditionalFormatting>
  <conditionalFormatting sqref="R1095:R1098">
    <cfRule type="containsText" dxfId="2" priority="2064" operator="between" text="欠">
      <formula>NOT(ISERROR(SEARCH("欠",R1095)))</formula>
    </cfRule>
    <cfRule type="cellIs" dxfId="0" priority="2065" operator="equal">
      <formula>"欠"</formula>
    </cfRule>
  </conditionalFormatting>
  <conditionalFormatting sqref="R1101:R1103">
    <cfRule type="containsText" dxfId="2" priority="1879" operator="between" text="欠">
      <formula>NOT(ISERROR(SEARCH("欠",R1101)))</formula>
    </cfRule>
    <cfRule type="cellIs" dxfId="0" priority="1880" operator="equal">
      <formula>"欠"</formula>
    </cfRule>
  </conditionalFormatting>
  <conditionalFormatting sqref="R1115:R1117">
    <cfRule type="cellIs" dxfId="0" priority="1599" operator="equal">
      <formula>"欠"</formula>
    </cfRule>
  </conditionalFormatting>
  <conditionalFormatting sqref="R1135:R1136">
    <cfRule type="containsText" dxfId="2" priority="801" operator="between" text="欠">
      <formula>NOT(ISERROR(SEARCH("欠",R1135)))</formula>
    </cfRule>
    <cfRule type="cellIs" dxfId="0" priority="803" operator="equal">
      <formula>"欠"</formula>
    </cfRule>
  </conditionalFormatting>
  <conditionalFormatting sqref="R1155:R1156">
    <cfRule type="containsText" dxfId="2" priority="242" operator="between" text="欠">
      <formula>NOT(ISERROR(SEARCH("欠",R1155)))</formula>
    </cfRule>
    <cfRule type="cellIs" dxfId="0" priority="243" operator="equal">
      <formula>"欠"</formula>
    </cfRule>
  </conditionalFormatting>
  <conditionalFormatting sqref="R1170:R1171">
    <cfRule type="containsText" dxfId="2" priority="659" operator="between" text="欠">
      <formula>NOT(ISERROR(SEARCH("欠",R1170)))</formula>
    </cfRule>
    <cfRule type="cellIs" dxfId="0" priority="660" operator="equal">
      <formula>"欠"</formula>
    </cfRule>
  </conditionalFormatting>
  <conditionalFormatting sqref="R1176:R1177">
    <cfRule type="containsText" dxfId="2" priority="199" operator="between" text="欠">
      <formula>NOT(ISERROR(SEARCH("欠",R1176)))</formula>
    </cfRule>
    <cfRule type="cellIs" dxfId="0" priority="201" operator="equal">
      <formula>"欠"</formula>
    </cfRule>
  </conditionalFormatting>
  <conditionalFormatting sqref="R1180:R1181">
    <cfRule type="containsText" dxfId="2" priority="687" operator="between" text="欠">
      <formula>NOT(ISERROR(SEARCH("欠",R1180)))</formula>
    </cfRule>
    <cfRule type="cellIs" dxfId="0" priority="689" operator="equal">
      <formula>"欠"</formula>
    </cfRule>
  </conditionalFormatting>
  <conditionalFormatting sqref="R1195:R1196">
    <cfRule type="containsText" dxfId="2" priority="219" operator="between" text="欠">
      <formula>NOT(ISERROR(SEARCH("欠",R1195)))</formula>
    </cfRule>
    <cfRule type="cellIs" dxfId="0" priority="220" operator="equal">
      <formula>"欠"</formula>
    </cfRule>
  </conditionalFormatting>
  <conditionalFormatting sqref="R1201:R1202">
    <cfRule type="containsText" dxfId="2" priority="1624" operator="between" text="欠">
      <formula>NOT(ISERROR(SEARCH("欠",R1201)))</formula>
    </cfRule>
    <cfRule type="cellIs" dxfId="0" priority="1626" operator="equal">
      <formula>"欠"</formula>
    </cfRule>
  </conditionalFormatting>
  <conditionalFormatting sqref="R1205:R1206">
    <cfRule type="containsText" dxfId="2" priority="84" operator="between" text="欠">
      <formula>NOT(ISERROR(SEARCH("欠",R1205)))</formula>
    </cfRule>
    <cfRule type="cellIs" dxfId="0" priority="85" operator="equal">
      <formula>"欠"</formula>
    </cfRule>
  </conditionalFormatting>
  <conditionalFormatting sqref="R1209:R1212">
    <cfRule type="containsText" dxfId="2" priority="820" operator="between" text="欠">
      <formula>NOT(ISERROR(SEARCH("欠",R1209)))</formula>
    </cfRule>
    <cfRule type="cellIs" dxfId="0" priority="821" operator="equal">
      <formula>"欠"</formula>
    </cfRule>
  </conditionalFormatting>
  <conditionalFormatting sqref="S2:S15">
    <cfRule type="cellIs" dxfId="0" priority="17028" operator="equal">
      <formula>"欠"</formula>
    </cfRule>
  </conditionalFormatting>
  <conditionalFormatting sqref="S161:S163">
    <cfRule type="cellIs" dxfId="0" priority="6851" operator="equal">
      <formula>"欠"</formula>
    </cfRule>
  </conditionalFormatting>
  <conditionalFormatting sqref="S667:S668">
    <cfRule type="cellIs" dxfId="0" priority="3366" operator="equal">
      <formula>"欠"</formula>
    </cfRule>
  </conditionalFormatting>
  <conditionalFormatting sqref="S818:S838">
    <cfRule type="cellIs" dxfId="0" priority="2387" operator="equal">
      <formula>"欠"</formula>
    </cfRule>
  </conditionalFormatting>
  <conditionalFormatting sqref="S905:S906">
    <cfRule type="cellIs" dxfId="0" priority="2744" operator="equal">
      <formula>"欠"</formula>
    </cfRule>
  </conditionalFormatting>
  <conditionalFormatting sqref="S917:S918">
    <cfRule type="cellIs" dxfId="0" priority="2438" operator="equal">
      <formula>"欠"</formula>
    </cfRule>
  </conditionalFormatting>
  <conditionalFormatting sqref="S1101:S1102">
    <cfRule type="cellIs" dxfId="0" priority="1878" operator="equal">
      <formula>"欠"</formula>
    </cfRule>
  </conditionalFormatting>
  <conditionalFormatting sqref="S1135:S1136">
    <cfRule type="cellIs" dxfId="0" priority="789" operator="equal">
      <formula>"欠"</formula>
    </cfRule>
  </conditionalFormatting>
  <conditionalFormatting sqref="S1155:S1156">
    <cfRule type="cellIs" dxfId="0" priority="236" operator="equal">
      <formula>"欠"</formula>
    </cfRule>
  </conditionalFormatting>
  <conditionalFormatting sqref="S1170:S1171">
    <cfRule type="cellIs" dxfId="0" priority="671" operator="equal">
      <formula>"欠"</formula>
    </cfRule>
  </conditionalFormatting>
  <conditionalFormatting sqref="S1180:S1181">
    <cfRule type="cellIs" dxfId="0" priority="691" operator="equal">
      <formula>"欠"</formula>
    </cfRule>
  </conditionalFormatting>
  <conditionalFormatting sqref="S1195:S1197">
    <cfRule type="cellIs" dxfId="0" priority="227" operator="equal">
      <formula>"欠"</formula>
    </cfRule>
  </conditionalFormatting>
  <conditionalFormatting sqref="S1205:S1206">
    <cfRule type="cellIs" dxfId="0" priority="86" operator="equal">
      <formula>"欠"</formula>
    </cfRule>
  </conditionalFormatting>
  <conditionalFormatting sqref="S1209:S1212">
    <cfRule type="cellIs" dxfId="0" priority="819" operator="equal">
      <formula>"欠"</formula>
    </cfRule>
  </conditionalFormatting>
  <conditionalFormatting sqref="T629:T633">
    <cfRule type="cellIs" dxfId="0" priority="4142" operator="equal">
      <formula>"欠"</formula>
    </cfRule>
  </conditionalFormatting>
  <conditionalFormatting sqref="T654:T655">
    <cfRule type="containsText" dxfId="2" priority="3481" operator="between" text="欠">
      <formula>NOT(ISERROR(SEARCH("欠",T654)))</formula>
    </cfRule>
  </conditionalFormatting>
  <conditionalFormatting sqref="T667:T668">
    <cfRule type="cellIs" dxfId="0" priority="3365" operator="equal">
      <formula>"欠"</formula>
    </cfRule>
  </conditionalFormatting>
  <conditionalFormatting sqref="T727:T730">
    <cfRule type="containsText" dxfId="2" priority="3399" operator="between" text="欠">
      <formula>NOT(ISERROR(SEARCH("欠",T727)))</formula>
    </cfRule>
    <cfRule type="cellIs" dxfId="0" priority="3401" operator="equal">
      <formula>"欠"</formula>
    </cfRule>
  </conditionalFormatting>
  <conditionalFormatting sqref="T785:T786">
    <cfRule type="containsText" dxfId="2" priority="3166" operator="between" text="欠">
      <formula>NOT(ISERROR(SEARCH("欠",T785)))</formula>
    </cfRule>
  </conditionalFormatting>
  <conditionalFormatting sqref="T805:T807">
    <cfRule type="containsText" dxfId="2" priority="2995" operator="between" text="欠">
      <formula>NOT(ISERROR(SEARCH("欠",T805)))</formula>
    </cfRule>
  </conditionalFormatting>
  <conditionalFormatting sqref="T818:T838">
    <cfRule type="containsText" dxfId="2" priority="2380" operator="between" text="欠">
      <formula>NOT(ISERROR(SEARCH("欠",T818)))</formula>
    </cfRule>
    <cfRule type="cellIs" dxfId="0" priority="2386" operator="equal">
      <formula>"欠"</formula>
    </cfRule>
  </conditionalFormatting>
  <conditionalFormatting sqref="T870:T872">
    <cfRule type="cellIs" dxfId="0" priority="3121" operator="equal">
      <formula>"欠"</formula>
    </cfRule>
  </conditionalFormatting>
  <conditionalFormatting sqref="T884:T885">
    <cfRule type="containsText" dxfId="2" priority="2822" operator="between" text="欠">
      <formula>NOT(ISERROR(SEARCH("欠",T884)))</formula>
    </cfRule>
    <cfRule type="cellIs" dxfId="0" priority="2823" operator="equal">
      <formula>"欠"</formula>
    </cfRule>
  </conditionalFormatting>
  <conditionalFormatting sqref="T917:T918">
    <cfRule type="cellIs" dxfId="0" priority="2624" operator="equal">
      <formula>"欠"</formula>
    </cfRule>
  </conditionalFormatting>
  <conditionalFormatting sqref="T923:T927">
    <cfRule type="cellIs" dxfId="0" priority="3120" operator="equal">
      <formula>"欠"</formula>
    </cfRule>
  </conditionalFormatting>
  <conditionalFormatting sqref="T929:T930">
    <cfRule type="cellIs" dxfId="0" priority="2926" operator="equal">
      <formula>"欠"</formula>
    </cfRule>
  </conditionalFormatting>
  <conditionalFormatting sqref="T1060:T1062">
    <cfRule type="cellIs" dxfId="0" priority="1912" operator="equal">
      <formula>"欠"</formula>
    </cfRule>
  </conditionalFormatting>
  <conditionalFormatting sqref="T1064:T1067">
    <cfRule type="cellIs" dxfId="0" priority="1781" operator="equal">
      <formula>"欠"</formula>
    </cfRule>
  </conditionalFormatting>
  <conditionalFormatting sqref="T1071:T1072">
    <cfRule type="cellIs" dxfId="0" priority="3002" operator="equal">
      <formula>"欠"</formula>
    </cfRule>
  </conditionalFormatting>
  <conditionalFormatting sqref="T1078:T1080">
    <cfRule type="cellIs" dxfId="0" priority="1811" operator="equal">
      <formula>"欠"</formula>
    </cfRule>
  </conditionalFormatting>
  <conditionalFormatting sqref="T1088:T1090">
    <cfRule type="cellIs" dxfId="0" priority="2863" operator="equal">
      <formula>"欠"</formula>
    </cfRule>
  </conditionalFormatting>
  <conditionalFormatting sqref="T1095:T1098">
    <cfRule type="containsText" dxfId="2" priority="2073" operator="between" text="欠">
      <formula>NOT(ISERROR(SEARCH("欠",T1095)))</formula>
    </cfRule>
    <cfRule type="cellIs" dxfId="0" priority="2075" operator="equal">
      <formula>"欠"</formula>
    </cfRule>
  </conditionalFormatting>
  <conditionalFormatting sqref="T1101:T1103">
    <cfRule type="cellIs" dxfId="0" priority="1885" operator="equal">
      <formula>"欠"</formula>
    </cfRule>
  </conditionalFormatting>
  <conditionalFormatting sqref="T1115:T1117">
    <cfRule type="cellIs" dxfId="0" priority="1600" operator="equal">
      <formula>"欠"</formula>
    </cfRule>
  </conditionalFormatting>
  <conditionalFormatting sqref="T1135:T1136">
    <cfRule type="cellIs" dxfId="0" priority="791" operator="equal">
      <formula>"欠"</formula>
    </cfRule>
  </conditionalFormatting>
  <conditionalFormatting sqref="T1155:T1156">
    <cfRule type="cellIs" dxfId="0" priority="237" operator="equal">
      <formula>"欠"</formula>
    </cfRule>
  </conditionalFormatting>
  <conditionalFormatting sqref="T1170:T1171">
    <cfRule type="containsText" dxfId="2" priority="664" operator="between" text="欠">
      <formula>NOT(ISERROR(SEARCH("欠",T1170)))</formula>
    </cfRule>
    <cfRule type="cellIs" dxfId="0" priority="670" operator="equal">
      <formula>"欠"</formula>
    </cfRule>
  </conditionalFormatting>
  <conditionalFormatting sqref="T1176:T1177">
    <cfRule type="containsText" dxfId="2" priority="209" operator="between" text="欠">
      <formula>NOT(ISERROR(SEARCH("欠",T1176)))</formula>
    </cfRule>
    <cfRule type="cellIs" dxfId="0" priority="213" operator="equal">
      <formula>"欠"</formula>
    </cfRule>
  </conditionalFormatting>
  <conditionalFormatting sqref="T1180:T1181">
    <cfRule type="containsText" dxfId="2" priority="699" operator="between" text="欠">
      <formula>NOT(ISERROR(SEARCH("欠",T1180)))</formula>
    </cfRule>
    <cfRule type="cellIs" dxfId="0" priority="709" operator="equal">
      <formula>"欠"</formula>
    </cfRule>
  </conditionalFormatting>
  <conditionalFormatting sqref="T1195:T1196">
    <cfRule type="containsText" dxfId="2" priority="224" operator="between" text="欠">
      <formula>NOT(ISERROR(SEARCH("欠",T1195)))</formula>
    </cfRule>
    <cfRule type="cellIs" dxfId="0" priority="226" operator="equal">
      <formula>"欠"</formula>
    </cfRule>
  </conditionalFormatting>
  <conditionalFormatting sqref="T1201:T1202">
    <cfRule type="containsText" dxfId="2" priority="1630" operator="between" text="欠">
      <formula>NOT(ISERROR(SEARCH("欠",T1201)))</formula>
    </cfRule>
    <cfRule type="cellIs" dxfId="0" priority="1640" operator="equal">
      <formula>"欠"</formula>
    </cfRule>
  </conditionalFormatting>
  <conditionalFormatting sqref="T1205:T1206">
    <cfRule type="containsText" dxfId="2" priority="90" operator="between" text="欠">
      <formula>NOT(ISERROR(SEARCH("欠",T1205)))</formula>
    </cfRule>
    <cfRule type="cellIs" dxfId="0" priority="95" operator="equal">
      <formula>"欠"</formula>
    </cfRule>
  </conditionalFormatting>
  <conditionalFormatting sqref="T1209:T1212">
    <cfRule type="cellIs" dxfId="0" priority="822" operator="equal">
      <formula>"欠"</formula>
    </cfRule>
  </conditionalFormatting>
  <conditionalFormatting sqref="U664:U665">
    <cfRule type="cellIs" dxfId="0" priority="5046" operator="equal">
      <formula>"欠"</formula>
    </cfRule>
  </conditionalFormatting>
  <conditionalFormatting sqref="U712:U718">
    <cfRule type="cellIs" dxfId="0" priority="3341" operator="equal">
      <formula>"欠"</formula>
    </cfRule>
  </conditionalFormatting>
  <conditionalFormatting sqref="U751:U752">
    <cfRule type="cellIs" dxfId="0" priority="2513" operator="equal">
      <formula>"欠"</formula>
    </cfRule>
  </conditionalFormatting>
  <conditionalFormatting sqref="U754:U756">
    <cfRule type="cellIs" dxfId="0" priority="2506" operator="equal">
      <formula>"欠"</formula>
    </cfRule>
  </conditionalFormatting>
  <conditionalFormatting sqref="U806:U807">
    <cfRule type="cellIs" dxfId="0" priority="2955" operator="equal">
      <formula>"欠"</formula>
    </cfRule>
  </conditionalFormatting>
  <conditionalFormatting sqref="U884:U885">
    <cfRule type="cellIs" dxfId="0" priority="2828" operator="equal">
      <formula>"欠"</formula>
    </cfRule>
  </conditionalFormatting>
  <conditionalFormatting sqref="U901:U902">
    <cfRule type="cellIs" dxfId="0" priority="2920" operator="equal">
      <formula>"欠"</formula>
    </cfRule>
  </conditionalFormatting>
  <conditionalFormatting sqref="U907:U908">
    <cfRule type="cellIs" dxfId="0" priority="3202" operator="equal">
      <formula>"欠"</formula>
    </cfRule>
  </conditionalFormatting>
  <conditionalFormatting sqref="U918:U919">
    <cfRule type="cellIs" dxfId="0" priority="2625" operator="equal">
      <formula>"欠"</formula>
    </cfRule>
  </conditionalFormatting>
  <conditionalFormatting sqref="U944:U947">
    <cfRule type="cellIs" dxfId="0" priority="2774" operator="equal">
      <formula>"欠"</formula>
    </cfRule>
  </conditionalFormatting>
  <conditionalFormatting sqref="U1058:U1059">
    <cfRule type="cellIs" dxfId="0" priority="2010" operator="equal">
      <formula>"欠"</formula>
    </cfRule>
  </conditionalFormatting>
  <conditionalFormatting sqref="U1060:U1062">
    <cfRule type="cellIs" dxfId="0" priority="1918" operator="equal">
      <formula>"欠"</formula>
    </cfRule>
  </conditionalFormatting>
  <conditionalFormatting sqref="U1064:U1069">
    <cfRule type="cellIs" dxfId="0" priority="1793" operator="equal">
      <formula>"欠"</formula>
    </cfRule>
  </conditionalFormatting>
  <conditionalFormatting sqref="U1078:U1080">
    <cfRule type="cellIs" dxfId="0" priority="1817" operator="equal">
      <formula>"欠"</formula>
    </cfRule>
  </conditionalFormatting>
  <conditionalFormatting sqref="U1088:U1090">
    <cfRule type="cellIs" dxfId="0" priority="1955" operator="equal">
      <formula>"欠"</formula>
    </cfRule>
  </conditionalFormatting>
  <conditionalFormatting sqref="U1091:U1092">
    <cfRule type="cellIs" dxfId="0" priority="2610" operator="equal">
      <formula>"欠"</formula>
    </cfRule>
  </conditionalFormatting>
  <conditionalFormatting sqref="U1095:U1098">
    <cfRule type="cellIs" dxfId="0" priority="2072" operator="equal">
      <formula>"欠"</formula>
    </cfRule>
  </conditionalFormatting>
  <conditionalFormatting sqref="U1101:U1103">
    <cfRule type="cellIs" dxfId="0" priority="1883" operator="equal">
      <formula>"欠"</formula>
    </cfRule>
  </conditionalFormatting>
  <conditionalFormatting sqref="U1115:U1117">
    <cfRule type="containsText" dxfId="2" priority="1591" operator="between" text="欠">
      <formula>NOT(ISERROR(SEARCH("欠",U1115)))</formula>
    </cfRule>
    <cfRule type="cellIs" dxfId="0" priority="1592" operator="equal">
      <formula>"欠"</formula>
    </cfRule>
  </conditionalFormatting>
  <conditionalFormatting sqref="U1129:U1130">
    <cfRule type="containsText" dxfId="2" priority="808" operator="between" text="欠">
      <formula>NOT(ISERROR(SEARCH("欠",U1129)))</formula>
    </cfRule>
    <cfRule type="cellIs" dxfId="0" priority="809" operator="equal">
      <formula>"欠"</formula>
    </cfRule>
  </conditionalFormatting>
  <conditionalFormatting sqref="U1139:U1140">
    <cfRule type="cellIs" dxfId="0" priority="1994" operator="equal">
      <formula>"欠"</formula>
    </cfRule>
  </conditionalFormatting>
  <conditionalFormatting sqref="U1155:U1156">
    <cfRule type="cellIs" dxfId="0" priority="238" operator="equal">
      <formula>"欠"</formula>
    </cfRule>
  </conditionalFormatting>
  <conditionalFormatting sqref="U1170:U1171">
    <cfRule type="cellIs" dxfId="0" priority="661" operator="equal">
      <formula>"欠"</formula>
    </cfRule>
  </conditionalFormatting>
  <conditionalFormatting sqref="U1181:U1182">
    <cfRule type="cellIs" dxfId="0" priority="692" operator="equal">
      <formula>"欠"</formula>
    </cfRule>
  </conditionalFormatting>
  <conditionalFormatting sqref="U1184:U1185">
    <cfRule type="cellIs" dxfId="0" priority="2029" operator="equal">
      <formula>"欠"</formula>
    </cfRule>
  </conditionalFormatting>
  <conditionalFormatting sqref="U1195:U1196">
    <cfRule type="cellIs" dxfId="0" priority="221" operator="equal">
      <formula>"欠"</formula>
    </cfRule>
  </conditionalFormatting>
  <conditionalFormatting sqref="U1205:U1206">
    <cfRule type="cellIs" dxfId="0" priority="87" operator="equal">
      <formula>"欠"</formula>
    </cfRule>
  </conditionalFormatting>
  <conditionalFormatting sqref="U1209:U1212">
    <cfRule type="cellIs" dxfId="0" priority="823" operator="equal">
      <formula>"欠"</formula>
    </cfRule>
  </conditionalFormatting>
  <conditionalFormatting sqref="U1226:U1229">
    <cfRule type="cellIs" dxfId="0" priority="2017" operator="equal">
      <formula>"欠"</formula>
    </cfRule>
  </conditionalFormatting>
  <conditionalFormatting sqref="V1115:V1117">
    <cfRule type="cellIs" dxfId="0" priority="1595" operator="equal">
      <formula>"欠"</formula>
    </cfRule>
  </conditionalFormatting>
  <conditionalFormatting sqref="V1129:V1130">
    <cfRule type="cellIs" dxfId="0" priority="811" operator="equal">
      <formula>"欠"</formula>
    </cfRule>
  </conditionalFormatting>
  <conditionalFormatting sqref="AF806:AF807">
    <cfRule type="cellIs" dxfId="0" priority="2958" operator="equal">
      <formula>"未完成"</formula>
    </cfRule>
  </conditionalFormatting>
  <conditionalFormatting sqref="AG751:AG772">
    <cfRule type="cellIs" dxfId="0" priority="2518" operator="equal">
      <formula>"未完成"</formula>
    </cfRule>
  </conditionalFormatting>
  <conditionalFormatting sqref="AG1205:AG1206">
    <cfRule type="cellIs" dxfId="0" priority="91" operator="equal">
      <formula>"未完成"</formula>
    </cfRule>
  </conditionalFormatting>
  <conditionalFormatting sqref="AG1209:AG1212">
    <cfRule type="cellIs" dxfId="0" priority="827" operator="equal">
      <formula>"未完成"</formula>
    </cfRule>
  </conditionalFormatting>
  <conditionalFormatting sqref="AI751:AI752">
    <cfRule type="cellIs" dxfId="1" priority="2515" operator="equal">
      <formula>"未完成"</formula>
    </cfRule>
    <cfRule type="cellIs" dxfId="0" priority="2516" operator="equal">
      <formula>"未完成"</formula>
    </cfRule>
  </conditionalFormatting>
  <conditionalFormatting sqref="AJ751:AJ752">
    <cfRule type="cellIs" dxfId="1" priority="2519" operator="equal">
      <formula>"未完成"</formula>
    </cfRule>
    <cfRule type="cellIs" dxfId="0" priority="2520" operator="equal">
      <formula>"未完成"</formula>
    </cfRule>
  </conditionalFormatting>
  <conditionalFormatting sqref="AJ805:AJ807">
    <cfRule type="cellIs" dxfId="1" priority="2999" operator="equal">
      <formula>"未完成"</formula>
    </cfRule>
    <cfRule type="cellIs" dxfId="0" priority="3000" operator="equal">
      <formula>"未完成"</formula>
    </cfRule>
  </conditionalFormatting>
  <conditionalFormatting sqref="AJ1115:AJ1117">
    <cfRule type="cellIs" dxfId="1" priority="1597" operator="equal">
      <formula>"未完成"</formula>
    </cfRule>
    <cfRule type="cellIs" dxfId="0" priority="1598" operator="equal">
      <formula>"未完成"</formula>
    </cfRule>
  </conditionalFormatting>
  <conditionalFormatting sqref="AJ1129:AJ1130">
    <cfRule type="cellIs" dxfId="1" priority="813" operator="equal">
      <formula>"未完成"</formula>
    </cfRule>
    <cfRule type="cellIs" dxfId="0" priority="814" operator="equal">
      <formula>"未完成"</formula>
    </cfRule>
  </conditionalFormatting>
  <conditionalFormatting sqref="AK595:AK596">
    <cfRule type="cellIs" dxfId="0" priority="4289" operator="equal">
      <formula>"欠"</formula>
    </cfRule>
  </conditionalFormatting>
  <conditionalFormatting sqref="AK602:AK603">
    <cfRule type="cellIs" dxfId="0" priority="4292" operator="equal">
      <formula>"欠"</formula>
    </cfRule>
  </conditionalFormatting>
  <conditionalFormatting sqref="AK621:AK623">
    <cfRule type="cellIs" dxfId="0" priority="4098" operator="equal">
      <formula>"欠"</formula>
    </cfRule>
  </conditionalFormatting>
  <conditionalFormatting sqref="AK643:AK651">
    <cfRule type="cellIs" dxfId="0" priority="4306" operator="equal">
      <formula>"欠"</formula>
    </cfRule>
  </conditionalFormatting>
  <conditionalFormatting sqref="AK664:AK665">
    <cfRule type="cellIs" dxfId="0" priority="5045" operator="equal">
      <formula>"欠"</formula>
    </cfRule>
  </conditionalFormatting>
  <conditionalFormatting sqref="AK667:AK668">
    <cfRule type="cellIs" dxfId="0" priority="3431" operator="equal">
      <formula>"欠"</formula>
    </cfRule>
  </conditionalFormatting>
  <conditionalFormatting sqref="AK689:AK690">
    <cfRule type="cellIs" dxfId="0" priority="3477" operator="equal">
      <formula>"欠"</formula>
    </cfRule>
  </conditionalFormatting>
  <conditionalFormatting sqref="AK884:AK885">
    <cfRule type="cellIs" dxfId="0" priority="2832" operator="equal">
      <formula>"欠"</formula>
    </cfRule>
  </conditionalFormatting>
  <conditionalFormatting sqref="AK917:AK918">
    <cfRule type="cellIs" dxfId="0" priority="2632" operator="equal">
      <formula>"欠"</formula>
    </cfRule>
  </conditionalFormatting>
  <conditionalFormatting sqref="AK1058:AK1059">
    <cfRule type="cellIs" dxfId="0" priority="2011" operator="equal">
      <formula>"欠"</formula>
    </cfRule>
  </conditionalFormatting>
  <conditionalFormatting sqref="AK1060:AK1062">
    <cfRule type="cellIs" dxfId="0" priority="1919" operator="equal">
      <formula>"欠"</formula>
    </cfRule>
  </conditionalFormatting>
  <conditionalFormatting sqref="AK1101:AK1103">
    <cfRule type="cellIs" dxfId="0" priority="1884" operator="equal">
      <formula>"欠"</formula>
    </cfRule>
  </conditionalFormatting>
  <conditionalFormatting sqref="AK1115:AK1117">
    <cfRule type="cellIs" dxfId="0" priority="1596" operator="equal">
      <formula>"欠"</formula>
    </cfRule>
  </conditionalFormatting>
  <conditionalFormatting sqref="AK1129:AK1130">
    <cfRule type="cellIs" dxfId="0" priority="812" operator="equal">
      <formula>"欠"</formula>
    </cfRule>
  </conditionalFormatting>
  <conditionalFormatting sqref="AK1155:AK1156">
    <cfRule type="cellIs" dxfId="0" priority="241" operator="equal">
      <formula>"欠"</formula>
    </cfRule>
  </conditionalFormatting>
  <conditionalFormatting sqref="AK1170:AK1171">
    <cfRule type="cellIs" dxfId="0" priority="669" operator="equal">
      <formula>"欠"</formula>
    </cfRule>
  </conditionalFormatting>
  <conditionalFormatting sqref="AK1181:AK1182">
    <cfRule type="cellIs" dxfId="0" priority="684" operator="equal">
      <formula>"欠"</formula>
    </cfRule>
  </conditionalFormatting>
  <conditionalFormatting sqref="AK1195:AK1196">
    <cfRule type="cellIs" dxfId="0" priority="225" operator="equal">
      <formula>"欠"</formula>
    </cfRule>
  </conditionalFormatting>
  <conditionalFormatting sqref="AK1205:AK1206">
    <cfRule type="cellIs" dxfId="0" priority="83" operator="equal">
      <formula>"欠"</formula>
    </cfRule>
  </conditionalFormatting>
  <conditionalFormatting sqref="AK1209:AK1212">
    <cfRule type="cellIs" dxfId="0" priority="826" operator="equal">
      <formula>"欠"</formula>
    </cfRule>
  </conditionalFormatting>
  <conditionalFormatting sqref="AD1:AE1 AD1233:AD1241 AB1246:AC1251 R1242:R1245 AF1231 AE1233:AE1234 AD1252:AE1048576 AE1236:AE1241">
    <cfRule type="cellIs" dxfId="0" priority="17196" operator="equal">
      <formula>"未完成"</formula>
    </cfRule>
  </conditionalFormatting>
  <conditionalFormatting sqref="R1:R668 R670:R739 R741:R750 R773:R775 R780 R782:R783 R788 R790:R800 R809:R811 R839 R841:R843 R851:R852 R854:R860 R862:R867 R870:R872 R877:R882 R887 R893 R895 R897 R900 R902 R909:R916 R921:R922 R1108:R1110 R1230:R1048576">
    <cfRule type="containsText" dxfId="2" priority="3301" operator="between" text="欠">
      <formula>NOT(ISERROR(SEARCH("欠",R1)))</formula>
    </cfRule>
  </conditionalFormatting>
  <conditionalFormatting sqref="R1:R947 T1:T947 R1057:R1128 T1057:T1128 R1131:R1134 T1131:T1134 R1139:R1151 T1139:T1151 R1153:R1154 T1153:T1154 R1158:R1160 T1158:T1160 T1164 R1172:R1174 T1172:T1174 R1179 T1184:T1187 R1189 R1201:R1202 T1201:T1202 R1204 T1204 T1207:T1208 T1215:T1048576 R1215:R1048576 R1207:R1208 R1184:R1187 T1179">
    <cfRule type="containsText" dxfId="2" priority="1538" operator="between" text="欠">
      <formula>NOT(ISERROR(SEARCH("欠",R1)))</formula>
    </cfRule>
  </conditionalFormatting>
  <conditionalFormatting sqref="R1:R662 T1:T658 T660:T662 R664:R666 T664:T666 R670:R690 T670:T690 R692:R718 T692:T706 T708:T718 T723:T726 R724:R726 R737:R746 T737:T746 R773 T773 R783 T783 R790:R800 T790:T799 R809:R811 T811:T817 R839 T839:T843 R841:R843 R851:R852 T851:T852 R854:R855 T854:T865 R862 R864:R865 R867 T867 R870:R872 R877:R882 T877:T881 R887 T887 R893 T893 R895 T895 R897 T897 R900 R902 T902 T907:T908 R909:R916 T913:T915 R921:R922 T922 T928 T1074:T1077 T1081 T1099:T1100 T1106:T1107 R1108:R1110 T1111 T1118:T1120 T1124:T1125 T1131:T1132 T1140:T1143 T1159 T1164 T1172:T1174 T1185:T1187 T1204 T1207:T1208 T1230:T1048576 R1230:R1048576 T1227 T1223:T1225 T1215:T1220">
    <cfRule type="containsText" dxfId="2" priority="3470" operator="between" text="欠">
      <formula>NOT(ISERROR(SEARCH("欠",R1)))</formula>
    </cfRule>
  </conditionalFormatting>
  <conditionalFormatting sqref="T1:T530 T558:T641 T643:T653 T656:T657 T660:T662 T664:T666 T670:T688 T692:T696 T698:T706 T708:T718 T723 T737 T739:T742 T744:T746 T773 T783 T790:T799 T812:T817 T839:T843 T851:T852 T854:T858 T862:T865 T867 T877:T881 T887 T893 T895 T897 T902 T907:T908 T913:T915 T922 T928 T1074:T1077 T1081 T1099:T1100 T1106:T1107 T1111 T1118:T1120 T1124:T1125 T1131:T1132 T1140:T1143 T1159 T1164 T1172:T1174 T1185:T1187 T1204 T1207:T1208 T1230:T1048576 T1227 T1223:T1225 T1215:T1220">
    <cfRule type="containsText" dxfId="2" priority="3737" operator="between" text="欠">
      <formula>NOT(ISERROR(SEARCH("欠",T1)))</formula>
    </cfRule>
  </conditionalFormatting>
  <conditionalFormatting sqref="T1:T338 T558:T563 T608 T635:T636 T1075:T1077 T1081 T1099:T1100 T1106:T1107 T1111 T1118:T1119 T1124:T1125 T1131:T1132 T1140:T1143 T1159 T1172:T1174 T1185:T1187 T1204 T1207:T1208 T1237:T1048576 T1233:T1235 T1227 T1223:T1225 T1215:T1220">
    <cfRule type="containsText" dxfId="2" priority="5404" operator="between" text="欠">
      <formula>NOT(ISERROR(SEARCH("欠",T1)))</formula>
    </cfRule>
  </conditionalFormatting>
  <conditionalFormatting sqref="T1:T668 T670:T750 T773:T775 T780 T782:T783 T790:T799 T812:T817 T839:T843 T851:T852 T854:T858 T862:T867 T877:T881 T887 T893 T895 T897 T902 T907:T911 T913:T915 T921:T922 T928 T1074:T1077 T1081 T1099:T1100 T1106:T1107 T1111 T1118:T1120 T1124:T1125 T1131:T1132 T1140:T1143 T1159 T1164 T1172:T1174 T1185:T1187 T1204 T1207:T1208 T1230:T1048576 T1227 T1223:T1225 T1215:T1220">
    <cfRule type="containsText" dxfId="2" priority="3300" operator="between" text="欠">
      <formula>NOT(ISERROR(SEARCH("欠",T1)))</formula>
    </cfRule>
  </conditionalFormatting>
  <conditionalFormatting sqref="T2:U15">
    <cfRule type="cellIs" dxfId="0" priority="17027" operator="equal">
      <formula>"欠"</formula>
    </cfRule>
  </conditionalFormatting>
  <conditionalFormatting sqref="AD2:AE42">
    <cfRule type="cellIs" dxfId="0" priority="17030" operator="equal">
      <formula>"未完成"</formula>
    </cfRule>
  </conditionalFormatting>
  <conditionalFormatting sqref="AI2:AJ5">
    <cfRule type="cellIs" dxfId="1" priority="17032" operator="equal">
      <formula>"未完成"</formula>
    </cfRule>
    <cfRule type="cellIs" dxfId="0" priority="17033" operator="equal">
      <formula>"未完成"</formula>
    </cfRule>
  </conditionalFormatting>
  <conditionalFormatting sqref="AK3 AK5">
    <cfRule type="cellIs" dxfId="0" priority="17031" operator="equal">
      <formula>"欠"</formula>
    </cfRule>
  </conditionalFormatting>
  <conditionalFormatting sqref="T40:U40 T41">
    <cfRule type="cellIs" dxfId="0" priority="8829" operator="equal">
      <formula>"欠"</formula>
    </cfRule>
  </conditionalFormatting>
  <conditionalFormatting sqref="AD70:AE225">
    <cfRule type="cellIs" dxfId="0" priority="8643" operator="equal">
      <formula>"未完成"</formula>
    </cfRule>
  </conditionalFormatting>
  <conditionalFormatting sqref="T161:U163">
    <cfRule type="cellIs" dxfId="0" priority="6830" operator="equal">
      <formula>"欠"</formula>
    </cfRule>
  </conditionalFormatting>
  <conditionalFormatting sqref="AD227:AE238">
    <cfRule type="cellIs" dxfId="0" priority="6331" operator="equal">
      <formula>"未完成"</formula>
    </cfRule>
  </conditionalFormatting>
  <conditionalFormatting sqref="AD239:AE326 AD338:AE338">
    <cfRule type="cellIs" dxfId="0" priority="6185" operator="equal">
      <formula>"未完成"</formula>
    </cfRule>
  </conditionalFormatting>
  <conditionalFormatting sqref="S261 S782 S866 S876 S1060">
    <cfRule type="cellIs" dxfId="0" priority="5832" operator="equal">
      <formula>"欠"</formula>
    </cfRule>
  </conditionalFormatting>
  <conditionalFormatting sqref="S393 S1074">
    <cfRule type="cellIs" dxfId="0" priority="5000" operator="equal">
      <formula>"欠"</formula>
    </cfRule>
  </conditionalFormatting>
  <conditionalFormatting sqref="T393:U393 T1074">
    <cfRule type="cellIs" dxfId="0" priority="4991" operator="equal">
      <formula>"欠"</formula>
    </cfRule>
  </conditionalFormatting>
  <conditionalFormatting sqref="T393 T1074">
    <cfRule type="containsText" dxfId="2" priority="4964" operator="between" text="欠">
      <formula>NOT(ISERROR(SEARCH("欠",T393)))</formula>
    </cfRule>
  </conditionalFormatting>
  <conditionalFormatting sqref="S416 S638">
    <cfRule type="cellIs" dxfId="0" priority="4817" operator="equal">
      <formula>"欠"</formula>
    </cfRule>
  </conditionalFormatting>
  <conditionalFormatting sqref="R449 R900">
    <cfRule type="cellIs" dxfId="0" priority="4525" operator="equal">
      <formula>"欠"</formula>
    </cfRule>
  </conditionalFormatting>
  <conditionalFormatting sqref="S449 S900">
    <cfRule type="cellIs" dxfId="0" priority="4515" operator="equal">
      <formula>"欠"</formula>
    </cfRule>
  </conditionalFormatting>
  <conditionalFormatting sqref="R469 R601 R624:R628 R637 R641 R692:R696 R676:R679 R701:R705">
    <cfRule type="cellIs" dxfId="0" priority="4405" operator="equal">
      <formula>"欠"</formula>
    </cfRule>
  </conditionalFormatting>
  <conditionalFormatting sqref="S469 S601 S624:S628 S637 S641 S676:S679 S692:S694">
    <cfRule type="cellIs" dxfId="0" priority="4396" operator="equal">
      <formula>"欠"</formula>
    </cfRule>
  </conditionalFormatting>
  <conditionalFormatting sqref="T469 T601 T624:T628 T641 T637 T701:T706 T692:T696 T676:T679 T713:T718 T741:T742 T773 T841:T843 T792:T794 T783 T877:T881 T867 T851 T902">
    <cfRule type="containsText" dxfId="2" priority="4360" operator="between" text="欠">
      <formula>NOT(ISERROR(SEARCH("欠",T469)))</formula>
    </cfRule>
  </conditionalFormatting>
  <conditionalFormatting sqref="T469:U469 T601 T624:T628 T641 T637 T701:T706 T692:T696 T676:T679 T713:T718 T741:T742 T773 T841:T843 T792:T794 T783 T877:T881 T867 T851 T902">
    <cfRule type="cellIs" dxfId="0" priority="4387" operator="equal">
      <formula>"欠"</formula>
    </cfRule>
  </conditionalFormatting>
  <conditionalFormatting sqref="S542 S738 S840 S804 S855">
    <cfRule type="cellIs" dxfId="0" priority="3652" operator="equal">
      <formula>"欠"</formula>
    </cfRule>
  </conditionalFormatting>
  <conditionalFormatting sqref="T542:U542 T738">
    <cfRule type="cellIs" dxfId="0" priority="3625" operator="equal">
      <formula>"欠"</formula>
    </cfRule>
  </conditionalFormatting>
  <conditionalFormatting sqref="T542 T738">
    <cfRule type="containsText" dxfId="2" priority="3544" operator="between" text="欠">
      <formula>NOT(ISERROR(SEARCH("欠",T542)))</formula>
    </cfRule>
  </conditionalFormatting>
  <conditionalFormatting sqref="T545 T724:T726 T743">
    <cfRule type="containsText" dxfId="2" priority="3541" operator="between" text="欠">
      <formula>NOT(ISERROR(SEARCH("欠",T545)))</formula>
    </cfRule>
  </conditionalFormatting>
  <conditionalFormatting sqref="T545:U545 T724:T726 T743">
    <cfRule type="cellIs" dxfId="0" priority="3622" operator="equal">
      <formula>"欠"</formula>
    </cfRule>
  </conditionalFormatting>
  <conditionalFormatting sqref="S558 S560 S562 S635 S1075:S1076 S1099:S1100 S1106:S1107 S1111 S1118:S1119 S1124 S1131:S1132 S1141:S1143 S1172:S1174 S1186:S1187 S1204 S1207:S1208 S1223:S1224 S1215:S1219">
    <cfRule type="cellIs" dxfId="0" priority="9272" operator="equal">
      <formula>"欠"</formula>
    </cfRule>
  </conditionalFormatting>
  <conditionalFormatting sqref="T558:U563 T608:U608 T635:U636 T1075:T1077 T1081 T1099:T1100 T1106:T1107 T1111 T1118:T1119 T1124:T1125 T1131:T1132 T1140:T1143 T1159 T1172:T1174 T1185:T1187 T1204 T1207:T1208 T1223:T1225 T1227 T1215:T1220">
    <cfRule type="cellIs" dxfId="0" priority="9261" operator="equal">
      <formula>"欠"</formula>
    </cfRule>
  </conditionalFormatting>
  <conditionalFormatting sqref="AD610:AE617 AD558:AE559">
    <cfRule type="cellIs" dxfId="0" priority="9247" operator="equal">
      <formula>"未完成"</formula>
    </cfRule>
  </conditionalFormatting>
  <conditionalFormatting sqref="AI610:AJ617 AI558:AJ559">
    <cfRule type="cellIs" dxfId="1" priority="9249" operator="equal">
      <formula>"未完成"</formula>
    </cfRule>
    <cfRule type="cellIs" dxfId="0" priority="9250" operator="equal">
      <formula>"未完成"</formula>
    </cfRule>
  </conditionalFormatting>
  <conditionalFormatting sqref="AK558 AK560 AK562 AK577 AK579 AK581 AK585 AK608 AK635:AK636 AK1077 AK1099:AK1100 AK1106:AK1107 AK1111 AK1118:AK1119 AK1172:AK1174 AK1141:AK1143 AK1131:AK1132 AK1186:AK1189 AK1204 AK1207:AK1208 AK1215:AK1217 AK1223:AK1224 AK1219">
    <cfRule type="cellIs" dxfId="0" priority="9229" operator="equal">
      <formula>"欠"</formula>
    </cfRule>
  </conditionalFormatting>
  <conditionalFormatting sqref="S559 S563 S561 S608 S636">
    <cfRule type="cellIs" dxfId="0" priority="9179" operator="equal">
      <formula>"欠"</formula>
    </cfRule>
  </conditionalFormatting>
  <conditionalFormatting sqref="AK582 AK655 AK578 AK580 AK586 AK559 AK609 AK563 AK561 AK572:AK573">
    <cfRule type="cellIs" dxfId="0" priority="9044" operator="equal">
      <formula>"欠"</formula>
    </cfRule>
  </conditionalFormatting>
  <conditionalFormatting sqref="AD560:AE563 AD577:AE578">
    <cfRule type="cellIs" dxfId="0" priority="17185" operator="equal">
      <formula>"未完成"</formula>
    </cfRule>
  </conditionalFormatting>
  <conditionalFormatting sqref="AF577:AG578 AF562:AG563 AF560:AF561 AG1230:AH1231">
    <cfRule type="cellIs" dxfId="1" priority="17200" operator="equal">
      <formula>"未完成"</formula>
    </cfRule>
    <cfRule type="cellIs" dxfId="0" priority="17201" operator="equal">
      <formula>"未完成"</formula>
    </cfRule>
  </conditionalFormatting>
  <conditionalFormatting sqref="AI585:AJ586 AI572:AJ573 AI577:AJ578 AI560:AJ563 AJ792:AJ797 AJ790:AK791 AJ915:AK915 AJ1230:AK1231">
    <cfRule type="cellIs" dxfId="1" priority="9242" operator="equal">
      <formula>"未完成"</formula>
    </cfRule>
    <cfRule type="cellIs" dxfId="0" priority="9243" operator="equal">
      <formula>"未完成"</formula>
    </cfRule>
  </conditionalFormatting>
  <conditionalFormatting sqref="R564:U571 R572:R575 T572:U575 R576:U586 R587 T587:U587 R589:U596 S597 R598:U600 U601 R602:U603 R609:U619 S620:S622 R623:S623 R629:S633 U629:U633 R634:U634 R639:U640 U641 R643:U643 S644:U644 R645:U646 R647:S647 U647 R648:U651 R652:T652 R653 S654:S655 R656:U656 R657:T657 S659:S660 R661:U661 R662 T662:U662 R666:U666 R670:U675 R680:U681 S682:T682 R684:T684 S685:S688 U695:U696 S697 S698:U699 S700 U701:U706 R706 R707:U711 R712:T712 S723:T723 R724:S726 T731 R737:R739 U737:U742 R743:U743 R744:R745 U744:U745 R746:U746 S774:T775 S780 T782 S784 S789 R790:R791 R795:R796 R797:S797 R798:T798 R799:S800 U800 S801:S803 S808 R809:S811 R839:U839 T840:U840 U841:U843 S844:S850 R852:S852 S853 R854:U854 R855 T855:U856 S857:U860 T861:U861 R862 S863:T863 S864 R865:S865 T866 U867 R870:S872 S882 S886 R887:S887 R893:S893 R895:S895 R897:U897 S898 S903 S908:T908 S909 R910:S911 R912 R913:S915 R916 R921:S921 R922:U922 S923:S927 S928:T928 S929:S930 S940 S1081 S1085 S1105 S1120:T1120 S1164:T1164 R1230:U1232 S1222">
    <cfRule type="cellIs" dxfId="0" priority="4150" operator="equal">
      <formula>"欠"</formula>
    </cfRule>
  </conditionalFormatting>
  <conditionalFormatting sqref="AD564:AE568 AD666:AE666">
    <cfRule type="cellIs" dxfId="0" priority="4636" operator="equal">
      <formula>"未完成"</formula>
    </cfRule>
  </conditionalFormatting>
  <conditionalFormatting sqref="AI564:AJ568 AI666:AJ666">
    <cfRule type="cellIs" dxfId="1" priority="4637" operator="equal">
      <formula>"未完成"</formula>
    </cfRule>
    <cfRule type="cellIs" dxfId="0" priority="4638" operator="equal">
      <formula>"未完成"</formula>
    </cfRule>
  </conditionalFormatting>
  <conditionalFormatting sqref="AK564:AK568 AK666">
    <cfRule type="cellIs" dxfId="0" priority="4639" operator="equal">
      <formula>"欠"</formula>
    </cfRule>
  </conditionalFormatting>
  <conditionalFormatting sqref="AD569:AE569 AD584:AE584 AD581:AE582 AD609:AE609">
    <cfRule type="cellIs" dxfId="0" priority="9289" operator="equal">
      <formula>"未完成"</formula>
    </cfRule>
  </conditionalFormatting>
  <conditionalFormatting sqref="AI569:AJ569 AI609:AJ609 AI584:AJ584 AI582:AJ582">
    <cfRule type="cellIs" dxfId="1" priority="9045" operator="equal">
      <formula>"未完成"</formula>
    </cfRule>
    <cfRule type="cellIs" dxfId="0" priority="9046" operator="equal">
      <formula>"未完成"</formula>
    </cfRule>
  </conditionalFormatting>
  <conditionalFormatting sqref="AK569 AK583:AK584 AK749 AK795:AK797 AK805:AK807 AK809:AK811 AK859:AK860 AK889:AK892 AK894 AK899 AK920 AK936:AK941 AK1071:AK1073 AK1083:AK1084 AK1087 AK1091 AK1110">
    <cfRule type="cellIs" dxfId="0" priority="4937" operator="equal">
      <formula>"欠"</formula>
    </cfRule>
  </conditionalFormatting>
  <conditionalFormatting sqref="S572:S575 S587">
    <cfRule type="cellIs" dxfId="0" priority="9185" operator="equal">
      <formula>"欠"</formula>
    </cfRule>
  </conditionalFormatting>
  <conditionalFormatting sqref="AD572:AE573 AD585:AE586">
    <cfRule type="cellIs" dxfId="0" priority="9294" operator="equal">
      <formula>"未完成"</formula>
    </cfRule>
  </conditionalFormatting>
  <conditionalFormatting sqref="AD575:AE575 AD587:AE587">
    <cfRule type="cellIs" dxfId="0" priority="4545" operator="equal">
      <formula>"未完成"</formula>
    </cfRule>
  </conditionalFormatting>
  <conditionalFormatting sqref="AI575:AJ575 AI587:AJ587">
    <cfRule type="cellIs" dxfId="1" priority="4542" operator="equal">
      <formula>"未完成"</formula>
    </cfRule>
    <cfRule type="cellIs" dxfId="0" priority="4543" operator="equal">
      <formula>"未完成"</formula>
    </cfRule>
  </conditionalFormatting>
  <conditionalFormatting sqref="AK576 AK590 AK610:AK617 AK634 AK639:AK640 AK652 AK656:AK660 AK663 AK675 AK684:AK688 AK700 AK707:AK711 AK722:AK723 AK731 AK733:AK735 AK774:AK775 AK782 AK784 AK787 AK853 AK866 AK873:AK875 AK883 AK896 AK903:AK905 AK935 AK942 AK946:AK947">
    <cfRule type="cellIs" dxfId="0" priority="7038" operator="equal">
      <formula>"欠"</formula>
    </cfRule>
  </conditionalFormatting>
  <conditionalFormatting sqref="AD579:AE580">
    <cfRule type="cellIs" dxfId="0" priority="9288" operator="equal">
      <formula>"未完成"</formula>
    </cfRule>
  </conditionalFormatting>
  <conditionalFormatting sqref="AI579:AJ580">
    <cfRule type="cellIs" dxfId="1" priority="9310" operator="equal">
      <formula>"未完成"</formula>
    </cfRule>
    <cfRule type="cellIs" dxfId="0" priority="9321" operator="equal">
      <formula>"未完成"</formula>
    </cfRule>
  </conditionalFormatting>
  <conditionalFormatting sqref="S588 S662:S665 S732 S888 S1095">
    <cfRule type="containsText" dxfId="2" priority="4153" operator="between" text="欠">
      <formula>NOT(ISERROR(SEARCH("欠",S588)))</formula>
    </cfRule>
    <cfRule type="cellIs" dxfId="0" priority="4154" operator="equal">
      <formula>"欠"</formula>
    </cfRule>
  </conditionalFormatting>
  <conditionalFormatting sqref="T588 T664:T665">
    <cfRule type="containsText" dxfId="2" priority="4151" operator="between" text="欠">
      <formula>NOT(ISERROR(SEARCH("欠",T588)))</formula>
    </cfRule>
    <cfRule type="cellIs" dxfId="0" priority="4152" operator="equal">
      <formula>"欠"</formula>
    </cfRule>
  </conditionalFormatting>
  <conditionalFormatting sqref="AD590:AE591 AD743:AE746">
    <cfRule type="cellIs" dxfId="0" priority="9226" operator="equal">
      <formula>"未完成"</formula>
    </cfRule>
  </conditionalFormatting>
  <conditionalFormatting sqref="AI590:AJ591 AI743:AJ746">
    <cfRule type="cellIs" dxfId="1" priority="9227" operator="equal">
      <formula>"未完成"</formula>
    </cfRule>
    <cfRule type="cellIs" dxfId="0" priority="9228" operator="equal">
      <formula>"未完成"</formula>
    </cfRule>
  </conditionalFormatting>
  <conditionalFormatting sqref="AD593:AE594 AD598:AE601">
    <cfRule type="cellIs" dxfId="0" priority="4464" operator="equal">
      <formula>"未完成"</formula>
    </cfRule>
  </conditionalFormatting>
  <conditionalFormatting sqref="AI598:AJ601 AJ637 AJ624:AJ628 AI593:AJ594">
    <cfRule type="cellIs" dxfId="1" priority="4461" operator="equal">
      <formula>"未完成"</formula>
    </cfRule>
    <cfRule type="cellIs" dxfId="0" priority="4462" operator="equal">
      <formula>"未完成"</formula>
    </cfRule>
  </conditionalFormatting>
  <conditionalFormatting sqref="AK593:AK594 AK598:AK600">
    <cfRule type="cellIs" dxfId="0" priority="4467" operator="equal">
      <formula>"欠"</formula>
    </cfRule>
  </conditionalFormatting>
  <conditionalFormatting sqref="AD595:AE596">
    <cfRule type="cellIs" dxfId="0" priority="4287" operator="equal">
      <formula>"未完成"</formula>
    </cfRule>
  </conditionalFormatting>
  <conditionalFormatting sqref="AI595:AJ596">
    <cfRule type="cellIs" dxfId="1" priority="4284" operator="equal">
      <formula>"未完成"</formula>
    </cfRule>
    <cfRule type="cellIs" dxfId="0" priority="4285" operator="equal">
      <formula>"未完成"</formula>
    </cfRule>
  </conditionalFormatting>
  <conditionalFormatting sqref="AG597 AG732 AG664:AG665 AG662 AG710:AG711 AG602 AG622:AG624">
    <cfRule type="cellIs" dxfId="0" priority="4917" operator="equal">
      <formula>"未完成"</formula>
    </cfRule>
  </conditionalFormatting>
  <conditionalFormatting sqref="AD602:AE603">
    <cfRule type="cellIs" dxfId="0" priority="4296" operator="equal">
      <formula>"未完成"</formula>
    </cfRule>
  </conditionalFormatting>
  <conditionalFormatting sqref="AI602:AJ603">
    <cfRule type="cellIs" dxfId="1" priority="4297" operator="equal">
      <formula>"未完成"</formula>
    </cfRule>
    <cfRule type="cellIs" dxfId="0" priority="4298" operator="equal">
      <formula>"未完成"</formula>
    </cfRule>
  </conditionalFormatting>
  <conditionalFormatting sqref="S605:S607 S653 S744:S746 S739:S740 S737 S812:S816">
    <cfRule type="cellIs" dxfId="0" priority="4077" operator="equal">
      <formula>"欠"</formula>
    </cfRule>
  </conditionalFormatting>
  <conditionalFormatting sqref="T606:T607 T653 T737 T739:T740 T744:T746 T812:T817 T907">
    <cfRule type="cellIs" dxfId="0" priority="4076" operator="equal">
      <formula>"欠"</formula>
    </cfRule>
  </conditionalFormatting>
  <conditionalFormatting sqref="AK607 AK653 AK737:AK740 AK744:AK746 AK812:AK817 AK869 AK901 AK907 AK1075:AK1076 AK1105 AK1218">
    <cfRule type="cellIs" dxfId="0" priority="4086" operator="equal">
      <formula>"欠"</formula>
    </cfRule>
  </conditionalFormatting>
  <conditionalFormatting sqref="AD618:AE619 AD629:AE634 AD639:AE641 AD661:AE662 AD670:AE675 AD695:AE696 AD698:AE699 AD701:AE711 AD737:AE742 AD800 AD867:AE867">
    <cfRule type="cellIs" dxfId="0" priority="6057" operator="equal">
      <formula>"未完成"</formula>
    </cfRule>
  </conditionalFormatting>
  <conditionalFormatting sqref="AI618:AJ619 AI629:AJ634 AI639:AJ641 AJ653 AI661:AJ662 AI670:AJ675 AJ676:AJ679 AI680:AJ681 AI695:AJ696 AI698:AJ699 AI701:AJ711 AI737:AJ742 AI800:AJ800 AI839:AJ839 AI854:AJ860 AI867:AJ867 AI897:AJ897 AI922:AJ922">
    <cfRule type="cellIs" dxfId="1" priority="6058" operator="equal">
      <formula>"未完成"</formula>
    </cfRule>
    <cfRule type="cellIs" dxfId="0" priority="6059" operator="equal">
      <formula>"未完成"</formula>
    </cfRule>
  </conditionalFormatting>
  <conditionalFormatting sqref="AK629:AK633 AK839 AK618:AK619 AK698:AK699 AK661:AK662 AK670:AK674 AK800 AK854:AK858">
    <cfRule type="cellIs" dxfId="0" priority="6055" operator="equal">
      <formula>"欠"</formula>
    </cfRule>
  </conditionalFormatting>
  <conditionalFormatting sqref="R620:R622 R644">
    <cfRule type="cellIs" dxfId="0" priority="3926" operator="equal">
      <formula>"欠"</formula>
    </cfRule>
  </conditionalFormatting>
  <conditionalFormatting sqref="T620:T623 T647">
    <cfRule type="containsText" dxfId="2" priority="4105" operator="between" text="欠">
      <formula>NOT(ISERROR(SEARCH("欠",T620)))</formula>
    </cfRule>
    <cfRule type="cellIs" dxfId="0" priority="4106" operator="equal">
      <formula>"欠"</formula>
    </cfRule>
  </conditionalFormatting>
  <conditionalFormatting sqref="U621:U628 U637">
    <cfRule type="cellIs" dxfId="0" priority="4099" operator="equal">
      <formula>"欠"</formula>
    </cfRule>
  </conditionalFormatting>
  <conditionalFormatting sqref="AD621:AE628 AD637:AE637">
    <cfRule type="cellIs" dxfId="0" priority="4100" operator="equal">
      <formula>"未完成"</formula>
    </cfRule>
  </conditionalFormatting>
  <conditionalFormatting sqref="AI624:AI628 AI637 AI621:AJ623">
    <cfRule type="cellIs" dxfId="1" priority="4101" operator="equal">
      <formula>"未完成"</formula>
    </cfRule>
    <cfRule type="cellIs" dxfId="0" priority="4102" operator="equal">
      <formula>"未完成"</formula>
    </cfRule>
  </conditionalFormatting>
  <conditionalFormatting sqref="AD635:AE636">
    <cfRule type="cellIs" dxfId="0" priority="9291" operator="equal">
      <formula>"未完成"</formula>
    </cfRule>
  </conditionalFormatting>
  <conditionalFormatting sqref="AI635:AJ636">
    <cfRule type="cellIs" dxfId="1" priority="9313" operator="equal">
      <formula>"未完成"</formula>
    </cfRule>
    <cfRule type="cellIs" dxfId="0" priority="9324" operator="equal">
      <formula>"未完成"</formula>
    </cfRule>
  </conditionalFormatting>
  <conditionalFormatting sqref="R638 T638:U638">
    <cfRule type="cellIs" dxfId="0" priority="3916" operator="equal">
      <formula>"欠"</formula>
    </cfRule>
  </conditionalFormatting>
  <conditionalFormatting sqref="AD643:AE651 AD656:AE656">
    <cfRule type="cellIs" dxfId="0" priority="4303" operator="equal">
      <formula>"未完成"</formula>
    </cfRule>
  </conditionalFormatting>
  <conditionalFormatting sqref="AI643:AJ651 AI656:AJ656">
    <cfRule type="cellIs" dxfId="1" priority="4304" operator="equal">
      <formula>"未完成"</formula>
    </cfRule>
    <cfRule type="cellIs" dxfId="0" priority="4305" operator="equal">
      <formula>"未完成"</formula>
    </cfRule>
  </conditionalFormatting>
  <conditionalFormatting sqref="U657 U652:U653 U676:U679">
    <cfRule type="cellIs" dxfId="0" priority="3921" operator="equal">
      <formula>"欠"</formula>
    </cfRule>
  </conditionalFormatting>
  <conditionalFormatting sqref="AD657:AE657 AD652:AE653 AD676:AE679">
    <cfRule type="cellIs" dxfId="0" priority="3922" operator="equal">
      <formula>"未完成"</formula>
    </cfRule>
  </conditionalFormatting>
  <conditionalFormatting sqref="AI657:AJ657 AI676:AI679 AI653 AI652:AJ652">
    <cfRule type="cellIs" dxfId="1" priority="3923" operator="equal">
      <formula>"未完成"</formula>
    </cfRule>
    <cfRule type="cellIs" dxfId="0" priority="3924" operator="equal">
      <formula>"未完成"</formula>
    </cfRule>
  </conditionalFormatting>
  <conditionalFormatting sqref="T654:U654 R654:R655 T655 R659">
    <cfRule type="cellIs" dxfId="0" priority="3485" operator="equal">
      <formula>"欠"</formula>
    </cfRule>
  </conditionalFormatting>
  <conditionalFormatting sqref="U655 U659">
    <cfRule type="cellIs" dxfId="0" priority="3484" operator="equal">
      <formula>"欠"</formula>
    </cfRule>
  </conditionalFormatting>
  <conditionalFormatting sqref="AD655:AE655 AD659:AE659">
    <cfRule type="cellIs" dxfId="0" priority="3488" operator="equal">
      <formula>"未完成"</formula>
    </cfRule>
  </conditionalFormatting>
  <conditionalFormatting sqref="AI655:AJ655 AI659:AJ659">
    <cfRule type="cellIs" dxfId="1" priority="3492" operator="equal">
      <formula>"未完成"</formula>
    </cfRule>
    <cfRule type="cellIs" dxfId="0" priority="3496" operator="equal">
      <formula>"未完成"</formula>
    </cfRule>
  </conditionalFormatting>
  <conditionalFormatting sqref="R660 U660 T658:U658 R689:U690 U692:U694">
    <cfRule type="cellIs" dxfId="0" priority="3473" operator="equal">
      <formula>"欠"</formula>
    </cfRule>
  </conditionalFormatting>
  <conditionalFormatting sqref="T658 T689:T690">
    <cfRule type="containsText" dxfId="2" priority="3472" operator="between" text="欠">
      <formula>NOT(ISERROR(SEARCH("欠",T658)))</formula>
    </cfRule>
  </conditionalFormatting>
  <conditionalFormatting sqref="AD660:AE660 AD658:AE658 AD689:AE690 AD692:AE694">
    <cfRule type="cellIs" dxfId="0" priority="3474" operator="equal">
      <formula>"未完成"</formula>
    </cfRule>
  </conditionalFormatting>
  <conditionalFormatting sqref="AI660:AJ660 AI692:AJ694 AI689:AJ690 AI658:AJ658">
    <cfRule type="cellIs" dxfId="1" priority="3475" operator="equal">
      <formula>"未完成"</formula>
    </cfRule>
    <cfRule type="cellIs" dxfId="0" priority="3476" operator="equal">
      <formula>"未完成"</formula>
    </cfRule>
  </conditionalFormatting>
  <conditionalFormatting sqref="T685:U688 U684 T660 R683:U683 R685:R688 R700 T700:U700">
    <cfRule type="cellIs" dxfId="0" priority="3906" operator="equal">
      <formula>"欠"</formula>
    </cfRule>
  </conditionalFormatting>
  <conditionalFormatting sqref="R663 T663:U663">
    <cfRule type="cellIs" dxfId="0" priority="3392" operator="equal">
      <formula>"欠"</formula>
    </cfRule>
  </conditionalFormatting>
  <conditionalFormatting sqref="R663 T663">
    <cfRule type="containsText" dxfId="2" priority="3390" operator="between" text="欠">
      <formula>NOT(ISERROR(SEARCH("欠",R663)))</formula>
    </cfRule>
  </conditionalFormatting>
  <conditionalFormatting sqref="AD664:AE665">
    <cfRule type="cellIs" dxfId="0" priority="5047" operator="equal">
      <formula>"未完成"</formula>
    </cfRule>
  </conditionalFormatting>
  <conditionalFormatting sqref="AI664:AJ665">
    <cfRule type="cellIs" dxfId="1" priority="5048" operator="equal">
      <formula>"未完成"</formula>
    </cfRule>
    <cfRule type="cellIs" dxfId="0" priority="5049" operator="equal">
      <formula>"未完成"</formula>
    </cfRule>
  </conditionalFormatting>
  <conditionalFormatting sqref="R667:R668 U667:U668">
    <cfRule type="cellIs" dxfId="0" priority="3430" operator="equal">
      <formula>"欠"</formula>
    </cfRule>
  </conditionalFormatting>
  <conditionalFormatting sqref="AD667:AE668">
    <cfRule type="cellIs" dxfId="0" priority="3432" operator="equal">
      <formula>"未完成"</formula>
    </cfRule>
  </conditionalFormatting>
  <conditionalFormatting sqref="AI667:AJ668">
    <cfRule type="cellIs" dxfId="1" priority="3433" operator="equal">
      <formula>"未完成"</formula>
    </cfRule>
    <cfRule type="cellIs" dxfId="0" priority="3434" operator="equal">
      <formula>"未完成"</formula>
    </cfRule>
  </conditionalFormatting>
  <conditionalFormatting sqref="R669 U669">
    <cfRule type="cellIs" dxfId="0" priority="3115" operator="equal">
      <formula>"欠"</formula>
    </cfRule>
  </conditionalFormatting>
  <conditionalFormatting sqref="AD683:AE688 AD700:AE700">
    <cfRule type="cellIs" dxfId="0" priority="3907" operator="equal">
      <formula>"未完成"</formula>
    </cfRule>
  </conditionalFormatting>
  <conditionalFormatting sqref="AI683:AJ688 AI700:AJ700">
    <cfRule type="cellIs" dxfId="1" priority="3908" operator="equal">
      <formula>"未完成"</formula>
    </cfRule>
    <cfRule type="cellIs" dxfId="0" priority="3909" operator="equal">
      <formula>"未完成"</formula>
    </cfRule>
  </conditionalFormatting>
  <conditionalFormatting sqref="R691 T691">
    <cfRule type="containsText" dxfId="2" priority="3367" operator="between" text="欠">
      <formula>NOT(ISERROR(SEARCH("欠",R691)))</formula>
    </cfRule>
  </conditionalFormatting>
  <conditionalFormatting sqref="S701:S706 S695:S696 S713:S718 S741:S742 S773 S841:S843 S792:S794 S783 S877:S881 S867 S851 S902">
    <cfRule type="cellIs" dxfId="0" priority="3364" operator="equal">
      <formula>"欠"</formula>
    </cfRule>
  </conditionalFormatting>
  <conditionalFormatting sqref="R697:R699 T697:U697">
    <cfRule type="cellIs" dxfId="0" priority="3719" operator="equal">
      <formula>"欠"</formula>
    </cfRule>
  </conditionalFormatting>
  <conditionalFormatting sqref="AD712:AE718">
    <cfRule type="cellIs" dxfId="0" priority="3343" operator="equal">
      <formula>"未完成"</formula>
    </cfRule>
  </conditionalFormatting>
  <conditionalFormatting sqref="AG712:AG718 AG735:AG748 AG773:AG775 AG780 AG782:AG817 AG839:AG947 AG1057:AG1073 AG1075:AG1081 AG1083:AG1128 AG1131:AG1134 AG1139:AG1151 AG1153:AG1156 AG1158:AG1164 AG1166 AG1168:AG1175 AG1179:AG1181 AG1184:AG1189 AG1191 AG1196 AG1201:AG1202 AG1204 AG1207:AG1208 AG1215:AG1229">
    <cfRule type="cellIs" dxfId="0" priority="3342" operator="equal">
      <formula>"未完成"</formula>
    </cfRule>
  </conditionalFormatting>
  <conditionalFormatting sqref="AI712:AJ718 AJ773">
    <cfRule type="cellIs" dxfId="1" priority="3344" operator="equal">
      <formula>"未完成"</formula>
    </cfRule>
    <cfRule type="cellIs" dxfId="0" priority="3345" operator="equal">
      <formula>"未完成"</formula>
    </cfRule>
  </conditionalFormatting>
  <conditionalFormatting sqref="R713:R718 R741:R742 R773 R841:R843 R792:R794 R783 R877:R881 R867 R851 R902">
    <cfRule type="cellIs" dxfId="0" priority="3321" operator="equal">
      <formula>"欠"</formula>
    </cfRule>
  </conditionalFormatting>
  <conditionalFormatting sqref="T719 R719">
    <cfRule type="containsText" dxfId="2" priority="3383" operator="between" text="欠">
      <formula>NOT(ISERROR(SEARCH("欠",R719)))</formula>
    </cfRule>
  </conditionalFormatting>
  <conditionalFormatting sqref="R719:U719 S720 S722 S733:S736 S748:S749">
    <cfRule type="cellIs" dxfId="0" priority="3385" operator="equal">
      <formula>"欠"</formula>
    </cfRule>
  </conditionalFormatting>
  <conditionalFormatting sqref="R720 T720 R748:R749 T748:T749">
    <cfRule type="containsText" dxfId="2" priority="3324" operator="between" text="欠">
      <formula>NOT(ISERROR(SEARCH("欠",R720)))</formula>
    </cfRule>
  </conditionalFormatting>
  <conditionalFormatting sqref="R720 T720:U720 R748:R749 T748:U749">
    <cfRule type="cellIs" dxfId="0" priority="3326" operator="equal">
      <formula>"欠"</formula>
    </cfRule>
  </conditionalFormatting>
  <conditionalFormatting sqref="T720 T748:T749">
    <cfRule type="containsText" dxfId="2" priority="3325" operator="between" text="欠">
      <formula>NOT(ISERROR(SEARCH("欠",T720)))</formula>
    </cfRule>
  </conditionalFormatting>
  <conditionalFormatting sqref="AD720:AE720 AD748:AE749">
    <cfRule type="cellIs" dxfId="0" priority="3328" operator="equal">
      <formula>"未完成"</formula>
    </cfRule>
  </conditionalFormatting>
  <conditionalFormatting sqref="AG720 AG749">
    <cfRule type="cellIs" dxfId="0" priority="3327" operator="equal">
      <formula>"未完成"</formula>
    </cfRule>
  </conditionalFormatting>
  <conditionalFormatting sqref="AI720:AJ720 AI748:AJ749">
    <cfRule type="cellIs" dxfId="1" priority="3329" operator="equal">
      <formula>"未完成"</formula>
    </cfRule>
    <cfRule type="cellIs" dxfId="0" priority="3330" operator="equal">
      <formula>"未完成"</formula>
    </cfRule>
  </conditionalFormatting>
  <conditionalFormatting sqref="T721 R721 R747 T747">
    <cfRule type="containsText" dxfId="2" priority="3331" operator="between" text="欠">
      <formula>NOT(ISERROR(SEARCH("欠",R721)))</formula>
    </cfRule>
  </conditionalFormatting>
  <conditionalFormatting sqref="R721:U721 R747 T747:U747">
    <cfRule type="cellIs" dxfId="0" priority="3333" operator="equal">
      <formula>"欠"</formula>
    </cfRule>
  </conditionalFormatting>
  <conditionalFormatting sqref="T721 T747">
    <cfRule type="containsText" dxfId="2" priority="3332" operator="between" text="欠">
      <formula>NOT(ISERROR(SEARCH("欠",T721)))</formula>
    </cfRule>
  </conditionalFormatting>
  <conditionalFormatting sqref="AD721:AE721 AD747:AE747">
    <cfRule type="cellIs" dxfId="0" priority="3335" operator="equal">
      <formula>"未完成"</formula>
    </cfRule>
  </conditionalFormatting>
  <conditionalFormatting sqref="AI721:AJ721 AI747:AJ747">
    <cfRule type="cellIs" dxfId="1" priority="3336" operator="equal">
      <formula>"未完成"</formula>
    </cfRule>
    <cfRule type="cellIs" dxfId="0" priority="3337" operator="equal">
      <formula>"未完成"</formula>
    </cfRule>
  </conditionalFormatting>
  <conditionalFormatting sqref="AK721 AK747">
    <cfRule type="cellIs" dxfId="0" priority="3338" operator="equal">
      <formula>"欠"</formula>
    </cfRule>
  </conditionalFormatting>
  <conditionalFormatting sqref="R722 R733:R736">
    <cfRule type="cellIs" dxfId="0" priority="3320" operator="equal">
      <formula>"欠"</formula>
    </cfRule>
  </conditionalFormatting>
  <conditionalFormatting sqref="T722 T732:T736">
    <cfRule type="containsText" dxfId="2" priority="3355" operator="between" text="欠">
      <formula>NOT(ISERROR(SEARCH("欠",T722)))</formula>
    </cfRule>
    <cfRule type="cellIs" dxfId="0" priority="3357" operator="equal">
      <formula>"欠"</formula>
    </cfRule>
  </conditionalFormatting>
  <conditionalFormatting sqref="U750 U722 U731:U735 U774:U775 U782 U866">
    <cfRule type="cellIs" dxfId="0" priority="3350" operator="equal">
      <formula>"欠"</formula>
    </cfRule>
  </conditionalFormatting>
  <conditionalFormatting sqref="AD750:AE750 AD722:AE722 AD731:AE735 AD774:AE775 AD782:AE782 AD866:AE866">
    <cfRule type="cellIs" dxfId="0" priority="3351" operator="equal">
      <formula>"未完成"</formula>
    </cfRule>
  </conditionalFormatting>
  <conditionalFormatting sqref="AI750:AJ750 AI722:AJ722 AI782:AJ782 AI774:AJ775 AI731:AJ735 AI866:AJ866">
    <cfRule type="cellIs" dxfId="1" priority="3352" operator="equal">
      <formula>"未完成"</formula>
    </cfRule>
    <cfRule type="cellIs" dxfId="0" priority="3353" operator="equal">
      <formula>"未完成"</formula>
    </cfRule>
  </conditionalFormatting>
  <conditionalFormatting sqref="R723 U723">
    <cfRule type="cellIs" dxfId="0" priority="3465" operator="equal">
      <formula>"欠"</formula>
    </cfRule>
  </conditionalFormatting>
  <conditionalFormatting sqref="U724:U726 U728:U729 T790:U791 U792:U794 T795:U797 T799:U799 U809:U817 T852:U852 T862:U862 T864:U865 U868:U872 T887:U887 T893:U893 T895:U895 R909 T913:U915 R1108:R1110">
    <cfRule type="cellIs" dxfId="0" priority="3911" operator="equal">
      <formula>"欠"</formula>
    </cfRule>
  </conditionalFormatting>
  <conditionalFormatting sqref="AD724:AE726 AD728:AE729 AD799">
    <cfRule type="cellIs" dxfId="0" priority="3912" operator="equal">
      <formula>"未完成"</formula>
    </cfRule>
  </conditionalFormatting>
  <conditionalFormatting sqref="AI728:AJ729 AI864:AJ865 AI862:AJ862 AI887:AJ887 AI895:AJ895 AI913:AJ914 AI799:AJ799 AI724:AJ726 AI852:AJ852 AI870:AJ872 AI915 AI893:AJ893">
    <cfRule type="cellIs" dxfId="1" priority="3913" operator="equal">
      <formula>"未完成"</formula>
    </cfRule>
    <cfRule type="cellIs" dxfId="0" priority="3914" operator="equal">
      <formula>"未完成"</formula>
    </cfRule>
  </conditionalFormatting>
  <conditionalFormatting sqref="AK728:AK729 AK864:AK865 AK862 AK895 AK724:AK726 AK799 AK852 AK870:AK872 AK913:AK914 AK887 AK893">
    <cfRule type="cellIs" dxfId="0" priority="3915" operator="equal">
      <formula>"欠"</formula>
    </cfRule>
  </conditionalFormatting>
  <conditionalFormatting sqref="S727:S731 S856:S858 S863 S887">
    <cfRule type="cellIs" dxfId="0" priority="3361" operator="equal">
      <formula>"欠"</formula>
    </cfRule>
  </conditionalFormatting>
  <conditionalFormatting sqref="R731:R732 R750 R774:R775 R863 R856:R860">
    <cfRule type="containsText" dxfId="2" priority="3348" operator="between" text="欠">
      <formula>NOT(ISERROR(SEARCH("欠",R731)))</formula>
    </cfRule>
    <cfRule type="cellIs" dxfId="0" priority="3349" operator="equal">
      <formula>"欠"</formula>
    </cfRule>
  </conditionalFormatting>
  <conditionalFormatting sqref="AK750 AK732">
    <cfRule type="cellIs" dxfId="0" priority="3354" operator="equal">
      <formula>"欠"</formula>
    </cfRule>
  </conditionalFormatting>
  <conditionalFormatting sqref="U736 U773">
    <cfRule type="cellIs" dxfId="0" priority="3303" operator="equal">
      <formula>"欠"</formula>
    </cfRule>
  </conditionalFormatting>
  <conditionalFormatting sqref="AD736:AE736 AD773:AE773">
    <cfRule type="cellIs" dxfId="0" priority="3304" operator="equal">
      <formula>"未完成"</formula>
    </cfRule>
  </conditionalFormatting>
  <conditionalFormatting sqref="AI736:AJ736 AI773">
    <cfRule type="cellIs" dxfId="1" priority="3305" operator="equal">
      <formula>"未完成"</formula>
    </cfRule>
    <cfRule type="cellIs" dxfId="0" priority="3306" operator="equal">
      <formula>"未完成"</formula>
    </cfRule>
  </conditionalFormatting>
  <conditionalFormatting sqref="R751:R752 T754:T759 T751:T752 R757:R759 T769:T771 R762:R763 T762:T763 R767:R771">
    <cfRule type="containsText" dxfId="2" priority="2544" operator="between" text="欠">
      <formula>NOT(ISERROR(SEARCH("欠",R751)))</formula>
    </cfRule>
  </conditionalFormatting>
  <conditionalFormatting sqref="R758:R759 R751:R752 R771">
    <cfRule type="cellIs" dxfId="0" priority="2517" operator="equal">
      <formula>"欠"</formula>
    </cfRule>
  </conditionalFormatting>
  <conditionalFormatting sqref="R757:R760 R751:R753 R762:R765 R767:R771">
    <cfRule type="containsText" dxfId="2" priority="2512" operator="between" text="欠">
      <formula>NOT(ISERROR(SEARCH("欠",R751)))</formula>
    </cfRule>
  </conditionalFormatting>
  <conditionalFormatting sqref="S758:S759 S751:S752 S771">
    <cfRule type="cellIs" dxfId="0" priority="2527" operator="equal">
      <formula>"欠"</formula>
    </cfRule>
  </conditionalFormatting>
  <conditionalFormatting sqref="T758:T759 T751:T752 T771">
    <cfRule type="containsText" dxfId="2" priority="2557" operator="between" text="欠">
      <formula>NOT(ISERROR(SEARCH("欠",T751)))</formula>
    </cfRule>
    <cfRule type="cellIs" dxfId="0" priority="2558" operator="equal">
      <formula>"欠"</formula>
    </cfRule>
  </conditionalFormatting>
  <conditionalFormatting sqref="T751:T752 T754:T759 T769:T771 T762:T763">
    <cfRule type="containsText" dxfId="2" priority="2545" operator="between" text="欠">
      <formula>NOT(ISERROR(SEARCH("欠",T751)))</formula>
    </cfRule>
  </conditionalFormatting>
  <conditionalFormatting sqref="T751:T764 T767:T771">
    <cfRule type="containsText" dxfId="2" priority="2511" operator="between" text="欠">
      <formula>NOT(ISERROR(SEARCH("欠",T751)))</formula>
    </cfRule>
  </conditionalFormatting>
  <conditionalFormatting sqref="AD751:AE752">
    <cfRule type="cellIs" dxfId="0" priority="2514" operator="equal">
      <formula>"未完成"</formula>
    </cfRule>
  </conditionalFormatting>
  <conditionalFormatting sqref="R760 R753">
    <cfRule type="cellIs" dxfId="0" priority="2535" operator="equal">
      <formula>"欠"</formula>
    </cfRule>
  </conditionalFormatting>
  <conditionalFormatting sqref="S760:S761 S753 S754:T755 R757 S772 R767:S768 R762:S763 R769:R770">
    <cfRule type="cellIs" dxfId="0" priority="2554" operator="equal">
      <formula>"欠"</formula>
    </cfRule>
  </conditionalFormatting>
  <conditionalFormatting sqref="R753 R760 T760:T761 T753">
    <cfRule type="containsText" dxfId="2" priority="2528" operator="between" text="欠">
      <formula>NOT(ISERROR(SEARCH("欠",R753)))</formula>
    </cfRule>
  </conditionalFormatting>
  <conditionalFormatting sqref="T760:U761 T753:U753">
    <cfRule type="cellIs" dxfId="0" priority="2530" operator="equal">
      <formula>"欠"</formula>
    </cfRule>
  </conditionalFormatting>
  <conditionalFormatting sqref="T760:T761 T753">
    <cfRule type="containsText" dxfId="2" priority="2529" operator="between" text="欠">
      <formula>NOT(ISERROR(SEARCH("欠",T753)))</formula>
    </cfRule>
  </conditionalFormatting>
  <conditionalFormatting sqref="AD760:AE761 AD753:AE753">
    <cfRule type="cellIs" dxfId="0" priority="2531" operator="equal">
      <formula>"未完成"</formula>
    </cfRule>
  </conditionalFormatting>
  <conditionalFormatting sqref="AI760:AJ761 AI753:AJ753">
    <cfRule type="cellIs" dxfId="1" priority="2532" operator="equal">
      <formula>"未完成"</formula>
    </cfRule>
    <cfRule type="cellIs" dxfId="0" priority="2533" operator="equal">
      <formula>"未完成"</formula>
    </cfRule>
  </conditionalFormatting>
  <conditionalFormatting sqref="AK760:AK761 AK753">
    <cfRule type="cellIs" dxfId="0" priority="2534" operator="equal">
      <formula>"欠"</formula>
    </cfRule>
  </conditionalFormatting>
  <conditionalFormatting sqref="AD754:AE756">
    <cfRule type="cellIs" dxfId="0" priority="2507" operator="equal">
      <formula>"未完成"</formula>
    </cfRule>
  </conditionalFormatting>
  <conditionalFormatting sqref="AI754:AJ756">
    <cfRule type="cellIs" dxfId="1" priority="2508" operator="equal">
      <formula>"未完成"</formula>
    </cfRule>
    <cfRule type="cellIs" dxfId="0" priority="2509" operator="equal">
      <formula>"未完成"</formula>
    </cfRule>
  </conditionalFormatting>
  <conditionalFormatting sqref="AK755:AK756 AK769:AK770">
    <cfRule type="cellIs" dxfId="0" priority="2553" operator="equal">
      <formula>"欠"</formula>
    </cfRule>
  </conditionalFormatting>
  <conditionalFormatting sqref="S756:S757 S769:S770">
    <cfRule type="cellIs" dxfId="0" priority="2552" operator="equal">
      <formula>"欠"</formula>
    </cfRule>
  </conditionalFormatting>
  <conditionalFormatting sqref="T756 T769:T770">
    <cfRule type="cellIs" dxfId="0" priority="2551" operator="equal">
      <formula>"欠"</formula>
    </cfRule>
  </conditionalFormatting>
  <conditionalFormatting sqref="U758:U759 T757:U757 T762:U763">
    <cfRule type="cellIs" dxfId="0" priority="2546" operator="equal">
      <formula>"欠"</formula>
    </cfRule>
  </conditionalFormatting>
  <conditionalFormatting sqref="AD757:AE759 AD762:AE763">
    <cfRule type="cellIs" dxfId="0" priority="2547" operator="equal">
      <formula>"未完成"</formula>
    </cfRule>
  </conditionalFormatting>
  <conditionalFormatting sqref="AI757:AJ759 AI762:AJ763">
    <cfRule type="cellIs" dxfId="1" priority="2548" operator="equal">
      <formula>"未完成"</formula>
    </cfRule>
    <cfRule type="cellIs" dxfId="0" priority="2549" operator="equal">
      <formula>"未完成"</formula>
    </cfRule>
  </conditionalFormatting>
  <conditionalFormatting sqref="AK757 AK762:AK763">
    <cfRule type="cellIs" dxfId="0" priority="2550" operator="equal">
      <formula>"欠"</formula>
    </cfRule>
  </conditionalFormatting>
  <conditionalFormatting sqref="R765 R764:S764">
    <cfRule type="cellIs" dxfId="0" priority="2543" operator="equal">
      <formula>"欠"</formula>
    </cfRule>
  </conditionalFormatting>
  <conditionalFormatting sqref="R764:R765 T764 T767:T768">
    <cfRule type="containsText" dxfId="2" priority="2536" operator="between" text="欠">
      <formula>NOT(ISERROR(SEARCH("欠",R764)))</formula>
    </cfRule>
  </conditionalFormatting>
  <conditionalFormatting sqref="U769:U771 T764:U764 U765 T767:U768">
    <cfRule type="cellIs" dxfId="0" priority="2538" operator="equal">
      <formula>"欠"</formula>
    </cfRule>
  </conditionalFormatting>
  <conditionalFormatting sqref="T764 T767:T768">
    <cfRule type="containsText" dxfId="2" priority="2537" operator="between" text="欠">
      <formula>NOT(ISERROR(SEARCH("欠",T764)))</formula>
    </cfRule>
  </conditionalFormatting>
  <conditionalFormatting sqref="AD767:AE771 AD764:AE765">
    <cfRule type="cellIs" dxfId="0" priority="2539" operator="equal">
      <formula>"未完成"</formula>
    </cfRule>
  </conditionalFormatting>
  <conditionalFormatting sqref="AI767:AJ771 AI764:AJ765">
    <cfRule type="cellIs" dxfId="1" priority="2540" operator="equal">
      <formula>"未完成"</formula>
    </cfRule>
    <cfRule type="cellIs" dxfId="0" priority="2541" operator="equal">
      <formula>"未完成"</formula>
    </cfRule>
  </conditionalFormatting>
  <conditionalFormatting sqref="AK767:AK768 AK764:AK765">
    <cfRule type="cellIs" dxfId="0" priority="2542" operator="equal">
      <formula>"欠"</formula>
    </cfRule>
  </conditionalFormatting>
  <conditionalFormatting sqref="R780 T780">
    <cfRule type="containsText" dxfId="2" priority="3447" operator="between" text="欠">
      <formula>NOT(ISERROR(SEARCH("欠",R780)))</formula>
    </cfRule>
  </conditionalFormatting>
  <conditionalFormatting sqref="R782 R866">
    <cfRule type="containsText" dxfId="2" priority="3312" operator="between" text="欠">
      <formula>NOT(ISERROR(SEARCH("欠",R782)))</formula>
    </cfRule>
    <cfRule type="cellIs" dxfId="0" priority="3313" operator="equal">
      <formula>"欠"</formula>
    </cfRule>
  </conditionalFormatting>
  <conditionalFormatting sqref="U788 U783">
    <cfRule type="cellIs" dxfId="0" priority="3457" operator="equal">
      <formula>"欠"</formula>
    </cfRule>
  </conditionalFormatting>
  <conditionalFormatting sqref="AD788:AE788 AD783:AE783">
    <cfRule type="cellIs" dxfId="0" priority="3458" operator="equal">
      <formula>"未完成"</formula>
    </cfRule>
  </conditionalFormatting>
  <conditionalFormatting sqref="AI788:AJ788 AI783:AJ783">
    <cfRule type="cellIs" dxfId="1" priority="3459" operator="equal">
      <formula>"未完成"</formula>
    </cfRule>
    <cfRule type="cellIs" dxfId="0" priority="3460" operator="equal">
      <formula>"未完成"</formula>
    </cfRule>
  </conditionalFormatting>
  <conditionalFormatting sqref="T785:U786">
    <cfRule type="cellIs" dxfId="0" priority="3168" operator="equal">
      <formula>"欠"</formula>
    </cfRule>
  </conditionalFormatting>
  <conditionalFormatting sqref="AD785:AE786">
    <cfRule type="cellIs" dxfId="0" priority="3169" operator="equal">
      <formula>"未完成"</formula>
    </cfRule>
  </conditionalFormatting>
  <conditionalFormatting sqref="AI785:AJ786">
    <cfRule type="cellIs" dxfId="1" priority="3170" operator="equal">
      <formula>"未完成"</formula>
    </cfRule>
    <cfRule type="cellIs" dxfId="0" priority="3171" operator="equal">
      <formula>"未完成"</formula>
    </cfRule>
  </conditionalFormatting>
  <conditionalFormatting sqref="S786 S790:S791">
    <cfRule type="cellIs" dxfId="0" priority="3124" operator="equal">
      <formula>"欠"</formula>
    </cfRule>
  </conditionalFormatting>
  <conditionalFormatting sqref="T787 R787">
    <cfRule type="containsText" dxfId="2" priority="3087" operator="between" text="欠">
      <formula>NOT(ISERROR(SEARCH("欠",R787)))</formula>
    </cfRule>
  </conditionalFormatting>
  <conditionalFormatting sqref="R787 T787">
    <cfRule type="cellIs" dxfId="0" priority="3089" operator="equal">
      <formula>"欠"</formula>
    </cfRule>
  </conditionalFormatting>
  <conditionalFormatting sqref="R788:S788 S795:S796 S805:S807">
    <cfRule type="cellIs" dxfId="0" priority="3462" operator="equal">
      <formula>"欠"</formula>
    </cfRule>
  </conditionalFormatting>
  <conditionalFormatting sqref="T789:U789 U798">
    <cfRule type="cellIs" dxfId="0" priority="3252" operator="equal">
      <formula>"欠"</formula>
    </cfRule>
  </conditionalFormatting>
  <conditionalFormatting sqref="AD789:AE789 AD798">
    <cfRule type="cellIs" dxfId="0" priority="3253" operator="equal">
      <formula>"未完成"</formula>
    </cfRule>
  </conditionalFormatting>
  <conditionalFormatting sqref="AI789:AJ789 AI798:AJ798">
    <cfRule type="cellIs" dxfId="1" priority="3254" operator="equal">
      <formula>"未完成"</formula>
    </cfRule>
    <cfRule type="cellIs" dxfId="0" priority="3255" operator="equal">
      <formula>"未完成"</formula>
    </cfRule>
  </conditionalFormatting>
  <conditionalFormatting sqref="AF790:AF797 AF915">
    <cfRule type="cellIs" dxfId="0" priority="17184" operator="equal">
      <formula>"未完成"</formula>
    </cfRule>
  </conditionalFormatting>
  <conditionalFormatting sqref="R801:R804 R840 R808">
    <cfRule type="containsText" dxfId="2" priority="3280" operator="between" text="欠">
      <formula>NOT(ISERROR(SEARCH("欠",R801)))</formula>
    </cfRule>
  </conditionalFormatting>
  <conditionalFormatting sqref="R808 T801:T804 R840 R801:R804 T808">
    <cfRule type="containsText" dxfId="2" priority="3281" operator="between" text="欠">
      <formula>NOT(ISERROR(SEARCH("欠",R801)))</formula>
    </cfRule>
  </conditionalFormatting>
  <conditionalFormatting sqref="T808:U808 R801:R804 R840 T801:U804 R808">
    <cfRule type="cellIs" dxfId="0" priority="3283" operator="equal">
      <formula>"欠"</formula>
    </cfRule>
  </conditionalFormatting>
  <conditionalFormatting sqref="T808 T801:T804">
    <cfRule type="containsText" dxfId="2" priority="3279" operator="between" text="欠">
      <formula>NOT(ISERROR(SEARCH("欠",T801)))</formula>
    </cfRule>
  </conditionalFormatting>
  <conditionalFormatting sqref="AI801:AJ804 AI808:AJ817 AI840:AJ843 AI861:AJ861 AI868:AJ869">
    <cfRule type="cellIs" dxfId="1" priority="3286" operator="equal">
      <formula>"未完成"</formula>
    </cfRule>
    <cfRule type="cellIs" dxfId="0" priority="3287" operator="equal">
      <formula>"未完成"</formula>
    </cfRule>
  </conditionalFormatting>
  <conditionalFormatting sqref="AK801:AK804 AK808 AK840 AK844:AK850 AK1222 AK1229">
    <cfRule type="cellIs" dxfId="0" priority="3284" operator="equal">
      <formula>"欠"</formula>
    </cfRule>
  </conditionalFormatting>
  <conditionalFormatting sqref="T805:U805 T806:T807">
    <cfRule type="cellIs" dxfId="0" priority="2998" operator="equal">
      <formula>"欠"</formula>
    </cfRule>
  </conditionalFormatting>
  <conditionalFormatting sqref="T859:T861 T809:T811">
    <cfRule type="cellIs" dxfId="0" priority="3007" operator="equal">
      <formula>"欠"</formula>
    </cfRule>
  </conditionalFormatting>
  <conditionalFormatting sqref="R812:R817 R868:R869">
    <cfRule type="containsText" dxfId="2" priority="2937" operator="between" text="欠">
      <formula>NOT(ISERROR(SEARCH("欠",R812)))</formula>
    </cfRule>
    <cfRule type="cellIs" dxfId="0" priority="2938" operator="equal">
      <formula>"欠"</formula>
    </cfRule>
  </conditionalFormatting>
  <conditionalFormatting sqref="R844:R850 T844:T850 T900">
    <cfRule type="containsText" dxfId="2" priority="3052" operator="between" text="欠">
      <formula>NOT(ISERROR(SEARCH("欠",R844)))</formula>
    </cfRule>
  </conditionalFormatting>
  <conditionalFormatting sqref="T844:T850 T900">
    <cfRule type="containsText" dxfId="2" priority="3038" operator="between" text="欠">
      <formula>NOT(ISERROR(SEARCH("欠",T844)))</formula>
    </cfRule>
  </conditionalFormatting>
  <conditionalFormatting sqref="T844:U844 T845:T850 U851 T900:U900">
    <cfRule type="cellIs" dxfId="0" priority="3066" operator="equal">
      <formula>"欠"</formula>
    </cfRule>
  </conditionalFormatting>
  <conditionalFormatting sqref="AI851:AJ851 AI844:AJ844 AI900:AJ900">
    <cfRule type="cellIs" dxfId="1" priority="3017" operator="equal">
      <formula>"未完成"</formula>
    </cfRule>
    <cfRule type="cellIs" dxfId="0" priority="3024" operator="equal">
      <formula>"未完成"</formula>
    </cfRule>
  </conditionalFormatting>
  <conditionalFormatting sqref="R853 R883 R903 R1092">
    <cfRule type="containsText" dxfId="2" priority="3239" operator="between" text="欠">
      <formula>NOT(ISERROR(SEARCH("欠",R853)))</formula>
    </cfRule>
    <cfRule type="cellIs" dxfId="0" priority="3247" operator="equal">
      <formula>"欠"</formula>
    </cfRule>
  </conditionalFormatting>
  <conditionalFormatting sqref="T853:U853 U877:U881">
    <cfRule type="cellIs" dxfId="0" priority="3143" operator="equal">
      <formula>"欠"</formula>
    </cfRule>
  </conditionalFormatting>
  <conditionalFormatting sqref="AI853:AJ853 AI877:AJ881">
    <cfRule type="cellIs" dxfId="1" priority="3145" operator="equal">
      <formula>"未完成"</formula>
    </cfRule>
    <cfRule type="cellIs" dxfId="0" priority="3146" operator="equal">
      <formula>"未完成"</formula>
    </cfRule>
  </conditionalFormatting>
  <conditionalFormatting sqref="R861 R896 R873:R875 R904:R906">
    <cfRule type="containsText" dxfId="2" priority="2868" operator="between" text="欠">
      <formula>NOT(ISERROR(SEARCH("欠",R861)))</formula>
    </cfRule>
  </conditionalFormatting>
  <conditionalFormatting sqref="R861 R896 R873:R875 T896 T873:T875 T904:T906 R904:R906">
    <cfRule type="containsText" dxfId="2" priority="2869" operator="between" text="欠">
      <formula>NOT(ISERROR(SEARCH("欠",R861)))</formula>
    </cfRule>
  </conditionalFormatting>
  <conditionalFormatting sqref="R861:S861 R873:T875 R896:T896 R904:R906 T904:T906 S1088:S1090">
    <cfRule type="cellIs" dxfId="0" priority="2871" operator="equal">
      <formula>"欠"</formula>
    </cfRule>
  </conditionalFormatting>
  <conditionalFormatting sqref="R864 R882">
    <cfRule type="cellIs" dxfId="0" priority="3278" operator="equal">
      <formula>"欠"</formula>
    </cfRule>
  </conditionalFormatting>
  <conditionalFormatting sqref="T896 T873:T875 T904:T906">
    <cfRule type="containsText" dxfId="2" priority="2867" operator="between" text="欠">
      <formula>NOT(ISERROR(SEARCH("欠",T873)))</formula>
    </cfRule>
  </conditionalFormatting>
  <conditionalFormatting sqref="U873:U875 U896 U903:U906 U898">
    <cfRule type="cellIs" dxfId="0" priority="3262" operator="equal">
      <formula>"欠"</formula>
    </cfRule>
  </conditionalFormatting>
  <conditionalFormatting sqref="AI873:AJ875 AI896:AJ896 AI903:AJ906 AI898:AJ898">
    <cfRule type="cellIs" dxfId="1" priority="3263" operator="equal">
      <formula>"未完成"</formula>
    </cfRule>
    <cfRule type="cellIs" dxfId="0" priority="3264" operator="equal">
      <formula>"未完成"</formula>
    </cfRule>
  </conditionalFormatting>
  <conditionalFormatting sqref="S884 S904">
    <cfRule type="cellIs" dxfId="0" priority="2749" operator="equal">
      <formula>"欠"</formula>
    </cfRule>
  </conditionalFormatting>
  <conditionalFormatting sqref="AI884:AJ885">
    <cfRule type="cellIs" dxfId="1" priority="2829" operator="equal">
      <formula>"未完成"</formula>
    </cfRule>
    <cfRule type="cellIs" dxfId="0" priority="2830" operator="equal">
      <formula>"未完成"</formula>
    </cfRule>
  </conditionalFormatting>
  <conditionalFormatting sqref="R901 R899 R894 R885">
    <cfRule type="containsText" dxfId="2" priority="2884" operator="between" text="欠">
      <formula>NOT(ISERROR(SEARCH("欠",R885)))</formula>
    </cfRule>
    <cfRule type="cellIs" dxfId="0" priority="2886" operator="equal">
      <formula>"欠"</formula>
    </cfRule>
  </conditionalFormatting>
  <conditionalFormatting sqref="S899 S894 S885">
    <cfRule type="cellIs" dxfId="0" priority="2889" operator="equal">
      <formula>"欠"</formula>
    </cfRule>
  </conditionalFormatting>
  <conditionalFormatting sqref="T888 R888">
    <cfRule type="containsText" dxfId="2" priority="3128" operator="between" text="欠">
      <formula>NOT(ISERROR(SEARCH("欠",R888)))</formula>
    </cfRule>
  </conditionalFormatting>
  <conditionalFormatting sqref="R889:R892 R920 R931:R942 R1077 R1099:R1100 R1106:R1107 R1111 R1118:R1119 R1124:R1125 R1131:R1132 R1140:R1143 R1159 R1172:R1174 R1185:R1187 R1189 R1204 R1207:R1208 R1223:R1225 R1215:R1220 R1227">
    <cfRule type="containsText" dxfId="2" priority="2939" operator="between" text="欠">
      <formula>NOT(ISERROR(SEARCH("欠",R889)))</formula>
    </cfRule>
    <cfRule type="cellIs" dxfId="0" priority="2941" operator="equal">
      <formula>"欠"</formula>
    </cfRule>
  </conditionalFormatting>
  <conditionalFormatting sqref="S889:S892 S920 S931 S936:S939 S941">
    <cfRule type="cellIs" dxfId="0" priority="2944" operator="equal">
      <formula>"欠"</formula>
    </cfRule>
  </conditionalFormatting>
  <conditionalFormatting sqref="T889:T892 T920 T931 T936:T940">
    <cfRule type="containsText" dxfId="2" priority="2942" operator="between" text="欠">
      <formula>NOT(ISERROR(SEARCH("欠",T889)))</formula>
    </cfRule>
    <cfRule type="cellIs" dxfId="0" priority="2943" operator="equal">
      <formula>"欠"</formula>
    </cfRule>
  </conditionalFormatting>
  <conditionalFormatting sqref="AI889:AJ889 AJ890:AJ892 AJ920">
    <cfRule type="cellIs" dxfId="1" priority="2974" operator="equal">
      <formula>"未完成"</formula>
    </cfRule>
    <cfRule type="cellIs" dxfId="0" priority="2975" operator="equal">
      <formula>"未完成"</formula>
    </cfRule>
  </conditionalFormatting>
  <conditionalFormatting sqref="U890:U892 U920">
    <cfRule type="cellIs" dxfId="0" priority="2963" operator="equal">
      <formula>"欠"</formula>
    </cfRule>
  </conditionalFormatting>
  <conditionalFormatting sqref="AI890:AI892 AI920">
    <cfRule type="cellIs" dxfId="1" priority="2964" operator="equal">
      <formula>"未完成"</formula>
    </cfRule>
    <cfRule type="cellIs" dxfId="0" priority="2965" operator="equal">
      <formula>"未完成"</formula>
    </cfRule>
  </conditionalFormatting>
  <conditionalFormatting sqref="T899 T894">
    <cfRule type="containsText" dxfId="2" priority="2882" operator="between" text="欠">
      <formula>NOT(ISERROR(SEARCH("欠",T894)))</formula>
    </cfRule>
    <cfRule type="cellIs" dxfId="0" priority="2883" operator="equal">
      <formula>"欠"</formula>
    </cfRule>
  </conditionalFormatting>
  <conditionalFormatting sqref="U899 U894">
    <cfRule type="cellIs" dxfId="0" priority="2902" operator="equal">
      <formula>"欠"</formula>
    </cfRule>
  </conditionalFormatting>
  <conditionalFormatting sqref="AI899:AJ899 AI894:AJ894">
    <cfRule type="cellIs" dxfId="1" priority="2903" operator="equal">
      <formula>"未完成"</formula>
    </cfRule>
    <cfRule type="cellIs" dxfId="0" priority="2904" operator="equal">
      <formula>"未完成"</formula>
    </cfRule>
  </conditionalFormatting>
  <conditionalFormatting sqref="T903 T898">
    <cfRule type="containsText" dxfId="2" priority="3209" operator="between" text="欠">
      <formula>NOT(ISERROR(SEARCH("欠",T898)))</formula>
    </cfRule>
    <cfRule type="cellIs" dxfId="0" priority="3212" operator="equal">
      <formula>"欠"</formula>
    </cfRule>
  </conditionalFormatting>
  <conditionalFormatting sqref="AI901:AJ902">
    <cfRule type="cellIs" dxfId="1" priority="2921" operator="equal">
      <formula>"未完成"</formula>
    </cfRule>
    <cfRule type="cellIs" dxfId="0" priority="2922" operator="equal">
      <formula>"未完成"</formula>
    </cfRule>
  </conditionalFormatting>
  <conditionalFormatting sqref="AI907:AJ908">
    <cfRule type="cellIs" dxfId="1" priority="3203" operator="equal">
      <formula>"未完成"</formula>
    </cfRule>
    <cfRule type="cellIs" dxfId="0" priority="3204" operator="equal">
      <formula>"未完成"</formula>
    </cfRule>
  </conditionalFormatting>
  <conditionalFormatting sqref="T909:T911 T921">
    <cfRule type="containsText" dxfId="2" priority="3439" operator="between" text="欠">
      <formula>NOT(ISERROR(SEARCH("欠",T909)))</formula>
    </cfRule>
  </conditionalFormatting>
  <conditionalFormatting sqref="T909:U911 T921:U921">
    <cfRule type="cellIs" dxfId="0" priority="3441" operator="equal">
      <formula>"欠"</formula>
    </cfRule>
  </conditionalFormatting>
  <conditionalFormatting sqref="AI909:AJ911 AI921:AJ921">
    <cfRule type="cellIs" dxfId="1" priority="3443" operator="equal">
      <formula>"未完成"</formula>
    </cfRule>
    <cfRule type="cellIs" dxfId="0" priority="3444" operator="equal">
      <formula>"未完成"</formula>
    </cfRule>
  </conditionalFormatting>
  <conditionalFormatting sqref="AK909:AK911 AK921">
    <cfRule type="cellIs" dxfId="0" priority="3445" operator="equal">
      <formula>"欠"</formula>
    </cfRule>
  </conditionalFormatting>
  <conditionalFormatting sqref="S916 S976 S986:S988 S1007:S1009 S1037">
    <cfRule type="cellIs" dxfId="0" priority="2721" operator="equal">
      <formula>"欠"</formula>
    </cfRule>
  </conditionalFormatting>
  <conditionalFormatting sqref="T916 T1108">
    <cfRule type="cellIs" dxfId="0" priority="2794" operator="equal">
      <formula>"欠"</formula>
    </cfRule>
  </conditionalFormatting>
  <conditionalFormatting sqref="U916 U1108">
    <cfRule type="cellIs" dxfId="0" priority="2796" operator="equal">
      <formula>"欠"</formula>
    </cfRule>
  </conditionalFormatting>
  <conditionalFormatting sqref="AI916:AJ916 AI1108:AJ1108">
    <cfRule type="cellIs" dxfId="1" priority="2797" operator="equal">
      <formula>"未完成"</formula>
    </cfRule>
    <cfRule type="cellIs" dxfId="0" priority="2798" operator="equal">
      <formula>"未完成"</formula>
    </cfRule>
  </conditionalFormatting>
  <conditionalFormatting sqref="AK916 AK1108">
    <cfRule type="cellIs" dxfId="0" priority="2800" operator="equal">
      <formula>"欠"</formula>
    </cfRule>
  </conditionalFormatting>
  <conditionalFormatting sqref="AI918:AJ919">
    <cfRule type="cellIs" dxfId="1" priority="2627" operator="equal">
      <formula>"未完成"</formula>
    </cfRule>
    <cfRule type="cellIs" dxfId="0" priority="2629" operator="equal">
      <formula>"未完成"</formula>
    </cfRule>
  </conditionalFormatting>
  <conditionalFormatting sqref="S919 S1096:S1098">
    <cfRule type="cellIs" dxfId="0" priority="2429" operator="equal">
      <formula>"欠"</formula>
    </cfRule>
  </conditionalFormatting>
  <conditionalFormatting sqref="U923:U928 U930:U941 U1072:U1073 U1077 U1082 U1086 U1099:U1100 U1106:U1107 U1111 U1118:U1119 U1172:U1174 U1131:U1132 U1159:U1160 U1141:U1143 U1125:U1126 U1186:U1189 U1204 U1207:U1208 U1215:U1221 U1223:U1225">
    <cfRule type="cellIs" dxfId="0" priority="3179" operator="equal">
      <formula>"欠"</formula>
    </cfRule>
  </conditionalFormatting>
  <conditionalFormatting sqref="AI923:AJ928 AI930:AJ941 AI1072:AJ1073 AI1077:AJ1077 AI1082:AJ1082 AI1086:AJ1086 AI1099:AJ1100 AI1106:AJ1107 AI1111:AJ1111 AI1118:AJ1119 AI1172:AJ1174 AI1131:AJ1132 AI1159:AJ1160 AI1141:AJ1143 AI1125:AJ1126 AI1186:AJ1189 AI1204:AJ1204 AI1207:AJ1208 AI1215:AJ1221 AI1223:AJ1225">
    <cfRule type="cellIs" dxfId="1" priority="3180" operator="equal">
      <formula>"未完成"</formula>
    </cfRule>
    <cfRule type="cellIs" dxfId="0" priority="3181" operator="equal">
      <formula>"未完成"</formula>
    </cfRule>
  </conditionalFormatting>
  <conditionalFormatting sqref="AK923:AK928 AK930:AK931">
    <cfRule type="cellIs" dxfId="0" priority="3185" operator="equal">
      <formula>"欠"</formula>
    </cfRule>
  </conditionalFormatting>
  <conditionalFormatting sqref="S932:S934 S943:S945">
    <cfRule type="cellIs" dxfId="0" priority="2851" operator="equal">
      <formula>"欠"</formula>
    </cfRule>
  </conditionalFormatting>
  <conditionalFormatting sqref="T932:T935 T943:T947">
    <cfRule type="cellIs" dxfId="0" priority="2850" operator="equal">
      <formula>"欠"</formula>
    </cfRule>
  </conditionalFormatting>
  <conditionalFormatting sqref="S935 S942 S946:S947">
    <cfRule type="cellIs" dxfId="0" priority="2838" operator="equal">
      <formula>"欠"</formula>
    </cfRule>
  </conditionalFormatting>
  <conditionalFormatting sqref="AI944:AJ947">
    <cfRule type="cellIs" dxfId="1" priority="2776" operator="equal">
      <formula>"未完成"</formula>
    </cfRule>
    <cfRule type="cellIs" dxfId="0" priority="2778" operator="equal">
      <formula>"未完成"</formula>
    </cfRule>
  </conditionalFormatting>
  <conditionalFormatting sqref="R948 T948">
    <cfRule type="containsText" dxfId="2" priority="898" operator="between" text="欠">
      <formula>NOT(ISERROR(SEARCH("欠",R948)))</formula>
    </cfRule>
  </conditionalFormatting>
  <conditionalFormatting sqref="R949 T949">
    <cfRule type="containsText" dxfId="2" priority="722" operator="between" text="欠">
      <formula>NOT(ISERROR(SEARCH("欠",R949)))</formula>
    </cfRule>
  </conditionalFormatting>
  <conditionalFormatting sqref="R950 T950">
    <cfRule type="containsText" dxfId="2" priority="896" operator="between" text="欠">
      <formula>NOT(ISERROR(SEARCH("欠",R950)))</formula>
    </cfRule>
  </conditionalFormatting>
  <conditionalFormatting sqref="R951 T951">
    <cfRule type="containsText" dxfId="2" priority="895" operator="between" text="欠">
      <formula>NOT(ISERROR(SEARCH("欠",R951)))</formula>
    </cfRule>
  </conditionalFormatting>
  <conditionalFormatting sqref="R952 T952">
    <cfRule type="containsText" dxfId="2" priority="894" operator="between" text="欠">
      <formula>NOT(ISERROR(SEARCH("欠",R952)))</formula>
    </cfRule>
  </conditionalFormatting>
  <conditionalFormatting sqref="R953 T953">
    <cfRule type="containsText" dxfId="2" priority="893" operator="between" text="欠">
      <formula>NOT(ISERROR(SEARCH("欠",R953)))</formula>
    </cfRule>
  </conditionalFormatting>
  <conditionalFormatting sqref="R954 T954">
    <cfRule type="containsText" dxfId="2" priority="892" operator="between" text="欠">
      <formula>NOT(ISERROR(SEARCH("欠",R954)))</formula>
    </cfRule>
  </conditionalFormatting>
  <conditionalFormatting sqref="R955 T955">
    <cfRule type="containsText" dxfId="2" priority="891" operator="between" text="欠">
      <formula>NOT(ISERROR(SEARCH("欠",R955)))</formula>
    </cfRule>
  </conditionalFormatting>
  <conditionalFormatting sqref="R956 T956">
    <cfRule type="containsText" dxfId="2" priority="890" operator="between" text="欠">
      <formula>NOT(ISERROR(SEARCH("欠",R956)))</formula>
    </cfRule>
  </conditionalFormatting>
  <conditionalFormatting sqref="R957 T957">
    <cfRule type="containsText" dxfId="2" priority="889" operator="between" text="欠">
      <formula>NOT(ISERROR(SEARCH("欠",R957)))</formula>
    </cfRule>
  </conditionalFormatting>
  <conditionalFormatting sqref="R958 T958">
    <cfRule type="containsText" dxfId="2" priority="888" operator="between" text="欠">
      <formula>NOT(ISERROR(SEARCH("欠",R958)))</formula>
    </cfRule>
  </conditionalFormatting>
  <conditionalFormatting sqref="R959 T959">
    <cfRule type="containsText" dxfId="2" priority="887" operator="between" text="欠">
      <formula>NOT(ISERROR(SEARCH("欠",R959)))</formula>
    </cfRule>
  </conditionalFormatting>
  <conditionalFormatting sqref="R960 T960">
    <cfRule type="containsText" dxfId="2" priority="886" operator="between" text="欠">
      <formula>NOT(ISERROR(SEARCH("欠",R960)))</formula>
    </cfRule>
  </conditionalFormatting>
  <conditionalFormatting sqref="R961 T961">
    <cfRule type="containsText" dxfId="2" priority="885" operator="between" text="欠">
      <formula>NOT(ISERROR(SEARCH("欠",R961)))</formula>
    </cfRule>
  </conditionalFormatting>
  <conditionalFormatting sqref="R962 T962">
    <cfRule type="containsText" dxfId="2" priority="884" operator="between" text="欠">
      <formula>NOT(ISERROR(SEARCH("欠",R962)))</formula>
    </cfRule>
  </conditionalFormatting>
  <conditionalFormatting sqref="R963 T963">
    <cfRule type="containsText" dxfId="2" priority="883" operator="between" text="欠">
      <formula>NOT(ISERROR(SEARCH("欠",R963)))</formula>
    </cfRule>
  </conditionalFormatting>
  <conditionalFormatting sqref="R964 T964">
    <cfRule type="containsText" dxfId="2" priority="882" operator="between" text="欠">
      <formula>NOT(ISERROR(SEARCH("欠",R964)))</formula>
    </cfRule>
  </conditionalFormatting>
  <conditionalFormatting sqref="R965 T965">
    <cfRule type="containsText" dxfId="2" priority="881" operator="between" text="欠">
      <formula>NOT(ISERROR(SEARCH("欠",R965)))</formula>
    </cfRule>
  </conditionalFormatting>
  <conditionalFormatting sqref="R966 T966">
    <cfRule type="containsText" dxfId="2" priority="880" operator="between" text="欠">
      <formula>NOT(ISERROR(SEARCH("欠",R966)))</formula>
    </cfRule>
  </conditionalFormatting>
  <conditionalFormatting sqref="R967 T967">
    <cfRule type="containsText" dxfId="2" priority="879" operator="between" text="欠">
      <formula>NOT(ISERROR(SEARCH("欠",R967)))</formula>
    </cfRule>
  </conditionalFormatting>
  <conditionalFormatting sqref="R968 T968">
    <cfRule type="containsText" dxfId="2" priority="878" operator="between" text="欠">
      <formula>NOT(ISERROR(SEARCH("欠",R968)))</formula>
    </cfRule>
  </conditionalFormatting>
  <conditionalFormatting sqref="R969 T969">
    <cfRule type="containsText" dxfId="2" priority="877" operator="between" text="欠">
      <formula>NOT(ISERROR(SEARCH("欠",R969)))</formula>
    </cfRule>
  </conditionalFormatting>
  <conditionalFormatting sqref="R970 T970">
    <cfRule type="containsText" dxfId="2" priority="876" operator="between" text="欠">
      <formula>NOT(ISERROR(SEARCH("欠",R970)))</formula>
    </cfRule>
  </conditionalFormatting>
  <conditionalFormatting sqref="R971 T971">
    <cfRule type="containsText" dxfId="2" priority="875" operator="between" text="欠">
      <formula>NOT(ISERROR(SEARCH("欠",R971)))</formula>
    </cfRule>
  </conditionalFormatting>
  <conditionalFormatting sqref="R972 T972">
    <cfRule type="containsText" dxfId="2" priority="874" operator="between" text="欠">
      <formula>NOT(ISERROR(SEARCH("欠",R972)))</formula>
    </cfRule>
  </conditionalFormatting>
  <conditionalFormatting sqref="R973 T973">
    <cfRule type="containsText" dxfId="2" priority="873" operator="between" text="欠">
      <formula>NOT(ISERROR(SEARCH("欠",R973)))</formula>
    </cfRule>
  </conditionalFormatting>
  <conditionalFormatting sqref="R974 T974">
    <cfRule type="containsText" dxfId="2" priority="872" operator="between" text="欠">
      <formula>NOT(ISERROR(SEARCH("欠",R974)))</formula>
    </cfRule>
  </conditionalFormatting>
  <conditionalFormatting sqref="R975 T975">
    <cfRule type="containsText" dxfId="2" priority="871" operator="between" text="欠">
      <formula>NOT(ISERROR(SEARCH("欠",R975)))</formula>
    </cfRule>
  </conditionalFormatting>
  <conditionalFormatting sqref="R976 T976">
    <cfRule type="containsText" dxfId="2" priority="870" operator="between" text="欠">
      <formula>NOT(ISERROR(SEARCH("欠",R976)))</formula>
    </cfRule>
  </conditionalFormatting>
  <conditionalFormatting sqref="R977 T977">
    <cfRule type="containsText" dxfId="2" priority="869" operator="between" text="欠">
      <formula>NOT(ISERROR(SEARCH("欠",R977)))</formula>
    </cfRule>
  </conditionalFormatting>
  <conditionalFormatting sqref="R978 T978">
    <cfRule type="containsText" dxfId="2" priority="868" operator="between" text="欠">
      <formula>NOT(ISERROR(SEARCH("欠",R978)))</formula>
    </cfRule>
  </conditionalFormatting>
  <conditionalFormatting sqref="R979 T979">
    <cfRule type="containsText" dxfId="2" priority="867" operator="between" text="欠">
      <formula>NOT(ISERROR(SEARCH("欠",R979)))</formula>
    </cfRule>
  </conditionalFormatting>
  <conditionalFormatting sqref="R980 T980">
    <cfRule type="containsText" dxfId="2" priority="866" operator="between" text="欠">
      <formula>NOT(ISERROR(SEARCH("欠",R980)))</formula>
    </cfRule>
  </conditionalFormatting>
  <conditionalFormatting sqref="R981 T981">
    <cfRule type="containsText" dxfId="2" priority="865" operator="between" text="欠">
      <formula>NOT(ISERROR(SEARCH("欠",R981)))</formula>
    </cfRule>
  </conditionalFormatting>
  <conditionalFormatting sqref="R982 T982">
    <cfRule type="containsText" dxfId="2" priority="864" operator="between" text="欠">
      <formula>NOT(ISERROR(SEARCH("欠",R982)))</formula>
    </cfRule>
  </conditionalFormatting>
  <conditionalFormatting sqref="R983 T983">
    <cfRule type="containsText" dxfId="2" priority="863" operator="between" text="欠">
      <formula>NOT(ISERROR(SEARCH("欠",R983)))</formula>
    </cfRule>
  </conditionalFormatting>
  <conditionalFormatting sqref="R984 T984">
    <cfRule type="containsText" dxfId="2" priority="862" operator="between" text="欠">
      <formula>NOT(ISERROR(SEARCH("欠",R984)))</formula>
    </cfRule>
  </conditionalFormatting>
  <conditionalFormatting sqref="R985 T985">
    <cfRule type="containsText" dxfId="2" priority="861" operator="between" text="欠">
      <formula>NOT(ISERROR(SEARCH("欠",R985)))</formula>
    </cfRule>
  </conditionalFormatting>
  <conditionalFormatting sqref="R986 T986">
    <cfRule type="containsText" dxfId="2" priority="860" operator="between" text="欠">
      <formula>NOT(ISERROR(SEARCH("欠",R986)))</formula>
    </cfRule>
  </conditionalFormatting>
  <conditionalFormatting sqref="R987 T987">
    <cfRule type="containsText" dxfId="2" priority="859" operator="between" text="欠">
      <formula>NOT(ISERROR(SEARCH("欠",R987)))</formula>
    </cfRule>
  </conditionalFormatting>
  <conditionalFormatting sqref="R988 T988">
    <cfRule type="containsText" dxfId="2" priority="858" operator="between" text="欠">
      <formula>NOT(ISERROR(SEARCH("欠",R988)))</formula>
    </cfRule>
  </conditionalFormatting>
  <conditionalFormatting sqref="R989 T989">
    <cfRule type="containsText" dxfId="2" priority="857" operator="between" text="欠">
      <formula>NOT(ISERROR(SEARCH("欠",R989)))</formula>
    </cfRule>
  </conditionalFormatting>
  <conditionalFormatting sqref="R990 T990">
    <cfRule type="containsText" dxfId="2" priority="856" operator="between" text="欠">
      <formula>NOT(ISERROR(SEARCH("欠",R990)))</formula>
    </cfRule>
  </conditionalFormatting>
  <conditionalFormatting sqref="R991 T991">
    <cfRule type="containsText" dxfId="2" priority="855" operator="between" text="欠">
      <formula>NOT(ISERROR(SEARCH("欠",R991)))</formula>
    </cfRule>
  </conditionalFormatting>
  <conditionalFormatting sqref="R992 T992">
    <cfRule type="containsText" dxfId="2" priority="854" operator="between" text="欠">
      <formula>NOT(ISERROR(SEARCH("欠",R992)))</formula>
    </cfRule>
  </conditionalFormatting>
  <conditionalFormatting sqref="R993 T993">
    <cfRule type="containsText" dxfId="2" priority="853" operator="between" text="欠">
      <formula>NOT(ISERROR(SEARCH("欠",R993)))</formula>
    </cfRule>
  </conditionalFormatting>
  <conditionalFormatting sqref="R994 T994">
    <cfRule type="containsText" dxfId="2" priority="852" operator="between" text="欠">
      <formula>NOT(ISERROR(SEARCH("欠",R994)))</formula>
    </cfRule>
  </conditionalFormatting>
  <conditionalFormatting sqref="R995 T995">
    <cfRule type="containsText" dxfId="2" priority="851" operator="between" text="欠">
      <formula>NOT(ISERROR(SEARCH("欠",R995)))</formula>
    </cfRule>
  </conditionalFormatting>
  <conditionalFormatting sqref="R996 T996">
    <cfRule type="containsText" dxfId="2" priority="850" operator="between" text="欠">
      <formula>NOT(ISERROR(SEARCH("欠",R996)))</formula>
    </cfRule>
  </conditionalFormatting>
  <conditionalFormatting sqref="R997 T997">
    <cfRule type="containsText" dxfId="2" priority="849" operator="between" text="欠">
      <formula>NOT(ISERROR(SEARCH("欠",R997)))</formula>
    </cfRule>
  </conditionalFormatting>
  <conditionalFormatting sqref="R998 T998">
    <cfRule type="containsText" dxfId="2" priority="848" operator="between" text="欠">
      <formula>NOT(ISERROR(SEARCH("欠",R998)))</formula>
    </cfRule>
  </conditionalFormatting>
  <conditionalFormatting sqref="R999 T999">
    <cfRule type="containsText" dxfId="2" priority="847" operator="between" text="欠">
      <formula>NOT(ISERROR(SEARCH("欠",R999)))</formula>
    </cfRule>
  </conditionalFormatting>
  <conditionalFormatting sqref="R1000 T1000">
    <cfRule type="containsText" dxfId="2" priority="846" operator="between" text="欠">
      <formula>NOT(ISERROR(SEARCH("欠",R1000)))</formula>
    </cfRule>
  </conditionalFormatting>
  <conditionalFormatting sqref="R1001 T1001">
    <cfRule type="containsText" dxfId="2" priority="845" operator="between" text="欠">
      <formula>NOT(ISERROR(SEARCH("欠",R1001)))</formula>
    </cfRule>
  </conditionalFormatting>
  <conditionalFormatting sqref="R1002 T1002">
    <cfRule type="containsText" dxfId="2" priority="844" operator="between" text="欠">
      <formula>NOT(ISERROR(SEARCH("欠",R1002)))</formula>
    </cfRule>
  </conditionalFormatting>
  <conditionalFormatting sqref="R1003 T1003">
    <cfRule type="containsText" dxfId="2" priority="843" operator="between" text="欠">
      <formula>NOT(ISERROR(SEARCH("欠",R1003)))</formula>
    </cfRule>
  </conditionalFormatting>
  <conditionalFormatting sqref="R1004 T1004">
    <cfRule type="containsText" dxfId="2" priority="842" operator="between" text="欠">
      <formula>NOT(ISERROR(SEARCH("欠",R1004)))</formula>
    </cfRule>
  </conditionalFormatting>
  <conditionalFormatting sqref="R1005 T1005">
    <cfRule type="containsText" dxfId="2" priority="841" operator="between" text="欠">
      <formula>NOT(ISERROR(SEARCH("欠",R1005)))</formula>
    </cfRule>
  </conditionalFormatting>
  <conditionalFormatting sqref="R1006 T1006">
    <cfRule type="containsText" dxfId="2" priority="840" operator="between" text="欠">
      <formula>NOT(ISERROR(SEARCH("欠",R1006)))</formula>
    </cfRule>
  </conditionalFormatting>
  <conditionalFormatting sqref="R1007 T1007">
    <cfRule type="containsText" dxfId="2" priority="839" operator="between" text="欠">
      <formula>NOT(ISERROR(SEARCH("欠",R1007)))</formula>
    </cfRule>
  </conditionalFormatting>
  <conditionalFormatting sqref="R1008 T1008">
    <cfRule type="containsText" dxfId="2" priority="838" operator="between" text="欠">
      <formula>NOT(ISERROR(SEARCH("欠",R1008)))</formula>
    </cfRule>
  </conditionalFormatting>
  <conditionalFormatting sqref="R1009 T1009">
    <cfRule type="containsText" dxfId="2" priority="837" operator="between" text="欠">
      <formula>NOT(ISERROR(SEARCH("欠",R1009)))</formula>
    </cfRule>
  </conditionalFormatting>
  <conditionalFormatting sqref="R1010 T1010">
    <cfRule type="containsText" dxfId="2" priority="836" operator="between" text="欠">
      <formula>NOT(ISERROR(SEARCH("欠",R1010)))</formula>
    </cfRule>
  </conditionalFormatting>
  <conditionalFormatting sqref="R1011 T1011">
    <cfRule type="containsText" dxfId="2" priority="835" operator="between" text="欠">
      <formula>NOT(ISERROR(SEARCH("欠",R1011)))</formula>
    </cfRule>
  </conditionalFormatting>
  <conditionalFormatting sqref="R1012 T1012">
    <cfRule type="containsText" dxfId="2" priority="834" operator="between" text="欠">
      <formula>NOT(ISERROR(SEARCH("欠",R1012)))</formula>
    </cfRule>
  </conditionalFormatting>
  <conditionalFormatting sqref="R1013 T1013">
    <cfRule type="containsText" dxfId="2" priority="833" operator="between" text="欠">
      <formula>NOT(ISERROR(SEARCH("欠",R1013)))</formula>
    </cfRule>
  </conditionalFormatting>
  <conditionalFormatting sqref="R1014 T1014">
    <cfRule type="containsText" dxfId="2" priority="832" operator="between" text="欠">
      <formula>NOT(ISERROR(SEARCH("欠",R1014)))</formula>
    </cfRule>
  </conditionalFormatting>
  <conditionalFormatting sqref="R1015 T1015">
    <cfRule type="containsText" dxfId="2" priority="831" operator="between" text="欠">
      <formula>NOT(ISERROR(SEARCH("欠",R1015)))</formula>
    </cfRule>
  </conditionalFormatting>
  <conditionalFormatting sqref="R1016 T1016">
    <cfRule type="containsText" dxfId="2" priority="830" operator="between" text="欠">
      <formula>NOT(ISERROR(SEARCH("欠",R1016)))</formula>
    </cfRule>
  </conditionalFormatting>
  <conditionalFormatting sqref="R1017 T1017">
    <cfRule type="containsText" dxfId="2" priority="829" operator="between" text="欠">
      <formula>NOT(ISERROR(SEARCH("欠",R1017)))</formula>
    </cfRule>
  </conditionalFormatting>
  <conditionalFormatting sqref="R1018 T1018">
    <cfRule type="containsText" dxfId="2" priority="828" operator="between" text="欠">
      <formula>NOT(ISERROR(SEARCH("欠",R1018)))</formula>
    </cfRule>
  </conditionalFormatting>
  <conditionalFormatting sqref="R1019 T1019">
    <cfRule type="containsText" dxfId="2" priority="304" operator="between" text="欠">
      <formula>NOT(ISERROR(SEARCH("欠",R1019)))</formula>
    </cfRule>
  </conditionalFormatting>
  <conditionalFormatting sqref="R1020 T1020">
    <cfRule type="containsText" dxfId="2" priority="303" operator="between" text="欠">
      <formula>NOT(ISERROR(SEARCH("欠",R1020)))</formula>
    </cfRule>
  </conditionalFormatting>
  <conditionalFormatting sqref="R1021 T1021">
    <cfRule type="containsText" dxfId="2" priority="302" operator="between" text="欠">
      <formula>NOT(ISERROR(SEARCH("欠",R1021)))</formula>
    </cfRule>
  </conditionalFormatting>
  <conditionalFormatting sqref="R1022 T1022">
    <cfRule type="containsText" dxfId="2" priority="301" operator="between" text="欠">
      <formula>NOT(ISERROR(SEARCH("欠",R1022)))</formula>
    </cfRule>
  </conditionalFormatting>
  <conditionalFormatting sqref="R1023 T1023">
    <cfRule type="containsText" dxfId="2" priority="300" operator="between" text="欠">
      <formula>NOT(ISERROR(SEARCH("欠",R1023)))</formula>
    </cfRule>
  </conditionalFormatting>
  <conditionalFormatting sqref="R1024 T1024">
    <cfRule type="containsText" dxfId="2" priority="299" operator="between" text="欠">
      <formula>NOT(ISERROR(SEARCH("欠",R1024)))</formula>
    </cfRule>
  </conditionalFormatting>
  <conditionalFormatting sqref="R1025 T1025">
    <cfRule type="containsText" dxfId="2" priority="298" operator="between" text="欠">
      <formula>NOT(ISERROR(SEARCH("欠",R1025)))</formula>
    </cfRule>
  </conditionalFormatting>
  <conditionalFormatting sqref="R1026 T1026">
    <cfRule type="containsText" dxfId="2" priority="297" operator="between" text="欠">
      <formula>NOT(ISERROR(SEARCH("欠",R1026)))</formula>
    </cfRule>
  </conditionalFormatting>
  <conditionalFormatting sqref="R1027 T1027">
    <cfRule type="containsText" dxfId="2" priority="296" operator="between" text="欠">
      <formula>NOT(ISERROR(SEARCH("欠",R1027)))</formula>
    </cfRule>
  </conditionalFormatting>
  <conditionalFormatting sqref="R1028 T1028">
    <cfRule type="containsText" dxfId="2" priority="295" operator="between" text="欠">
      <formula>NOT(ISERROR(SEARCH("欠",R1028)))</formula>
    </cfRule>
  </conditionalFormatting>
  <conditionalFormatting sqref="R1029 T1029">
    <cfRule type="containsText" dxfId="2" priority="294" operator="between" text="欠">
      <formula>NOT(ISERROR(SEARCH("欠",R1029)))</formula>
    </cfRule>
  </conditionalFormatting>
  <conditionalFormatting sqref="R1030 T1030">
    <cfRule type="containsText" dxfId="2" priority="293" operator="between" text="欠">
      <formula>NOT(ISERROR(SEARCH("欠",R1030)))</formula>
    </cfRule>
  </conditionalFormatting>
  <conditionalFormatting sqref="R1031 T1031">
    <cfRule type="containsText" dxfId="2" priority="292" operator="between" text="欠">
      <formula>NOT(ISERROR(SEARCH("欠",R1031)))</formula>
    </cfRule>
  </conditionalFormatting>
  <conditionalFormatting sqref="R1032 T1032">
    <cfRule type="containsText" dxfId="2" priority="291" operator="between" text="欠">
      <formula>NOT(ISERROR(SEARCH("欠",R1032)))</formula>
    </cfRule>
  </conditionalFormatting>
  <conditionalFormatting sqref="R1033 T1033">
    <cfRule type="containsText" dxfId="2" priority="290" operator="between" text="欠">
      <formula>NOT(ISERROR(SEARCH("欠",R1033)))</formula>
    </cfRule>
  </conditionalFormatting>
  <conditionalFormatting sqref="R1034 T1034">
    <cfRule type="containsText" dxfId="2" priority="289" operator="between" text="欠">
      <formula>NOT(ISERROR(SEARCH("欠",R1034)))</formula>
    </cfRule>
  </conditionalFormatting>
  <conditionalFormatting sqref="R1035 T1035">
    <cfRule type="containsText" dxfId="2" priority="288" operator="between" text="欠">
      <formula>NOT(ISERROR(SEARCH("欠",R1035)))</formula>
    </cfRule>
  </conditionalFormatting>
  <conditionalFormatting sqref="R1036 T1036">
    <cfRule type="containsText" dxfId="2" priority="287" operator="between" text="欠">
      <formula>NOT(ISERROR(SEARCH("欠",R1036)))</formula>
    </cfRule>
  </conditionalFormatting>
  <conditionalFormatting sqref="R1037 T1037">
    <cfRule type="containsText" dxfId="2" priority="286" operator="between" text="欠">
      <formula>NOT(ISERROR(SEARCH("欠",R1037)))</formula>
    </cfRule>
  </conditionalFormatting>
  <conditionalFormatting sqref="R1038 T1038">
    <cfRule type="containsText" dxfId="2" priority="285" operator="between" text="欠">
      <formula>NOT(ISERROR(SEARCH("欠",R1038)))</formula>
    </cfRule>
  </conditionalFormatting>
  <conditionalFormatting sqref="R1039 T1039">
    <cfRule type="containsText" dxfId="2" priority="284" operator="between" text="欠">
      <formula>NOT(ISERROR(SEARCH("欠",R1039)))</formula>
    </cfRule>
  </conditionalFormatting>
  <conditionalFormatting sqref="R1040 T1040">
    <cfRule type="containsText" dxfId="2" priority="283" operator="between" text="欠">
      <formula>NOT(ISERROR(SEARCH("欠",R1040)))</formula>
    </cfRule>
  </conditionalFormatting>
  <conditionalFormatting sqref="R1041 T1041">
    <cfRule type="containsText" dxfId="2" priority="282" operator="between" text="欠">
      <formula>NOT(ISERROR(SEARCH("欠",R1041)))</formula>
    </cfRule>
  </conditionalFormatting>
  <conditionalFormatting sqref="R1042 T1042">
    <cfRule type="containsText" dxfId="2" priority="281" operator="between" text="欠">
      <formula>NOT(ISERROR(SEARCH("欠",R1042)))</formula>
    </cfRule>
  </conditionalFormatting>
  <conditionalFormatting sqref="R1043 T1043">
    <cfRule type="containsText" dxfId="2" priority="280" operator="between" text="欠">
      <formula>NOT(ISERROR(SEARCH("欠",R1043)))</formula>
    </cfRule>
  </conditionalFormatting>
  <conditionalFormatting sqref="R1044 T1044">
    <cfRule type="containsText" dxfId="2" priority="279" operator="between" text="欠">
      <formula>NOT(ISERROR(SEARCH("欠",R1044)))</formula>
    </cfRule>
  </conditionalFormatting>
  <conditionalFormatting sqref="R1045 T1045">
    <cfRule type="containsText" dxfId="2" priority="278" operator="between" text="欠">
      <formula>NOT(ISERROR(SEARCH("欠",R1045)))</formula>
    </cfRule>
  </conditionalFormatting>
  <conditionalFormatting sqref="R1046 T1046">
    <cfRule type="containsText" dxfId="2" priority="277" operator="between" text="欠">
      <formula>NOT(ISERROR(SEARCH("欠",R1046)))</formula>
    </cfRule>
  </conditionalFormatting>
  <conditionalFormatting sqref="R1047 T1047">
    <cfRule type="containsText" dxfId="2" priority="276" operator="between" text="欠">
      <formula>NOT(ISERROR(SEARCH("欠",R1047)))</formula>
    </cfRule>
  </conditionalFormatting>
  <conditionalFormatting sqref="R1048 T1048">
    <cfRule type="containsText" dxfId="2" priority="275" operator="between" text="欠">
      <formula>NOT(ISERROR(SEARCH("欠",R1048)))</formula>
    </cfRule>
  </conditionalFormatting>
  <conditionalFormatting sqref="R1049 T1049">
    <cfRule type="containsText" dxfId="2" priority="274" operator="between" text="欠">
      <formula>NOT(ISERROR(SEARCH("欠",R1049)))</formula>
    </cfRule>
  </conditionalFormatting>
  <conditionalFormatting sqref="R1050 T1050">
    <cfRule type="containsText" dxfId="2" priority="273" operator="between" text="欠">
      <formula>NOT(ISERROR(SEARCH("欠",R1050)))</formula>
    </cfRule>
  </conditionalFormatting>
  <conditionalFormatting sqref="R1051 T1051">
    <cfRule type="containsText" dxfId="2" priority="272" operator="between" text="欠">
      <formula>NOT(ISERROR(SEARCH("欠",R1051)))</formula>
    </cfRule>
  </conditionalFormatting>
  <conditionalFormatting sqref="R1052 T1052">
    <cfRule type="containsText" dxfId="2" priority="271" operator="between" text="欠">
      <formula>NOT(ISERROR(SEARCH("欠",R1052)))</formula>
    </cfRule>
  </conditionalFormatting>
  <conditionalFormatting sqref="R1053 T1053">
    <cfRule type="containsText" dxfId="2" priority="270" operator="between" text="欠">
      <formula>NOT(ISERROR(SEARCH("欠",R1053)))</formula>
    </cfRule>
  </conditionalFormatting>
  <conditionalFormatting sqref="R1054 T1054">
    <cfRule type="containsText" dxfId="2" priority="269" operator="between" text="欠">
      <formula>NOT(ISERROR(SEARCH("欠",R1054)))</formula>
    </cfRule>
  </conditionalFormatting>
  <conditionalFormatting sqref="R1055 T1055">
    <cfRule type="containsText" dxfId="2" priority="268" operator="between" text="欠">
      <formula>NOT(ISERROR(SEARCH("欠",R1055)))</formula>
    </cfRule>
  </conditionalFormatting>
  <conditionalFormatting sqref="R1056 T1056">
    <cfRule type="containsText" dxfId="2" priority="267" operator="between" text="欠">
      <formula>NOT(ISERROR(SEARCH("欠",R1056)))</formula>
    </cfRule>
  </conditionalFormatting>
  <conditionalFormatting sqref="R1057 R1088:R1090">
    <cfRule type="containsText" dxfId="2" priority="2875" operator="between" text="欠">
      <formula>NOT(ISERROR(SEARCH("欠",R1057)))</formula>
    </cfRule>
    <cfRule type="cellIs" dxfId="0" priority="2877" operator="equal">
      <formula>"欠"</formula>
    </cfRule>
  </conditionalFormatting>
  <conditionalFormatting sqref="Q1058 Q1069">
    <cfRule type="cellIs" dxfId="0" priority="1601" operator="equal">
      <formula>"欠"</formula>
    </cfRule>
  </conditionalFormatting>
  <conditionalFormatting sqref="R1058:R1059 R1069">
    <cfRule type="containsText" dxfId="2" priority="1971" operator="between" text="欠">
      <formula>NOT(ISERROR(SEARCH("欠",R1058)))</formula>
    </cfRule>
    <cfRule type="cellIs" dxfId="0" priority="1972" operator="equal">
      <formula>"欠"</formula>
    </cfRule>
  </conditionalFormatting>
  <conditionalFormatting sqref="S1058 S1062 S1069">
    <cfRule type="cellIs" dxfId="0" priority="1967" operator="equal">
      <formula>"欠"</formula>
    </cfRule>
  </conditionalFormatting>
  <conditionalFormatting sqref="T1058 T1069">
    <cfRule type="cellIs" dxfId="0" priority="1966" operator="equal">
      <formula>"欠"</formula>
    </cfRule>
  </conditionalFormatting>
  <conditionalFormatting sqref="AI1058:AJ1059">
    <cfRule type="cellIs" dxfId="1" priority="2006" operator="equal">
      <formula>"未完成"</formula>
    </cfRule>
    <cfRule type="cellIs" dxfId="0" priority="2007" operator="equal">
      <formula>"未完成"</formula>
    </cfRule>
  </conditionalFormatting>
  <conditionalFormatting sqref="S1059 S1087 S1112 S1176:S1177">
    <cfRule type="cellIs" dxfId="0" priority="1990" operator="equal">
      <formula>"欠"</formula>
    </cfRule>
  </conditionalFormatting>
  <conditionalFormatting sqref="AI1060:AJ1062">
    <cfRule type="cellIs" dxfId="1" priority="1916" operator="equal">
      <formula>"未完成"</formula>
    </cfRule>
    <cfRule type="cellIs" dxfId="0" priority="1917" operator="equal">
      <formula>"未完成"</formula>
    </cfRule>
  </conditionalFormatting>
  <conditionalFormatting sqref="S1061 S1110 S1113">
    <cfRule type="cellIs" dxfId="0" priority="2852" operator="equal">
      <formula>"欠"</formula>
    </cfRule>
  </conditionalFormatting>
  <conditionalFormatting sqref="T1063 T1114 T1158">
    <cfRule type="containsText" dxfId="2" priority="1825" operator="between" text="欠">
      <formula>NOT(ISERROR(SEARCH("欠",T1063)))</formula>
    </cfRule>
    <cfRule type="cellIs" dxfId="0" priority="1830" operator="equal">
      <formula>"欠"</formula>
    </cfRule>
  </conditionalFormatting>
  <conditionalFormatting sqref="U1063 U1114">
    <cfRule type="cellIs" dxfId="0" priority="1822" operator="equal">
      <formula>"欠"</formula>
    </cfRule>
  </conditionalFormatting>
  <conditionalFormatting sqref="AI1063:AJ1063 AI1114:AJ1114">
    <cfRule type="cellIs" dxfId="1" priority="1823" operator="equal">
      <formula>"未完成"</formula>
    </cfRule>
    <cfRule type="cellIs" dxfId="0" priority="1824" operator="equal">
      <formula>"未完成"</formula>
    </cfRule>
  </conditionalFormatting>
  <conditionalFormatting sqref="S1064:S1067 S1077:S1080 S1103">
    <cfRule type="cellIs" dxfId="0" priority="1877" operator="equal">
      <formula>"欠"</formula>
    </cfRule>
  </conditionalFormatting>
  <conditionalFormatting sqref="AI1066:AJ1069 AI1078:AJ1080">
    <cfRule type="cellIs" dxfId="1" priority="1818" operator="equal">
      <formula>"未完成"</formula>
    </cfRule>
    <cfRule type="cellIs" dxfId="0" priority="1819" operator="equal">
      <formula>"未完成"</formula>
    </cfRule>
  </conditionalFormatting>
  <conditionalFormatting sqref="AK1066:AK1069 AK1078:AK1080">
    <cfRule type="cellIs" dxfId="0" priority="1816" operator="equal">
      <formula>"欠"</formula>
    </cfRule>
  </conditionalFormatting>
  <conditionalFormatting sqref="R1070 R1120">
    <cfRule type="containsText" dxfId="2" priority="1893" operator="between" text="欠">
      <formula>NOT(ISERROR(SEARCH("欠",R1070)))</formula>
    </cfRule>
  </conditionalFormatting>
  <conditionalFormatting sqref="R1070:S1070 R1120">
    <cfRule type="cellIs" dxfId="0" priority="1896" operator="equal">
      <formula>"欠"</formula>
    </cfRule>
  </conditionalFormatting>
  <conditionalFormatting sqref="U1070 U1120">
    <cfRule type="cellIs" dxfId="0" priority="1889" operator="equal">
      <formula>"欠"</formula>
    </cfRule>
  </conditionalFormatting>
  <conditionalFormatting sqref="AI1070:AJ1070 AI1120:AJ1120">
    <cfRule type="cellIs" dxfId="1" priority="1890" operator="equal">
      <formula>"未完成"</formula>
    </cfRule>
    <cfRule type="cellIs" dxfId="0" priority="1891" operator="equal">
      <formula>"未完成"</formula>
    </cfRule>
  </conditionalFormatting>
  <conditionalFormatting sqref="S1071:S1073 S1083:S1084 S1091 S1093 S1159 S1140 S1125 S1185 S1201:S1202 S1220 S1227 S1225">
    <cfRule type="cellIs" dxfId="0" priority="3003" operator="equal">
      <formula>"欠"</formula>
    </cfRule>
  </conditionalFormatting>
  <conditionalFormatting sqref="R1073 R1086 R1091 R1093">
    <cfRule type="containsText" dxfId="2" priority="2431" operator="between" text="欠">
      <formula>NOT(ISERROR(SEARCH("欠",R1073)))</formula>
    </cfRule>
    <cfRule type="cellIs" dxfId="0" priority="2433" operator="equal">
      <formula>"欠"</formula>
    </cfRule>
  </conditionalFormatting>
  <conditionalFormatting sqref="T1073 T1091 T1093">
    <cfRule type="containsText" dxfId="2" priority="2434" operator="between" text="欠">
      <formula>NOT(ISERROR(SEARCH("欠",T1073)))</formula>
    </cfRule>
    <cfRule type="cellIs" dxfId="0" priority="2437" operator="equal">
      <formula>"欠"</formula>
    </cfRule>
  </conditionalFormatting>
  <conditionalFormatting sqref="R1074 R1083:R1084 R1087 R1105">
    <cfRule type="containsText" dxfId="2" priority="1764" operator="between" text="欠">
      <formula>NOT(ISERROR(SEARCH("欠",R1074)))</formula>
    </cfRule>
    <cfRule type="cellIs" dxfId="0" priority="1765" operator="equal">
      <formula>"欠"</formula>
    </cfRule>
  </conditionalFormatting>
  <conditionalFormatting sqref="U1074 U1083:U1084 U1087 U1105 U1110">
    <cfRule type="cellIs" dxfId="0" priority="1760" operator="equal">
      <formula>"欠"</formula>
    </cfRule>
  </conditionalFormatting>
  <conditionalFormatting sqref="AI1074:AJ1074 AI1083:AJ1084 AI1087:AJ1087 AI1105:AJ1105 AI1110:AJ1110">
    <cfRule type="cellIs" dxfId="1" priority="1758" operator="equal">
      <formula>"未完成"</formula>
    </cfRule>
    <cfRule type="cellIs" dxfId="0" priority="1759" operator="equal">
      <formula>"未完成"</formula>
    </cfRule>
  </conditionalFormatting>
  <conditionalFormatting sqref="R1075:R1076 R1081">
    <cfRule type="containsText" dxfId="2" priority="1739" operator="between" text="欠">
      <formula>NOT(ISERROR(SEARCH("欠",R1075)))</formula>
    </cfRule>
    <cfRule type="cellIs" dxfId="0" priority="1740" operator="equal">
      <formula>"欠"</formula>
    </cfRule>
  </conditionalFormatting>
  <conditionalFormatting sqref="U1081 U1075:U1076 U1158">
    <cfRule type="cellIs" dxfId="0" priority="1743" operator="equal">
      <formula>"欠"</formula>
    </cfRule>
  </conditionalFormatting>
  <conditionalFormatting sqref="AI1081:AJ1081 AI1075:AJ1076 AI1158:AJ1158">
    <cfRule type="cellIs" dxfId="1" priority="1744" operator="equal">
      <formula>"未完成"</formula>
    </cfRule>
    <cfRule type="cellIs" dxfId="0" priority="1745" operator="equal">
      <formula>"未完成"</formula>
    </cfRule>
  </conditionalFormatting>
  <conditionalFormatting sqref="AK1081 AK1114 AK1122:AK1124 AK1158 AK1151 AK1179">
    <cfRule type="cellIs" dxfId="0" priority="1832" operator="equal">
      <formula>"欠"</formula>
    </cfRule>
  </conditionalFormatting>
  <conditionalFormatting sqref="S1082 S1127">
    <cfRule type="cellIs" dxfId="0" priority="1922" operator="equal">
      <formula>"欠"</formula>
    </cfRule>
  </conditionalFormatting>
  <conditionalFormatting sqref="T1082 T1127">
    <cfRule type="cellIs" dxfId="0" priority="1921" operator="equal">
      <formula>"欠"</formula>
    </cfRule>
  </conditionalFormatting>
  <conditionalFormatting sqref="AK1082 AK1088:AK1090">
    <cfRule type="cellIs" dxfId="0" priority="1957" operator="equal">
      <formula>"欠"</formula>
    </cfRule>
  </conditionalFormatting>
  <conditionalFormatting sqref="T1110 T1105 T1083:T1084 T1087">
    <cfRule type="cellIs" dxfId="0" priority="1762" operator="equal">
      <formula>"欠"</formula>
    </cfRule>
  </conditionalFormatting>
  <conditionalFormatting sqref="S1086:T1086 S1092:T1092">
    <cfRule type="cellIs" dxfId="0" priority="2837" operator="equal">
      <formula>"欠"</formula>
    </cfRule>
  </conditionalFormatting>
  <conditionalFormatting sqref="T1086 T1092">
    <cfRule type="containsText" dxfId="2" priority="2836" operator="between" text="欠">
      <formula>NOT(ISERROR(SEARCH("欠",T1086)))</formula>
    </cfRule>
  </conditionalFormatting>
  <conditionalFormatting sqref="AI1088:AJ1090">
    <cfRule type="cellIs" dxfId="1" priority="1949" operator="equal">
      <formula>"未完成"</formula>
    </cfRule>
    <cfRule type="cellIs" dxfId="0" priority="1950" operator="equal">
      <formula>"未完成"</formula>
    </cfRule>
  </conditionalFormatting>
  <conditionalFormatting sqref="AI1091:AJ1092">
    <cfRule type="cellIs" dxfId="1" priority="2611" operator="equal">
      <formula>"未完成"</formula>
    </cfRule>
    <cfRule type="cellIs" dxfId="0" priority="2612" operator="equal">
      <formula>"未完成"</formula>
    </cfRule>
  </conditionalFormatting>
  <conditionalFormatting sqref="AK1092 AK1160 AK1139 AK1126 AK1184 AK1226 AK1228 AK1221">
    <cfRule type="cellIs" dxfId="0" priority="2449" operator="equal">
      <formula>"欠"</formula>
    </cfRule>
  </conditionalFormatting>
  <conditionalFormatting sqref="AK1093 AK1159 AK1140 AK1125 AK1185 AK1225 AK1227 AK1220">
    <cfRule type="cellIs" dxfId="0" priority="2596" operator="equal">
      <formula>"欠"</formula>
    </cfRule>
  </conditionalFormatting>
  <conditionalFormatting sqref="AI1095:AJ1098">
    <cfRule type="cellIs" dxfId="1" priority="2066" operator="equal">
      <formula>"未完成"</formula>
    </cfRule>
    <cfRule type="cellIs" dxfId="0" priority="2067" operator="equal">
      <formula>"未完成"</formula>
    </cfRule>
  </conditionalFormatting>
  <conditionalFormatting sqref="AI1101:AJ1103">
    <cfRule type="cellIs" dxfId="1" priority="1881" operator="equal">
      <formula>"未完成"</formula>
    </cfRule>
    <cfRule type="cellIs" dxfId="0" priority="1882" operator="equal">
      <formula>"未完成"</formula>
    </cfRule>
  </conditionalFormatting>
  <conditionalFormatting sqref="R1114 R1158">
    <cfRule type="containsText" dxfId="2" priority="1709" operator="between" text="欠">
      <formula>NOT(ISERROR(SEARCH("欠",R1114)))</formula>
    </cfRule>
    <cfRule type="cellIs" dxfId="0" priority="1710" operator="equal">
      <formula>"欠"</formula>
    </cfRule>
  </conditionalFormatting>
  <conditionalFormatting sqref="S1114 S1158">
    <cfRule type="cellIs" dxfId="0" priority="1711" operator="equal">
      <formula>"欠"</formula>
    </cfRule>
  </conditionalFormatting>
  <conditionalFormatting sqref="S1115:S1117 S1153">
    <cfRule type="containsText" dxfId="2" priority="1590" operator="between" text="欠">
      <formula>NOT(ISERROR(SEARCH("欠",S1115)))</formula>
    </cfRule>
    <cfRule type="cellIs" dxfId="0" priority="1594" operator="equal">
      <formula>"欠"</formula>
    </cfRule>
  </conditionalFormatting>
  <conditionalFormatting sqref="R1122:R1123 R1179">
    <cfRule type="containsText" dxfId="2" priority="1612" operator="between" text="欠">
      <formula>NOT(ISERROR(SEARCH("欠",R1122)))</formula>
    </cfRule>
  </conditionalFormatting>
  <conditionalFormatting sqref="R1122:S1123 R1179:S1179">
    <cfRule type="cellIs" dxfId="0" priority="1613" operator="equal">
      <formula>"欠"</formula>
    </cfRule>
  </conditionalFormatting>
  <conditionalFormatting sqref="T1122:T1123 T1179">
    <cfRule type="containsText" dxfId="2" priority="1607" operator="between" text="欠">
      <formula>NOT(ISERROR(SEARCH("欠",T1122)))</formula>
    </cfRule>
    <cfRule type="cellIs" dxfId="0" priority="1608" operator="equal">
      <formula>"欠"</formula>
    </cfRule>
  </conditionalFormatting>
  <conditionalFormatting sqref="U1122:U1124 U1179">
    <cfRule type="cellIs" dxfId="0" priority="1609" operator="equal">
      <formula>"欠"</formula>
    </cfRule>
  </conditionalFormatting>
  <conditionalFormatting sqref="AI1122:AJ1124 AI1179:AJ1179">
    <cfRule type="cellIs" dxfId="1" priority="1610" operator="equal">
      <formula>"未完成"</formula>
    </cfRule>
    <cfRule type="cellIs" dxfId="0" priority="1611" operator="equal">
      <formula>"未完成"</formula>
    </cfRule>
  </conditionalFormatting>
  <conditionalFormatting sqref="R1160 R1139 R1126 R1184 R1226 R1221 R1228:R1229">
    <cfRule type="containsText" dxfId="2" priority="1962" operator="between" text="欠">
      <formula>NOT(ISERROR(SEARCH("欠",R1126)))</formula>
    </cfRule>
    <cfRule type="cellIs" dxfId="0" priority="1963" operator="equal">
      <formula>"欠"</formula>
    </cfRule>
  </conditionalFormatting>
  <conditionalFormatting sqref="S1160:T1160 S1139:T1139 S1126:T1126 S1184:T1184 S1226:T1226 S1221:T1221 S1228:T1229">
    <cfRule type="cellIs" dxfId="0" priority="1965" operator="equal">
      <formula>"欠"</formula>
    </cfRule>
  </conditionalFormatting>
  <conditionalFormatting sqref="T1160 T1139 T1126 T1184 T1226 T1221 T1228:T1229">
    <cfRule type="containsText" dxfId="2" priority="1964" operator="between" text="欠">
      <formula>NOT(ISERROR(SEARCH("欠",T1126)))</formula>
    </cfRule>
  </conditionalFormatting>
  <conditionalFormatting sqref="R1137:R1138 R1129:R1130">
    <cfRule type="cellIs" dxfId="0" priority="815" operator="equal">
      <formula>"欠"</formula>
    </cfRule>
  </conditionalFormatting>
  <conditionalFormatting sqref="T1137:T1138 R1129:R1130 T1129:T1130 R1137:R1138">
    <cfRule type="containsText" dxfId="2" priority="806" operator="between" text="欠">
      <formula>NOT(ISERROR(SEARCH("欠",R1129)))</formula>
    </cfRule>
  </conditionalFormatting>
  <conditionalFormatting sqref="S1137:S1138 S1129:S1130">
    <cfRule type="containsText" dxfId="2" priority="807" operator="between" text="欠">
      <formula>NOT(ISERROR(SEARCH("欠",S1129)))</formula>
    </cfRule>
    <cfRule type="cellIs" dxfId="0" priority="810" operator="equal">
      <formula>"欠"</formula>
    </cfRule>
  </conditionalFormatting>
  <conditionalFormatting sqref="T1137:T1138 T1129:T1130">
    <cfRule type="cellIs" dxfId="0" priority="816" operator="equal">
      <formula>"欠"</formula>
    </cfRule>
  </conditionalFormatting>
  <conditionalFormatting sqref="AG1129:AG1130 AG1137:AG1138">
    <cfRule type="cellIs" dxfId="0" priority="721" operator="equal">
      <formula>"未完成"</formula>
    </cfRule>
  </conditionalFormatting>
  <conditionalFormatting sqref="R1135 T1135 R1136 T1136">
    <cfRule type="containsText" dxfId="2" priority="787" operator="between" text="欠">
      <formula>NOT(ISERROR(SEARCH("欠",R1135)))</formula>
    </cfRule>
  </conditionalFormatting>
  <conditionalFormatting sqref="U1136 U1138">
    <cfRule type="cellIs" dxfId="0" priority="792" operator="equal">
      <formula>"欠"</formula>
    </cfRule>
  </conditionalFormatting>
  <conditionalFormatting sqref="AG1136 AG1152 AG1182 AG1192">
    <cfRule type="cellIs" dxfId="0" priority="804" operator="equal">
      <formula>"未完成"</formula>
    </cfRule>
  </conditionalFormatting>
  <conditionalFormatting sqref="AI1136:AJ1136 AI1138:AJ1138">
    <cfRule type="cellIs" dxfId="1" priority="794" operator="equal">
      <formula>"未完成"</formula>
    </cfRule>
    <cfRule type="cellIs" dxfId="0" priority="796" operator="equal">
      <formula>"未完成"</formula>
    </cfRule>
  </conditionalFormatting>
  <conditionalFormatting sqref="AK1136 AK1138">
    <cfRule type="cellIs" dxfId="0" priority="798" operator="equal">
      <formula>"欠"</formula>
    </cfRule>
  </conditionalFormatting>
  <conditionalFormatting sqref="AI1139:AJ1140">
    <cfRule type="cellIs" dxfId="1" priority="1995" operator="equal">
      <formula>"未完成"</formula>
    </cfRule>
    <cfRule type="cellIs" dxfId="0" priority="1996" operator="equal">
      <formula>"未完成"</formula>
    </cfRule>
  </conditionalFormatting>
  <conditionalFormatting sqref="R1144:R1145 R1153:R1154 R1147:R1151">
    <cfRule type="containsText" dxfId="2" priority="1552" operator="between" text="欠">
      <formula>NOT(ISERROR(SEARCH("欠",R1144)))</formula>
    </cfRule>
    <cfRule type="cellIs" dxfId="0" priority="1553" operator="equal">
      <formula>"欠"</formula>
    </cfRule>
  </conditionalFormatting>
  <conditionalFormatting sqref="S1144:S1145 S1154 S1147:S1151">
    <cfRule type="cellIs" dxfId="0" priority="1554" operator="equal">
      <formula>"欠"</formula>
    </cfRule>
  </conditionalFormatting>
  <conditionalFormatting sqref="T1144:T1145 T1153:T1154 T1147:T1151">
    <cfRule type="containsText" dxfId="2" priority="1555" operator="between" text="欠">
      <formula>NOT(ISERROR(SEARCH("欠",T1144)))</formula>
    </cfRule>
    <cfRule type="cellIs" dxfId="0" priority="1560" operator="equal">
      <formula>"欠"</formula>
    </cfRule>
  </conditionalFormatting>
  <conditionalFormatting sqref="U1144:U1145 U1153:U1154 U1147:U1151">
    <cfRule type="cellIs" dxfId="0" priority="1548" operator="equal">
      <formula>"欠"</formula>
    </cfRule>
  </conditionalFormatting>
  <conditionalFormatting sqref="AI1144:AJ1145">
    <cfRule type="cellIs" dxfId="1" priority="1549" operator="equal">
      <formula>"未完成"</formula>
    </cfRule>
    <cfRule type="cellIs" dxfId="0" priority="1550" operator="equal">
      <formula>"未完成"</formula>
    </cfRule>
  </conditionalFormatting>
  <conditionalFormatting sqref="AK1144:AK1145 AK1153:AK1154 AK1147:AK1150">
    <cfRule type="cellIs" dxfId="0" priority="1551" operator="equal">
      <formula>"欠"</formula>
    </cfRule>
  </conditionalFormatting>
  <conditionalFormatting sqref="AI1146:AJ1151 AI1153:AJ1154">
    <cfRule type="cellIs" dxfId="1" priority="1543" operator="equal">
      <formula>"未完成"</formula>
    </cfRule>
    <cfRule type="cellIs" dxfId="0" priority="1544" operator="equal">
      <formula>"未完成"</formula>
    </cfRule>
  </conditionalFormatting>
  <conditionalFormatting sqref="R1152 T1152">
    <cfRule type="containsText" dxfId="2" priority="672" operator="between" text="欠">
      <formula>NOT(ISERROR(SEARCH("欠",R1152)))</formula>
    </cfRule>
  </conditionalFormatting>
  <conditionalFormatting sqref="R1155:R1156 T1155:T1156">
    <cfRule type="containsText" dxfId="2" priority="235" operator="between" text="欠">
      <formula>NOT(ISERROR(SEARCH("欠",R1155)))</formula>
    </cfRule>
  </conditionalFormatting>
  <conditionalFormatting sqref="AI1155:AJ1156">
    <cfRule type="cellIs" dxfId="1" priority="239" operator="equal">
      <formula>"未完成"</formula>
    </cfRule>
    <cfRule type="cellIs" dxfId="0" priority="240" operator="equal">
      <formula>"未完成"</formula>
    </cfRule>
  </conditionalFormatting>
  <conditionalFormatting sqref="R1157 T1157">
    <cfRule type="containsText" dxfId="2" priority="186" operator="between" text="欠">
      <formula>NOT(ISERROR(SEARCH("欠",R1157)))</formula>
    </cfRule>
  </conditionalFormatting>
  <conditionalFormatting sqref="R1161:R1163 R1168:R1169">
    <cfRule type="containsText" dxfId="2" priority="737" operator="between" text="欠">
      <formula>NOT(ISERROR(SEARCH("欠",R1161)))</formula>
    </cfRule>
    <cfRule type="cellIs" dxfId="0" priority="740" operator="equal">
      <formula>"欠"</formula>
    </cfRule>
  </conditionalFormatting>
  <conditionalFormatting sqref="R1161:R1163 T1168:T1169 R1168:R1169 T1161:T1163">
    <cfRule type="containsText" dxfId="2" priority="734" operator="between" text="欠">
      <formula>NOT(ISERROR(SEARCH("欠",R1161)))</formula>
    </cfRule>
  </conditionalFormatting>
  <conditionalFormatting sqref="S1161:S1163 S1168:S1169">
    <cfRule type="cellIs" dxfId="0" priority="773" operator="equal">
      <formula>"欠"</formula>
    </cfRule>
  </conditionalFormatting>
  <conditionalFormatting sqref="T1161:T1163 T1168:T1169">
    <cfRule type="containsText" dxfId="2" priority="752" operator="between" text="欠">
      <formula>NOT(ISERROR(SEARCH("欠",T1161)))</formula>
    </cfRule>
    <cfRule type="cellIs" dxfId="0" priority="770" operator="equal">
      <formula>"欠"</formula>
    </cfRule>
  </conditionalFormatting>
  <conditionalFormatting sqref="U1163 U1168:U1169">
    <cfRule type="cellIs" dxfId="0" priority="741" operator="equal">
      <formula>"欠"</formula>
    </cfRule>
  </conditionalFormatting>
  <conditionalFormatting sqref="AI1163:AJ1163 AI1168:AJ1169">
    <cfRule type="cellIs" dxfId="1" priority="744" operator="equal">
      <formula>"未完成"</formula>
    </cfRule>
    <cfRule type="cellIs" dxfId="0" priority="747" operator="equal">
      <formula>"未完成"</formula>
    </cfRule>
  </conditionalFormatting>
  <conditionalFormatting sqref="AK1163 AK1168:AK1169">
    <cfRule type="cellIs" dxfId="0" priority="765" operator="equal">
      <formula>"欠"</formula>
    </cfRule>
  </conditionalFormatting>
  <conditionalFormatting sqref="R1164 R1166 R1191">
    <cfRule type="containsText" dxfId="2" priority="647" operator="between" text="欠">
      <formula>NOT(ISERROR(SEARCH("欠",R1164)))</formula>
    </cfRule>
  </conditionalFormatting>
  <conditionalFormatting sqref="R1166 R1164 R1191">
    <cfRule type="containsText" dxfId="2" priority="651" operator="between" text="欠">
      <formula>NOT(ISERROR(SEARCH("欠",R1164)))</formula>
    </cfRule>
    <cfRule type="cellIs" dxfId="0" priority="652" operator="equal">
      <formula>"欠"</formula>
    </cfRule>
  </conditionalFormatting>
  <conditionalFormatting sqref="U1166 U1164 U1191">
    <cfRule type="cellIs" dxfId="0" priority="648" operator="equal">
      <formula>"欠"</formula>
    </cfRule>
  </conditionalFormatting>
  <conditionalFormatting sqref="AI1166:AJ1166 AI1164:AJ1164 AI1191:AJ1191">
    <cfRule type="cellIs" dxfId="1" priority="649" operator="equal">
      <formula>"未完成"</formula>
    </cfRule>
    <cfRule type="cellIs" dxfId="0" priority="650" operator="equal">
      <formula>"未完成"</formula>
    </cfRule>
  </conditionalFormatting>
  <conditionalFormatting sqref="T1165:T1166 R1165 T1188:T1191">
    <cfRule type="containsText" dxfId="2" priority="246" operator="between" text="欠">
      <formula>NOT(ISERROR(SEARCH("欠",R1165)))</formula>
    </cfRule>
  </conditionalFormatting>
  <conditionalFormatting sqref="T1165:T1166 T1188:T1191">
    <cfRule type="containsText" dxfId="2" priority="258" operator="between" text="欠">
      <formula>NOT(ISERROR(SEARCH("欠",T1165)))</formula>
    </cfRule>
    <cfRule type="cellIs" dxfId="0" priority="262" operator="equal">
      <formula>"欠"</formula>
    </cfRule>
  </conditionalFormatting>
  <conditionalFormatting sqref="S1166 S1188:S1191">
    <cfRule type="cellIs" dxfId="0" priority="657" operator="equal">
      <formula>"欠"</formula>
    </cfRule>
  </conditionalFormatting>
  <conditionalFormatting sqref="R1167 T1167">
    <cfRule type="containsText" dxfId="2" priority="151" operator="between" text="欠">
      <formula>NOT(ISERROR(SEARCH("欠",R1167)))</formula>
    </cfRule>
  </conditionalFormatting>
  <conditionalFormatting sqref="R1170:R1171 T1170:T1171">
    <cfRule type="containsText" dxfId="2" priority="658" operator="between" text="欠">
      <formula>NOT(ISERROR(SEARCH("欠",R1170)))</formula>
    </cfRule>
  </conditionalFormatting>
  <conditionalFormatting sqref="AI1170:AJ1171">
    <cfRule type="cellIs" dxfId="1" priority="662" operator="equal">
      <formula>"未完成"</formula>
    </cfRule>
    <cfRule type="cellIs" dxfId="0" priority="663" operator="equal">
      <formula>"未完成"</formula>
    </cfRule>
  </conditionalFormatting>
  <conditionalFormatting sqref="R1175 T1175">
    <cfRule type="containsText" dxfId="2" priority="710" operator="between" text="欠">
      <formula>NOT(ISERROR(SEARCH("欠",R1175)))</formula>
    </cfRule>
  </conditionalFormatting>
  <conditionalFormatting sqref="R1176:R1177 T1176:T1177">
    <cfRule type="containsText" dxfId="2" priority="197" operator="between" text="欠">
      <formula>NOT(ISERROR(SEARCH("欠",R1176)))</formula>
    </cfRule>
  </conditionalFormatting>
  <conditionalFormatting sqref="T1178 R1178">
    <cfRule type="containsText" dxfId="2" priority="2" operator="between" text="欠">
      <formula>NOT(ISERROR(SEARCH("欠",R1178)))</formula>
    </cfRule>
  </conditionalFormatting>
  <conditionalFormatting sqref="R1180:R1181 T1180:T1181">
    <cfRule type="containsText" dxfId="2" priority="683" operator="between" text="欠">
      <formula>NOT(ISERROR(SEARCH("欠",R1180)))</formula>
    </cfRule>
  </conditionalFormatting>
  <conditionalFormatting sqref="AI1181:AJ1182">
    <cfRule type="cellIs" dxfId="1" priority="694" operator="equal">
      <formula>"未完成"</formula>
    </cfRule>
    <cfRule type="cellIs" dxfId="0" priority="696" operator="equal">
      <formula>"未完成"</formula>
    </cfRule>
  </conditionalFormatting>
  <conditionalFormatting sqref="R1182 T1182">
    <cfRule type="containsText" dxfId="2" priority="682" operator="between" text="欠">
      <formula>NOT(ISERROR(SEARCH("欠",R1182)))</formula>
    </cfRule>
  </conditionalFormatting>
  <conditionalFormatting sqref="R1183 T1183">
    <cfRule type="containsText" dxfId="2" priority="107" operator="between" text="欠">
      <formula>NOT(ISERROR(SEARCH("欠",R1183)))</formula>
    </cfRule>
  </conditionalFormatting>
  <conditionalFormatting sqref="AI1184:AJ1185">
    <cfRule type="cellIs" dxfId="1" priority="2030" operator="equal">
      <formula>"未完成"</formula>
    </cfRule>
    <cfRule type="cellIs" dxfId="0" priority="2031" operator="equal">
      <formula>"未完成"</formula>
    </cfRule>
  </conditionalFormatting>
  <conditionalFormatting sqref="R1192 T1192">
    <cfRule type="containsText" dxfId="2" priority="161" operator="between" text="欠">
      <formula>NOT(ISERROR(SEARCH("欠",R1192)))</formula>
    </cfRule>
  </conditionalFormatting>
  <conditionalFormatting sqref="R1193:R1194 R1199">
    <cfRule type="containsText" dxfId="2" priority="125" operator="between" text="欠">
      <formula>NOT(ISERROR(SEARCH("欠",R1193)))</formula>
    </cfRule>
    <cfRule type="cellIs" dxfId="0" priority="135" operator="equal">
      <formula>"欠"</formula>
    </cfRule>
  </conditionalFormatting>
  <conditionalFormatting sqref="S1193:S1194 S1199">
    <cfRule type="cellIs" dxfId="0" priority="137" operator="equal">
      <formula>"欠"</formula>
    </cfRule>
  </conditionalFormatting>
  <conditionalFormatting sqref="T1193:T1194 T1199">
    <cfRule type="containsText" dxfId="2" priority="119" operator="between" text="欠">
      <formula>NOT(ISERROR(SEARCH("欠",T1193)))</formula>
    </cfRule>
    <cfRule type="cellIs" dxfId="0" priority="123" operator="equal">
      <formula>"欠"</formula>
    </cfRule>
  </conditionalFormatting>
  <conditionalFormatting sqref="U1193:U1194 U1199">
    <cfRule type="cellIs" dxfId="0" priority="127" operator="equal">
      <formula>"欠"</formula>
    </cfRule>
  </conditionalFormatting>
  <conditionalFormatting sqref="AG1193:AG1194 AG1199">
    <cfRule type="cellIs" dxfId="0" priority="139" operator="equal">
      <formula>"未完成"</formula>
    </cfRule>
  </conditionalFormatting>
  <conditionalFormatting sqref="AI1193:AJ1194 AI1199:AJ1199">
    <cfRule type="cellIs" dxfId="1" priority="129" operator="equal">
      <formula>"未完成"</formula>
    </cfRule>
    <cfRule type="cellIs" dxfId="0" priority="131" operator="equal">
      <formula>"未完成"</formula>
    </cfRule>
  </conditionalFormatting>
  <conditionalFormatting sqref="R1195:R1196 T1195:T1196">
    <cfRule type="containsText" dxfId="2" priority="218" operator="between" text="欠">
      <formula>NOT(ISERROR(SEARCH("欠",R1195)))</formula>
    </cfRule>
  </conditionalFormatting>
  <conditionalFormatting sqref="AI1195:AJ1196">
    <cfRule type="cellIs" dxfId="1" priority="222" operator="equal">
      <formula>"未完成"</formula>
    </cfRule>
    <cfRule type="cellIs" dxfId="0" priority="223" operator="equal">
      <formula>"未完成"</formula>
    </cfRule>
  </conditionalFormatting>
  <conditionalFormatting sqref="R1197 T1197">
    <cfRule type="containsText" dxfId="2" priority="140" operator="between" text="欠">
      <formula>NOT(ISERROR(SEARCH("欠",R1197)))</formula>
    </cfRule>
  </conditionalFormatting>
  <conditionalFormatting sqref="R1203 T1203">
    <cfRule type="containsText" dxfId="2" priority="96" operator="between" text="欠">
      <formula>NOT(ISERROR(SEARCH("欠",R1203)))</formula>
    </cfRule>
  </conditionalFormatting>
  <conditionalFormatting sqref="T1205:T1206 R1205:R1206">
    <cfRule type="containsText" dxfId="2" priority="82" operator="between" text="欠">
      <formula>NOT(ISERROR(SEARCH("欠",R1205)))</formula>
    </cfRule>
  </conditionalFormatting>
  <conditionalFormatting sqref="AI1205:AJ1206">
    <cfRule type="cellIs" dxfId="1" priority="88" operator="equal">
      <formula>"未完成"</formula>
    </cfRule>
    <cfRule type="cellIs" dxfId="0" priority="89" operator="equal">
      <formula>"未完成"</formula>
    </cfRule>
  </conditionalFormatting>
  <conditionalFormatting sqref="R1209:R1212 T1209:T1212">
    <cfRule type="containsText" dxfId="2" priority="818" operator="between" text="欠">
      <formula>NOT(ISERROR(SEARCH("欠",R1209)))</formula>
    </cfRule>
  </conditionalFormatting>
  <conditionalFormatting sqref="AI1209:AJ1212">
    <cfRule type="cellIs" dxfId="1" priority="824" operator="equal">
      <formula>"未完成"</formula>
    </cfRule>
    <cfRule type="cellIs" dxfId="0" priority="825" operator="equal">
      <formula>"未完成"</formula>
    </cfRule>
  </conditionalFormatting>
  <conditionalFormatting sqref="R1213 T1213">
    <cfRule type="containsText" dxfId="2" priority="57" operator="between" text="欠">
      <formula>NOT(ISERROR(SEARCH("欠",R1213)))</formula>
    </cfRule>
  </conditionalFormatting>
  <conditionalFormatting sqref="R1214 T1214">
    <cfRule type="containsText" dxfId="2" priority="45" operator="between" text="欠">
      <formula>NOT(ISERROR(SEARCH("欠",R1214)))</formula>
    </cfRule>
    <cfRule type="cellIs" dxfId="0" priority="51" operator="equal">
      <formula>"欠"</formula>
    </cfRule>
  </conditionalFormatting>
  <conditionalFormatting sqref="AI1226:AJ1229">
    <cfRule type="cellIs" dxfId="1" priority="2018" operator="equal">
      <formula>"未完成"</formula>
    </cfRule>
    <cfRule type="cellIs" dxfId="0" priority="2019" operator="equal">
      <formula>"未完成"</formula>
    </cfRule>
  </conditionalFormatting>
  <dataValidations count="1">
    <dataValidation type="list" allowBlank="1" showInputMessage="1" showErrorMessage="1" sqref="AC43:AE43 AC103 AC108 AC142 AC153 AC179 AC211 AC241 AC397 AE990 R1242:R1245 AC31:AC42 AC44:AC49 AC52:AC55 AC57:AC87 AC89:AC91 AC99:AC101 AC110:AC117 AC122:AC123 AC127:AC129 AC132:AC135 AC158:AC159 AC187:AC188 AC433:AC436 AD798:AD800 AD1233:AD1241 AE1233:AE1234 AE1236:AE1241 AF1115:AF1117 AF1230:AF1231 AD866:AE867 AD526:AE789 AD1051:AE1053 AD2:AE42 AD44:AE57 AD60:AE524 AB1246:AC1251 AD1252:AE1048576">
      <formula1>"未完成,已完成,OK"</formula1>
    </dataValidation>
  </dataValidations>
  <pageMargins left="0.0777777777777778" right="0.118055555555556" top="0.196527777777778" bottom="0.196527777777778" header="0.15625" footer="0.0777777777777778"/>
  <pageSetup paperSize="9" scale="49" orientation="landscape" horizontalDpi="6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6"/>
  <sheetViews>
    <sheetView zoomScale="85" zoomScaleNormal="85" workbookViewId="0">
      <pane xSplit="7" ySplit="2" topLeftCell="L119" activePane="bottomRight" state="frozen"/>
      <selection/>
      <selection pane="topRight"/>
      <selection pane="bottomLeft"/>
      <selection pane="bottomRight" activeCell="F135" sqref="F135"/>
    </sheetView>
  </sheetViews>
  <sheetFormatPr defaultColWidth="9" defaultRowHeight="13.5"/>
  <cols>
    <col min="1" max="1" width="9" style="365"/>
    <col min="2" max="2" width="9.375" style="365" customWidth="1"/>
    <col min="3" max="3" width="10.3333333333333" style="365"/>
    <col min="4" max="4" width="17.025" style="365" customWidth="1"/>
    <col min="5" max="5" width="9" style="365"/>
    <col min="6" max="6" width="12.5833333333333" style="365" customWidth="1"/>
    <col min="7" max="7" width="9" style="365"/>
    <col min="8" max="19" width="9.23333333333333" style="365" customWidth="1"/>
    <col min="20" max="20" width="9" style="365"/>
    <col min="21" max="21" width="79.1333333333333" style="365" customWidth="1"/>
    <col min="22" max="16383" width="9" style="365"/>
  </cols>
  <sheetData>
    <row r="1" ht="36" customHeight="1" spans="1:21">
      <c r="A1" s="366" t="s">
        <v>65</v>
      </c>
      <c r="B1" s="366"/>
      <c r="C1" s="366"/>
      <c r="D1" s="366"/>
      <c r="E1" s="366"/>
      <c r="F1" s="366"/>
      <c r="G1" s="366"/>
      <c r="H1" s="366"/>
      <c r="I1" s="366"/>
      <c r="J1" s="366"/>
      <c r="K1" s="366"/>
      <c r="L1" s="366"/>
      <c r="M1" s="366"/>
      <c r="N1" s="366"/>
      <c r="O1" s="366"/>
      <c r="P1" s="366"/>
      <c r="Q1" s="366"/>
      <c r="R1" s="366"/>
      <c r="S1" s="366"/>
      <c r="T1" s="366"/>
      <c r="U1" s="366"/>
    </row>
    <row r="2" s="419" customFormat="1" ht="22" customHeight="1" spans="1:21">
      <c r="A2" s="420" t="s">
        <v>6064</v>
      </c>
      <c r="B2" s="420" t="s">
        <v>6065</v>
      </c>
      <c r="C2" s="420" t="s">
        <v>6066</v>
      </c>
      <c r="D2" s="420" t="s">
        <v>6067</v>
      </c>
      <c r="E2" s="420" t="s">
        <v>6068</v>
      </c>
      <c r="F2" s="420" t="s">
        <v>6069</v>
      </c>
      <c r="G2" s="420" t="s">
        <v>6070</v>
      </c>
      <c r="H2" s="421" t="s">
        <v>6071</v>
      </c>
      <c r="I2" s="422" t="s">
        <v>6072</v>
      </c>
      <c r="J2" s="421" t="s">
        <v>6073</v>
      </c>
      <c r="K2" s="421" t="s">
        <v>6074</v>
      </c>
      <c r="L2" s="423" t="s">
        <v>6075</v>
      </c>
      <c r="M2" s="421" t="s">
        <v>3096</v>
      </c>
      <c r="N2" s="421" t="s">
        <v>6076</v>
      </c>
      <c r="O2" s="421" t="s">
        <v>6077</v>
      </c>
      <c r="P2" s="421" t="s">
        <v>3099</v>
      </c>
      <c r="Q2" s="421" t="s">
        <v>3100</v>
      </c>
      <c r="R2" s="421" t="str">
        <f>'77673'!BB1</f>
        <v>TARGET客版收缩膜</v>
      </c>
      <c r="S2" s="421" t="str">
        <f>'77673'!BC1</f>
        <v>TARGET客版收藏指南</v>
      </c>
      <c r="T2" s="421" t="s">
        <v>6078</v>
      </c>
      <c r="U2" s="389" t="s">
        <v>22</v>
      </c>
    </row>
    <row r="3" s="363" customFormat="1" ht="16" customHeight="1" spans="1:21">
      <c r="A3" s="368">
        <v>45726</v>
      </c>
      <c r="B3" s="369" t="s">
        <v>6079</v>
      </c>
      <c r="C3" s="371" t="s">
        <v>6080</v>
      </c>
      <c r="D3" s="370" t="s">
        <v>102</v>
      </c>
      <c r="E3" s="370">
        <v>80000</v>
      </c>
      <c r="F3" s="371" t="s">
        <v>6081</v>
      </c>
      <c r="G3" s="370" t="s">
        <v>6082</v>
      </c>
      <c r="H3" s="375">
        <f>E3</f>
        <v>80000</v>
      </c>
      <c r="I3" s="375"/>
      <c r="J3" s="375"/>
      <c r="K3" s="375"/>
      <c r="L3" s="375"/>
      <c r="M3" s="375"/>
      <c r="N3" s="375"/>
      <c r="O3" s="375"/>
      <c r="P3" s="375"/>
      <c r="Q3" s="375"/>
      <c r="R3" s="375"/>
      <c r="S3" s="375"/>
      <c r="T3" s="375" t="s">
        <v>6083</v>
      </c>
      <c r="U3" s="390" t="s">
        <v>6084</v>
      </c>
    </row>
    <row r="4" s="363" customFormat="1" ht="15" customHeight="1" spans="1:21">
      <c r="A4" s="368">
        <v>45726</v>
      </c>
      <c r="B4" s="369" t="s">
        <v>6085</v>
      </c>
      <c r="C4" s="371" t="s">
        <v>6086</v>
      </c>
      <c r="D4" s="370" t="s">
        <v>102</v>
      </c>
      <c r="E4" s="370">
        <v>20000</v>
      </c>
      <c r="F4" s="371" t="s">
        <v>6087</v>
      </c>
      <c r="G4" s="370" t="s">
        <v>6088</v>
      </c>
      <c r="H4" s="375"/>
      <c r="I4" s="375"/>
      <c r="J4" s="375">
        <f>E4</f>
        <v>20000</v>
      </c>
      <c r="K4" s="375"/>
      <c r="L4" s="375"/>
      <c r="M4" s="375"/>
      <c r="N4" s="375"/>
      <c r="O4" s="375"/>
      <c r="P4" s="375"/>
      <c r="Q4" s="375"/>
      <c r="R4" s="375"/>
      <c r="S4" s="375"/>
      <c r="T4" s="375" t="s">
        <v>6083</v>
      </c>
      <c r="U4" s="390" t="s">
        <v>6084</v>
      </c>
    </row>
    <row r="5" s="363" customFormat="1" ht="16" customHeight="1" spans="1:21">
      <c r="A5" s="368">
        <v>45726</v>
      </c>
      <c r="B5" s="369" t="s">
        <v>6089</v>
      </c>
      <c r="C5" s="371" t="s">
        <v>6090</v>
      </c>
      <c r="D5" s="370" t="s">
        <v>102</v>
      </c>
      <c r="E5" s="370">
        <v>150000</v>
      </c>
      <c r="F5" s="371" t="s">
        <v>6091</v>
      </c>
      <c r="G5" s="370" t="s">
        <v>6092</v>
      </c>
      <c r="H5" s="375"/>
      <c r="I5" s="375">
        <f>E5</f>
        <v>150000</v>
      </c>
      <c r="J5" s="375"/>
      <c r="K5" s="375"/>
      <c r="L5" s="375"/>
      <c r="M5" s="375"/>
      <c r="N5" s="375"/>
      <c r="O5" s="375"/>
      <c r="P5" s="375"/>
      <c r="Q5" s="375"/>
      <c r="R5" s="375"/>
      <c r="S5" s="375"/>
      <c r="T5" s="375" t="s">
        <v>6083</v>
      </c>
      <c r="U5" s="390" t="s">
        <v>6093</v>
      </c>
    </row>
    <row r="6" s="363" customFormat="1" ht="16" customHeight="1" spans="1:21">
      <c r="A6" s="368">
        <v>45726</v>
      </c>
      <c r="B6" s="369" t="s">
        <v>6094</v>
      </c>
      <c r="C6" s="371" t="s">
        <v>6095</v>
      </c>
      <c r="D6" s="370" t="s">
        <v>102</v>
      </c>
      <c r="E6" s="370">
        <v>1500</v>
      </c>
      <c r="F6" s="371" t="s">
        <v>6096</v>
      </c>
      <c r="G6" s="370" t="s">
        <v>6082</v>
      </c>
      <c r="H6" s="375"/>
      <c r="I6" s="375"/>
      <c r="J6" s="375"/>
      <c r="K6" s="375">
        <f>E6</f>
        <v>1500</v>
      </c>
      <c r="L6" s="375"/>
      <c r="M6" s="375"/>
      <c r="N6" s="375"/>
      <c r="O6" s="375"/>
      <c r="P6" s="375"/>
      <c r="Q6" s="375"/>
      <c r="R6" s="375"/>
      <c r="S6" s="375"/>
      <c r="T6" s="375" t="s">
        <v>6083</v>
      </c>
      <c r="U6" s="390" t="s">
        <v>6093</v>
      </c>
    </row>
    <row r="7" s="363" customFormat="1" ht="16" customHeight="1" spans="1:21">
      <c r="A7" s="368">
        <v>45736</v>
      </c>
      <c r="B7" s="369" t="s">
        <v>6097</v>
      </c>
      <c r="C7" s="371" t="s">
        <v>6080</v>
      </c>
      <c r="D7" s="370" t="s">
        <v>102</v>
      </c>
      <c r="E7" s="370">
        <v>40000</v>
      </c>
      <c r="F7" s="371" t="s">
        <v>6081</v>
      </c>
      <c r="G7" s="370" t="s">
        <v>6082</v>
      </c>
      <c r="H7" s="375">
        <v>40000</v>
      </c>
      <c r="I7" s="375"/>
      <c r="J7" s="375"/>
      <c r="K7" s="375"/>
      <c r="L7" s="375"/>
      <c r="M7" s="375"/>
      <c r="N7" s="375"/>
      <c r="O7" s="375"/>
      <c r="P7" s="375"/>
      <c r="Q7" s="375"/>
      <c r="R7" s="375"/>
      <c r="S7" s="375"/>
      <c r="T7" s="375" t="s">
        <v>6083</v>
      </c>
      <c r="U7" s="390" t="s">
        <v>6084</v>
      </c>
    </row>
    <row r="8" s="363" customFormat="1" ht="16" customHeight="1" spans="1:21">
      <c r="A8" s="368">
        <v>45736</v>
      </c>
      <c r="B8" s="369" t="s">
        <v>6098</v>
      </c>
      <c r="C8" s="371" t="s">
        <v>6086</v>
      </c>
      <c r="D8" s="370" t="s">
        <v>102</v>
      </c>
      <c r="E8" s="370">
        <v>20000</v>
      </c>
      <c r="F8" s="371" t="s">
        <v>6087</v>
      </c>
      <c r="G8" s="370" t="s">
        <v>6088</v>
      </c>
      <c r="H8" s="375"/>
      <c r="I8" s="375"/>
      <c r="J8" s="375">
        <v>20000</v>
      </c>
      <c r="K8" s="375"/>
      <c r="L8" s="375"/>
      <c r="M8" s="375"/>
      <c r="N8" s="375"/>
      <c r="O8" s="375"/>
      <c r="P8" s="375"/>
      <c r="Q8" s="375"/>
      <c r="R8" s="375"/>
      <c r="S8" s="375"/>
      <c r="T8" s="375" t="s">
        <v>6083</v>
      </c>
      <c r="U8" s="390" t="s">
        <v>6084</v>
      </c>
    </row>
    <row r="9" s="363" customFormat="1" ht="16" customHeight="1" spans="1:21">
      <c r="A9" s="368">
        <v>45736</v>
      </c>
      <c r="B9" s="369" t="s">
        <v>6099</v>
      </c>
      <c r="C9" s="371" t="s">
        <v>6090</v>
      </c>
      <c r="D9" s="370" t="s">
        <v>102</v>
      </c>
      <c r="E9" s="370">
        <v>50000</v>
      </c>
      <c r="F9" s="371" t="s">
        <v>6091</v>
      </c>
      <c r="G9" s="370" t="s">
        <v>6092</v>
      </c>
      <c r="H9" s="375"/>
      <c r="I9" s="375">
        <v>50000</v>
      </c>
      <c r="J9" s="375"/>
      <c r="K9" s="375"/>
      <c r="L9" s="375"/>
      <c r="M9" s="375"/>
      <c r="N9" s="375"/>
      <c r="O9" s="375"/>
      <c r="P9" s="375"/>
      <c r="Q9" s="375"/>
      <c r="R9" s="375"/>
      <c r="S9" s="375"/>
      <c r="T9" s="375" t="s">
        <v>6083</v>
      </c>
      <c r="U9" s="390" t="s">
        <v>6093</v>
      </c>
    </row>
    <row r="10" s="363" customFormat="1" ht="16" customHeight="1" spans="1:21">
      <c r="A10" s="368">
        <v>45736</v>
      </c>
      <c r="B10" s="369" t="s">
        <v>6100</v>
      </c>
      <c r="C10" s="371" t="s">
        <v>6095</v>
      </c>
      <c r="D10" s="370" t="s">
        <v>102</v>
      </c>
      <c r="E10" s="370">
        <v>8000</v>
      </c>
      <c r="F10" s="371" t="s">
        <v>6096</v>
      </c>
      <c r="G10" s="370" t="s">
        <v>6082</v>
      </c>
      <c r="H10" s="375"/>
      <c r="I10" s="375"/>
      <c r="J10" s="375"/>
      <c r="K10" s="375">
        <v>8000</v>
      </c>
      <c r="L10" s="375"/>
      <c r="M10" s="375"/>
      <c r="N10" s="375"/>
      <c r="O10" s="375"/>
      <c r="P10" s="375"/>
      <c r="Q10" s="375"/>
      <c r="R10" s="375"/>
      <c r="S10" s="375"/>
      <c r="T10" s="375" t="s">
        <v>6083</v>
      </c>
      <c r="U10" s="390" t="s">
        <v>6093</v>
      </c>
    </row>
    <row r="11" s="363" customFormat="1" ht="16" customHeight="1" spans="1:21">
      <c r="A11" s="368">
        <v>45736</v>
      </c>
      <c r="B11" s="369" t="s">
        <v>6101</v>
      </c>
      <c r="C11" s="371" t="s">
        <v>6102</v>
      </c>
      <c r="D11" s="370" t="s">
        <v>102</v>
      </c>
      <c r="E11" s="370">
        <v>2500</v>
      </c>
      <c r="F11" s="371" t="s">
        <v>6103</v>
      </c>
      <c r="G11" s="370" t="s">
        <v>6088</v>
      </c>
      <c r="H11" s="375"/>
      <c r="I11" s="375"/>
      <c r="J11" s="375"/>
      <c r="K11" s="375"/>
      <c r="L11" s="375">
        <v>2500</v>
      </c>
      <c r="M11" s="375"/>
      <c r="N11" s="375"/>
      <c r="O11" s="375"/>
      <c r="P11" s="375"/>
      <c r="Q11" s="375"/>
      <c r="R11" s="375"/>
      <c r="S11" s="375"/>
      <c r="T11" s="375" t="s">
        <v>6083</v>
      </c>
      <c r="U11" s="390" t="s">
        <v>6093</v>
      </c>
    </row>
    <row r="12" s="363" customFormat="1" ht="16" customHeight="1" spans="1:21">
      <c r="A12" s="368">
        <v>45742</v>
      </c>
      <c r="B12" s="369" t="s">
        <v>6104</v>
      </c>
      <c r="C12" s="371" t="s">
        <v>6105</v>
      </c>
      <c r="D12" s="370" t="s">
        <v>6106</v>
      </c>
      <c r="E12" s="370">
        <v>20000</v>
      </c>
      <c r="F12" s="371" t="s">
        <v>6107</v>
      </c>
      <c r="G12" s="370" t="s">
        <v>6092</v>
      </c>
      <c r="H12" s="375"/>
      <c r="I12" s="375"/>
      <c r="J12" s="375"/>
      <c r="K12" s="375"/>
      <c r="L12" s="375"/>
      <c r="M12" s="375">
        <v>20000</v>
      </c>
      <c r="N12" s="375"/>
      <c r="O12" s="375"/>
      <c r="P12" s="375"/>
      <c r="Q12" s="375"/>
      <c r="R12" s="375"/>
      <c r="S12" s="375"/>
      <c r="T12" s="375" t="s">
        <v>6108</v>
      </c>
      <c r="U12" s="390" t="s">
        <v>6109</v>
      </c>
    </row>
    <row r="13" s="363" customFormat="1" ht="16" customHeight="1" spans="1:21">
      <c r="A13" s="368">
        <v>45743</v>
      </c>
      <c r="B13" s="369" t="s">
        <v>6110</v>
      </c>
      <c r="C13" s="371" t="s">
        <v>6105</v>
      </c>
      <c r="D13" s="370" t="s">
        <v>6106</v>
      </c>
      <c r="E13" s="370">
        <v>20000</v>
      </c>
      <c r="F13" s="371" t="s">
        <v>6111</v>
      </c>
      <c r="G13" s="370" t="s">
        <v>6092</v>
      </c>
      <c r="H13" s="375"/>
      <c r="I13" s="375"/>
      <c r="J13" s="375"/>
      <c r="K13" s="375"/>
      <c r="L13" s="375"/>
      <c r="M13" s="375"/>
      <c r="N13" s="375">
        <v>20000</v>
      </c>
      <c r="O13" s="375"/>
      <c r="P13" s="375"/>
      <c r="Q13" s="375"/>
      <c r="R13" s="375"/>
      <c r="S13" s="375"/>
      <c r="T13" s="375" t="s">
        <v>6108</v>
      </c>
      <c r="U13" s="390" t="s">
        <v>6109</v>
      </c>
    </row>
    <row r="14" s="363" customFormat="1" ht="16" customHeight="1" spans="1:21">
      <c r="A14" s="368">
        <v>45743</v>
      </c>
      <c r="B14" s="369" t="s">
        <v>6112</v>
      </c>
      <c r="C14" s="371"/>
      <c r="D14" s="370" t="s">
        <v>6106</v>
      </c>
      <c r="E14" s="370">
        <v>20000</v>
      </c>
      <c r="F14" s="371" t="s">
        <v>6107</v>
      </c>
      <c r="G14" s="370" t="s">
        <v>6082</v>
      </c>
      <c r="H14" s="375"/>
      <c r="I14" s="375"/>
      <c r="J14" s="375"/>
      <c r="K14" s="375"/>
      <c r="L14" s="375"/>
      <c r="M14" s="375"/>
      <c r="N14" s="375"/>
      <c r="O14" s="375"/>
      <c r="P14" s="375"/>
      <c r="Q14" s="375"/>
      <c r="R14" s="375">
        <v>20000</v>
      </c>
      <c r="S14" s="375"/>
      <c r="T14" s="375" t="s">
        <v>6108</v>
      </c>
      <c r="U14" s="390" t="s">
        <v>6113</v>
      </c>
    </row>
    <row r="15" s="363" customFormat="1" ht="16" customHeight="1" spans="1:21">
      <c r="A15" s="368">
        <v>45742</v>
      </c>
      <c r="B15" s="369" t="s">
        <v>6114</v>
      </c>
      <c r="C15" s="371"/>
      <c r="D15" s="370" t="s">
        <v>6106</v>
      </c>
      <c r="E15" s="370">
        <v>20000</v>
      </c>
      <c r="F15" s="371" t="s">
        <v>6111</v>
      </c>
      <c r="G15" s="370" t="s">
        <v>6092</v>
      </c>
      <c r="H15" s="375"/>
      <c r="I15" s="375"/>
      <c r="J15" s="375"/>
      <c r="K15" s="375"/>
      <c r="L15" s="375"/>
      <c r="M15" s="375"/>
      <c r="N15" s="375"/>
      <c r="O15" s="375"/>
      <c r="P15" s="375"/>
      <c r="Q15" s="375"/>
      <c r="R15" s="375"/>
      <c r="S15" s="375">
        <v>20000</v>
      </c>
      <c r="T15" s="375" t="s">
        <v>6108</v>
      </c>
      <c r="U15" s="390" t="s">
        <v>6113</v>
      </c>
    </row>
    <row r="16" s="363" customFormat="1" ht="16" customHeight="1" spans="1:21">
      <c r="A16" s="368">
        <v>45748</v>
      </c>
      <c r="B16" s="369">
        <v>1000026823</v>
      </c>
      <c r="C16" s="371" t="s">
        <v>6086</v>
      </c>
      <c r="D16" s="370" t="s">
        <v>102</v>
      </c>
      <c r="E16" s="370">
        <v>30000</v>
      </c>
      <c r="F16" s="371" t="s">
        <v>6087</v>
      </c>
      <c r="G16" s="370" t="s">
        <v>6088</v>
      </c>
      <c r="H16" s="375"/>
      <c r="I16" s="375"/>
      <c r="J16" s="375">
        <v>30000</v>
      </c>
      <c r="K16" s="375"/>
      <c r="L16" s="375"/>
      <c r="M16" s="375"/>
      <c r="N16" s="375"/>
      <c r="O16" s="375"/>
      <c r="P16" s="375"/>
      <c r="Q16" s="375"/>
      <c r="R16" s="375"/>
      <c r="S16" s="375"/>
      <c r="T16" s="375" t="s">
        <v>6083</v>
      </c>
      <c r="U16" s="390" t="s">
        <v>6084</v>
      </c>
    </row>
    <row r="17" s="363" customFormat="1" ht="16" customHeight="1" spans="1:21">
      <c r="A17" s="368">
        <v>45748</v>
      </c>
      <c r="B17" s="369" t="s">
        <v>6115</v>
      </c>
      <c r="C17" s="371" t="s">
        <v>6095</v>
      </c>
      <c r="D17" s="370" t="s">
        <v>102</v>
      </c>
      <c r="E17" s="370">
        <v>7000</v>
      </c>
      <c r="F17" s="371" t="s">
        <v>6096</v>
      </c>
      <c r="G17" s="370" t="s">
        <v>6082</v>
      </c>
      <c r="H17" s="375"/>
      <c r="I17" s="375"/>
      <c r="J17" s="375"/>
      <c r="K17" s="375">
        <v>7000</v>
      </c>
      <c r="L17" s="375"/>
      <c r="M17" s="375"/>
      <c r="N17" s="375"/>
      <c r="O17" s="375"/>
      <c r="P17" s="375"/>
      <c r="Q17" s="375"/>
      <c r="R17" s="375"/>
      <c r="S17" s="375"/>
      <c r="T17" s="375" t="s">
        <v>6083</v>
      </c>
      <c r="U17" s="390" t="s">
        <v>6093</v>
      </c>
    </row>
    <row r="18" s="363" customFormat="1" ht="16" customHeight="1" spans="1:21">
      <c r="A18" s="368">
        <v>45748</v>
      </c>
      <c r="B18" s="369" t="s">
        <v>6116</v>
      </c>
      <c r="C18" s="371" t="s">
        <v>6102</v>
      </c>
      <c r="D18" s="370" t="s">
        <v>102</v>
      </c>
      <c r="E18" s="370">
        <v>1000</v>
      </c>
      <c r="F18" s="371" t="s">
        <v>6103</v>
      </c>
      <c r="G18" s="370" t="s">
        <v>6088</v>
      </c>
      <c r="H18" s="375"/>
      <c r="I18" s="375"/>
      <c r="J18" s="375"/>
      <c r="K18" s="375"/>
      <c r="L18" s="375">
        <v>1000</v>
      </c>
      <c r="M18" s="375"/>
      <c r="N18" s="375"/>
      <c r="O18" s="375"/>
      <c r="P18" s="375"/>
      <c r="Q18" s="375"/>
      <c r="R18" s="375"/>
      <c r="S18" s="375"/>
      <c r="T18" s="375" t="s">
        <v>6083</v>
      </c>
      <c r="U18" s="390" t="s">
        <v>6093</v>
      </c>
    </row>
    <row r="19" s="363" customFormat="1" ht="16" customHeight="1" spans="1:21">
      <c r="A19" s="368">
        <v>45770</v>
      </c>
      <c r="B19" s="369" t="s">
        <v>6117</v>
      </c>
      <c r="C19" s="371" t="s">
        <v>6118</v>
      </c>
      <c r="D19" s="370" t="s">
        <v>102</v>
      </c>
      <c r="E19" s="370">
        <v>20000</v>
      </c>
      <c r="F19" s="371" t="s">
        <v>6087</v>
      </c>
      <c r="G19" s="370" t="s">
        <v>6088</v>
      </c>
      <c r="H19" s="375"/>
      <c r="I19" s="375"/>
      <c r="J19" s="375">
        <v>20000</v>
      </c>
      <c r="K19" s="375"/>
      <c r="L19" s="375"/>
      <c r="M19" s="375"/>
      <c r="N19" s="375"/>
      <c r="O19" s="375"/>
      <c r="P19" s="375"/>
      <c r="Q19" s="375"/>
      <c r="R19" s="375"/>
      <c r="S19" s="375"/>
      <c r="T19" s="375" t="s">
        <v>6083</v>
      </c>
      <c r="U19" s="390"/>
    </row>
    <row r="20" s="363" customFormat="1" ht="16" customHeight="1" spans="1:21">
      <c r="A20" s="368">
        <v>45770</v>
      </c>
      <c r="B20" s="369" t="s">
        <v>6119</v>
      </c>
      <c r="C20" s="371" t="s">
        <v>6118</v>
      </c>
      <c r="D20" s="370" t="s">
        <v>102</v>
      </c>
      <c r="E20" s="370">
        <v>20000</v>
      </c>
      <c r="F20" s="371" t="s">
        <v>6091</v>
      </c>
      <c r="G20" s="370" t="s">
        <v>6092</v>
      </c>
      <c r="H20" s="375"/>
      <c r="I20" s="375">
        <v>20000</v>
      </c>
      <c r="J20" s="375"/>
      <c r="K20" s="375"/>
      <c r="L20" s="375"/>
      <c r="M20" s="375"/>
      <c r="N20" s="375"/>
      <c r="O20" s="375"/>
      <c r="P20" s="375"/>
      <c r="Q20" s="375"/>
      <c r="R20" s="375"/>
      <c r="S20" s="375"/>
      <c r="T20" s="375" t="s">
        <v>6083</v>
      </c>
      <c r="U20" s="390"/>
    </row>
    <row r="21" s="363" customFormat="1" ht="16" customHeight="1" spans="1:21">
      <c r="A21" s="368">
        <v>45770</v>
      </c>
      <c r="B21" s="369" t="s">
        <v>6120</v>
      </c>
      <c r="C21" s="371" t="s">
        <v>6118</v>
      </c>
      <c r="D21" s="370" t="s">
        <v>102</v>
      </c>
      <c r="E21" s="370">
        <v>2500</v>
      </c>
      <c r="F21" s="371" t="s">
        <v>6096</v>
      </c>
      <c r="G21" s="370" t="s">
        <v>6082</v>
      </c>
      <c r="H21" s="375"/>
      <c r="I21" s="375"/>
      <c r="J21" s="375"/>
      <c r="K21" s="375">
        <v>2500</v>
      </c>
      <c r="L21" s="375"/>
      <c r="M21" s="375"/>
      <c r="N21" s="375"/>
      <c r="O21" s="375"/>
      <c r="P21" s="375"/>
      <c r="Q21" s="375"/>
      <c r="R21" s="375"/>
      <c r="S21" s="375"/>
      <c r="T21" s="375" t="s">
        <v>6083</v>
      </c>
      <c r="U21" s="390"/>
    </row>
    <row r="22" s="363" customFormat="1" ht="16" customHeight="1" spans="1:21">
      <c r="A22" s="368">
        <v>45770</v>
      </c>
      <c r="B22" s="369" t="s">
        <v>6121</v>
      </c>
      <c r="C22" s="371" t="s">
        <v>6118</v>
      </c>
      <c r="D22" s="370" t="s">
        <v>102</v>
      </c>
      <c r="E22" s="370">
        <v>4000</v>
      </c>
      <c r="F22" s="371" t="s">
        <v>6103</v>
      </c>
      <c r="G22" s="370" t="s">
        <v>6088</v>
      </c>
      <c r="H22" s="375"/>
      <c r="I22" s="375"/>
      <c r="J22" s="375"/>
      <c r="K22" s="375"/>
      <c r="L22" s="375">
        <v>4000</v>
      </c>
      <c r="M22" s="375"/>
      <c r="N22" s="375"/>
      <c r="O22" s="375"/>
      <c r="P22" s="375"/>
      <c r="Q22" s="375"/>
      <c r="R22" s="375"/>
      <c r="S22" s="375"/>
      <c r="T22" s="375" t="s">
        <v>6083</v>
      </c>
      <c r="U22" s="390"/>
    </row>
    <row r="23" s="363" customFormat="1" ht="16" customHeight="1" spans="1:21">
      <c r="A23" s="368">
        <v>45784</v>
      </c>
      <c r="B23" s="369" t="s">
        <v>6122</v>
      </c>
      <c r="C23" s="371" t="s">
        <v>6118</v>
      </c>
      <c r="D23" s="370" t="s">
        <v>102</v>
      </c>
      <c r="E23" s="370">
        <v>5000</v>
      </c>
      <c r="F23" s="371" t="s">
        <v>6096</v>
      </c>
      <c r="G23" s="370" t="s">
        <v>6082</v>
      </c>
      <c r="H23" s="375"/>
      <c r="I23" s="375"/>
      <c r="J23" s="375"/>
      <c r="K23" s="375">
        <v>5000</v>
      </c>
      <c r="L23" s="375"/>
      <c r="M23" s="375"/>
      <c r="N23" s="375"/>
      <c r="O23" s="375"/>
      <c r="P23" s="375"/>
      <c r="Q23" s="375"/>
      <c r="R23" s="375"/>
      <c r="S23" s="375"/>
      <c r="T23" s="375" t="s">
        <v>6083</v>
      </c>
      <c r="U23" s="390"/>
    </row>
    <row r="24" s="363" customFormat="1" ht="16" customHeight="1" spans="1:21">
      <c r="A24" s="368">
        <v>45784</v>
      </c>
      <c r="B24" s="369" t="s">
        <v>6123</v>
      </c>
      <c r="C24" s="371" t="s">
        <v>6118</v>
      </c>
      <c r="D24" s="370" t="s">
        <v>102</v>
      </c>
      <c r="E24" s="370">
        <v>20000</v>
      </c>
      <c r="F24" s="371" t="s">
        <v>6087</v>
      </c>
      <c r="G24" s="370" t="s">
        <v>6088</v>
      </c>
      <c r="H24" s="375"/>
      <c r="I24" s="375"/>
      <c r="J24" s="375">
        <v>20000</v>
      </c>
      <c r="K24" s="375"/>
      <c r="L24" s="375"/>
      <c r="M24" s="375"/>
      <c r="N24" s="375"/>
      <c r="O24" s="375"/>
      <c r="P24" s="375"/>
      <c r="Q24" s="375"/>
      <c r="R24" s="375"/>
      <c r="S24" s="375"/>
      <c r="T24" s="375" t="s">
        <v>6083</v>
      </c>
      <c r="U24" s="390"/>
    </row>
    <row r="25" s="363" customFormat="1" ht="17" customHeight="1" spans="1:21">
      <c r="A25" s="368">
        <v>45784</v>
      </c>
      <c r="B25" s="369" t="s">
        <v>6124</v>
      </c>
      <c r="C25" s="371" t="s">
        <v>6118</v>
      </c>
      <c r="D25" s="370" t="s">
        <v>102</v>
      </c>
      <c r="E25" s="370">
        <v>4000</v>
      </c>
      <c r="F25" s="371" t="s">
        <v>6103</v>
      </c>
      <c r="G25" s="370" t="s">
        <v>6088</v>
      </c>
      <c r="H25" s="375"/>
      <c r="I25" s="375"/>
      <c r="J25" s="375"/>
      <c r="K25" s="375"/>
      <c r="L25" s="375">
        <v>4000</v>
      </c>
      <c r="M25" s="375"/>
      <c r="N25" s="375"/>
      <c r="O25" s="375"/>
      <c r="P25" s="375"/>
      <c r="Q25" s="375"/>
      <c r="R25" s="375"/>
      <c r="S25" s="375"/>
      <c r="T25" s="375" t="s">
        <v>6083</v>
      </c>
      <c r="U25" s="390"/>
    </row>
    <row r="26" s="364" customFormat="1" ht="16" customHeight="1" spans="1:21">
      <c r="A26" s="391">
        <v>45789</v>
      </c>
      <c r="B26" s="392" t="s">
        <v>6125</v>
      </c>
      <c r="C26" s="394" t="s">
        <v>6118</v>
      </c>
      <c r="D26" s="393" t="s">
        <v>102</v>
      </c>
      <c r="E26" s="393">
        <v>402</v>
      </c>
      <c r="F26" s="394" t="s">
        <v>6096</v>
      </c>
      <c r="G26" s="393" t="s">
        <v>6082</v>
      </c>
      <c r="H26" s="395"/>
      <c r="I26" s="395"/>
      <c r="J26" s="395"/>
      <c r="K26" s="395">
        <v>402</v>
      </c>
      <c r="L26" s="395"/>
      <c r="M26" s="395"/>
      <c r="N26" s="395"/>
      <c r="O26" s="395"/>
      <c r="P26" s="395"/>
      <c r="Q26" s="395"/>
      <c r="R26" s="395"/>
      <c r="S26" s="395"/>
      <c r="T26" s="395" t="s">
        <v>68</v>
      </c>
      <c r="U26" s="396"/>
    </row>
    <row r="27" s="363" customFormat="1" ht="16" customHeight="1" spans="1:21">
      <c r="A27" s="368">
        <v>45793</v>
      </c>
      <c r="B27" s="369" t="s">
        <v>6126</v>
      </c>
      <c r="C27" s="371" t="s">
        <v>6118</v>
      </c>
      <c r="D27" s="370" t="s">
        <v>102</v>
      </c>
      <c r="E27" s="370">
        <v>2500</v>
      </c>
      <c r="F27" s="371" t="s">
        <v>6096</v>
      </c>
      <c r="G27" s="370" t="s">
        <v>6082</v>
      </c>
      <c r="H27" s="375"/>
      <c r="I27" s="375"/>
      <c r="J27" s="375"/>
      <c r="K27" s="375">
        <v>2500</v>
      </c>
      <c r="L27" s="375"/>
      <c r="M27" s="375"/>
      <c r="N27" s="375"/>
      <c r="O27" s="375"/>
      <c r="P27" s="375"/>
      <c r="Q27" s="375"/>
      <c r="R27" s="375"/>
      <c r="S27" s="375"/>
      <c r="T27" s="375" t="s">
        <v>6083</v>
      </c>
      <c r="U27" s="390" t="s">
        <v>6093</v>
      </c>
    </row>
    <row r="28" s="363" customFormat="1" ht="16" customHeight="1" spans="1:21">
      <c r="A28" s="368">
        <v>45793</v>
      </c>
      <c r="B28" s="369" t="s">
        <v>6127</v>
      </c>
      <c r="C28" s="371" t="s">
        <v>6118</v>
      </c>
      <c r="D28" s="370" t="s">
        <v>102</v>
      </c>
      <c r="E28" s="370">
        <v>1500</v>
      </c>
      <c r="F28" s="371" t="s">
        <v>6103</v>
      </c>
      <c r="G28" s="370" t="s">
        <v>6088</v>
      </c>
      <c r="H28" s="375"/>
      <c r="I28" s="375"/>
      <c r="J28" s="375"/>
      <c r="K28" s="375"/>
      <c r="L28" s="375">
        <v>1500</v>
      </c>
      <c r="M28" s="375"/>
      <c r="N28" s="375"/>
      <c r="O28" s="375"/>
      <c r="P28" s="375"/>
      <c r="Q28" s="375"/>
      <c r="R28" s="375"/>
      <c r="S28" s="375"/>
      <c r="T28" s="375" t="s">
        <v>6083</v>
      </c>
      <c r="U28" s="390" t="s">
        <v>6093</v>
      </c>
    </row>
    <row r="29" s="363" customFormat="1" ht="16" customHeight="1" spans="1:21">
      <c r="A29" s="368">
        <v>45771</v>
      </c>
      <c r="B29" s="369" t="s">
        <v>6128</v>
      </c>
      <c r="C29" s="371" t="s">
        <v>6129</v>
      </c>
      <c r="D29" s="370">
        <v>77785</v>
      </c>
      <c r="E29" s="370">
        <v>20000</v>
      </c>
      <c r="F29" s="371" t="s">
        <v>6130</v>
      </c>
      <c r="G29" s="370"/>
      <c r="H29" s="375"/>
      <c r="I29" s="375"/>
      <c r="J29" s="375"/>
      <c r="K29" s="375"/>
      <c r="L29" s="375"/>
      <c r="M29" s="375"/>
      <c r="N29" s="375"/>
      <c r="O29" s="375">
        <v>20000</v>
      </c>
      <c r="P29" s="375"/>
      <c r="Q29" s="375"/>
      <c r="R29" s="375"/>
      <c r="S29" s="375"/>
      <c r="T29" s="375" t="s">
        <v>6108</v>
      </c>
      <c r="U29" s="390" t="s">
        <v>6131</v>
      </c>
    </row>
    <row r="30" s="363" customFormat="1" ht="16" customHeight="1" spans="1:21">
      <c r="A30" s="368">
        <v>45806</v>
      </c>
      <c r="B30" s="369" t="s">
        <v>6132</v>
      </c>
      <c r="C30" s="371" t="s">
        <v>6118</v>
      </c>
      <c r="D30" s="370" t="s">
        <v>102</v>
      </c>
      <c r="E30" s="370">
        <v>80000</v>
      </c>
      <c r="F30" s="371" t="s">
        <v>6081</v>
      </c>
      <c r="G30" s="370" t="s">
        <v>6082</v>
      </c>
      <c r="H30" s="375">
        <v>80000</v>
      </c>
      <c r="I30" s="375"/>
      <c r="J30" s="375"/>
      <c r="K30" s="375"/>
      <c r="L30" s="375"/>
      <c r="M30" s="375"/>
      <c r="N30" s="375"/>
      <c r="O30" s="375"/>
      <c r="P30" s="375"/>
      <c r="Q30" s="375"/>
      <c r="R30" s="375"/>
      <c r="S30" s="375"/>
      <c r="T30" s="375" t="s">
        <v>6083</v>
      </c>
      <c r="U30" s="390" t="s">
        <v>6084</v>
      </c>
    </row>
    <row r="31" s="363" customFormat="1" ht="16" customHeight="1" spans="1:21">
      <c r="A31" s="368">
        <v>45806</v>
      </c>
      <c r="B31" s="369" t="s">
        <v>6133</v>
      </c>
      <c r="C31" s="371" t="s">
        <v>6118</v>
      </c>
      <c r="D31" s="370" t="s">
        <v>102</v>
      </c>
      <c r="E31" s="370">
        <v>20000</v>
      </c>
      <c r="F31" s="371" t="s">
        <v>6087</v>
      </c>
      <c r="G31" s="370" t="s">
        <v>6088</v>
      </c>
      <c r="H31" s="375"/>
      <c r="I31" s="375"/>
      <c r="J31" s="375">
        <v>20000</v>
      </c>
      <c r="K31" s="375"/>
      <c r="L31" s="375"/>
      <c r="M31" s="375"/>
      <c r="N31" s="375"/>
      <c r="O31" s="375"/>
      <c r="P31" s="375"/>
      <c r="Q31" s="375"/>
      <c r="R31" s="375"/>
      <c r="S31" s="375"/>
      <c r="T31" s="375" t="s">
        <v>6083</v>
      </c>
      <c r="U31" s="390" t="s">
        <v>6084</v>
      </c>
    </row>
    <row r="32" s="363" customFormat="1" ht="16" customHeight="1" spans="1:21">
      <c r="A32" s="368">
        <v>45806</v>
      </c>
      <c r="B32" s="369" t="s">
        <v>6134</v>
      </c>
      <c r="C32" s="371" t="s">
        <v>6118</v>
      </c>
      <c r="D32" s="370" t="s">
        <v>102</v>
      </c>
      <c r="E32" s="370">
        <v>150000</v>
      </c>
      <c r="F32" s="371" t="s">
        <v>6091</v>
      </c>
      <c r="G32" s="370" t="s">
        <v>6092</v>
      </c>
      <c r="H32" s="375"/>
      <c r="I32" s="375">
        <v>150000</v>
      </c>
      <c r="J32" s="375"/>
      <c r="K32" s="375"/>
      <c r="L32" s="375"/>
      <c r="M32" s="375"/>
      <c r="N32" s="375"/>
      <c r="O32" s="375"/>
      <c r="P32" s="375"/>
      <c r="Q32" s="375"/>
      <c r="R32" s="375"/>
      <c r="S32" s="375"/>
      <c r="T32" s="375" t="s">
        <v>6083</v>
      </c>
      <c r="U32" s="390" t="s">
        <v>6093</v>
      </c>
    </row>
    <row r="33" s="363" customFormat="1" ht="16" customHeight="1" spans="1:21">
      <c r="A33" s="368">
        <v>45806</v>
      </c>
      <c r="B33" s="369" t="s">
        <v>6135</v>
      </c>
      <c r="C33" s="371" t="s">
        <v>6118</v>
      </c>
      <c r="D33" s="370" t="s">
        <v>102</v>
      </c>
      <c r="E33" s="370">
        <v>7000</v>
      </c>
      <c r="F33" s="371" t="s">
        <v>6096</v>
      </c>
      <c r="G33" s="370" t="s">
        <v>6082</v>
      </c>
      <c r="H33" s="375"/>
      <c r="I33" s="375"/>
      <c r="J33" s="375"/>
      <c r="K33" s="375">
        <v>7000</v>
      </c>
      <c r="L33" s="375"/>
      <c r="M33" s="375"/>
      <c r="N33" s="375"/>
      <c r="O33" s="375"/>
      <c r="P33" s="375"/>
      <c r="Q33" s="375"/>
      <c r="R33" s="375"/>
      <c r="S33" s="375"/>
      <c r="T33" s="375" t="s">
        <v>6083</v>
      </c>
      <c r="U33" s="390" t="s">
        <v>6093</v>
      </c>
    </row>
    <row r="34" s="363" customFormat="1" ht="16" customHeight="1" spans="1:21">
      <c r="A34" s="368">
        <v>45806</v>
      </c>
      <c r="B34" s="369" t="s">
        <v>6136</v>
      </c>
      <c r="C34" s="371"/>
      <c r="D34" s="370" t="s">
        <v>6106</v>
      </c>
      <c r="E34" s="370">
        <v>22772</v>
      </c>
      <c r="F34" s="371" t="s">
        <v>6107</v>
      </c>
      <c r="G34" s="370" t="s">
        <v>6082</v>
      </c>
      <c r="H34" s="375"/>
      <c r="I34" s="375"/>
      <c r="J34" s="375"/>
      <c r="K34" s="375"/>
      <c r="L34" s="375"/>
      <c r="M34" s="375"/>
      <c r="N34" s="375"/>
      <c r="O34" s="375"/>
      <c r="P34" s="375"/>
      <c r="Q34" s="375"/>
      <c r="R34" s="375">
        <v>22772</v>
      </c>
      <c r="S34" s="375"/>
      <c r="T34" s="375" t="s">
        <v>6108</v>
      </c>
      <c r="U34" s="390" t="s">
        <v>6137</v>
      </c>
    </row>
    <row r="35" s="363" customFormat="1" ht="16" customHeight="1" spans="1:21">
      <c r="A35" s="368">
        <v>45806</v>
      </c>
      <c r="B35" s="369" t="s">
        <v>6138</v>
      </c>
      <c r="C35" s="371"/>
      <c r="D35" s="370" t="s">
        <v>6106</v>
      </c>
      <c r="E35" s="370">
        <v>22772</v>
      </c>
      <c r="F35" s="371" t="s">
        <v>6111</v>
      </c>
      <c r="G35" s="370" t="s">
        <v>6092</v>
      </c>
      <c r="H35" s="375"/>
      <c r="I35" s="375"/>
      <c r="J35" s="375"/>
      <c r="K35" s="375"/>
      <c r="L35" s="375"/>
      <c r="M35" s="375"/>
      <c r="N35" s="375"/>
      <c r="O35" s="375"/>
      <c r="P35" s="375"/>
      <c r="Q35" s="375"/>
      <c r="R35" s="375"/>
      <c r="S35" s="375">
        <v>22772</v>
      </c>
      <c r="T35" s="375" t="s">
        <v>6108</v>
      </c>
      <c r="U35" s="390" t="s">
        <v>6137</v>
      </c>
    </row>
    <row r="36" s="363" customFormat="1" ht="16" customHeight="1" spans="1:21">
      <c r="A36" s="368">
        <v>45811</v>
      </c>
      <c r="B36" s="369" t="s">
        <v>6139</v>
      </c>
      <c r="C36" s="371" t="s">
        <v>6129</v>
      </c>
      <c r="D36" s="370">
        <v>77785</v>
      </c>
      <c r="E36" s="370">
        <v>12000</v>
      </c>
      <c r="F36" s="371" t="s">
        <v>6130</v>
      </c>
      <c r="G36" s="370"/>
      <c r="H36" s="375"/>
      <c r="I36" s="375"/>
      <c r="J36" s="375"/>
      <c r="K36" s="375"/>
      <c r="L36" s="375"/>
      <c r="M36" s="375"/>
      <c r="N36" s="375"/>
      <c r="O36" s="375">
        <v>12000</v>
      </c>
      <c r="P36" s="375"/>
      <c r="Q36" s="375"/>
      <c r="R36" s="375"/>
      <c r="S36" s="375"/>
      <c r="T36" s="375" t="s">
        <v>6108</v>
      </c>
      <c r="U36" s="390" t="s">
        <v>6140</v>
      </c>
    </row>
    <row r="37" s="363" customFormat="1" ht="16" customHeight="1" spans="1:21">
      <c r="A37" s="368">
        <v>45811</v>
      </c>
      <c r="B37" s="369" t="s">
        <v>6141</v>
      </c>
      <c r="C37" s="371" t="s">
        <v>6142</v>
      </c>
      <c r="D37" s="370" t="s">
        <v>6106</v>
      </c>
      <c r="E37" s="370">
        <v>20000</v>
      </c>
      <c r="F37" s="371" t="s">
        <v>6107</v>
      </c>
      <c r="G37" s="370"/>
      <c r="H37" s="375"/>
      <c r="I37" s="375"/>
      <c r="J37" s="375"/>
      <c r="K37" s="375"/>
      <c r="L37" s="375"/>
      <c r="M37" s="375">
        <v>20000</v>
      </c>
      <c r="N37" s="375"/>
      <c r="O37" s="375"/>
      <c r="P37" s="375"/>
      <c r="Q37" s="375"/>
      <c r="R37" s="375"/>
      <c r="S37" s="375"/>
      <c r="T37" s="375" t="s">
        <v>6108</v>
      </c>
      <c r="U37" s="390" t="s">
        <v>6143</v>
      </c>
    </row>
    <row r="38" s="363" customFormat="1" ht="16" customHeight="1" spans="1:21">
      <c r="A38" s="368">
        <v>45811</v>
      </c>
      <c r="B38" s="369" t="s">
        <v>6144</v>
      </c>
      <c r="C38" s="371" t="s">
        <v>6142</v>
      </c>
      <c r="D38" s="370" t="s">
        <v>6106</v>
      </c>
      <c r="E38" s="370">
        <v>5000</v>
      </c>
      <c r="F38" s="371" t="s">
        <v>6111</v>
      </c>
      <c r="G38" s="370"/>
      <c r="H38" s="375"/>
      <c r="I38" s="375"/>
      <c r="J38" s="375"/>
      <c r="K38" s="375"/>
      <c r="L38" s="375"/>
      <c r="M38" s="375"/>
      <c r="N38" s="375">
        <v>5000</v>
      </c>
      <c r="O38" s="375"/>
      <c r="P38" s="375"/>
      <c r="Q38" s="375"/>
      <c r="R38" s="375"/>
      <c r="S38" s="375"/>
      <c r="T38" s="375" t="s">
        <v>6108</v>
      </c>
      <c r="U38" s="390" t="s">
        <v>6145</v>
      </c>
    </row>
    <row r="39" s="363" customFormat="1" ht="16" customHeight="1" spans="1:21">
      <c r="A39" s="368">
        <v>45820</v>
      </c>
      <c r="B39" s="369" t="s">
        <v>6146</v>
      </c>
      <c r="C39" s="371" t="s">
        <v>6118</v>
      </c>
      <c r="D39" s="370" t="s">
        <v>102</v>
      </c>
      <c r="E39" s="370">
        <v>6000</v>
      </c>
      <c r="F39" s="371" t="s">
        <v>6096</v>
      </c>
      <c r="G39" s="370" t="s">
        <v>6082</v>
      </c>
      <c r="H39" s="375"/>
      <c r="I39" s="375"/>
      <c r="J39" s="375"/>
      <c r="K39" s="375">
        <v>6000</v>
      </c>
      <c r="L39" s="375"/>
      <c r="M39" s="375"/>
      <c r="N39" s="375"/>
      <c r="O39" s="375"/>
      <c r="P39" s="375"/>
      <c r="Q39" s="375"/>
      <c r="R39" s="375"/>
      <c r="S39" s="375"/>
      <c r="T39" s="375" t="s">
        <v>6083</v>
      </c>
      <c r="U39" s="390"/>
    </row>
    <row r="40" s="363" customFormat="1" ht="16" customHeight="1" spans="1:21">
      <c r="A40" s="368">
        <v>45827</v>
      </c>
      <c r="B40" s="369" t="s">
        <v>6147</v>
      </c>
      <c r="C40" s="371" t="s">
        <v>6148</v>
      </c>
      <c r="D40" s="370" t="s">
        <v>6149</v>
      </c>
      <c r="E40" s="370">
        <v>29400</v>
      </c>
      <c r="F40" s="371" t="s">
        <v>6150</v>
      </c>
      <c r="G40" s="370" t="s">
        <v>6151</v>
      </c>
      <c r="H40" s="375"/>
      <c r="I40" s="375"/>
      <c r="J40" s="375"/>
      <c r="K40" s="375"/>
      <c r="L40" s="375"/>
      <c r="M40" s="375"/>
      <c r="N40" s="375"/>
      <c r="O40" s="375"/>
      <c r="P40" s="375"/>
      <c r="Q40" s="375">
        <v>29400</v>
      </c>
      <c r="R40" s="375"/>
      <c r="S40" s="375"/>
      <c r="T40" s="375" t="s">
        <v>6108</v>
      </c>
      <c r="U40" s="390" t="s">
        <v>6152</v>
      </c>
    </row>
    <row r="41" s="363" customFormat="1" ht="16" customHeight="1" spans="1:21">
      <c r="A41" s="368">
        <v>45827</v>
      </c>
      <c r="B41" s="369" t="s">
        <v>6153</v>
      </c>
      <c r="C41" s="371" t="s">
        <v>6148</v>
      </c>
      <c r="D41" s="370" t="s">
        <v>6149</v>
      </c>
      <c r="E41" s="370">
        <v>29400</v>
      </c>
      <c r="F41" s="371" t="s">
        <v>6154</v>
      </c>
      <c r="G41" s="370" t="s">
        <v>6083</v>
      </c>
      <c r="H41" s="375"/>
      <c r="I41" s="375"/>
      <c r="J41" s="375"/>
      <c r="K41" s="375"/>
      <c r="L41" s="375"/>
      <c r="M41" s="375"/>
      <c r="N41" s="375"/>
      <c r="O41" s="375"/>
      <c r="P41" s="375">
        <v>29400</v>
      </c>
      <c r="Q41" s="375"/>
      <c r="R41" s="375"/>
      <c r="S41" s="375"/>
      <c r="T41" s="375" t="s">
        <v>6108</v>
      </c>
      <c r="U41" s="390" t="s">
        <v>6152</v>
      </c>
    </row>
    <row r="42" s="363" customFormat="1" ht="16" customHeight="1" spans="1:21">
      <c r="A42" s="368">
        <v>45832</v>
      </c>
      <c r="B42" s="369" t="s">
        <v>6155</v>
      </c>
      <c r="C42" s="371" t="s">
        <v>6118</v>
      </c>
      <c r="D42" s="370" t="s">
        <v>102</v>
      </c>
      <c r="E42" s="370">
        <v>30000</v>
      </c>
      <c r="F42" s="371" t="s">
        <v>6081</v>
      </c>
      <c r="G42" s="370" t="s">
        <v>6082</v>
      </c>
      <c r="H42" s="375">
        <v>30000</v>
      </c>
      <c r="I42" s="375"/>
      <c r="J42" s="375"/>
      <c r="K42" s="375"/>
      <c r="L42" s="375"/>
      <c r="M42" s="375"/>
      <c r="N42" s="375"/>
      <c r="O42" s="375"/>
      <c r="P42" s="375"/>
      <c r="Q42" s="375"/>
      <c r="R42" s="375"/>
      <c r="S42" s="375"/>
      <c r="T42" s="375" t="s">
        <v>6156</v>
      </c>
      <c r="U42" s="390" t="s">
        <v>6157</v>
      </c>
    </row>
    <row r="43" s="363" customFormat="1" ht="16" customHeight="1" spans="1:21">
      <c r="A43" s="368">
        <v>45832</v>
      </c>
      <c r="B43" s="369" t="s">
        <v>6158</v>
      </c>
      <c r="C43" s="371" t="s">
        <v>6118</v>
      </c>
      <c r="D43" s="370" t="s">
        <v>102</v>
      </c>
      <c r="E43" s="370">
        <v>20000</v>
      </c>
      <c r="F43" s="371" t="s">
        <v>6087</v>
      </c>
      <c r="G43" s="370" t="s">
        <v>6088</v>
      </c>
      <c r="H43" s="375"/>
      <c r="I43" s="375"/>
      <c r="J43" s="375">
        <v>20000</v>
      </c>
      <c r="K43" s="375"/>
      <c r="L43" s="375"/>
      <c r="M43" s="375"/>
      <c r="N43" s="375"/>
      <c r="O43" s="375"/>
      <c r="P43" s="375"/>
      <c r="Q43" s="375"/>
      <c r="R43" s="375"/>
      <c r="S43" s="375"/>
      <c r="T43" s="375" t="s">
        <v>6156</v>
      </c>
      <c r="U43" s="390" t="s">
        <v>6157</v>
      </c>
    </row>
    <row r="44" s="363" customFormat="1" ht="16" customHeight="1" spans="1:21">
      <c r="A44" s="368">
        <v>45832</v>
      </c>
      <c r="B44" s="369" t="s">
        <v>6159</v>
      </c>
      <c r="C44" s="371" t="s">
        <v>6118</v>
      </c>
      <c r="D44" s="370" t="s">
        <v>102</v>
      </c>
      <c r="E44" s="370">
        <v>7000</v>
      </c>
      <c r="F44" s="371" t="s">
        <v>6096</v>
      </c>
      <c r="G44" s="370" t="s">
        <v>6082</v>
      </c>
      <c r="H44" s="375"/>
      <c r="I44" s="375"/>
      <c r="J44" s="375"/>
      <c r="K44" s="375">
        <v>7000</v>
      </c>
      <c r="L44" s="375"/>
      <c r="M44" s="375"/>
      <c r="N44" s="375"/>
      <c r="O44" s="375"/>
      <c r="P44" s="375"/>
      <c r="Q44" s="375"/>
      <c r="R44" s="375"/>
      <c r="S44" s="375"/>
      <c r="T44" s="375" t="s">
        <v>6083</v>
      </c>
      <c r="U44" s="390" t="s">
        <v>6093</v>
      </c>
    </row>
    <row r="45" s="363" customFormat="1" ht="16" customHeight="1" spans="1:21">
      <c r="A45" s="368">
        <v>45842</v>
      </c>
      <c r="B45" s="369" t="s">
        <v>6160</v>
      </c>
      <c r="C45" s="371" t="s">
        <v>6118</v>
      </c>
      <c r="D45" s="370" t="s">
        <v>102</v>
      </c>
      <c r="E45" s="370">
        <v>30000</v>
      </c>
      <c r="F45" s="371" t="s">
        <v>6081</v>
      </c>
      <c r="G45" s="370" t="s">
        <v>6082</v>
      </c>
      <c r="H45" s="375">
        <v>30000</v>
      </c>
      <c r="I45" s="375"/>
      <c r="J45" s="375"/>
      <c r="K45" s="375"/>
      <c r="L45" s="375"/>
      <c r="M45" s="375"/>
      <c r="N45" s="375"/>
      <c r="O45" s="375"/>
      <c r="P45" s="375"/>
      <c r="Q45" s="375"/>
      <c r="R45" s="375"/>
      <c r="S45" s="375"/>
      <c r="T45" s="375" t="s">
        <v>6156</v>
      </c>
      <c r="U45" s="390" t="s">
        <v>6157</v>
      </c>
    </row>
    <row r="46" s="363" customFormat="1" ht="16" customHeight="1" spans="1:21">
      <c r="A46" s="368">
        <v>45842</v>
      </c>
      <c r="B46" s="369" t="s">
        <v>6161</v>
      </c>
      <c r="C46" s="371" t="s">
        <v>6118</v>
      </c>
      <c r="D46" s="370" t="s">
        <v>102</v>
      </c>
      <c r="E46" s="370">
        <v>20000</v>
      </c>
      <c r="F46" s="371" t="s">
        <v>6087</v>
      </c>
      <c r="G46" s="370" t="s">
        <v>6088</v>
      </c>
      <c r="H46" s="375"/>
      <c r="I46" s="375"/>
      <c r="J46" s="375">
        <v>20000</v>
      </c>
      <c r="K46" s="375"/>
      <c r="L46" s="375"/>
      <c r="M46" s="375"/>
      <c r="N46" s="375"/>
      <c r="O46" s="375"/>
      <c r="P46" s="375"/>
      <c r="Q46" s="375"/>
      <c r="R46" s="375"/>
      <c r="S46" s="375"/>
      <c r="T46" s="375" t="s">
        <v>6156</v>
      </c>
      <c r="U46" s="390" t="s">
        <v>6157</v>
      </c>
    </row>
    <row r="47" s="363" customFormat="1" ht="16" customHeight="1" spans="1:21">
      <c r="A47" s="368">
        <v>45842</v>
      </c>
      <c r="B47" s="369" t="s">
        <v>6162</v>
      </c>
      <c r="C47" s="371" t="s">
        <v>6118</v>
      </c>
      <c r="D47" s="370" t="s">
        <v>102</v>
      </c>
      <c r="E47" s="370">
        <v>5500</v>
      </c>
      <c r="F47" s="371" t="s">
        <v>6096</v>
      </c>
      <c r="G47" s="370" t="s">
        <v>6082</v>
      </c>
      <c r="H47" s="375"/>
      <c r="I47" s="375"/>
      <c r="J47" s="375"/>
      <c r="K47" s="375">
        <v>5500</v>
      </c>
      <c r="L47" s="375"/>
      <c r="M47" s="375"/>
      <c r="N47" s="375"/>
      <c r="O47" s="375"/>
      <c r="P47" s="375"/>
      <c r="Q47" s="375"/>
      <c r="R47" s="375"/>
      <c r="S47" s="375"/>
      <c r="T47" s="375" t="s">
        <v>6083</v>
      </c>
      <c r="U47" s="390" t="s">
        <v>6093</v>
      </c>
    </row>
    <row r="48" s="363" customFormat="1" ht="16" customHeight="1" spans="1:21">
      <c r="A48" s="368">
        <v>45842</v>
      </c>
      <c r="B48" s="369" t="s">
        <v>6163</v>
      </c>
      <c r="C48" s="371" t="s">
        <v>6118</v>
      </c>
      <c r="D48" s="370" t="s">
        <v>102</v>
      </c>
      <c r="E48" s="370">
        <v>1000</v>
      </c>
      <c r="F48" s="371" t="s">
        <v>6103</v>
      </c>
      <c r="G48" s="370" t="s">
        <v>6088</v>
      </c>
      <c r="H48" s="375"/>
      <c r="I48" s="375"/>
      <c r="J48" s="375"/>
      <c r="K48" s="375"/>
      <c r="L48" s="375">
        <v>1000</v>
      </c>
      <c r="M48" s="375"/>
      <c r="N48" s="375"/>
      <c r="O48" s="375"/>
      <c r="P48" s="375"/>
      <c r="Q48" s="375"/>
      <c r="R48" s="375"/>
      <c r="S48" s="375"/>
      <c r="T48" s="375" t="s">
        <v>6083</v>
      </c>
      <c r="U48" s="390" t="s">
        <v>6093</v>
      </c>
    </row>
    <row r="49" s="363" customFormat="1" ht="16" customHeight="1" spans="1:21">
      <c r="A49" s="368">
        <v>45842</v>
      </c>
      <c r="B49" s="369" t="s">
        <v>6164</v>
      </c>
      <c r="C49" s="371" t="s">
        <v>6118</v>
      </c>
      <c r="D49" s="370" t="s">
        <v>102</v>
      </c>
      <c r="E49" s="370">
        <v>40000</v>
      </c>
      <c r="F49" s="371" t="s">
        <v>6091</v>
      </c>
      <c r="G49" s="370" t="s">
        <v>6092</v>
      </c>
      <c r="H49" s="375"/>
      <c r="I49" s="375">
        <v>40000</v>
      </c>
      <c r="J49" s="375"/>
      <c r="K49" s="375"/>
      <c r="L49" s="375"/>
      <c r="M49" s="375"/>
      <c r="N49" s="375"/>
      <c r="O49" s="375"/>
      <c r="P49" s="375"/>
      <c r="Q49" s="375"/>
      <c r="R49" s="375"/>
      <c r="S49" s="375"/>
      <c r="T49" s="375" t="s">
        <v>6083</v>
      </c>
      <c r="U49" s="390" t="s">
        <v>6093</v>
      </c>
    </row>
    <row r="50" s="363" customFormat="1" ht="16" customHeight="1" spans="1:21">
      <c r="A50" s="368">
        <v>45853</v>
      </c>
      <c r="B50" s="369" t="s">
        <v>6165</v>
      </c>
      <c r="C50" s="371" t="s">
        <v>6118</v>
      </c>
      <c r="D50" s="370" t="s">
        <v>102</v>
      </c>
      <c r="E50" s="370">
        <v>20000</v>
      </c>
      <c r="F50" s="371" t="s">
        <v>6081</v>
      </c>
      <c r="G50" s="370" t="s">
        <v>6082</v>
      </c>
      <c r="H50" s="375">
        <v>20000</v>
      </c>
      <c r="I50" s="375"/>
      <c r="J50" s="375"/>
      <c r="K50" s="375"/>
      <c r="L50" s="375"/>
      <c r="M50" s="375"/>
      <c r="N50" s="375"/>
      <c r="O50" s="375"/>
      <c r="P50" s="375"/>
      <c r="Q50" s="375"/>
      <c r="R50" s="375"/>
      <c r="S50" s="375"/>
      <c r="T50" s="375" t="s">
        <v>6156</v>
      </c>
      <c r="U50" s="390" t="s">
        <v>6157</v>
      </c>
    </row>
    <row r="51" s="363" customFormat="1" ht="16" customHeight="1" spans="1:21">
      <c r="A51" s="368">
        <v>45853</v>
      </c>
      <c r="B51" s="369" t="s">
        <v>6166</v>
      </c>
      <c r="C51" s="371" t="s">
        <v>6118</v>
      </c>
      <c r="D51" s="370" t="s">
        <v>102</v>
      </c>
      <c r="E51" s="370">
        <v>30000</v>
      </c>
      <c r="F51" s="371" t="s">
        <v>6091</v>
      </c>
      <c r="G51" s="370" t="s">
        <v>6092</v>
      </c>
      <c r="H51" s="375"/>
      <c r="I51" s="375">
        <v>30000</v>
      </c>
      <c r="J51" s="375"/>
      <c r="K51" s="375"/>
      <c r="L51" s="375"/>
      <c r="M51" s="375"/>
      <c r="N51" s="375"/>
      <c r="O51" s="375"/>
      <c r="P51" s="375"/>
      <c r="Q51" s="375"/>
      <c r="R51" s="375"/>
      <c r="S51" s="375"/>
      <c r="T51" s="375" t="s">
        <v>6083</v>
      </c>
      <c r="U51" s="390" t="s">
        <v>6093</v>
      </c>
    </row>
    <row r="52" s="363" customFormat="1" ht="16" customHeight="1" spans="1:21">
      <c r="A52" s="368">
        <v>45853</v>
      </c>
      <c r="B52" s="369" t="s">
        <v>6167</v>
      </c>
      <c r="C52" s="371" t="s">
        <v>6118</v>
      </c>
      <c r="D52" s="370" t="s">
        <v>102</v>
      </c>
      <c r="E52" s="370">
        <v>6000</v>
      </c>
      <c r="F52" s="371" t="s">
        <v>6096</v>
      </c>
      <c r="G52" s="370" t="s">
        <v>6082</v>
      </c>
      <c r="H52" s="375"/>
      <c r="I52" s="375"/>
      <c r="J52" s="375"/>
      <c r="K52" s="375">
        <v>6000</v>
      </c>
      <c r="L52" s="375"/>
      <c r="M52" s="375"/>
      <c r="N52" s="375"/>
      <c r="O52" s="375"/>
      <c r="P52" s="375"/>
      <c r="Q52" s="375"/>
      <c r="R52" s="375"/>
      <c r="S52" s="375"/>
      <c r="T52" s="375" t="s">
        <v>6083</v>
      </c>
      <c r="U52" s="390" t="s">
        <v>6093</v>
      </c>
    </row>
    <row r="53" s="363" customFormat="1" ht="16" customHeight="1" spans="1:21">
      <c r="A53" s="368">
        <v>45853</v>
      </c>
      <c r="B53" s="369" t="s">
        <v>6168</v>
      </c>
      <c r="C53" s="371" t="s">
        <v>6118</v>
      </c>
      <c r="D53" s="370" t="s">
        <v>102</v>
      </c>
      <c r="E53" s="370">
        <v>2000</v>
      </c>
      <c r="F53" s="371" t="s">
        <v>6103</v>
      </c>
      <c r="G53" s="370" t="s">
        <v>6088</v>
      </c>
      <c r="H53" s="375"/>
      <c r="I53" s="375"/>
      <c r="J53" s="375"/>
      <c r="K53" s="375"/>
      <c r="L53" s="375">
        <v>2000</v>
      </c>
      <c r="M53" s="375"/>
      <c r="N53" s="375"/>
      <c r="O53" s="375"/>
      <c r="P53" s="375"/>
      <c r="Q53" s="375"/>
      <c r="R53" s="375"/>
      <c r="S53" s="375"/>
      <c r="T53" s="375" t="s">
        <v>6083</v>
      </c>
      <c r="U53" s="390" t="s">
        <v>6093</v>
      </c>
    </row>
    <row r="54" s="363" customFormat="1" ht="16" customHeight="1" spans="1:21">
      <c r="A54" s="368">
        <v>45866</v>
      </c>
      <c r="B54" s="369" t="s">
        <v>6169</v>
      </c>
      <c r="C54" s="371" t="s">
        <v>6170</v>
      </c>
      <c r="D54" s="370" t="s">
        <v>6106</v>
      </c>
      <c r="E54" s="370">
        <v>24576</v>
      </c>
      <c r="F54" s="371" t="s">
        <v>6107</v>
      </c>
      <c r="G54" s="370" t="s">
        <v>6082</v>
      </c>
      <c r="H54" s="375"/>
      <c r="I54" s="375"/>
      <c r="J54" s="375"/>
      <c r="K54" s="375"/>
      <c r="L54" s="375"/>
      <c r="M54" s="375"/>
      <c r="N54" s="375"/>
      <c r="O54" s="375"/>
      <c r="P54" s="375"/>
      <c r="Q54" s="375"/>
      <c r="R54" s="375">
        <v>24576</v>
      </c>
      <c r="S54" s="375"/>
      <c r="T54" s="375" t="s">
        <v>6156</v>
      </c>
      <c r="U54" s="390" t="s">
        <v>6171</v>
      </c>
    </row>
    <row r="55" s="363" customFormat="1" ht="16" customHeight="1" spans="1:21">
      <c r="A55" s="368">
        <v>45866</v>
      </c>
      <c r="B55" s="369" t="s">
        <v>6172</v>
      </c>
      <c r="C55" s="371" t="s">
        <v>6170</v>
      </c>
      <c r="D55" s="370" t="s">
        <v>6106</v>
      </c>
      <c r="E55" s="370">
        <v>24576</v>
      </c>
      <c r="F55" s="371" t="s">
        <v>6173</v>
      </c>
      <c r="G55" s="370"/>
      <c r="H55" s="375"/>
      <c r="I55" s="375"/>
      <c r="J55" s="375"/>
      <c r="K55" s="375"/>
      <c r="L55" s="375"/>
      <c r="M55" s="375"/>
      <c r="N55" s="375"/>
      <c r="O55" s="375"/>
      <c r="P55" s="375"/>
      <c r="Q55" s="375"/>
      <c r="R55" s="375"/>
      <c r="S55" s="375">
        <v>24576</v>
      </c>
      <c r="T55" s="375" t="s">
        <v>68</v>
      </c>
      <c r="U55" s="390" t="s">
        <v>6171</v>
      </c>
    </row>
    <row r="56" s="363" customFormat="1" ht="16" customHeight="1" spans="1:21">
      <c r="A56" s="368">
        <v>45867</v>
      </c>
      <c r="B56" s="369" t="s">
        <v>6174</v>
      </c>
      <c r="C56" s="371" t="s">
        <v>6142</v>
      </c>
      <c r="D56" s="370">
        <v>77785</v>
      </c>
      <c r="E56" s="370">
        <v>3312</v>
      </c>
      <c r="F56" s="371" t="s">
        <v>6130</v>
      </c>
      <c r="G56" s="370" t="s">
        <v>6088</v>
      </c>
      <c r="H56" s="375"/>
      <c r="I56" s="375"/>
      <c r="J56" s="375"/>
      <c r="K56" s="375"/>
      <c r="L56" s="375"/>
      <c r="M56" s="375"/>
      <c r="N56" s="375"/>
      <c r="O56" s="375">
        <v>3312</v>
      </c>
      <c r="P56" s="375"/>
      <c r="Q56" s="375"/>
      <c r="R56" s="375"/>
      <c r="S56" s="375"/>
      <c r="T56" s="375" t="s">
        <v>68</v>
      </c>
      <c r="U56" s="390"/>
    </row>
    <row r="57" s="363" customFormat="1" ht="16" customHeight="1" spans="1:21">
      <c r="A57" s="368">
        <v>45874</v>
      </c>
      <c r="B57" s="369" t="s">
        <v>6175</v>
      </c>
      <c r="C57" s="371" t="s">
        <v>6118</v>
      </c>
      <c r="D57" s="370" t="s">
        <v>102</v>
      </c>
      <c r="E57" s="370">
        <v>30000</v>
      </c>
      <c r="F57" s="371" t="s">
        <v>6087</v>
      </c>
      <c r="G57" s="370" t="s">
        <v>6088</v>
      </c>
      <c r="H57" s="375"/>
      <c r="I57" s="375"/>
      <c r="J57" s="375">
        <v>30000</v>
      </c>
      <c r="K57" s="375"/>
      <c r="L57" s="375"/>
      <c r="M57" s="375"/>
      <c r="N57" s="375"/>
      <c r="O57" s="375"/>
      <c r="P57" s="375"/>
      <c r="Q57" s="375"/>
      <c r="R57" s="375"/>
      <c r="S57" s="375"/>
      <c r="T57" s="375" t="s">
        <v>6156</v>
      </c>
      <c r="U57" s="390" t="s">
        <v>6176</v>
      </c>
    </row>
    <row r="58" s="363" customFormat="1" ht="16" customHeight="1" spans="1:21">
      <c r="A58" s="368">
        <v>45874</v>
      </c>
      <c r="B58" s="369" t="s">
        <v>6177</v>
      </c>
      <c r="C58" s="371" t="s">
        <v>6118</v>
      </c>
      <c r="D58" s="370" t="s">
        <v>102</v>
      </c>
      <c r="E58" s="370">
        <v>40000</v>
      </c>
      <c r="F58" s="371" t="s">
        <v>6091</v>
      </c>
      <c r="G58" s="370" t="s">
        <v>6092</v>
      </c>
      <c r="H58" s="375"/>
      <c r="I58" s="375">
        <v>40000</v>
      </c>
      <c r="J58" s="375"/>
      <c r="K58" s="375"/>
      <c r="L58" s="375"/>
      <c r="M58" s="375"/>
      <c r="N58" s="375"/>
      <c r="O58" s="375"/>
      <c r="P58" s="375"/>
      <c r="Q58" s="375"/>
      <c r="R58" s="375"/>
      <c r="S58" s="375"/>
      <c r="T58" s="375" t="s">
        <v>6083</v>
      </c>
      <c r="U58" s="390" t="s">
        <v>6157</v>
      </c>
    </row>
    <row r="59" s="363" customFormat="1" ht="16" customHeight="1" spans="1:21">
      <c r="A59" s="368">
        <v>45874</v>
      </c>
      <c r="B59" s="369" t="s">
        <v>6178</v>
      </c>
      <c r="C59" s="371" t="s">
        <v>6118</v>
      </c>
      <c r="D59" s="370" t="s">
        <v>102</v>
      </c>
      <c r="E59" s="370">
        <v>12000</v>
      </c>
      <c r="F59" s="371" t="s">
        <v>6096</v>
      </c>
      <c r="G59" s="370" t="s">
        <v>6082</v>
      </c>
      <c r="H59" s="375"/>
      <c r="I59" s="375"/>
      <c r="J59" s="375"/>
      <c r="K59" s="375">
        <v>12000</v>
      </c>
      <c r="L59" s="375"/>
      <c r="M59" s="375"/>
      <c r="N59" s="375"/>
      <c r="O59" s="375"/>
      <c r="P59" s="375"/>
      <c r="Q59" s="375"/>
      <c r="R59" s="375"/>
      <c r="S59" s="375"/>
      <c r="T59" s="375" t="s">
        <v>6083</v>
      </c>
      <c r="U59" s="390" t="s">
        <v>6093</v>
      </c>
    </row>
    <row r="60" s="363" customFormat="1" ht="16" customHeight="1" spans="1:21">
      <c r="A60" s="368">
        <v>45874</v>
      </c>
      <c r="B60" s="369" t="s">
        <v>6179</v>
      </c>
      <c r="C60" s="371" t="s">
        <v>6118</v>
      </c>
      <c r="D60" s="370" t="s">
        <v>102</v>
      </c>
      <c r="E60" s="370">
        <v>6000</v>
      </c>
      <c r="F60" s="371" t="s">
        <v>6103</v>
      </c>
      <c r="G60" s="370" t="s">
        <v>6088</v>
      </c>
      <c r="H60" s="375"/>
      <c r="I60" s="375"/>
      <c r="J60" s="375"/>
      <c r="K60" s="375"/>
      <c r="L60" s="375">
        <v>6000</v>
      </c>
      <c r="M60" s="375"/>
      <c r="N60" s="375"/>
      <c r="O60" s="375"/>
      <c r="P60" s="375"/>
      <c r="Q60" s="375"/>
      <c r="R60" s="375"/>
      <c r="S60" s="375"/>
      <c r="T60" s="375" t="s">
        <v>6083</v>
      </c>
      <c r="U60" s="390" t="s">
        <v>6093</v>
      </c>
    </row>
    <row r="61" s="363" customFormat="1" ht="16" customHeight="1" spans="1:21">
      <c r="A61" s="368">
        <v>45876</v>
      </c>
      <c r="B61" s="369" t="s">
        <v>6180</v>
      </c>
      <c r="C61" s="371" t="s">
        <v>6181</v>
      </c>
      <c r="D61" s="370">
        <v>77785</v>
      </c>
      <c r="E61" s="370">
        <v>5000</v>
      </c>
      <c r="F61" s="371" t="s">
        <v>6130</v>
      </c>
      <c r="G61" s="370" t="s">
        <v>68</v>
      </c>
      <c r="H61" s="375"/>
      <c r="I61" s="375"/>
      <c r="J61" s="375"/>
      <c r="K61" s="375"/>
      <c r="L61" s="375"/>
      <c r="M61" s="375"/>
      <c r="N61" s="375"/>
      <c r="O61" s="375">
        <v>5000</v>
      </c>
      <c r="P61" s="375"/>
      <c r="Q61" s="375"/>
      <c r="R61" s="375"/>
      <c r="S61" s="375"/>
      <c r="T61" s="375" t="s">
        <v>6108</v>
      </c>
      <c r="U61" s="390" t="s">
        <v>6182</v>
      </c>
    </row>
    <row r="62" s="363" customFormat="1" ht="16" customHeight="1" spans="1:21">
      <c r="A62" s="368">
        <v>45882</v>
      </c>
      <c r="B62" s="369" t="s">
        <v>6183</v>
      </c>
      <c r="C62" s="371" t="s">
        <v>6184</v>
      </c>
      <c r="D62" s="370" t="s">
        <v>6106</v>
      </c>
      <c r="E62" s="370">
        <v>52056</v>
      </c>
      <c r="F62" s="371" t="s">
        <v>6107</v>
      </c>
      <c r="G62" s="370" t="s">
        <v>6082</v>
      </c>
      <c r="H62" s="375"/>
      <c r="I62" s="375"/>
      <c r="J62" s="375"/>
      <c r="K62" s="375"/>
      <c r="L62" s="375"/>
      <c r="M62" s="375"/>
      <c r="N62" s="375"/>
      <c r="O62" s="375"/>
      <c r="P62" s="375"/>
      <c r="Q62" s="375"/>
      <c r="R62" s="375">
        <v>52056</v>
      </c>
      <c r="S62" s="375"/>
      <c r="T62" s="375" t="s">
        <v>6156</v>
      </c>
      <c r="U62" s="390" t="s">
        <v>6185</v>
      </c>
    </row>
    <row r="63" s="363" customFormat="1" ht="16" customHeight="1" spans="1:21">
      <c r="A63" s="368">
        <v>45882</v>
      </c>
      <c r="B63" s="369" t="s">
        <v>6186</v>
      </c>
      <c r="C63" s="371" t="s">
        <v>6184</v>
      </c>
      <c r="D63" s="370" t="s">
        <v>6106</v>
      </c>
      <c r="E63" s="370">
        <v>52056</v>
      </c>
      <c r="F63" s="371" t="s">
        <v>6173</v>
      </c>
      <c r="G63" s="370" t="s">
        <v>68</v>
      </c>
      <c r="H63" s="375"/>
      <c r="I63" s="375"/>
      <c r="J63" s="375"/>
      <c r="K63" s="375"/>
      <c r="L63" s="375"/>
      <c r="M63" s="375"/>
      <c r="N63" s="375"/>
      <c r="O63" s="375"/>
      <c r="P63" s="375"/>
      <c r="Q63" s="375"/>
      <c r="R63" s="375"/>
      <c r="S63" s="375">
        <v>52056</v>
      </c>
      <c r="T63" s="375" t="s">
        <v>6108</v>
      </c>
      <c r="U63" s="390" t="s">
        <v>6185</v>
      </c>
    </row>
    <row r="64" s="363" customFormat="1" ht="16" customHeight="1" spans="1:21">
      <c r="A64" s="368">
        <v>45852</v>
      </c>
      <c r="B64" s="369" t="s">
        <v>6187</v>
      </c>
      <c r="C64" s="371" t="s">
        <v>6148</v>
      </c>
      <c r="D64" s="370" t="s">
        <v>6149</v>
      </c>
      <c r="E64" s="370">
        <v>27000</v>
      </c>
      <c r="F64" s="371" t="s">
        <v>6154</v>
      </c>
      <c r="G64" s="370" t="s">
        <v>68</v>
      </c>
      <c r="H64" s="375"/>
      <c r="I64" s="375"/>
      <c r="J64" s="375"/>
      <c r="K64" s="375"/>
      <c r="L64" s="375"/>
      <c r="M64" s="375"/>
      <c r="N64" s="375"/>
      <c r="O64" s="375"/>
      <c r="P64" s="375">
        <v>27000</v>
      </c>
      <c r="Q64" s="375"/>
      <c r="R64" s="375"/>
      <c r="S64" s="375"/>
      <c r="T64" s="375" t="s">
        <v>6108</v>
      </c>
      <c r="U64" s="390" t="s">
        <v>6188</v>
      </c>
    </row>
    <row r="65" s="363" customFormat="1" ht="16" customHeight="1" spans="1:21">
      <c r="A65" s="368">
        <v>45852</v>
      </c>
      <c r="B65" s="369" t="s">
        <v>6189</v>
      </c>
      <c r="C65" s="371" t="s">
        <v>6148</v>
      </c>
      <c r="D65" s="370" t="s">
        <v>6149</v>
      </c>
      <c r="E65" s="370">
        <v>27000</v>
      </c>
      <c r="F65" s="371" t="s">
        <v>6190</v>
      </c>
      <c r="G65" s="370" t="s">
        <v>68</v>
      </c>
      <c r="H65" s="375"/>
      <c r="I65" s="375"/>
      <c r="J65" s="375"/>
      <c r="K65" s="375"/>
      <c r="L65" s="375"/>
      <c r="M65" s="375"/>
      <c r="N65" s="375"/>
      <c r="O65" s="375"/>
      <c r="P65" s="375"/>
      <c r="Q65" s="375"/>
      <c r="R65" s="375"/>
      <c r="S65" s="375"/>
      <c r="T65" s="375" t="s">
        <v>6108</v>
      </c>
      <c r="U65" s="390" t="s">
        <v>6188</v>
      </c>
    </row>
    <row r="66" s="363" customFormat="1" ht="16" customHeight="1" spans="1:21">
      <c r="A66" s="368">
        <v>45852</v>
      </c>
      <c r="B66" s="369" t="s">
        <v>6191</v>
      </c>
      <c r="C66" s="371" t="s">
        <v>6148</v>
      </c>
      <c r="D66" s="370" t="s">
        <v>6149</v>
      </c>
      <c r="E66" s="370">
        <v>27000</v>
      </c>
      <c r="F66" s="371" t="s">
        <v>6192</v>
      </c>
      <c r="G66" s="370" t="s">
        <v>68</v>
      </c>
      <c r="H66" s="375"/>
      <c r="I66" s="375"/>
      <c r="J66" s="375"/>
      <c r="K66" s="375"/>
      <c r="L66" s="375"/>
      <c r="M66" s="375"/>
      <c r="N66" s="375"/>
      <c r="O66" s="375"/>
      <c r="P66" s="375"/>
      <c r="Q66" s="375">
        <v>27000</v>
      </c>
      <c r="R66" s="375"/>
      <c r="S66" s="375"/>
      <c r="T66" s="375" t="s">
        <v>6108</v>
      </c>
      <c r="U66" s="390" t="s">
        <v>6188</v>
      </c>
    </row>
    <row r="67" s="363" customFormat="1" ht="16" customHeight="1" spans="1:21">
      <c r="A67" s="368">
        <v>45852</v>
      </c>
      <c r="B67" s="369" t="s">
        <v>6193</v>
      </c>
      <c r="C67" s="371" t="s">
        <v>6148</v>
      </c>
      <c r="D67" s="370" t="s">
        <v>6149</v>
      </c>
      <c r="E67" s="370">
        <v>5400</v>
      </c>
      <c r="F67" s="371" t="s">
        <v>6194</v>
      </c>
      <c r="G67" s="370" t="s">
        <v>68</v>
      </c>
      <c r="H67" s="375"/>
      <c r="I67" s="375"/>
      <c r="J67" s="375"/>
      <c r="K67" s="375"/>
      <c r="L67" s="375"/>
      <c r="M67" s="375"/>
      <c r="N67" s="375"/>
      <c r="O67" s="375"/>
      <c r="P67" s="375"/>
      <c r="Q67" s="375"/>
      <c r="R67" s="375"/>
      <c r="S67" s="375"/>
      <c r="T67" s="375" t="s">
        <v>6108</v>
      </c>
      <c r="U67" s="390" t="s">
        <v>6188</v>
      </c>
    </row>
    <row r="68" s="363" customFormat="1" ht="16" customHeight="1" spans="1:21">
      <c r="A68" s="368">
        <v>45827</v>
      </c>
      <c r="B68" s="369" t="s">
        <v>6195</v>
      </c>
      <c r="C68" s="371" t="s">
        <v>6148</v>
      </c>
      <c r="D68" s="370" t="s">
        <v>6149</v>
      </c>
      <c r="E68" s="370">
        <v>48600</v>
      </c>
      <c r="F68" s="371" t="s">
        <v>6154</v>
      </c>
      <c r="G68" s="370" t="s">
        <v>68</v>
      </c>
      <c r="H68" s="375"/>
      <c r="I68" s="375"/>
      <c r="J68" s="375"/>
      <c r="K68" s="375"/>
      <c r="L68" s="375"/>
      <c r="M68" s="375"/>
      <c r="N68" s="375"/>
      <c r="O68" s="375"/>
      <c r="P68" s="375">
        <v>48600</v>
      </c>
      <c r="Q68" s="375"/>
      <c r="R68" s="375"/>
      <c r="S68" s="375"/>
      <c r="T68" s="375" t="s">
        <v>6108</v>
      </c>
      <c r="U68" s="390" t="s">
        <v>6196</v>
      </c>
    </row>
    <row r="69" s="363" customFormat="1" ht="16" customHeight="1" spans="1:21">
      <c r="A69" s="368">
        <v>45827</v>
      </c>
      <c r="B69" s="369" t="s">
        <v>6197</v>
      </c>
      <c r="C69" s="371" t="s">
        <v>6148</v>
      </c>
      <c r="D69" s="370" t="s">
        <v>6149</v>
      </c>
      <c r="E69" s="370">
        <v>48600</v>
      </c>
      <c r="F69" s="371" t="s">
        <v>6192</v>
      </c>
      <c r="G69" s="370" t="s">
        <v>68</v>
      </c>
      <c r="H69" s="375"/>
      <c r="I69" s="375"/>
      <c r="J69" s="375"/>
      <c r="K69" s="375"/>
      <c r="L69" s="375"/>
      <c r="M69" s="375"/>
      <c r="N69" s="375"/>
      <c r="O69" s="375"/>
      <c r="P69" s="375"/>
      <c r="Q69" s="375">
        <v>48600</v>
      </c>
      <c r="R69" s="375"/>
      <c r="S69" s="375"/>
      <c r="T69" s="375" t="s">
        <v>6108</v>
      </c>
      <c r="U69" s="390" t="s">
        <v>6196</v>
      </c>
    </row>
    <row r="70" s="363" customFormat="1" ht="16" customHeight="1" spans="1:21">
      <c r="A70" s="368">
        <v>45888</v>
      </c>
      <c r="B70" s="369">
        <v>1000031541</v>
      </c>
      <c r="C70" s="371" t="s">
        <v>6198</v>
      </c>
      <c r="D70" s="370" t="s">
        <v>102</v>
      </c>
      <c r="E70" s="370">
        <v>20000</v>
      </c>
      <c r="F70" s="371" t="s">
        <v>6081</v>
      </c>
      <c r="G70" s="370" t="s">
        <v>6082</v>
      </c>
      <c r="H70" s="375">
        <v>20000</v>
      </c>
      <c r="I70" s="375"/>
      <c r="J70" s="375"/>
      <c r="K70" s="375"/>
      <c r="L70" s="375"/>
      <c r="M70" s="375"/>
      <c r="N70" s="375"/>
      <c r="O70" s="375"/>
      <c r="P70" s="375"/>
      <c r="Q70" s="375"/>
      <c r="R70" s="375"/>
      <c r="S70" s="375"/>
      <c r="T70" s="375" t="s">
        <v>6156</v>
      </c>
      <c r="U70" s="390"/>
    </row>
    <row r="71" s="363" customFormat="1" ht="16" customHeight="1" spans="1:21">
      <c r="A71" s="368">
        <v>45888</v>
      </c>
      <c r="B71" s="369">
        <v>1000031542</v>
      </c>
      <c r="C71" s="371" t="s">
        <v>6198</v>
      </c>
      <c r="D71" s="370" t="s">
        <v>102</v>
      </c>
      <c r="E71" s="370">
        <v>15000</v>
      </c>
      <c r="F71" s="371" t="s">
        <v>6096</v>
      </c>
      <c r="G71" s="370" t="s">
        <v>6082</v>
      </c>
      <c r="H71" s="375"/>
      <c r="I71" s="375"/>
      <c r="J71" s="375"/>
      <c r="K71" s="375">
        <v>15000</v>
      </c>
      <c r="L71" s="375"/>
      <c r="M71" s="375"/>
      <c r="N71" s="375"/>
      <c r="O71" s="375"/>
      <c r="P71" s="375"/>
      <c r="Q71" s="375"/>
      <c r="R71" s="375"/>
      <c r="S71" s="375"/>
      <c r="T71" s="375" t="s">
        <v>6083</v>
      </c>
      <c r="U71" s="390"/>
    </row>
    <row r="72" s="363" customFormat="1" ht="16" customHeight="1" spans="1:21">
      <c r="A72" s="368">
        <v>45888</v>
      </c>
      <c r="B72" s="369">
        <v>1000031543</v>
      </c>
      <c r="C72" s="371" t="s">
        <v>6198</v>
      </c>
      <c r="D72" s="370" t="s">
        <v>102</v>
      </c>
      <c r="E72" s="370">
        <v>6000</v>
      </c>
      <c r="F72" s="371" t="s">
        <v>6103</v>
      </c>
      <c r="G72" s="370" t="s">
        <v>6088</v>
      </c>
      <c r="H72" s="375"/>
      <c r="I72" s="375"/>
      <c r="J72" s="375"/>
      <c r="K72" s="375"/>
      <c r="L72" s="375">
        <v>6000</v>
      </c>
      <c r="M72" s="375"/>
      <c r="N72" s="375"/>
      <c r="O72" s="375"/>
      <c r="P72" s="375"/>
      <c r="Q72" s="375"/>
      <c r="R72" s="375"/>
      <c r="S72" s="375"/>
      <c r="T72" s="375" t="s">
        <v>6083</v>
      </c>
      <c r="U72" s="390"/>
    </row>
    <row r="73" s="363" customFormat="1" ht="16" customHeight="1" spans="1:21">
      <c r="A73" s="368">
        <v>45902</v>
      </c>
      <c r="B73" s="369" t="s">
        <v>6199</v>
      </c>
      <c r="C73" s="371" t="s">
        <v>6181</v>
      </c>
      <c r="D73" s="370">
        <v>77785</v>
      </c>
      <c r="E73" s="370">
        <v>12000</v>
      </c>
      <c r="F73" s="371" t="s">
        <v>6130</v>
      </c>
      <c r="G73" s="370" t="s">
        <v>68</v>
      </c>
      <c r="H73" s="375"/>
      <c r="I73" s="375"/>
      <c r="J73" s="375"/>
      <c r="K73" s="375"/>
      <c r="L73" s="375"/>
      <c r="M73" s="375"/>
      <c r="N73" s="375"/>
      <c r="O73" s="375">
        <v>12000</v>
      </c>
      <c r="P73" s="375"/>
      <c r="Q73" s="375"/>
      <c r="R73" s="375"/>
      <c r="S73" s="375"/>
      <c r="T73" s="375" t="s">
        <v>6108</v>
      </c>
      <c r="U73" s="390" t="s">
        <v>6200</v>
      </c>
    </row>
    <row r="74" s="363" customFormat="1" ht="16" customHeight="1" spans="1:21">
      <c r="A74" s="368">
        <v>45897</v>
      </c>
      <c r="B74" s="369">
        <v>1000031589</v>
      </c>
      <c r="C74" s="371" t="s">
        <v>6118</v>
      </c>
      <c r="D74" s="370" t="s">
        <v>102</v>
      </c>
      <c r="E74" s="370">
        <v>30000</v>
      </c>
      <c r="F74" s="371" t="s">
        <v>6081</v>
      </c>
      <c r="G74" s="370" t="s">
        <v>6082</v>
      </c>
      <c r="H74" s="375">
        <v>30000</v>
      </c>
      <c r="I74" s="375"/>
      <c r="J74" s="375"/>
      <c r="K74" s="375"/>
      <c r="L74" s="375"/>
      <c r="M74" s="375"/>
      <c r="N74" s="375"/>
      <c r="O74" s="375"/>
      <c r="P74" s="375"/>
      <c r="Q74" s="375"/>
      <c r="R74" s="375"/>
      <c r="S74" s="375"/>
      <c r="T74" s="375"/>
      <c r="U74" s="390" t="s">
        <v>6157</v>
      </c>
    </row>
    <row r="75" s="363" customFormat="1" ht="16" customHeight="1" spans="1:21">
      <c r="A75" s="368">
        <v>45897</v>
      </c>
      <c r="B75" s="369">
        <v>1000031590</v>
      </c>
      <c r="C75" s="371" t="s">
        <v>6118</v>
      </c>
      <c r="D75" s="370" t="s">
        <v>102</v>
      </c>
      <c r="E75" s="370">
        <v>20000</v>
      </c>
      <c r="F75" s="371" t="s">
        <v>6087</v>
      </c>
      <c r="G75" s="370" t="s">
        <v>6088</v>
      </c>
      <c r="H75" s="375"/>
      <c r="I75" s="375"/>
      <c r="J75" s="375">
        <v>20000</v>
      </c>
      <c r="K75" s="375"/>
      <c r="L75" s="375"/>
      <c r="M75" s="375"/>
      <c r="N75" s="375"/>
      <c r="O75" s="375"/>
      <c r="P75" s="375"/>
      <c r="Q75" s="375"/>
      <c r="R75" s="375"/>
      <c r="S75" s="375"/>
      <c r="T75" s="375"/>
      <c r="U75" s="390" t="s">
        <v>6157</v>
      </c>
    </row>
    <row r="76" s="363" customFormat="1" ht="16" customHeight="1" spans="1:21">
      <c r="A76" s="368">
        <v>45897</v>
      </c>
      <c r="B76" s="369">
        <v>1000031591</v>
      </c>
      <c r="C76" s="371" t="s">
        <v>6118</v>
      </c>
      <c r="D76" s="370" t="s">
        <v>102</v>
      </c>
      <c r="E76" s="370">
        <v>50000</v>
      </c>
      <c r="F76" s="371" t="s">
        <v>6091</v>
      </c>
      <c r="G76" s="370" t="s">
        <v>6092</v>
      </c>
      <c r="H76" s="375"/>
      <c r="I76" s="375">
        <v>50000</v>
      </c>
      <c r="J76" s="375"/>
      <c r="K76" s="375"/>
      <c r="L76" s="375"/>
      <c r="M76" s="375"/>
      <c r="N76" s="375"/>
      <c r="O76" s="375"/>
      <c r="P76" s="375"/>
      <c r="Q76" s="375"/>
      <c r="R76" s="375"/>
      <c r="S76" s="375"/>
      <c r="T76" s="375"/>
      <c r="U76" s="390" t="s">
        <v>6093</v>
      </c>
    </row>
    <row r="77" s="363" customFormat="1" ht="16" customHeight="1" spans="1:21">
      <c r="A77" s="368">
        <v>45897</v>
      </c>
      <c r="B77" s="369">
        <v>1000031592</v>
      </c>
      <c r="C77" s="371" t="s">
        <v>6118</v>
      </c>
      <c r="D77" s="370" t="s">
        <v>102</v>
      </c>
      <c r="E77" s="370">
        <v>15000</v>
      </c>
      <c r="F77" s="371" t="s">
        <v>6096</v>
      </c>
      <c r="G77" s="370" t="s">
        <v>6082</v>
      </c>
      <c r="H77" s="375"/>
      <c r="I77" s="375"/>
      <c r="J77" s="375"/>
      <c r="K77" s="375">
        <v>15000</v>
      </c>
      <c r="L77" s="375"/>
      <c r="M77" s="375"/>
      <c r="N77" s="375"/>
      <c r="O77" s="375"/>
      <c r="P77" s="375"/>
      <c r="Q77" s="375"/>
      <c r="R77" s="375"/>
      <c r="S77" s="375"/>
      <c r="T77" s="375"/>
      <c r="U77" s="390" t="s">
        <v>6093</v>
      </c>
    </row>
    <row r="78" s="363" customFormat="1" ht="16" customHeight="1" spans="1:21">
      <c r="A78" s="368">
        <v>45897</v>
      </c>
      <c r="B78" s="369">
        <v>1000031593</v>
      </c>
      <c r="C78" s="371" t="s">
        <v>6118</v>
      </c>
      <c r="D78" s="370" t="s">
        <v>102</v>
      </c>
      <c r="E78" s="370">
        <v>3000</v>
      </c>
      <c r="F78" s="371" t="s">
        <v>6103</v>
      </c>
      <c r="G78" s="370" t="s">
        <v>6088</v>
      </c>
      <c r="H78" s="375"/>
      <c r="I78" s="375"/>
      <c r="J78" s="375"/>
      <c r="K78" s="375"/>
      <c r="L78" s="375">
        <v>3000</v>
      </c>
      <c r="M78" s="375"/>
      <c r="N78" s="375"/>
      <c r="O78" s="375"/>
      <c r="P78" s="375"/>
      <c r="Q78" s="375"/>
      <c r="R78" s="375"/>
      <c r="S78" s="375"/>
      <c r="T78" s="375"/>
      <c r="U78" s="390" t="s">
        <v>6093</v>
      </c>
    </row>
    <row r="79" s="364" customFormat="1" ht="16" customHeight="1" spans="1:21">
      <c r="A79" s="391">
        <v>45904</v>
      </c>
      <c r="B79" s="392" t="s">
        <v>6201</v>
      </c>
      <c r="C79" s="394" t="s">
        <v>6148</v>
      </c>
      <c r="D79" s="393" t="s">
        <v>6106</v>
      </c>
      <c r="E79" s="393">
        <v>53000</v>
      </c>
      <c r="F79" s="394" t="s">
        <v>6107</v>
      </c>
      <c r="G79" s="393" t="s">
        <v>6082</v>
      </c>
      <c r="H79" s="395"/>
      <c r="I79" s="395"/>
      <c r="J79" s="395"/>
      <c r="K79" s="395"/>
      <c r="L79" s="395"/>
      <c r="M79" s="395"/>
      <c r="N79" s="395"/>
      <c r="O79" s="395"/>
      <c r="P79" s="395"/>
      <c r="Q79" s="395"/>
      <c r="R79" s="395">
        <v>53000</v>
      </c>
      <c r="S79" s="395"/>
      <c r="T79" s="395" t="s">
        <v>6156</v>
      </c>
      <c r="U79" s="396" t="s">
        <v>6202</v>
      </c>
    </row>
    <row r="80" s="364" customFormat="1" ht="16" customHeight="1" spans="1:21">
      <c r="A80" s="391">
        <v>45904</v>
      </c>
      <c r="B80" s="392" t="s">
        <v>6203</v>
      </c>
      <c r="C80" s="394" t="s">
        <v>6148</v>
      </c>
      <c r="D80" s="393" t="s">
        <v>6106</v>
      </c>
      <c r="E80" s="393">
        <v>53000</v>
      </c>
      <c r="F80" s="394" t="s">
        <v>6173</v>
      </c>
      <c r="G80" s="393" t="s">
        <v>6092</v>
      </c>
      <c r="H80" s="395"/>
      <c r="I80" s="395"/>
      <c r="J80" s="395"/>
      <c r="K80" s="395"/>
      <c r="L80" s="395"/>
      <c r="M80" s="395"/>
      <c r="N80" s="395"/>
      <c r="O80" s="395"/>
      <c r="P80" s="395"/>
      <c r="Q80" s="395"/>
      <c r="R80" s="395"/>
      <c r="S80" s="395">
        <v>53000</v>
      </c>
      <c r="T80" s="395" t="s">
        <v>68</v>
      </c>
      <c r="U80" s="396" t="s">
        <v>6202</v>
      </c>
    </row>
    <row r="81" s="363" customFormat="1" ht="16" customHeight="1" spans="1:21">
      <c r="A81" s="368">
        <v>45905</v>
      </c>
      <c r="B81" s="369" t="s">
        <v>6204</v>
      </c>
      <c r="C81" s="371"/>
      <c r="D81" s="370" t="s">
        <v>6205</v>
      </c>
      <c r="E81" s="370">
        <v>4800</v>
      </c>
      <c r="F81" s="371" t="s">
        <v>6206</v>
      </c>
      <c r="G81" s="370" t="s">
        <v>6088</v>
      </c>
      <c r="H81" s="375"/>
      <c r="I81" s="375"/>
      <c r="J81" s="375"/>
      <c r="K81" s="375"/>
      <c r="L81" s="375"/>
      <c r="M81" s="375"/>
      <c r="N81" s="375"/>
      <c r="O81" s="375"/>
      <c r="P81" s="375">
        <v>4800</v>
      </c>
      <c r="Q81" s="375"/>
      <c r="R81" s="375"/>
      <c r="S81" s="375"/>
      <c r="T81" s="375" t="s">
        <v>6207</v>
      </c>
      <c r="U81" s="390" t="s">
        <v>6208</v>
      </c>
    </row>
    <row r="82" s="363" customFormat="1" ht="16" customHeight="1" spans="1:21">
      <c r="A82" s="368">
        <v>45905</v>
      </c>
      <c r="B82" s="369" t="s">
        <v>6209</v>
      </c>
      <c r="C82" s="371"/>
      <c r="D82" s="370" t="s">
        <v>6205</v>
      </c>
      <c r="E82" s="370">
        <v>4800</v>
      </c>
      <c r="F82" s="371" t="s">
        <v>6210</v>
      </c>
      <c r="G82" s="370" t="s">
        <v>6088</v>
      </c>
      <c r="H82" s="375"/>
      <c r="I82" s="375"/>
      <c r="J82" s="375"/>
      <c r="K82" s="375"/>
      <c r="L82" s="375"/>
      <c r="M82" s="375"/>
      <c r="N82" s="375"/>
      <c r="O82" s="375"/>
      <c r="P82" s="375"/>
      <c r="Q82" s="375">
        <v>4800</v>
      </c>
      <c r="R82" s="375"/>
      <c r="S82" s="375"/>
      <c r="T82" s="375" t="s">
        <v>6207</v>
      </c>
      <c r="U82" s="390" t="s">
        <v>6208</v>
      </c>
    </row>
    <row r="83" s="364" customFormat="1" ht="16" customHeight="1" spans="1:21">
      <c r="A83" s="391">
        <v>45960</v>
      </c>
      <c r="B83" s="392" t="s">
        <v>6211</v>
      </c>
      <c r="C83" s="394" t="s">
        <v>6170</v>
      </c>
      <c r="D83" s="393" t="s">
        <v>6106</v>
      </c>
      <c r="E83" s="393">
        <v>20000</v>
      </c>
      <c r="F83" s="394" t="s">
        <v>6107</v>
      </c>
      <c r="G83" s="393" t="s">
        <v>6082</v>
      </c>
      <c r="H83" s="395"/>
      <c r="I83" s="395"/>
      <c r="J83" s="395"/>
      <c r="K83" s="395"/>
      <c r="L83" s="395"/>
      <c r="M83" s="395"/>
      <c r="N83" s="395"/>
      <c r="O83" s="395"/>
      <c r="P83" s="395"/>
      <c r="Q83" s="395"/>
      <c r="R83" s="395">
        <v>20000</v>
      </c>
      <c r="S83" s="395"/>
      <c r="T83" s="395" t="s">
        <v>6212</v>
      </c>
      <c r="U83" s="396" t="s">
        <v>6213</v>
      </c>
    </row>
    <row r="84" s="364" customFormat="1" ht="16" customHeight="1" spans="1:21">
      <c r="A84" s="391">
        <v>45960</v>
      </c>
      <c r="B84" s="392" t="s">
        <v>6214</v>
      </c>
      <c r="C84" s="394" t="s">
        <v>6170</v>
      </c>
      <c r="D84" s="393" t="s">
        <v>6106</v>
      </c>
      <c r="E84" s="393">
        <v>15000</v>
      </c>
      <c r="F84" s="394" t="s">
        <v>6173</v>
      </c>
      <c r="G84" s="393" t="s">
        <v>6092</v>
      </c>
      <c r="H84" s="395"/>
      <c r="I84" s="395"/>
      <c r="J84" s="395"/>
      <c r="K84" s="395"/>
      <c r="L84" s="395"/>
      <c r="M84" s="395"/>
      <c r="N84" s="395"/>
      <c r="O84" s="395"/>
      <c r="P84" s="395"/>
      <c r="Q84" s="395"/>
      <c r="R84" s="395"/>
      <c r="S84" s="395">
        <v>20000</v>
      </c>
      <c r="T84" s="395" t="s">
        <v>68</v>
      </c>
      <c r="U84" s="396" t="s">
        <v>6213</v>
      </c>
    </row>
    <row r="85" s="363" customFormat="1" ht="16" customHeight="1" spans="1:21">
      <c r="A85" s="368">
        <v>45926</v>
      </c>
      <c r="B85" s="369">
        <v>1000032519</v>
      </c>
      <c r="C85" s="371" t="s">
        <v>6118</v>
      </c>
      <c r="D85" s="370" t="s">
        <v>102</v>
      </c>
      <c r="E85" s="370">
        <v>80000</v>
      </c>
      <c r="F85" s="371" t="s">
        <v>6081</v>
      </c>
      <c r="G85" s="370" t="s">
        <v>6082</v>
      </c>
      <c r="H85" s="375">
        <v>80000</v>
      </c>
      <c r="I85" s="375"/>
      <c r="J85" s="375"/>
      <c r="K85" s="375"/>
      <c r="L85" s="375"/>
      <c r="M85" s="375"/>
      <c r="N85" s="375"/>
      <c r="O85" s="375"/>
      <c r="P85" s="375"/>
      <c r="Q85" s="375"/>
      <c r="R85" s="375"/>
      <c r="S85" s="375"/>
      <c r="T85" s="375" t="s">
        <v>6156</v>
      </c>
      <c r="U85" s="390" t="s">
        <v>6157</v>
      </c>
    </row>
    <row r="86" s="363" customFormat="1" ht="16" customHeight="1" spans="1:21">
      <c r="A86" s="368">
        <v>45926</v>
      </c>
      <c r="B86" s="369">
        <v>1000032521</v>
      </c>
      <c r="C86" s="371" t="s">
        <v>6118</v>
      </c>
      <c r="D86" s="370" t="s">
        <v>102</v>
      </c>
      <c r="E86" s="370">
        <v>30000</v>
      </c>
      <c r="F86" s="371" t="s">
        <v>6087</v>
      </c>
      <c r="G86" s="370" t="s">
        <v>6088</v>
      </c>
      <c r="H86" s="375"/>
      <c r="I86" s="375"/>
      <c r="J86" s="375">
        <v>30000</v>
      </c>
      <c r="K86" s="375"/>
      <c r="L86" s="375"/>
      <c r="M86" s="375"/>
      <c r="N86" s="375"/>
      <c r="O86" s="375"/>
      <c r="P86" s="375"/>
      <c r="Q86" s="375"/>
      <c r="R86" s="375"/>
      <c r="S86" s="375"/>
      <c r="T86" s="375" t="s">
        <v>6156</v>
      </c>
      <c r="U86" s="390" t="s">
        <v>6157</v>
      </c>
    </row>
    <row r="87" s="363" customFormat="1" ht="16" customHeight="1" spans="1:21">
      <c r="A87" s="368">
        <v>45926</v>
      </c>
      <c r="B87" s="369">
        <v>1000032523</v>
      </c>
      <c r="C87" s="371" t="s">
        <v>6118</v>
      </c>
      <c r="D87" s="370" t="s">
        <v>102</v>
      </c>
      <c r="E87" s="370">
        <v>200000</v>
      </c>
      <c r="F87" s="371" t="s">
        <v>6091</v>
      </c>
      <c r="G87" s="370" t="s">
        <v>6092</v>
      </c>
      <c r="H87" s="375"/>
      <c r="I87" s="375">
        <v>200000</v>
      </c>
      <c r="J87" s="375"/>
      <c r="K87" s="375"/>
      <c r="L87" s="375"/>
      <c r="M87" s="375"/>
      <c r="N87" s="375"/>
      <c r="O87" s="375"/>
      <c r="P87" s="375"/>
      <c r="Q87" s="375"/>
      <c r="R87" s="375"/>
      <c r="S87" s="375"/>
      <c r="T87" s="375" t="s">
        <v>6083</v>
      </c>
      <c r="U87" s="390" t="s">
        <v>6093</v>
      </c>
    </row>
    <row r="88" s="363" customFormat="1" ht="16" customHeight="1" spans="1:21">
      <c r="A88" s="368">
        <v>45926</v>
      </c>
      <c r="B88" s="369">
        <v>1000032525</v>
      </c>
      <c r="C88" s="371" t="s">
        <v>6118</v>
      </c>
      <c r="D88" s="370" t="s">
        <v>102</v>
      </c>
      <c r="E88" s="370">
        <v>20000</v>
      </c>
      <c r="F88" s="371" t="s">
        <v>6096</v>
      </c>
      <c r="G88" s="370" t="s">
        <v>6082</v>
      </c>
      <c r="H88" s="375"/>
      <c r="I88" s="375"/>
      <c r="J88" s="375"/>
      <c r="K88" s="375">
        <v>20000</v>
      </c>
      <c r="L88" s="375"/>
      <c r="M88" s="375"/>
      <c r="N88" s="375"/>
      <c r="O88" s="375"/>
      <c r="P88" s="375"/>
      <c r="Q88" s="375"/>
      <c r="R88" s="375"/>
      <c r="S88" s="375"/>
      <c r="T88" s="375" t="s">
        <v>6083</v>
      </c>
      <c r="U88" s="390" t="s">
        <v>6093</v>
      </c>
    </row>
    <row r="89" s="363" customFormat="1" ht="16" customHeight="1" spans="1:21">
      <c r="A89" s="368">
        <v>45926</v>
      </c>
      <c r="B89" s="369">
        <v>1000032527</v>
      </c>
      <c r="C89" s="371" t="s">
        <v>6118</v>
      </c>
      <c r="D89" s="370" t="s">
        <v>102</v>
      </c>
      <c r="E89" s="370">
        <v>2000</v>
      </c>
      <c r="F89" s="371" t="s">
        <v>6103</v>
      </c>
      <c r="G89" s="370" t="s">
        <v>6088</v>
      </c>
      <c r="H89" s="375"/>
      <c r="I89" s="375"/>
      <c r="J89" s="375"/>
      <c r="K89" s="375"/>
      <c r="L89" s="375">
        <v>2000</v>
      </c>
      <c r="M89" s="375"/>
      <c r="N89" s="375"/>
      <c r="O89" s="375"/>
      <c r="P89" s="375"/>
      <c r="Q89" s="375"/>
      <c r="R89" s="375"/>
      <c r="S89" s="375"/>
      <c r="T89" s="375" t="s">
        <v>6083</v>
      </c>
      <c r="U89" s="390" t="s">
        <v>6093</v>
      </c>
    </row>
    <row r="90" s="363" customFormat="1" ht="16" customHeight="1" spans="1:21">
      <c r="A90" s="368">
        <v>45939</v>
      </c>
      <c r="B90" s="369">
        <v>1000032769</v>
      </c>
      <c r="C90" s="371" t="s">
        <v>6118</v>
      </c>
      <c r="D90" s="370" t="s">
        <v>102</v>
      </c>
      <c r="E90" s="370">
        <v>40000</v>
      </c>
      <c r="F90" s="371" t="s">
        <v>6081</v>
      </c>
      <c r="G90" s="370" t="s">
        <v>6082</v>
      </c>
      <c r="H90" s="375">
        <v>40000</v>
      </c>
      <c r="I90" s="375"/>
      <c r="J90" s="375"/>
      <c r="K90" s="375"/>
      <c r="L90" s="375"/>
      <c r="M90" s="375"/>
      <c r="N90" s="375"/>
      <c r="O90" s="375"/>
      <c r="P90" s="375"/>
      <c r="Q90" s="375"/>
      <c r="R90" s="375"/>
      <c r="S90" s="375"/>
      <c r="T90" s="375" t="s">
        <v>6156</v>
      </c>
      <c r="U90" s="390"/>
    </row>
    <row r="91" s="363" customFormat="1" ht="16" customHeight="1" spans="1:21">
      <c r="A91" s="368">
        <v>45939</v>
      </c>
      <c r="B91" s="369">
        <v>1000032770</v>
      </c>
      <c r="C91" s="371" t="s">
        <v>6118</v>
      </c>
      <c r="D91" s="370" t="s">
        <v>102</v>
      </c>
      <c r="E91" s="370">
        <v>40000</v>
      </c>
      <c r="F91" s="371" t="s">
        <v>6087</v>
      </c>
      <c r="G91" s="370" t="s">
        <v>6088</v>
      </c>
      <c r="H91" s="375"/>
      <c r="I91" s="375"/>
      <c r="J91" s="375">
        <v>40000</v>
      </c>
      <c r="K91" s="375"/>
      <c r="L91" s="375"/>
      <c r="M91" s="375"/>
      <c r="N91" s="375"/>
      <c r="O91" s="375"/>
      <c r="P91" s="375"/>
      <c r="Q91" s="375"/>
      <c r="R91" s="375"/>
      <c r="S91" s="375"/>
      <c r="T91" s="375" t="s">
        <v>6156</v>
      </c>
      <c r="U91" s="390"/>
    </row>
    <row r="92" s="363" customFormat="1" ht="16" customHeight="1" spans="1:21">
      <c r="A92" s="368">
        <v>45939</v>
      </c>
      <c r="B92" s="369">
        <v>1000032771</v>
      </c>
      <c r="C92" s="371" t="s">
        <v>6118</v>
      </c>
      <c r="D92" s="370" t="s">
        <v>102</v>
      </c>
      <c r="E92" s="370">
        <v>60000</v>
      </c>
      <c r="F92" s="371" t="s">
        <v>6091</v>
      </c>
      <c r="G92" s="370" t="s">
        <v>6092</v>
      </c>
      <c r="H92" s="375"/>
      <c r="I92" s="375">
        <v>60000</v>
      </c>
      <c r="J92" s="375"/>
      <c r="K92" s="375"/>
      <c r="L92" s="375"/>
      <c r="M92" s="375"/>
      <c r="N92" s="375"/>
      <c r="O92" s="375"/>
      <c r="P92" s="375"/>
      <c r="Q92" s="375"/>
      <c r="R92" s="375"/>
      <c r="S92" s="375"/>
      <c r="T92" s="375" t="s">
        <v>6083</v>
      </c>
      <c r="U92" s="390"/>
    </row>
    <row r="93" s="363" customFormat="1" ht="16" customHeight="1" spans="1:21">
      <c r="A93" s="368">
        <v>45939</v>
      </c>
      <c r="B93" s="369">
        <v>1000032772</v>
      </c>
      <c r="C93" s="371" t="s">
        <v>6118</v>
      </c>
      <c r="D93" s="370" t="s">
        <v>102</v>
      </c>
      <c r="E93" s="370">
        <v>13000</v>
      </c>
      <c r="F93" s="371" t="s">
        <v>6096</v>
      </c>
      <c r="G93" s="370" t="s">
        <v>6082</v>
      </c>
      <c r="H93" s="375"/>
      <c r="I93" s="375"/>
      <c r="J93" s="375"/>
      <c r="K93" s="375">
        <v>13000</v>
      </c>
      <c r="L93" s="375"/>
      <c r="M93" s="375"/>
      <c r="N93" s="375"/>
      <c r="O93" s="375"/>
      <c r="P93" s="375"/>
      <c r="Q93" s="375"/>
      <c r="R93" s="375"/>
      <c r="S93" s="375"/>
      <c r="T93" s="375" t="s">
        <v>6083</v>
      </c>
      <c r="U93" s="390"/>
    </row>
    <row r="94" s="363" customFormat="1" ht="16" customHeight="1" spans="1:21">
      <c r="A94" s="368">
        <v>45939</v>
      </c>
      <c r="B94" s="369">
        <v>1000032773</v>
      </c>
      <c r="C94" s="371" t="s">
        <v>6118</v>
      </c>
      <c r="D94" s="370" t="s">
        <v>102</v>
      </c>
      <c r="E94" s="370">
        <v>500</v>
      </c>
      <c r="F94" s="371" t="s">
        <v>6103</v>
      </c>
      <c r="G94" s="370" t="s">
        <v>6088</v>
      </c>
      <c r="H94" s="375"/>
      <c r="I94" s="375"/>
      <c r="J94" s="375"/>
      <c r="K94" s="375"/>
      <c r="L94" s="375">
        <v>500</v>
      </c>
      <c r="M94" s="375"/>
      <c r="N94" s="375"/>
      <c r="O94" s="375"/>
      <c r="P94" s="375"/>
      <c r="Q94" s="375"/>
      <c r="R94" s="375"/>
      <c r="S94" s="375"/>
      <c r="T94" s="375" t="s">
        <v>6083</v>
      </c>
      <c r="U94" s="390"/>
    </row>
    <row r="95" s="363" customFormat="1" ht="16" customHeight="1" spans="1:21">
      <c r="A95" s="368">
        <v>45943</v>
      </c>
      <c r="B95" s="369" t="s">
        <v>6215</v>
      </c>
      <c r="C95" s="371" t="s">
        <v>6198</v>
      </c>
      <c r="D95" s="370" t="s">
        <v>102</v>
      </c>
      <c r="E95" s="371">
        <v>100000</v>
      </c>
      <c r="F95" s="371" t="s">
        <v>6081</v>
      </c>
      <c r="G95" s="370" t="s">
        <v>6082</v>
      </c>
      <c r="H95" s="375">
        <v>100000</v>
      </c>
      <c r="I95" s="375"/>
      <c r="J95" s="375"/>
      <c r="K95" s="375"/>
      <c r="L95" s="375"/>
      <c r="M95" s="375"/>
      <c r="N95" s="375"/>
      <c r="O95" s="375"/>
      <c r="P95" s="375"/>
      <c r="Q95" s="375"/>
      <c r="R95" s="375"/>
      <c r="S95" s="375"/>
      <c r="T95" s="375" t="s">
        <v>6156</v>
      </c>
      <c r="U95" s="390" t="s">
        <v>6157</v>
      </c>
    </row>
    <row r="96" s="363" customFormat="1" ht="16" customHeight="1" spans="1:21">
      <c r="A96" s="368">
        <v>45943</v>
      </c>
      <c r="B96" s="369" t="s">
        <v>6216</v>
      </c>
      <c r="C96" s="371" t="s">
        <v>6198</v>
      </c>
      <c r="D96" s="370" t="s">
        <v>102</v>
      </c>
      <c r="E96" s="371">
        <v>100000</v>
      </c>
      <c r="F96" s="371" t="s">
        <v>6091</v>
      </c>
      <c r="G96" s="370" t="s">
        <v>6092</v>
      </c>
      <c r="H96" s="375"/>
      <c r="I96" s="375">
        <v>100000</v>
      </c>
      <c r="J96" s="375"/>
      <c r="K96" s="375"/>
      <c r="L96" s="375"/>
      <c r="M96" s="375"/>
      <c r="N96" s="375"/>
      <c r="O96" s="375"/>
      <c r="P96" s="375"/>
      <c r="Q96" s="375"/>
      <c r="R96" s="375"/>
      <c r="S96" s="375"/>
      <c r="T96" s="375" t="s">
        <v>6083</v>
      </c>
      <c r="U96" s="390" t="s">
        <v>6093</v>
      </c>
    </row>
    <row r="97" s="363" customFormat="1" ht="16" customHeight="1" spans="1:21">
      <c r="A97" s="368">
        <v>45943</v>
      </c>
      <c r="B97" s="369" t="s">
        <v>6217</v>
      </c>
      <c r="C97" s="371" t="s">
        <v>6198</v>
      </c>
      <c r="D97" s="370" t="s">
        <v>102</v>
      </c>
      <c r="E97" s="371">
        <v>2500</v>
      </c>
      <c r="F97" s="371" t="s">
        <v>6096</v>
      </c>
      <c r="G97" s="370" t="s">
        <v>6082</v>
      </c>
      <c r="H97" s="375"/>
      <c r="I97" s="375"/>
      <c r="J97" s="375"/>
      <c r="K97" s="375">
        <v>2500</v>
      </c>
      <c r="L97" s="375"/>
      <c r="M97" s="375"/>
      <c r="N97" s="375"/>
      <c r="O97" s="375"/>
      <c r="P97" s="375"/>
      <c r="Q97" s="375"/>
      <c r="R97" s="375"/>
      <c r="S97" s="375"/>
      <c r="T97" s="375" t="s">
        <v>6083</v>
      </c>
      <c r="U97" s="390" t="s">
        <v>6093</v>
      </c>
    </row>
    <row r="98" s="363" customFormat="1" ht="16" customHeight="1" spans="1:21">
      <c r="A98" s="368">
        <v>45953</v>
      </c>
      <c r="B98" s="369">
        <v>1000033308</v>
      </c>
      <c r="C98" s="371" t="s">
        <v>6118</v>
      </c>
      <c r="D98" s="370" t="s">
        <v>102</v>
      </c>
      <c r="E98" s="371">
        <v>200000</v>
      </c>
      <c r="F98" s="371" t="s">
        <v>6081</v>
      </c>
      <c r="G98" s="370" t="s">
        <v>6082</v>
      </c>
      <c r="H98" s="375">
        <v>200000</v>
      </c>
      <c r="I98" s="375"/>
      <c r="J98" s="375"/>
      <c r="K98" s="375"/>
      <c r="L98" s="375"/>
      <c r="M98" s="375"/>
      <c r="N98" s="375"/>
      <c r="O98" s="375"/>
      <c r="P98" s="375"/>
      <c r="Q98" s="375"/>
      <c r="R98" s="375"/>
      <c r="S98" s="375"/>
      <c r="T98" s="375" t="s">
        <v>6156</v>
      </c>
      <c r="U98" s="390" t="s">
        <v>6157</v>
      </c>
    </row>
    <row r="99" s="363" customFormat="1" ht="16" customHeight="1" spans="1:21">
      <c r="A99" s="368">
        <v>45953</v>
      </c>
      <c r="B99" s="369">
        <v>1000033309</v>
      </c>
      <c r="C99" s="371" t="s">
        <v>6118</v>
      </c>
      <c r="D99" s="370" t="s">
        <v>102</v>
      </c>
      <c r="E99" s="371">
        <v>200000</v>
      </c>
      <c r="F99" s="371" t="s">
        <v>6091</v>
      </c>
      <c r="G99" s="370" t="s">
        <v>6092</v>
      </c>
      <c r="H99" s="375"/>
      <c r="I99" s="375">
        <v>200000</v>
      </c>
      <c r="J99" s="375"/>
      <c r="K99" s="375"/>
      <c r="L99" s="375"/>
      <c r="M99" s="375"/>
      <c r="N99" s="375"/>
      <c r="O99" s="375"/>
      <c r="P99" s="375"/>
      <c r="Q99" s="375"/>
      <c r="R99" s="375"/>
      <c r="S99" s="375"/>
      <c r="T99" s="375" t="s">
        <v>6083</v>
      </c>
      <c r="U99" s="390" t="s">
        <v>6093</v>
      </c>
    </row>
    <row r="100" s="363" customFormat="1" ht="16" customHeight="1" spans="1:21">
      <c r="A100" s="368">
        <v>45953</v>
      </c>
      <c r="B100" s="369">
        <v>1000033310</v>
      </c>
      <c r="C100" s="371" t="s">
        <v>6118</v>
      </c>
      <c r="D100" s="370" t="s">
        <v>102</v>
      </c>
      <c r="E100" s="371">
        <v>20000</v>
      </c>
      <c r="F100" s="371" t="s">
        <v>6096</v>
      </c>
      <c r="G100" s="370" t="s">
        <v>6082</v>
      </c>
      <c r="H100" s="375"/>
      <c r="I100" s="375"/>
      <c r="J100" s="375"/>
      <c r="K100" s="375">
        <v>20000</v>
      </c>
      <c r="L100" s="375"/>
      <c r="M100" s="375"/>
      <c r="N100" s="375"/>
      <c r="O100" s="375"/>
      <c r="P100" s="375"/>
      <c r="Q100" s="375"/>
      <c r="R100" s="375"/>
      <c r="S100" s="375"/>
      <c r="T100" s="375" t="s">
        <v>6083</v>
      </c>
      <c r="U100" s="390" t="s">
        <v>6093</v>
      </c>
    </row>
    <row r="101" s="363" customFormat="1" ht="16" customHeight="1" spans="1:21">
      <c r="A101" s="368">
        <v>45960</v>
      </c>
      <c r="B101" s="369">
        <v>1000033553</v>
      </c>
      <c r="C101" s="371" t="s">
        <v>6118</v>
      </c>
      <c r="D101" s="370" t="s">
        <v>102</v>
      </c>
      <c r="E101" s="370">
        <v>50000</v>
      </c>
      <c r="F101" s="371" t="s">
        <v>6081</v>
      </c>
      <c r="G101" s="370" t="s">
        <v>6082</v>
      </c>
      <c r="H101" s="375">
        <v>50000</v>
      </c>
      <c r="I101" s="375"/>
      <c r="J101" s="375"/>
      <c r="K101" s="375"/>
      <c r="L101" s="375"/>
      <c r="M101" s="375"/>
      <c r="N101" s="375"/>
      <c r="O101" s="375"/>
      <c r="P101" s="375"/>
      <c r="Q101" s="375"/>
      <c r="R101" s="375"/>
      <c r="S101" s="375"/>
      <c r="T101" s="375" t="s">
        <v>6156</v>
      </c>
      <c r="U101" s="390" t="s">
        <v>6157</v>
      </c>
    </row>
    <row r="102" s="363" customFormat="1" ht="16" customHeight="1" spans="1:21">
      <c r="A102" s="368">
        <v>45960</v>
      </c>
      <c r="B102" s="369">
        <v>1000033554</v>
      </c>
      <c r="C102" s="371" t="s">
        <v>6118</v>
      </c>
      <c r="D102" s="370" t="s">
        <v>102</v>
      </c>
      <c r="E102" s="370">
        <v>50000</v>
      </c>
      <c r="F102" s="371" t="s">
        <v>6091</v>
      </c>
      <c r="G102" s="370" t="s">
        <v>6092</v>
      </c>
      <c r="H102" s="375"/>
      <c r="I102" s="375">
        <v>50000</v>
      </c>
      <c r="J102" s="375"/>
      <c r="K102" s="375"/>
      <c r="L102" s="375"/>
      <c r="M102" s="375"/>
      <c r="N102" s="375"/>
      <c r="O102" s="375"/>
      <c r="P102" s="375"/>
      <c r="Q102" s="375"/>
      <c r="R102" s="375"/>
      <c r="S102" s="375"/>
      <c r="T102" s="375" t="s">
        <v>6083</v>
      </c>
      <c r="U102" s="390" t="s">
        <v>6093</v>
      </c>
    </row>
    <row r="103" s="363" customFormat="1" ht="16" customHeight="1" spans="1:21">
      <c r="A103" s="368">
        <v>45960</v>
      </c>
      <c r="B103" s="369">
        <v>1000033555</v>
      </c>
      <c r="C103" s="371" t="s">
        <v>6118</v>
      </c>
      <c r="D103" s="370" t="s">
        <v>102</v>
      </c>
      <c r="E103" s="370">
        <v>10000</v>
      </c>
      <c r="F103" s="371" t="s">
        <v>6096</v>
      </c>
      <c r="G103" s="370" t="s">
        <v>6082</v>
      </c>
      <c r="H103" s="375"/>
      <c r="I103" s="375"/>
      <c r="J103" s="375"/>
      <c r="K103" s="375">
        <v>10000</v>
      </c>
      <c r="L103" s="375"/>
      <c r="M103" s="375"/>
      <c r="N103" s="375"/>
      <c r="O103" s="375"/>
      <c r="P103" s="375"/>
      <c r="Q103" s="375"/>
      <c r="R103" s="375"/>
      <c r="S103" s="375"/>
      <c r="T103" s="375" t="s">
        <v>6083</v>
      </c>
      <c r="U103" s="390" t="s">
        <v>6093</v>
      </c>
    </row>
    <row r="104" s="363" customFormat="1" ht="16" customHeight="1" spans="1:21">
      <c r="A104" s="368">
        <v>45960</v>
      </c>
      <c r="B104" s="369">
        <v>1000033556</v>
      </c>
      <c r="C104" s="371" t="s">
        <v>6118</v>
      </c>
      <c r="D104" s="370" t="s">
        <v>102</v>
      </c>
      <c r="E104" s="370">
        <v>500</v>
      </c>
      <c r="F104" s="371" t="s">
        <v>6103</v>
      </c>
      <c r="G104" s="370" t="s">
        <v>6088</v>
      </c>
      <c r="H104" s="375"/>
      <c r="I104" s="375"/>
      <c r="J104" s="375"/>
      <c r="K104" s="375"/>
      <c r="L104" s="375">
        <v>500</v>
      </c>
      <c r="M104" s="375"/>
      <c r="N104" s="375"/>
      <c r="O104" s="375"/>
      <c r="P104" s="375"/>
      <c r="Q104" s="375"/>
      <c r="R104" s="375"/>
      <c r="S104" s="375"/>
      <c r="T104" s="375" t="s">
        <v>6083</v>
      </c>
      <c r="U104" s="390" t="s">
        <v>6093</v>
      </c>
    </row>
    <row r="105" s="363" customFormat="1" ht="16" customHeight="1" spans="1:21">
      <c r="A105" s="368">
        <v>45964</v>
      </c>
      <c r="B105" s="369" t="s">
        <v>6218</v>
      </c>
      <c r="C105" s="371" t="s">
        <v>6118</v>
      </c>
      <c r="D105" s="370" t="s">
        <v>102</v>
      </c>
      <c r="E105" s="370">
        <v>20000</v>
      </c>
      <c r="F105" s="371" t="s">
        <v>6096</v>
      </c>
      <c r="G105" s="370" t="s">
        <v>6082</v>
      </c>
      <c r="H105" s="375"/>
      <c r="I105" s="375"/>
      <c r="J105" s="375"/>
      <c r="K105" s="375">
        <v>20000</v>
      </c>
      <c r="L105" s="375"/>
      <c r="M105" s="375"/>
      <c r="N105" s="375"/>
      <c r="O105" s="375"/>
      <c r="P105" s="375"/>
      <c r="Q105" s="375"/>
      <c r="R105" s="375"/>
      <c r="S105" s="375"/>
      <c r="T105" s="375" t="s">
        <v>6083</v>
      </c>
      <c r="U105" s="390" t="s">
        <v>6093</v>
      </c>
    </row>
    <row r="106" s="363" customFormat="1" ht="16" customHeight="1" spans="1:21">
      <c r="A106" s="368">
        <v>45960</v>
      </c>
      <c r="B106" s="369" t="s">
        <v>6219</v>
      </c>
      <c r="C106" s="371" t="s">
        <v>6170</v>
      </c>
      <c r="D106" s="370" t="s">
        <v>6106</v>
      </c>
      <c r="E106" s="370">
        <v>20000</v>
      </c>
      <c r="F106" s="371" t="s">
        <v>6107</v>
      </c>
      <c r="G106" s="370" t="s">
        <v>6082</v>
      </c>
      <c r="H106" s="375"/>
      <c r="I106" s="375"/>
      <c r="J106" s="375"/>
      <c r="K106" s="375"/>
      <c r="L106" s="375"/>
      <c r="M106" s="375"/>
      <c r="N106" s="375"/>
      <c r="O106" s="375"/>
      <c r="P106" s="375"/>
      <c r="Q106" s="375"/>
      <c r="R106" s="375">
        <v>20000</v>
      </c>
      <c r="S106" s="375"/>
      <c r="T106" s="375" t="s">
        <v>6212</v>
      </c>
      <c r="U106" s="390" t="s">
        <v>6220</v>
      </c>
    </row>
    <row r="107" s="363" customFormat="1" ht="16" customHeight="1" spans="1:21">
      <c r="A107" s="368">
        <v>45960</v>
      </c>
      <c r="B107" s="369" t="s">
        <v>6221</v>
      </c>
      <c r="C107" s="371" t="s">
        <v>6170</v>
      </c>
      <c r="D107" s="370" t="s">
        <v>6106</v>
      </c>
      <c r="E107" s="370">
        <v>15000</v>
      </c>
      <c r="F107" s="371" t="s">
        <v>6173</v>
      </c>
      <c r="G107" s="370" t="s">
        <v>6092</v>
      </c>
      <c r="H107" s="375"/>
      <c r="I107" s="375"/>
      <c r="J107" s="375"/>
      <c r="K107" s="375"/>
      <c r="L107" s="375"/>
      <c r="M107" s="375"/>
      <c r="N107" s="375"/>
      <c r="O107" s="375"/>
      <c r="P107" s="375"/>
      <c r="Q107" s="375"/>
      <c r="R107" s="375"/>
      <c r="S107" s="375">
        <v>15000</v>
      </c>
      <c r="T107" s="375" t="s">
        <v>68</v>
      </c>
      <c r="U107" s="390" t="s">
        <v>6222</v>
      </c>
    </row>
    <row r="108" s="363" customFormat="1" ht="16" customHeight="1" spans="1:21">
      <c r="A108" s="368">
        <v>45981</v>
      </c>
      <c r="B108" s="369">
        <v>1000034309</v>
      </c>
      <c r="C108" s="371" t="s">
        <v>6118</v>
      </c>
      <c r="D108" s="370" t="s">
        <v>102</v>
      </c>
      <c r="E108" s="370">
        <v>40000</v>
      </c>
      <c r="F108" s="371" t="s">
        <v>6087</v>
      </c>
      <c r="G108" s="370" t="s">
        <v>6088</v>
      </c>
      <c r="H108" s="375"/>
      <c r="I108" s="375"/>
      <c r="J108" s="375">
        <v>40000</v>
      </c>
      <c r="K108" s="375"/>
      <c r="L108" s="375"/>
      <c r="M108" s="375"/>
      <c r="N108" s="375"/>
      <c r="O108" s="375"/>
      <c r="P108" s="375"/>
      <c r="Q108" s="375"/>
      <c r="R108" s="375"/>
      <c r="S108" s="375"/>
      <c r="T108" s="375" t="s">
        <v>6156</v>
      </c>
      <c r="U108" s="390" t="s">
        <v>6157</v>
      </c>
    </row>
    <row r="109" s="363" customFormat="1" ht="16" customHeight="1" spans="1:21">
      <c r="A109" s="368">
        <v>45981</v>
      </c>
      <c r="B109" s="369">
        <v>1000034310</v>
      </c>
      <c r="C109" s="371" t="s">
        <v>6118</v>
      </c>
      <c r="D109" s="370" t="s">
        <v>102</v>
      </c>
      <c r="E109" s="370">
        <v>50000</v>
      </c>
      <c r="F109" s="371" t="s">
        <v>6081</v>
      </c>
      <c r="G109" s="370" t="s">
        <v>6082</v>
      </c>
      <c r="H109" s="375">
        <v>50000</v>
      </c>
      <c r="I109" s="375"/>
      <c r="J109" s="375"/>
      <c r="K109" s="375"/>
      <c r="L109" s="375"/>
      <c r="M109" s="375"/>
      <c r="N109" s="375"/>
      <c r="O109" s="375"/>
      <c r="P109" s="375"/>
      <c r="Q109" s="375"/>
      <c r="R109" s="375"/>
      <c r="S109" s="375"/>
      <c r="T109" s="375" t="s">
        <v>6156</v>
      </c>
      <c r="U109" s="390" t="s">
        <v>6157</v>
      </c>
    </row>
    <row r="110" s="363" customFormat="1" ht="16" customHeight="1" spans="1:21">
      <c r="A110" s="368">
        <v>45981</v>
      </c>
      <c r="B110" s="369">
        <v>1000034311</v>
      </c>
      <c r="C110" s="371" t="s">
        <v>6118</v>
      </c>
      <c r="D110" s="370" t="s">
        <v>102</v>
      </c>
      <c r="E110" s="370">
        <v>50000</v>
      </c>
      <c r="F110" s="371" t="s">
        <v>6091</v>
      </c>
      <c r="G110" s="370" t="s">
        <v>6092</v>
      </c>
      <c r="H110" s="375"/>
      <c r="I110" s="375">
        <v>50000</v>
      </c>
      <c r="J110" s="375"/>
      <c r="K110" s="375"/>
      <c r="L110" s="375"/>
      <c r="M110" s="375"/>
      <c r="N110" s="375"/>
      <c r="O110" s="375"/>
      <c r="P110" s="375"/>
      <c r="Q110" s="375"/>
      <c r="R110" s="375"/>
      <c r="S110" s="375"/>
      <c r="T110" s="375" t="s">
        <v>6083</v>
      </c>
      <c r="U110" s="390" t="s">
        <v>6093</v>
      </c>
    </row>
    <row r="111" s="363" customFormat="1" ht="16" customHeight="1" spans="1:21">
      <c r="A111" s="368">
        <v>45981</v>
      </c>
      <c r="B111" s="369">
        <v>1000034312</v>
      </c>
      <c r="C111" s="371" t="s">
        <v>6118</v>
      </c>
      <c r="D111" s="370" t="s">
        <v>102</v>
      </c>
      <c r="E111" s="370">
        <v>4000</v>
      </c>
      <c r="F111" s="371" t="s">
        <v>6096</v>
      </c>
      <c r="G111" s="370" t="s">
        <v>6082</v>
      </c>
      <c r="H111" s="375"/>
      <c r="I111" s="375"/>
      <c r="J111" s="375"/>
      <c r="K111" s="375">
        <v>4000</v>
      </c>
      <c r="L111" s="375"/>
      <c r="M111" s="375"/>
      <c r="N111" s="375"/>
      <c r="O111" s="375"/>
      <c r="P111" s="375"/>
      <c r="Q111" s="375"/>
      <c r="R111" s="375"/>
      <c r="S111" s="375"/>
      <c r="T111" s="375" t="s">
        <v>6083</v>
      </c>
      <c r="U111" s="390" t="s">
        <v>6093</v>
      </c>
    </row>
    <row r="112" s="363" customFormat="1" ht="16" customHeight="1" spans="1:21">
      <c r="A112" s="368">
        <v>45981</v>
      </c>
      <c r="B112" s="369">
        <v>1000034313</v>
      </c>
      <c r="C112" s="371" t="s">
        <v>6118</v>
      </c>
      <c r="D112" s="370" t="s">
        <v>102</v>
      </c>
      <c r="E112" s="370">
        <v>1500</v>
      </c>
      <c r="F112" s="371" t="s">
        <v>6103</v>
      </c>
      <c r="G112" s="370" t="s">
        <v>6088</v>
      </c>
      <c r="H112" s="375"/>
      <c r="I112" s="375"/>
      <c r="J112" s="375"/>
      <c r="K112" s="375"/>
      <c r="L112" s="375">
        <v>1500</v>
      </c>
      <c r="M112" s="375"/>
      <c r="N112" s="375"/>
      <c r="O112" s="375"/>
      <c r="P112" s="375"/>
      <c r="Q112" s="375"/>
      <c r="R112" s="375"/>
      <c r="S112" s="375"/>
      <c r="T112" s="375" t="s">
        <v>6083</v>
      </c>
      <c r="U112" s="390" t="s">
        <v>6093</v>
      </c>
    </row>
    <row r="113" s="363" customFormat="1" ht="16" customHeight="1" spans="1:21">
      <c r="A113" s="368">
        <v>45989</v>
      </c>
      <c r="B113" s="369" t="s">
        <v>6223</v>
      </c>
      <c r="C113" s="371" t="s">
        <v>6170</v>
      </c>
      <c r="D113" s="370" t="s">
        <v>6106</v>
      </c>
      <c r="E113" s="370">
        <v>74752</v>
      </c>
      <c r="F113" s="371" t="s">
        <v>6107</v>
      </c>
      <c r="G113" s="370" t="s">
        <v>6082</v>
      </c>
      <c r="H113" s="375"/>
      <c r="I113" s="375"/>
      <c r="J113" s="375"/>
      <c r="K113" s="375"/>
      <c r="L113" s="375"/>
      <c r="M113" s="375"/>
      <c r="N113" s="375"/>
      <c r="O113" s="375"/>
      <c r="P113" s="375"/>
      <c r="Q113" s="375"/>
      <c r="R113" s="375">
        <v>74752</v>
      </c>
      <c r="S113" s="375"/>
      <c r="T113" s="375" t="s">
        <v>6212</v>
      </c>
      <c r="U113" s="390" t="s">
        <v>6224</v>
      </c>
    </row>
    <row r="114" s="363" customFormat="1" ht="16" customHeight="1" spans="1:21">
      <c r="A114" s="368">
        <v>45989</v>
      </c>
      <c r="B114" s="369" t="s">
        <v>6225</v>
      </c>
      <c r="C114" s="371" t="s">
        <v>6170</v>
      </c>
      <c r="D114" s="370" t="s">
        <v>6106</v>
      </c>
      <c r="E114" s="370">
        <v>74752</v>
      </c>
      <c r="F114" s="371" t="s">
        <v>6173</v>
      </c>
      <c r="G114" s="370" t="s">
        <v>6092</v>
      </c>
      <c r="H114" s="375"/>
      <c r="I114" s="375"/>
      <c r="J114" s="375"/>
      <c r="K114" s="375"/>
      <c r="L114" s="375"/>
      <c r="M114" s="375"/>
      <c r="N114" s="375"/>
      <c r="O114" s="375"/>
      <c r="P114" s="375"/>
      <c r="Q114" s="375"/>
      <c r="R114" s="375"/>
      <c r="S114" s="375">
        <v>74752</v>
      </c>
      <c r="T114" s="375" t="s">
        <v>68</v>
      </c>
      <c r="U114" s="390" t="s">
        <v>6224</v>
      </c>
    </row>
    <row r="115" s="363" customFormat="1" ht="16" customHeight="1" spans="1:21">
      <c r="A115" s="368">
        <v>45993</v>
      </c>
      <c r="B115" s="369">
        <v>1000034641</v>
      </c>
      <c r="C115" s="371" t="s">
        <v>6118</v>
      </c>
      <c r="D115" s="370" t="s">
        <v>102</v>
      </c>
      <c r="E115" s="370">
        <v>300000</v>
      </c>
      <c r="F115" s="371" t="s">
        <v>6081</v>
      </c>
      <c r="G115" s="370" t="s">
        <v>6082</v>
      </c>
      <c r="H115" s="375">
        <v>300000</v>
      </c>
      <c r="I115" s="375"/>
      <c r="J115" s="375"/>
      <c r="K115" s="375"/>
      <c r="L115" s="375"/>
      <c r="M115" s="375"/>
      <c r="N115" s="375"/>
      <c r="O115" s="375"/>
      <c r="P115" s="375"/>
      <c r="Q115" s="375"/>
      <c r="R115" s="375"/>
      <c r="S115" s="375"/>
      <c r="T115" s="375" t="s">
        <v>6156</v>
      </c>
      <c r="U115" s="390" t="s">
        <v>6157</v>
      </c>
    </row>
    <row r="116" s="363" customFormat="1" ht="16" customHeight="1" spans="1:21">
      <c r="A116" s="368">
        <v>45993</v>
      </c>
      <c r="B116" s="369">
        <v>1000034642</v>
      </c>
      <c r="C116" s="371" t="s">
        <v>6118</v>
      </c>
      <c r="D116" s="370" t="s">
        <v>102</v>
      </c>
      <c r="E116" s="370">
        <v>60000</v>
      </c>
      <c r="F116" s="371" t="s">
        <v>6087</v>
      </c>
      <c r="G116" s="370" t="s">
        <v>6088</v>
      </c>
      <c r="H116" s="375"/>
      <c r="I116" s="375"/>
      <c r="J116" s="375">
        <v>60000</v>
      </c>
      <c r="K116" s="375"/>
      <c r="L116" s="375"/>
      <c r="M116" s="375"/>
      <c r="N116" s="375"/>
      <c r="O116" s="375"/>
      <c r="P116" s="375"/>
      <c r="Q116" s="375"/>
      <c r="R116" s="375"/>
      <c r="S116" s="375"/>
      <c r="T116" s="375" t="s">
        <v>6156</v>
      </c>
      <c r="U116" s="390" t="s">
        <v>6157</v>
      </c>
    </row>
    <row r="117" s="363" customFormat="1" ht="16" customHeight="1" spans="1:21">
      <c r="A117" s="368">
        <v>45993</v>
      </c>
      <c r="B117" s="369">
        <v>1000034643</v>
      </c>
      <c r="C117" s="371" t="s">
        <v>6118</v>
      </c>
      <c r="D117" s="370" t="s">
        <v>102</v>
      </c>
      <c r="E117" s="370">
        <v>360000</v>
      </c>
      <c r="F117" s="371" t="s">
        <v>6091</v>
      </c>
      <c r="G117" s="370" t="s">
        <v>6092</v>
      </c>
      <c r="H117" s="375"/>
      <c r="I117" s="375">
        <v>360000</v>
      </c>
      <c r="J117" s="375"/>
      <c r="K117" s="375"/>
      <c r="L117" s="375"/>
      <c r="M117" s="375"/>
      <c r="N117" s="375"/>
      <c r="O117" s="375"/>
      <c r="P117" s="375"/>
      <c r="Q117" s="375"/>
      <c r="R117" s="375"/>
      <c r="S117" s="375"/>
      <c r="T117" s="375" t="s">
        <v>6083</v>
      </c>
      <c r="U117" s="390" t="s">
        <v>6093</v>
      </c>
    </row>
    <row r="118" s="363" customFormat="1" ht="16" customHeight="1" spans="1:21">
      <c r="A118" s="368">
        <v>45993</v>
      </c>
      <c r="B118" s="369">
        <v>1000034644</v>
      </c>
      <c r="C118" s="371" t="s">
        <v>6118</v>
      </c>
      <c r="D118" s="370" t="s">
        <v>102</v>
      </c>
      <c r="E118" s="370">
        <v>31000</v>
      </c>
      <c r="F118" s="371" t="s">
        <v>6096</v>
      </c>
      <c r="G118" s="370" t="s">
        <v>6082</v>
      </c>
      <c r="H118" s="375"/>
      <c r="I118" s="375"/>
      <c r="J118" s="375"/>
      <c r="K118" s="375">
        <v>31000</v>
      </c>
      <c r="L118" s="375"/>
      <c r="M118" s="375"/>
      <c r="N118" s="375"/>
      <c r="O118" s="375"/>
      <c r="P118" s="375"/>
      <c r="Q118" s="375"/>
      <c r="R118" s="375"/>
      <c r="S118" s="375"/>
      <c r="T118" s="375" t="s">
        <v>6083</v>
      </c>
      <c r="U118" s="390" t="s">
        <v>6093</v>
      </c>
    </row>
    <row r="119" s="363" customFormat="1" ht="16" customHeight="1" spans="1:21">
      <c r="A119" s="368">
        <v>45993</v>
      </c>
      <c r="B119" s="369">
        <v>1000034645</v>
      </c>
      <c r="C119" s="371" t="s">
        <v>6118</v>
      </c>
      <c r="D119" s="370" t="s">
        <v>102</v>
      </c>
      <c r="E119" s="370">
        <v>3000</v>
      </c>
      <c r="F119" s="371" t="s">
        <v>6103</v>
      </c>
      <c r="G119" s="370" t="s">
        <v>6088</v>
      </c>
      <c r="H119" s="375"/>
      <c r="I119" s="375"/>
      <c r="J119" s="375"/>
      <c r="K119" s="375"/>
      <c r="L119" s="375">
        <v>3000</v>
      </c>
      <c r="M119" s="375"/>
      <c r="N119" s="375"/>
      <c r="O119" s="375"/>
      <c r="P119" s="375"/>
      <c r="Q119" s="375"/>
      <c r="R119" s="375"/>
      <c r="S119" s="375"/>
      <c r="T119" s="375" t="s">
        <v>6083</v>
      </c>
      <c r="U119" s="390" t="s">
        <v>6093</v>
      </c>
    </row>
    <row r="120" s="363" customFormat="1" ht="16" customHeight="1" spans="1:21">
      <c r="A120" s="368">
        <v>46006</v>
      </c>
      <c r="B120" s="369">
        <v>1000034955</v>
      </c>
      <c r="C120" s="371" t="s">
        <v>6118</v>
      </c>
      <c r="D120" s="370" t="s">
        <v>102</v>
      </c>
      <c r="E120" s="370">
        <v>20000</v>
      </c>
      <c r="F120" s="371" t="s">
        <v>6096</v>
      </c>
      <c r="G120" s="370" t="s">
        <v>6082</v>
      </c>
      <c r="H120" s="375"/>
      <c r="I120" s="375"/>
      <c r="J120" s="375"/>
      <c r="K120" s="375">
        <v>20000</v>
      </c>
      <c r="L120" s="375"/>
      <c r="M120" s="375"/>
      <c r="N120" s="375"/>
      <c r="O120" s="375"/>
      <c r="P120" s="375"/>
      <c r="Q120" s="375"/>
      <c r="R120" s="375"/>
      <c r="S120" s="375"/>
      <c r="T120" s="375" t="s">
        <v>6083</v>
      </c>
      <c r="U120" s="390" t="s">
        <v>6093</v>
      </c>
    </row>
    <row r="121" s="363" customFormat="1" ht="16" customHeight="1" spans="1:21">
      <c r="A121" s="368">
        <v>46006</v>
      </c>
      <c r="B121" s="369">
        <v>1000034956</v>
      </c>
      <c r="C121" s="371" t="s">
        <v>6118</v>
      </c>
      <c r="D121" s="370" t="s">
        <v>102</v>
      </c>
      <c r="E121" s="370">
        <v>2000</v>
      </c>
      <c r="F121" s="371" t="s">
        <v>6103</v>
      </c>
      <c r="G121" s="370" t="s">
        <v>6088</v>
      </c>
      <c r="H121" s="375"/>
      <c r="I121" s="375"/>
      <c r="J121" s="375"/>
      <c r="K121" s="375"/>
      <c r="L121" s="375">
        <v>2000</v>
      </c>
      <c r="M121" s="375"/>
      <c r="N121" s="375"/>
      <c r="O121" s="375"/>
      <c r="P121" s="375"/>
      <c r="Q121" s="375"/>
      <c r="R121" s="375"/>
      <c r="S121" s="375"/>
      <c r="T121" s="375" t="s">
        <v>6083</v>
      </c>
      <c r="U121" s="390" t="s">
        <v>6093</v>
      </c>
    </row>
    <row r="122" s="363" customFormat="1" ht="16" customHeight="1" spans="1:21">
      <c r="A122" s="368">
        <v>46010</v>
      </c>
      <c r="B122" s="369" t="s">
        <v>6226</v>
      </c>
      <c r="C122" s="371" t="s">
        <v>6170</v>
      </c>
      <c r="D122" s="370" t="s">
        <v>6106</v>
      </c>
      <c r="E122" s="370">
        <v>20000</v>
      </c>
      <c r="F122" s="371" t="s">
        <v>6107</v>
      </c>
      <c r="G122" s="370" t="s">
        <v>6082</v>
      </c>
      <c r="H122" s="375"/>
      <c r="I122" s="375"/>
      <c r="J122" s="375"/>
      <c r="K122" s="375"/>
      <c r="L122" s="375"/>
      <c r="M122" s="375"/>
      <c r="N122" s="375"/>
      <c r="O122" s="375"/>
      <c r="P122" s="375"/>
      <c r="Q122" s="375"/>
      <c r="R122" s="375">
        <v>20000</v>
      </c>
      <c r="S122" s="375"/>
      <c r="T122" s="375" t="s">
        <v>6108</v>
      </c>
      <c r="U122" s="390" t="s">
        <v>6227</v>
      </c>
    </row>
    <row r="123" s="363" customFormat="1" ht="16" customHeight="1" spans="1:21">
      <c r="A123" s="368">
        <v>46010</v>
      </c>
      <c r="B123" s="369" t="s">
        <v>6228</v>
      </c>
      <c r="C123" s="371" t="s">
        <v>6170</v>
      </c>
      <c r="D123" s="370" t="s">
        <v>6106</v>
      </c>
      <c r="E123" s="370">
        <v>20000</v>
      </c>
      <c r="F123" s="371" t="s">
        <v>6173</v>
      </c>
      <c r="G123" s="370" t="s">
        <v>6092</v>
      </c>
      <c r="H123" s="375"/>
      <c r="I123" s="375"/>
      <c r="J123" s="375"/>
      <c r="K123" s="375"/>
      <c r="L123" s="375"/>
      <c r="M123" s="375"/>
      <c r="N123" s="375"/>
      <c r="O123" s="375"/>
      <c r="P123" s="375"/>
      <c r="Q123" s="375"/>
      <c r="R123" s="375"/>
      <c r="S123" s="375">
        <v>20000</v>
      </c>
      <c r="T123" s="375" t="s">
        <v>6108</v>
      </c>
      <c r="U123" s="390" t="s">
        <v>6227</v>
      </c>
    </row>
    <row r="124" s="363" customFormat="1" ht="16" customHeight="1" spans="1:21">
      <c r="A124" s="368">
        <v>46022</v>
      </c>
      <c r="B124" s="369" t="s">
        <v>6229</v>
      </c>
      <c r="C124" s="371" t="s">
        <v>6170</v>
      </c>
      <c r="D124" s="370" t="s">
        <v>6106</v>
      </c>
      <c r="E124" s="370">
        <v>63252</v>
      </c>
      <c r="F124" s="371" t="s">
        <v>6107</v>
      </c>
      <c r="G124" s="370" t="s">
        <v>6082</v>
      </c>
      <c r="H124" s="375"/>
      <c r="I124" s="375"/>
      <c r="J124" s="375"/>
      <c r="K124" s="375"/>
      <c r="L124" s="375"/>
      <c r="M124" s="375"/>
      <c r="N124" s="375"/>
      <c r="O124" s="375"/>
      <c r="P124" s="375"/>
      <c r="Q124" s="375"/>
      <c r="R124" s="375">
        <v>63252</v>
      </c>
      <c r="S124" s="375"/>
      <c r="T124" s="375" t="s">
        <v>6108</v>
      </c>
      <c r="U124" s="390" t="s">
        <v>6230</v>
      </c>
    </row>
    <row r="125" s="363" customFormat="1" ht="16" customHeight="1" spans="1:21">
      <c r="A125" s="368">
        <v>46022</v>
      </c>
      <c r="B125" s="369" t="s">
        <v>6231</v>
      </c>
      <c r="C125" s="371" t="s">
        <v>6170</v>
      </c>
      <c r="D125" s="370" t="s">
        <v>6106</v>
      </c>
      <c r="E125" s="370">
        <v>63252</v>
      </c>
      <c r="F125" s="371" t="s">
        <v>6173</v>
      </c>
      <c r="G125" s="370" t="s">
        <v>6092</v>
      </c>
      <c r="H125" s="375"/>
      <c r="I125" s="375"/>
      <c r="J125" s="375"/>
      <c r="K125" s="375"/>
      <c r="L125" s="375"/>
      <c r="M125" s="375"/>
      <c r="N125" s="375"/>
      <c r="O125" s="375"/>
      <c r="P125" s="375"/>
      <c r="Q125" s="375"/>
      <c r="R125" s="375"/>
      <c r="S125" s="375">
        <v>63252</v>
      </c>
      <c r="T125" s="375" t="s">
        <v>6108</v>
      </c>
      <c r="U125" s="390" t="s">
        <v>6230</v>
      </c>
    </row>
    <row r="126" s="363" customFormat="1" ht="16" customHeight="1" spans="1:21">
      <c r="A126" s="368">
        <v>46022</v>
      </c>
      <c r="B126" s="369">
        <v>1000035552</v>
      </c>
      <c r="C126" s="371" t="s">
        <v>6118</v>
      </c>
      <c r="D126" s="370" t="s">
        <v>102</v>
      </c>
      <c r="E126" s="370">
        <v>150000</v>
      </c>
      <c r="F126" s="371" t="s">
        <v>6081</v>
      </c>
      <c r="G126" s="370" t="s">
        <v>6082</v>
      </c>
      <c r="H126" s="370">
        <v>150000</v>
      </c>
      <c r="I126" s="375"/>
      <c r="J126" s="375"/>
      <c r="K126" s="375"/>
      <c r="L126" s="375"/>
      <c r="M126" s="375"/>
      <c r="N126" s="375"/>
      <c r="O126" s="375"/>
      <c r="P126" s="375"/>
      <c r="Q126" s="375"/>
      <c r="R126" s="375"/>
      <c r="S126" s="375"/>
      <c r="T126" s="375"/>
      <c r="U126" s="390"/>
    </row>
    <row r="127" s="363" customFormat="1" ht="16" customHeight="1" spans="1:21">
      <c r="A127" s="368">
        <v>46022</v>
      </c>
      <c r="B127" s="369">
        <v>1000035553</v>
      </c>
      <c r="C127" s="371" t="s">
        <v>6118</v>
      </c>
      <c r="D127" s="370" t="s">
        <v>102</v>
      </c>
      <c r="E127" s="370">
        <v>50000</v>
      </c>
      <c r="F127" s="371" t="s">
        <v>6087</v>
      </c>
      <c r="G127" s="370" t="s">
        <v>6088</v>
      </c>
      <c r="H127" s="375"/>
      <c r="I127" s="375"/>
      <c r="J127" s="370">
        <v>50000</v>
      </c>
      <c r="K127" s="375"/>
      <c r="L127" s="375"/>
      <c r="M127" s="375"/>
      <c r="N127" s="375"/>
      <c r="O127" s="375"/>
      <c r="P127" s="375"/>
      <c r="Q127" s="375"/>
      <c r="R127" s="375"/>
      <c r="S127" s="375"/>
      <c r="T127" s="375"/>
      <c r="U127" s="390"/>
    </row>
    <row r="128" s="363" customFormat="1" ht="16" customHeight="1" spans="1:21">
      <c r="A128" s="368">
        <v>46022</v>
      </c>
      <c r="B128" s="369">
        <v>1000035554</v>
      </c>
      <c r="C128" s="371" t="s">
        <v>6118</v>
      </c>
      <c r="D128" s="370" t="s">
        <v>102</v>
      </c>
      <c r="E128" s="370">
        <v>200000</v>
      </c>
      <c r="F128" s="371" t="s">
        <v>6091</v>
      </c>
      <c r="G128" s="370" t="s">
        <v>6092</v>
      </c>
      <c r="H128" s="375"/>
      <c r="I128" s="370">
        <v>200000</v>
      </c>
      <c r="J128" s="375"/>
      <c r="K128" s="375"/>
      <c r="L128" s="375"/>
      <c r="M128" s="375"/>
      <c r="N128" s="375"/>
      <c r="O128" s="375"/>
      <c r="P128" s="375"/>
      <c r="Q128" s="375"/>
      <c r="R128" s="375"/>
      <c r="S128" s="375"/>
      <c r="T128" s="375"/>
      <c r="U128" s="390"/>
    </row>
    <row r="129" s="363" customFormat="1" ht="16" customHeight="1" spans="1:21">
      <c r="A129" s="368">
        <v>46022</v>
      </c>
      <c r="B129" s="369">
        <v>1000035555</v>
      </c>
      <c r="C129" s="371" t="s">
        <v>6118</v>
      </c>
      <c r="D129" s="370" t="s">
        <v>102</v>
      </c>
      <c r="E129" s="370">
        <v>13000</v>
      </c>
      <c r="F129" s="371" t="s">
        <v>6096</v>
      </c>
      <c r="G129" s="370" t="s">
        <v>6082</v>
      </c>
      <c r="H129" s="375"/>
      <c r="I129" s="375"/>
      <c r="J129" s="375"/>
      <c r="K129" s="370">
        <v>13000</v>
      </c>
      <c r="L129" s="375"/>
      <c r="M129" s="375"/>
      <c r="N129" s="375"/>
      <c r="O129" s="375"/>
      <c r="P129" s="375"/>
      <c r="Q129" s="375"/>
      <c r="R129" s="375"/>
      <c r="S129" s="375"/>
      <c r="T129" s="375"/>
      <c r="U129" s="390"/>
    </row>
    <row r="130" s="363" customFormat="1" ht="16" customHeight="1" spans="1:21">
      <c r="A130" s="368">
        <v>46022</v>
      </c>
      <c r="B130" s="369">
        <v>1000035556</v>
      </c>
      <c r="C130" s="371" t="s">
        <v>6118</v>
      </c>
      <c r="D130" s="370" t="s">
        <v>102</v>
      </c>
      <c r="E130" s="370">
        <v>1500</v>
      </c>
      <c r="F130" s="371" t="s">
        <v>6103</v>
      </c>
      <c r="G130" s="370" t="s">
        <v>6088</v>
      </c>
      <c r="H130" s="375"/>
      <c r="I130" s="375"/>
      <c r="J130" s="375"/>
      <c r="K130" s="375"/>
      <c r="L130" s="370">
        <v>1500</v>
      </c>
      <c r="M130" s="375"/>
      <c r="N130" s="375"/>
      <c r="O130" s="375"/>
      <c r="P130" s="375"/>
      <c r="Q130" s="375"/>
      <c r="R130" s="375"/>
      <c r="S130" s="375"/>
      <c r="T130" s="375"/>
      <c r="U130" s="390"/>
    </row>
    <row r="131" s="363" customFormat="1" ht="16" customHeight="1" spans="1:21">
      <c r="A131" s="368">
        <v>46029</v>
      </c>
      <c r="B131" s="369" t="s">
        <v>6232</v>
      </c>
      <c r="C131" s="371" t="s">
        <v>6118</v>
      </c>
      <c r="D131" s="370" t="s">
        <v>6096</v>
      </c>
      <c r="E131" s="370">
        <v>25000</v>
      </c>
      <c r="F131" s="371" t="s">
        <v>6096</v>
      </c>
      <c r="G131" s="370" t="s">
        <v>6082</v>
      </c>
      <c r="H131" s="375"/>
      <c r="I131" s="375"/>
      <c r="J131" s="375"/>
      <c r="K131" s="375">
        <v>25000</v>
      </c>
      <c r="L131" s="370"/>
      <c r="M131" s="375"/>
      <c r="N131" s="375"/>
      <c r="O131" s="375"/>
      <c r="P131" s="375"/>
      <c r="Q131" s="375"/>
      <c r="R131" s="375"/>
      <c r="S131" s="375"/>
      <c r="T131" s="375"/>
      <c r="U131" s="390"/>
    </row>
    <row r="132" s="364" customFormat="1" ht="16" customHeight="1" spans="1:21">
      <c r="A132" s="391">
        <v>46044</v>
      </c>
      <c r="B132" s="392"/>
      <c r="C132" s="394" t="s">
        <v>6118</v>
      </c>
      <c r="D132" s="393" t="s">
        <v>102</v>
      </c>
      <c r="E132" s="393">
        <v>20000</v>
      </c>
      <c r="F132" s="394" t="s">
        <v>6096</v>
      </c>
      <c r="G132" s="393" t="s">
        <v>6082</v>
      </c>
      <c r="H132" s="395"/>
      <c r="I132" s="395"/>
      <c r="J132" s="395"/>
      <c r="K132" s="395">
        <v>20000</v>
      </c>
      <c r="L132" s="393"/>
      <c r="M132" s="395"/>
      <c r="N132" s="395"/>
      <c r="O132" s="395"/>
      <c r="P132" s="395"/>
      <c r="Q132" s="395"/>
      <c r="R132" s="395"/>
      <c r="S132" s="395"/>
      <c r="T132" s="395" t="s">
        <v>6083</v>
      </c>
      <c r="U132" s="396" t="s">
        <v>6093</v>
      </c>
    </row>
    <row r="133" s="364" customFormat="1" ht="16" customHeight="1" spans="1:21">
      <c r="A133" s="391">
        <v>46063</v>
      </c>
      <c r="B133" s="392" t="s">
        <v>6233</v>
      </c>
      <c r="C133" s="394" t="s">
        <v>6234</v>
      </c>
      <c r="D133" s="393" t="s">
        <v>6235</v>
      </c>
      <c r="E133" s="393">
        <v>42004</v>
      </c>
      <c r="F133" s="394" t="s">
        <v>6107</v>
      </c>
      <c r="G133" s="393" t="s">
        <v>6082</v>
      </c>
      <c r="H133" s="395"/>
      <c r="I133" s="395"/>
      <c r="J133" s="395"/>
      <c r="K133" s="395"/>
      <c r="L133" s="393"/>
      <c r="M133" s="395"/>
      <c r="N133" s="395"/>
      <c r="O133" s="395"/>
      <c r="P133" s="395"/>
      <c r="Q133" s="395"/>
      <c r="R133" s="395">
        <v>42004</v>
      </c>
      <c r="S133" s="395"/>
      <c r="T133" s="395" t="s">
        <v>6212</v>
      </c>
      <c r="U133" s="396" t="s">
        <v>6236</v>
      </c>
    </row>
    <row r="134" s="364" customFormat="1" ht="16" customHeight="1" spans="1:21">
      <c r="A134" s="391">
        <v>46063</v>
      </c>
      <c r="B134" s="392" t="s">
        <v>6237</v>
      </c>
      <c r="C134" s="394" t="s">
        <v>6234</v>
      </c>
      <c r="D134" s="393" t="s">
        <v>6235</v>
      </c>
      <c r="E134" s="393">
        <v>42004</v>
      </c>
      <c r="F134" s="394" t="s">
        <v>6173</v>
      </c>
      <c r="G134" s="393" t="s">
        <v>6092</v>
      </c>
      <c r="H134" s="395"/>
      <c r="I134" s="395"/>
      <c r="J134" s="395"/>
      <c r="K134" s="395"/>
      <c r="L134" s="393"/>
      <c r="M134" s="395"/>
      <c r="N134" s="395"/>
      <c r="O134" s="395"/>
      <c r="P134" s="395"/>
      <c r="Q134" s="395"/>
      <c r="R134" s="395"/>
      <c r="S134" s="395">
        <v>42004</v>
      </c>
      <c r="T134" s="395" t="s">
        <v>68</v>
      </c>
      <c r="U134" s="396" t="s">
        <v>6236</v>
      </c>
    </row>
    <row r="135" s="364" customFormat="1" ht="16" customHeight="1" spans="1:21">
      <c r="A135" s="391"/>
      <c r="B135" s="392"/>
      <c r="C135" s="394"/>
      <c r="D135" s="393"/>
      <c r="E135" s="393"/>
      <c r="F135" s="394"/>
      <c r="G135" s="393"/>
      <c r="H135" s="395"/>
      <c r="I135" s="395"/>
      <c r="J135" s="395"/>
      <c r="K135" s="395"/>
      <c r="L135" s="393"/>
      <c r="M135" s="395"/>
      <c r="N135" s="395"/>
      <c r="O135" s="395"/>
      <c r="P135" s="395"/>
      <c r="Q135" s="395"/>
      <c r="R135" s="395"/>
      <c r="S135" s="395"/>
      <c r="T135" s="395"/>
      <c r="U135" s="396"/>
    </row>
    <row r="136" s="364" customFormat="1" ht="16" customHeight="1" spans="1:21">
      <c r="A136" s="391"/>
      <c r="B136" s="392"/>
      <c r="C136" s="394"/>
      <c r="D136" s="393"/>
      <c r="E136" s="393"/>
      <c r="F136" s="394"/>
      <c r="G136" s="393"/>
      <c r="H136" s="395"/>
      <c r="I136" s="395"/>
      <c r="J136" s="395"/>
      <c r="K136" s="395"/>
      <c r="L136" s="393"/>
      <c r="M136" s="395"/>
      <c r="N136" s="395"/>
      <c r="O136" s="395"/>
      <c r="P136" s="395"/>
      <c r="Q136" s="395"/>
      <c r="R136" s="395"/>
      <c r="S136" s="395"/>
      <c r="T136" s="395"/>
      <c r="U136" s="396"/>
    </row>
    <row r="137" s="364" customFormat="1" ht="16" customHeight="1" spans="1:21">
      <c r="A137" s="391"/>
      <c r="B137" s="392"/>
      <c r="C137" s="394"/>
      <c r="D137" s="393"/>
      <c r="E137" s="393"/>
      <c r="F137" s="394"/>
      <c r="G137" s="393"/>
      <c r="H137" s="395"/>
      <c r="I137" s="395"/>
      <c r="J137" s="395"/>
      <c r="K137" s="395"/>
      <c r="L137" s="393"/>
      <c r="M137" s="395"/>
      <c r="N137" s="395"/>
      <c r="O137" s="395"/>
      <c r="P137" s="395"/>
      <c r="Q137" s="395"/>
      <c r="R137" s="395"/>
      <c r="S137" s="395"/>
      <c r="T137" s="395"/>
      <c r="U137" s="396"/>
    </row>
    <row r="138" s="364" customFormat="1" ht="15" customHeight="1" spans="1:21">
      <c r="A138" s="391"/>
      <c r="B138" s="392"/>
      <c r="C138" s="394"/>
      <c r="D138" s="393"/>
      <c r="E138" s="393"/>
      <c r="F138" s="394"/>
      <c r="G138" s="393"/>
      <c r="H138" s="395"/>
      <c r="I138" s="395"/>
      <c r="J138" s="395"/>
      <c r="K138" s="395"/>
      <c r="L138" s="395"/>
      <c r="M138" s="395"/>
      <c r="N138" s="395"/>
      <c r="O138" s="395"/>
      <c r="P138" s="395"/>
      <c r="Q138" s="395"/>
      <c r="R138" s="395"/>
      <c r="S138" s="395"/>
      <c r="T138" s="395"/>
      <c r="U138" s="396"/>
    </row>
    <row r="139" s="364" customFormat="1" ht="16" customHeight="1" spans="1:21">
      <c r="A139" s="391"/>
      <c r="B139" s="392"/>
      <c r="C139" s="394"/>
      <c r="D139" s="393"/>
      <c r="E139" s="393"/>
      <c r="F139" s="394"/>
      <c r="G139" s="393"/>
      <c r="H139" s="395"/>
      <c r="I139" s="395"/>
      <c r="J139" s="395"/>
      <c r="K139" s="395"/>
      <c r="L139" s="395"/>
      <c r="M139" s="395"/>
      <c r="N139" s="395"/>
      <c r="O139" s="395"/>
      <c r="P139" s="395"/>
      <c r="Q139" s="395"/>
      <c r="R139" s="395"/>
      <c r="S139" s="395"/>
      <c r="T139" s="395"/>
      <c r="U139" s="396"/>
    </row>
    <row r="140" spans="1:21">
      <c r="A140" s="398"/>
      <c r="B140" s="370"/>
      <c r="C140" s="399"/>
      <c r="D140" s="399"/>
      <c r="E140" s="399"/>
      <c r="F140" s="400" t="s">
        <v>6238</v>
      </c>
      <c r="G140" s="400"/>
      <c r="H140" s="402"/>
      <c r="I140" s="402"/>
      <c r="J140" s="402"/>
      <c r="K140" s="402"/>
      <c r="L140" s="402"/>
      <c r="M140" s="402">
        <v>93350</v>
      </c>
      <c r="N140" s="402">
        <v>108350</v>
      </c>
      <c r="O140" s="402">
        <v>58022</v>
      </c>
      <c r="P140" s="402">
        <v>23550</v>
      </c>
      <c r="Q140" s="402">
        <v>23550</v>
      </c>
      <c r="R140" s="402"/>
      <c r="S140" s="402"/>
      <c r="T140" s="402"/>
      <c r="U140" s="416"/>
    </row>
    <row r="141" spans="1:21">
      <c r="A141" s="401"/>
      <c r="B141" s="402"/>
      <c r="C141" s="402"/>
      <c r="D141" s="403"/>
      <c r="E141" s="403"/>
      <c r="F141" s="404"/>
      <c r="G141" s="403"/>
      <c r="H141" s="402"/>
      <c r="I141" s="402"/>
      <c r="J141" s="402"/>
      <c r="K141" s="402"/>
      <c r="L141" s="402"/>
      <c r="M141" s="402"/>
      <c r="N141" s="402"/>
      <c r="O141" s="402"/>
      <c r="P141" s="402"/>
      <c r="Q141" s="402"/>
      <c r="R141" s="402"/>
      <c r="S141" s="402"/>
      <c r="T141" s="402"/>
      <c r="U141" s="416"/>
    </row>
    <row r="142" spans="1:21">
      <c r="A142" s="405" t="s">
        <v>6239</v>
      </c>
      <c r="B142" s="406"/>
      <c r="C142" s="406"/>
      <c r="D142" s="406"/>
      <c r="E142" s="406"/>
      <c r="F142" s="406"/>
      <c r="G142" s="407"/>
      <c r="H142" s="413">
        <f>SUM(H3:H141)</f>
        <v>1300000</v>
      </c>
      <c r="I142" s="413">
        <f t="shared" ref="H142:U142" si="0">SUM(I3:I141)</f>
        <v>1750000</v>
      </c>
      <c r="J142" s="413">
        <f t="shared" si="0"/>
        <v>440000</v>
      </c>
      <c r="K142" s="413">
        <f t="shared" si="0"/>
        <v>298902</v>
      </c>
      <c r="L142" s="413">
        <f t="shared" si="0"/>
        <v>42000</v>
      </c>
      <c r="M142" s="413">
        <f t="shared" si="0"/>
        <v>133350</v>
      </c>
      <c r="N142" s="413">
        <f t="shared" si="0"/>
        <v>133350</v>
      </c>
      <c r="O142" s="413">
        <f t="shared" si="0"/>
        <v>110334</v>
      </c>
      <c r="P142" s="413">
        <f t="shared" si="0"/>
        <v>133350</v>
      </c>
      <c r="Q142" s="413">
        <f t="shared" si="0"/>
        <v>133350</v>
      </c>
      <c r="R142" s="413">
        <f t="shared" si="0"/>
        <v>412412</v>
      </c>
      <c r="S142" s="413">
        <f t="shared" si="0"/>
        <v>407412</v>
      </c>
      <c r="T142" s="413">
        <f t="shared" si="0"/>
        <v>0</v>
      </c>
      <c r="U142" s="417"/>
    </row>
    <row r="143" spans="1:21">
      <c r="A143" s="408"/>
      <c r="B143" s="409"/>
      <c r="C143" s="409"/>
      <c r="D143" s="409"/>
      <c r="E143" s="409"/>
      <c r="F143" s="409"/>
      <c r="G143" s="410"/>
      <c r="H143" s="414"/>
      <c r="I143" s="414"/>
      <c r="J143" s="414"/>
      <c r="K143" s="414"/>
      <c r="L143" s="414"/>
      <c r="M143" s="414"/>
      <c r="N143" s="414"/>
      <c r="O143" s="414"/>
      <c r="P143" s="414"/>
      <c r="Q143" s="414"/>
      <c r="R143" s="414"/>
      <c r="S143" s="414"/>
      <c r="T143" s="414"/>
      <c r="U143" s="418"/>
    </row>
    <row r="144" spans="1:21">
      <c r="A144" s="405" t="s">
        <v>6240</v>
      </c>
      <c r="B144" s="406"/>
      <c r="C144" s="406"/>
      <c r="D144" s="406"/>
      <c r="E144" s="406"/>
      <c r="F144" s="406"/>
      <c r="G144" s="407"/>
      <c r="H144" s="413">
        <f>'77673'!AP924</f>
        <v>1092472</v>
      </c>
      <c r="I144" s="413">
        <f>'77673'!AR924</f>
        <v>1332194</v>
      </c>
      <c r="J144" s="413">
        <f>'77673'!AQ924</f>
        <v>355998</v>
      </c>
      <c r="K144" s="413">
        <f>'77673'!BD924</f>
        <v>293520</v>
      </c>
      <c r="L144" s="413">
        <f>'77673'!BE924</f>
        <v>41303</v>
      </c>
      <c r="M144" s="413">
        <f>'77673'!AW924</f>
        <v>277350</v>
      </c>
      <c r="N144" s="413">
        <f>'77673'!AX924</f>
        <v>277350</v>
      </c>
      <c r="O144" s="413">
        <f>'77673'!BJ924</f>
        <v>205598</v>
      </c>
      <c r="P144" s="413">
        <f>'77673'!AW924</f>
        <v>277350</v>
      </c>
      <c r="Q144" s="413">
        <f>'77673'!AX924</f>
        <v>277350</v>
      </c>
      <c r="R144" s="413">
        <f>'77673'!BB924</f>
        <v>468060</v>
      </c>
      <c r="S144" s="413">
        <f>'77673'!BC924</f>
        <v>468060</v>
      </c>
      <c r="T144" s="413"/>
      <c r="U144" s="417"/>
    </row>
    <row r="145" spans="1:21">
      <c r="A145" s="411"/>
      <c r="B145" s="411"/>
      <c r="C145" s="411"/>
      <c r="D145" s="411"/>
      <c r="E145" s="411"/>
      <c r="F145" s="412"/>
      <c r="G145" s="412"/>
      <c r="H145" s="414"/>
      <c r="I145" s="414"/>
      <c r="J145" s="414"/>
      <c r="K145" s="414"/>
      <c r="L145" s="414"/>
      <c r="M145" s="414"/>
      <c r="N145" s="414"/>
      <c r="O145" s="414"/>
      <c r="P145" s="414"/>
      <c r="Q145" s="414"/>
      <c r="R145" s="414"/>
      <c r="S145" s="414"/>
      <c r="T145" s="414"/>
      <c r="U145" s="418"/>
    </row>
    <row r="146" spans="1:21">
      <c r="A146" s="408" t="s">
        <v>33</v>
      </c>
      <c r="B146" s="409"/>
      <c r="C146" s="409"/>
      <c r="D146" s="409"/>
      <c r="E146" s="409"/>
      <c r="F146" s="409"/>
      <c r="G146" s="410"/>
      <c r="H146" s="415">
        <f t="shared" ref="H146:U146" si="1">H142-H144</f>
        <v>207528</v>
      </c>
      <c r="I146" s="415">
        <f t="shared" si="1"/>
        <v>417806</v>
      </c>
      <c r="J146" s="415">
        <f t="shared" si="1"/>
        <v>84002</v>
      </c>
      <c r="K146" s="415">
        <f t="shared" si="1"/>
        <v>5382</v>
      </c>
      <c r="L146" s="415">
        <f t="shared" si="1"/>
        <v>697</v>
      </c>
      <c r="M146" s="415">
        <f t="shared" si="1"/>
        <v>-144000</v>
      </c>
      <c r="N146" s="415">
        <f t="shared" si="1"/>
        <v>-144000</v>
      </c>
      <c r="O146" s="415">
        <f t="shared" si="1"/>
        <v>-95264</v>
      </c>
      <c r="P146" s="415">
        <f t="shared" si="1"/>
        <v>-144000</v>
      </c>
      <c r="Q146" s="415">
        <f t="shared" si="1"/>
        <v>-144000</v>
      </c>
      <c r="R146" s="415">
        <f t="shared" si="1"/>
        <v>-55648</v>
      </c>
      <c r="S146" s="415">
        <f t="shared" si="1"/>
        <v>-60648</v>
      </c>
      <c r="T146" s="415">
        <f t="shared" si="1"/>
        <v>0</v>
      </c>
      <c r="U146" s="375"/>
    </row>
  </sheetData>
  <autoFilter xmlns:etc="http://www.wps.cn/officeDocument/2017/etCustomData" ref="A2:XFD144" etc:filterBottomFollowUsedRange="0">
    <extLst/>
  </autoFilter>
  <mergeCells count="5">
    <mergeCell ref="A1:G1"/>
    <mergeCell ref="A142:G142"/>
    <mergeCell ref="A143:G143"/>
    <mergeCell ref="A144:G144"/>
    <mergeCell ref="A146:G146"/>
  </mergeCells>
  <conditionalFormatting sqref="K146:L146">
    <cfRule type="cellIs" dxfId="0" priority="1" operator="lessThan">
      <formula>0</formula>
    </cfRule>
  </conditionalFormatting>
  <conditionalFormatting sqref="A146:J146 M146:U146">
    <cfRule type="cellIs" dxfId="0" priority="2" operator="lessThan">
      <formula>0</formula>
    </cfRule>
  </conditionalFormatting>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310"/>
  <sheetViews>
    <sheetView zoomScale="85" zoomScaleNormal="85" workbookViewId="0">
      <pane xSplit="8" ySplit="2" topLeftCell="AG266" activePane="bottomRight" state="frozen"/>
      <selection/>
      <selection pane="topRight"/>
      <selection pane="bottomLeft"/>
      <selection pane="bottomRight" activeCell="AG278" sqref="AG278"/>
    </sheetView>
  </sheetViews>
  <sheetFormatPr defaultColWidth="9" defaultRowHeight="13.5"/>
  <cols>
    <col min="1" max="1" width="7.775" style="365" customWidth="1"/>
    <col min="2" max="2" width="9.375" style="365" customWidth="1"/>
    <col min="3" max="3" width="11.1" style="365" customWidth="1"/>
    <col min="4" max="4" width="15.5416666666667" style="365" customWidth="1"/>
    <col min="5" max="5" width="6.18333333333333" style="365" customWidth="1"/>
    <col min="6" max="6" width="18.6666666666667" style="365" customWidth="1"/>
    <col min="7" max="7" width="11.25" style="365" customWidth="1"/>
    <col min="8" max="8" width="4.2" style="365" customWidth="1"/>
    <col min="9" max="10" width="7.50833333333333" style="365" customWidth="1"/>
    <col min="11" max="12" width="7.375" style="365" customWidth="1"/>
    <col min="13" max="13" width="7.75" style="365" customWidth="1"/>
    <col min="14" max="15" width="9.15833333333333" style="365" customWidth="1"/>
    <col min="16" max="16" width="9.025" style="365" customWidth="1"/>
    <col min="17" max="22" width="10.025" style="365" customWidth="1"/>
    <col min="23" max="24" width="8.43333333333333" style="365" customWidth="1"/>
    <col min="25" max="26" width="7.56666666666667" style="365" customWidth="1"/>
    <col min="27" max="27" width="9.00833333333333" style="365" customWidth="1"/>
    <col min="28" max="39" width="6.70833333333333" style="365" customWidth="1"/>
    <col min="40" max="42" width="7.50833333333333" style="365" customWidth="1"/>
    <col min="43" max="43" width="83.2666666666667" style="365" customWidth="1"/>
    <col min="44" max="16384" width="9" style="365"/>
  </cols>
  <sheetData>
    <row r="1" ht="34" customHeight="1" spans="1:43">
      <c r="A1" s="366" t="s">
        <v>6241</v>
      </c>
      <c r="B1" s="366"/>
      <c r="C1" s="366"/>
      <c r="D1" s="366"/>
      <c r="E1" s="366"/>
      <c r="F1" s="366"/>
      <c r="G1" s="366"/>
      <c r="H1" s="366"/>
      <c r="I1" s="366"/>
      <c r="J1" s="366"/>
      <c r="K1" s="366"/>
      <c r="L1" s="366"/>
      <c r="M1" s="366"/>
      <c r="N1" s="366"/>
      <c r="O1" s="366"/>
      <c r="P1" s="366"/>
      <c r="Q1" s="366"/>
      <c r="R1" s="366"/>
      <c r="S1" s="366"/>
      <c r="T1" s="366"/>
      <c r="U1" s="366"/>
      <c r="V1" s="366"/>
      <c r="W1" s="366"/>
      <c r="X1" s="366"/>
      <c r="Y1" s="366"/>
      <c r="Z1" s="366"/>
      <c r="AA1" s="366"/>
      <c r="AB1" s="381"/>
      <c r="AC1" s="381"/>
      <c r="AD1" s="381"/>
      <c r="AE1" s="381"/>
      <c r="AF1" s="381"/>
      <c r="AG1" s="381"/>
      <c r="AH1" s="381"/>
      <c r="AI1" s="381"/>
      <c r="AJ1" s="381"/>
      <c r="AK1" s="381"/>
      <c r="AL1" s="381"/>
      <c r="AM1" s="381"/>
      <c r="AN1" s="366"/>
      <c r="AO1" s="366"/>
      <c r="AP1" s="366"/>
      <c r="AQ1" s="366"/>
    </row>
    <row r="2" ht="60" customHeight="1" spans="1:43">
      <c r="A2" s="367" t="s">
        <v>6064</v>
      </c>
      <c r="B2" s="367" t="s">
        <v>6065</v>
      </c>
      <c r="C2" s="367" t="s">
        <v>6242</v>
      </c>
      <c r="D2" s="367" t="s">
        <v>6067</v>
      </c>
      <c r="E2" s="367" t="s">
        <v>6068</v>
      </c>
      <c r="F2" s="367" t="s">
        <v>6069</v>
      </c>
      <c r="G2" s="367" t="s">
        <v>6070</v>
      </c>
      <c r="H2" s="367" t="s">
        <v>6078</v>
      </c>
      <c r="I2" s="372" t="s">
        <v>6243</v>
      </c>
      <c r="J2" s="372" t="s">
        <v>6244</v>
      </c>
      <c r="K2" s="372" t="s">
        <v>6245</v>
      </c>
      <c r="L2" s="373" t="s">
        <v>6246</v>
      </c>
      <c r="M2" s="374" t="s">
        <v>6247</v>
      </c>
      <c r="N2" s="372" t="s">
        <v>3089</v>
      </c>
      <c r="O2" s="374" t="s">
        <v>3090</v>
      </c>
      <c r="P2" s="372" t="s">
        <v>3095</v>
      </c>
      <c r="Q2" s="373" t="s">
        <v>3098</v>
      </c>
      <c r="R2" s="373" t="s">
        <v>3099</v>
      </c>
      <c r="S2" s="373" t="s">
        <v>3100</v>
      </c>
      <c r="T2" s="373" t="s">
        <v>3101</v>
      </c>
      <c r="U2" s="376" t="s">
        <v>6248</v>
      </c>
      <c r="V2" s="377" t="s">
        <v>6249</v>
      </c>
      <c r="W2" s="378" t="s">
        <v>6250</v>
      </c>
      <c r="X2" s="379" t="s">
        <v>6251</v>
      </c>
      <c r="Y2" s="382" t="s">
        <v>6252</v>
      </c>
      <c r="Z2" s="383" t="s">
        <v>6253</v>
      </c>
      <c r="AA2" s="384" t="s">
        <v>6254</v>
      </c>
      <c r="AB2" s="385" t="s">
        <v>6255</v>
      </c>
      <c r="AC2" s="385" t="s">
        <v>6256</v>
      </c>
      <c r="AD2" s="386" t="s">
        <v>3113</v>
      </c>
      <c r="AE2" s="386" t="s">
        <v>3114</v>
      </c>
      <c r="AF2" s="386" t="s">
        <v>3115</v>
      </c>
      <c r="AG2" s="386" t="s">
        <v>6077</v>
      </c>
      <c r="AH2" s="386" t="s">
        <v>6257</v>
      </c>
      <c r="AI2" s="386" t="s">
        <v>6258</v>
      </c>
      <c r="AJ2" s="373" t="s">
        <v>6259</v>
      </c>
      <c r="AK2" s="387" t="s">
        <v>6260</v>
      </c>
      <c r="AL2" s="373" t="s">
        <v>6261</v>
      </c>
      <c r="AM2" s="373" t="s">
        <v>6262</v>
      </c>
      <c r="AN2" s="388" t="s">
        <v>6263</v>
      </c>
      <c r="AO2" s="388" t="s">
        <v>6264</v>
      </c>
      <c r="AP2" s="388" t="s">
        <v>6265</v>
      </c>
      <c r="AQ2" s="389" t="s">
        <v>22</v>
      </c>
    </row>
    <row r="3" s="363" customFormat="1" ht="18" customHeight="1" spans="1:43">
      <c r="A3" s="368">
        <v>45722</v>
      </c>
      <c r="B3" s="369" t="s">
        <v>6266</v>
      </c>
      <c r="C3" s="370" t="s">
        <v>6105</v>
      </c>
      <c r="D3" s="370">
        <v>77731</v>
      </c>
      <c r="E3" s="370">
        <v>9276</v>
      </c>
      <c r="F3" s="371" t="s">
        <v>6267</v>
      </c>
      <c r="G3" s="370"/>
      <c r="H3" s="371" t="s">
        <v>68</v>
      </c>
      <c r="I3" s="375"/>
      <c r="J3" s="375"/>
      <c r="K3" s="375"/>
      <c r="L3" s="375"/>
      <c r="M3" s="375"/>
      <c r="N3" s="375"/>
      <c r="O3" s="375"/>
      <c r="P3" s="375"/>
      <c r="Q3" s="375"/>
      <c r="R3" s="375"/>
      <c r="S3" s="375"/>
      <c r="T3" s="375"/>
      <c r="U3" s="375"/>
      <c r="V3" s="380"/>
      <c r="W3" s="380"/>
      <c r="X3" s="380"/>
      <c r="Y3" s="380"/>
      <c r="Z3" s="380"/>
      <c r="AA3" s="380"/>
      <c r="AB3" s="375"/>
      <c r="AC3" s="375"/>
      <c r="AD3" s="375"/>
      <c r="AE3" s="375"/>
      <c r="AF3" s="375"/>
      <c r="AG3" s="375"/>
      <c r="AH3" s="375"/>
      <c r="AI3" s="375"/>
      <c r="AJ3" s="375"/>
      <c r="AK3" s="375"/>
      <c r="AL3" s="375"/>
      <c r="AM3" s="375"/>
      <c r="AN3" s="375">
        <v>9276</v>
      </c>
      <c r="AO3" s="375"/>
      <c r="AP3" s="375"/>
      <c r="AQ3" s="390" t="s">
        <v>6268</v>
      </c>
    </row>
    <row r="4" s="363" customFormat="1" ht="18" customHeight="1" spans="1:43">
      <c r="A4" s="368">
        <v>45722</v>
      </c>
      <c r="B4" s="369" t="s">
        <v>6269</v>
      </c>
      <c r="C4" s="370" t="s">
        <v>6105</v>
      </c>
      <c r="D4" s="370">
        <v>77731</v>
      </c>
      <c r="E4" s="370">
        <v>9276</v>
      </c>
      <c r="F4" s="371" t="s">
        <v>6270</v>
      </c>
      <c r="G4" s="370" t="s">
        <v>6088</v>
      </c>
      <c r="H4" s="371" t="s">
        <v>68</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v>9276</v>
      </c>
      <c r="AP4" s="375"/>
      <c r="AQ4" s="390" t="s">
        <v>6268</v>
      </c>
    </row>
    <row r="5" s="363" customFormat="1" ht="18" customHeight="1" spans="1:43">
      <c r="A5" s="368">
        <v>45722</v>
      </c>
      <c r="B5" s="369" t="s">
        <v>6271</v>
      </c>
      <c r="C5" s="370" t="s">
        <v>6105</v>
      </c>
      <c r="D5" s="370">
        <v>77731</v>
      </c>
      <c r="E5" s="370">
        <v>9276</v>
      </c>
      <c r="F5" s="371" t="s">
        <v>6272</v>
      </c>
      <c r="G5" s="370"/>
      <c r="H5" s="371" t="s">
        <v>68</v>
      </c>
      <c r="I5" s="375"/>
      <c r="J5" s="375"/>
      <c r="K5" s="375"/>
      <c r="L5" s="375"/>
      <c r="M5" s="375"/>
      <c r="N5" s="375"/>
      <c r="O5" s="375"/>
      <c r="P5" s="375"/>
      <c r="Q5" s="375"/>
      <c r="R5" s="375"/>
      <c r="S5" s="375"/>
      <c r="T5" s="375"/>
      <c r="U5" s="375"/>
      <c r="V5" s="375"/>
      <c r="W5" s="375"/>
      <c r="X5" s="375"/>
      <c r="Y5" s="375"/>
      <c r="Z5" s="375"/>
      <c r="AA5" s="375"/>
      <c r="AB5" s="375"/>
      <c r="AC5" s="375"/>
      <c r="AD5" s="375"/>
      <c r="AE5" s="375"/>
      <c r="AF5" s="375"/>
      <c r="AG5" s="375"/>
      <c r="AH5" s="375"/>
      <c r="AI5" s="375"/>
      <c r="AJ5" s="375"/>
      <c r="AK5" s="375"/>
      <c r="AL5" s="375"/>
      <c r="AM5" s="375"/>
      <c r="AN5" s="375"/>
      <c r="AO5" s="375"/>
      <c r="AP5" s="375">
        <v>9276</v>
      </c>
      <c r="AQ5" s="390" t="s">
        <v>6268</v>
      </c>
    </row>
    <row r="6" s="363" customFormat="1" ht="18" customHeight="1" spans="1:43">
      <c r="A6" s="368">
        <v>45726</v>
      </c>
      <c r="B6" s="369" t="s">
        <v>6273</v>
      </c>
      <c r="C6" s="370" t="s">
        <v>6118</v>
      </c>
      <c r="D6" s="370" t="s">
        <v>3198</v>
      </c>
      <c r="E6" s="370">
        <v>250000</v>
      </c>
      <c r="F6" s="371" t="s">
        <v>6081</v>
      </c>
      <c r="G6" s="370" t="s">
        <v>6082</v>
      </c>
      <c r="H6" s="371" t="s">
        <v>6083</v>
      </c>
      <c r="I6" s="375">
        <v>250000</v>
      </c>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90" t="s">
        <v>6274</v>
      </c>
    </row>
    <row r="7" s="363" customFormat="1" ht="18" customHeight="1" spans="1:43">
      <c r="A7" s="368">
        <v>45726</v>
      </c>
      <c r="B7" s="369" t="s">
        <v>6275</v>
      </c>
      <c r="C7" s="370" t="s">
        <v>6118</v>
      </c>
      <c r="D7" s="370" t="s">
        <v>3198</v>
      </c>
      <c r="E7" s="370">
        <v>30000</v>
      </c>
      <c r="F7" s="371" t="s">
        <v>6276</v>
      </c>
      <c r="G7" s="370" t="s">
        <v>6277</v>
      </c>
      <c r="H7" s="371" t="s">
        <v>6083</v>
      </c>
      <c r="I7" s="375"/>
      <c r="J7" s="375">
        <v>30000</v>
      </c>
      <c r="K7" s="375"/>
      <c r="L7" s="375"/>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90" t="s">
        <v>6274</v>
      </c>
    </row>
    <row r="8" s="363" customFormat="1" ht="18" customHeight="1" spans="1:43">
      <c r="A8" s="368">
        <v>45726</v>
      </c>
      <c r="B8" s="369" t="s">
        <v>6278</v>
      </c>
      <c r="C8" s="370" t="s">
        <v>6118</v>
      </c>
      <c r="D8" s="370" t="s">
        <v>3198</v>
      </c>
      <c r="E8" s="370">
        <v>400000</v>
      </c>
      <c r="F8" s="371" t="s">
        <v>6279</v>
      </c>
      <c r="G8" s="370" t="s">
        <v>6092</v>
      </c>
      <c r="H8" s="371" t="s">
        <v>6083</v>
      </c>
      <c r="I8" s="375"/>
      <c r="J8" s="375"/>
      <c r="K8" s="375"/>
      <c r="L8" s="375"/>
      <c r="M8" s="375"/>
      <c r="N8" s="375">
        <v>400000</v>
      </c>
      <c r="O8" s="375"/>
      <c r="P8" s="375"/>
      <c r="Q8" s="375"/>
      <c r="R8" s="375"/>
      <c r="S8" s="375"/>
      <c r="T8" s="375"/>
      <c r="U8" s="375"/>
      <c r="V8" s="375"/>
      <c r="W8" s="375"/>
      <c r="X8" s="375"/>
      <c r="Y8" s="375"/>
      <c r="Z8" s="375"/>
      <c r="AA8" s="375"/>
      <c r="AB8" s="375"/>
      <c r="AC8" s="375"/>
      <c r="AD8" s="375"/>
      <c r="AE8" s="375"/>
      <c r="AF8" s="375"/>
      <c r="AG8" s="375"/>
      <c r="AH8" s="375"/>
      <c r="AI8" s="375"/>
      <c r="AJ8" s="375"/>
      <c r="AK8" s="375"/>
      <c r="AL8" s="375"/>
      <c r="AM8" s="375"/>
      <c r="AN8" s="375"/>
      <c r="AO8" s="375"/>
      <c r="AP8" s="375"/>
      <c r="AQ8" s="390" t="s">
        <v>6280</v>
      </c>
    </row>
    <row r="9" s="363" customFormat="1" ht="18" customHeight="1" spans="1:43">
      <c r="A9" s="368">
        <v>45726</v>
      </c>
      <c r="B9" s="369" t="s">
        <v>6281</v>
      </c>
      <c r="C9" s="370" t="s">
        <v>6118</v>
      </c>
      <c r="D9" s="370" t="s">
        <v>6282</v>
      </c>
      <c r="E9" s="370">
        <v>2000</v>
      </c>
      <c r="F9" s="371" t="s">
        <v>6283</v>
      </c>
      <c r="G9" s="370" t="s">
        <v>6082</v>
      </c>
      <c r="H9" s="371" t="s">
        <v>6083</v>
      </c>
      <c r="I9" s="375"/>
      <c r="J9" s="375"/>
      <c r="K9" s="375"/>
      <c r="L9" s="375"/>
      <c r="M9" s="375"/>
      <c r="N9" s="375"/>
      <c r="O9" s="375"/>
      <c r="P9" s="375"/>
      <c r="Q9" s="375"/>
      <c r="R9" s="375"/>
      <c r="S9" s="375"/>
      <c r="T9" s="375"/>
      <c r="U9" s="375"/>
      <c r="V9" s="375"/>
      <c r="W9" s="375"/>
      <c r="X9" s="375"/>
      <c r="Y9" s="375">
        <v>2000</v>
      </c>
      <c r="Z9" s="375"/>
      <c r="AA9" s="375"/>
      <c r="AB9" s="375"/>
      <c r="AC9" s="375"/>
      <c r="AD9" s="375"/>
      <c r="AE9" s="375"/>
      <c r="AF9" s="375"/>
      <c r="AG9" s="375"/>
      <c r="AH9" s="375"/>
      <c r="AI9" s="375"/>
      <c r="AJ9" s="375"/>
      <c r="AK9" s="375"/>
      <c r="AL9" s="375"/>
      <c r="AM9" s="375"/>
      <c r="AN9" s="375"/>
      <c r="AO9" s="375"/>
      <c r="AP9" s="375"/>
      <c r="AQ9" s="390" t="s">
        <v>6280</v>
      </c>
    </row>
    <row r="10" s="363" customFormat="1" ht="18" customHeight="1" spans="1:43">
      <c r="A10" s="368">
        <v>45726</v>
      </c>
      <c r="B10" s="369" t="s">
        <v>6284</v>
      </c>
      <c r="C10" s="370" t="s">
        <v>6118</v>
      </c>
      <c r="D10" s="370" t="s">
        <v>6282</v>
      </c>
      <c r="E10" s="370">
        <v>500</v>
      </c>
      <c r="F10" s="371" t="s">
        <v>6285</v>
      </c>
      <c r="G10" s="370" t="s">
        <v>6277</v>
      </c>
      <c r="H10" s="371" t="s">
        <v>6083</v>
      </c>
      <c r="I10" s="375"/>
      <c r="J10" s="375"/>
      <c r="K10" s="375"/>
      <c r="L10" s="375"/>
      <c r="M10" s="375"/>
      <c r="N10" s="375"/>
      <c r="O10" s="375"/>
      <c r="P10" s="375"/>
      <c r="Q10" s="375"/>
      <c r="R10" s="375"/>
      <c r="S10" s="375"/>
      <c r="T10" s="375"/>
      <c r="U10" s="375"/>
      <c r="V10" s="375"/>
      <c r="W10" s="375"/>
      <c r="X10" s="375"/>
      <c r="Y10" s="375"/>
      <c r="Z10" s="375">
        <v>500</v>
      </c>
      <c r="AA10" s="375"/>
      <c r="AB10" s="375"/>
      <c r="AC10" s="375"/>
      <c r="AD10" s="375"/>
      <c r="AE10" s="375"/>
      <c r="AF10" s="375"/>
      <c r="AG10" s="375"/>
      <c r="AH10" s="375"/>
      <c r="AI10" s="375"/>
      <c r="AJ10" s="375"/>
      <c r="AK10" s="375"/>
      <c r="AL10" s="375"/>
      <c r="AM10" s="375"/>
      <c r="AN10" s="375"/>
      <c r="AO10" s="375"/>
      <c r="AP10" s="375"/>
      <c r="AQ10" s="390" t="s">
        <v>6280</v>
      </c>
    </row>
    <row r="11" s="363" customFormat="1" ht="18" customHeight="1" spans="1:43">
      <c r="A11" s="368">
        <v>45726</v>
      </c>
      <c r="B11" s="369" t="s">
        <v>6286</v>
      </c>
      <c r="C11" s="370" t="s">
        <v>6118</v>
      </c>
      <c r="D11" s="370" t="s">
        <v>3165</v>
      </c>
      <c r="E11" s="370">
        <v>80000</v>
      </c>
      <c r="F11" s="371" t="s">
        <v>6087</v>
      </c>
      <c r="G11" s="370" t="s">
        <v>6088</v>
      </c>
      <c r="H11" s="371" t="s">
        <v>6083</v>
      </c>
      <c r="I11" s="375"/>
      <c r="J11" s="375"/>
      <c r="K11" s="375"/>
      <c r="L11" s="375"/>
      <c r="M11" s="375">
        <v>80000</v>
      </c>
      <c r="N11" s="375"/>
      <c r="O11" s="375"/>
      <c r="P11" s="375"/>
      <c r="Q11" s="375"/>
      <c r="R11" s="375"/>
      <c r="S11" s="375"/>
      <c r="T11" s="375"/>
      <c r="U11" s="375"/>
      <c r="V11" s="375"/>
      <c r="W11" s="375"/>
      <c r="X11" s="375"/>
      <c r="Y11" s="375"/>
      <c r="Z11" s="375"/>
      <c r="AA11" s="375"/>
      <c r="AB11" s="375"/>
      <c r="AC11" s="375"/>
      <c r="AD11" s="375"/>
      <c r="AE11" s="375"/>
      <c r="AF11" s="375"/>
      <c r="AG11" s="375"/>
      <c r="AH11" s="375"/>
      <c r="AI11" s="375"/>
      <c r="AJ11" s="375"/>
      <c r="AK11" s="375"/>
      <c r="AL11" s="375"/>
      <c r="AM11" s="375"/>
      <c r="AN11" s="375"/>
      <c r="AO11" s="375"/>
      <c r="AP11" s="375"/>
      <c r="AQ11" s="390" t="s">
        <v>6287</v>
      </c>
    </row>
    <row r="12" s="363" customFormat="1" ht="18" customHeight="1" spans="1:43">
      <c r="A12" s="368">
        <v>45726</v>
      </c>
      <c r="B12" s="369" t="s">
        <v>6288</v>
      </c>
      <c r="C12" s="370" t="s">
        <v>6118</v>
      </c>
      <c r="D12" s="370" t="s">
        <v>3165</v>
      </c>
      <c r="E12" s="370">
        <v>180000</v>
      </c>
      <c r="F12" s="371" t="s">
        <v>6279</v>
      </c>
      <c r="G12" s="370" t="s">
        <v>6092</v>
      </c>
      <c r="H12" s="371" t="s">
        <v>6083</v>
      </c>
      <c r="I12" s="375"/>
      <c r="J12" s="375"/>
      <c r="K12" s="375"/>
      <c r="L12" s="375"/>
      <c r="M12" s="375"/>
      <c r="N12" s="375"/>
      <c r="O12" s="375">
        <v>180000</v>
      </c>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90" t="s">
        <v>6289</v>
      </c>
    </row>
    <row r="13" s="363" customFormat="1" ht="18" customHeight="1" spans="1:43">
      <c r="A13" s="368">
        <v>45726</v>
      </c>
      <c r="B13" s="369" t="s">
        <v>6290</v>
      </c>
      <c r="C13" s="370" t="s">
        <v>6118</v>
      </c>
      <c r="D13" s="370" t="s">
        <v>3165</v>
      </c>
      <c r="E13" s="370">
        <v>1000</v>
      </c>
      <c r="F13" s="371" t="s">
        <v>6291</v>
      </c>
      <c r="G13" s="370" t="s">
        <v>68</v>
      </c>
      <c r="H13" s="371" t="s">
        <v>6083</v>
      </c>
      <c r="I13" s="375"/>
      <c r="J13" s="375"/>
      <c r="K13" s="375"/>
      <c r="L13" s="375"/>
      <c r="M13" s="375"/>
      <c r="N13" s="375"/>
      <c r="O13" s="375"/>
      <c r="P13" s="375"/>
      <c r="Q13" s="375"/>
      <c r="R13" s="375"/>
      <c r="S13" s="375"/>
      <c r="T13" s="375"/>
      <c r="U13" s="375"/>
      <c r="V13" s="375"/>
      <c r="W13" s="375"/>
      <c r="X13" s="375"/>
      <c r="Y13" s="375"/>
      <c r="Z13" s="375"/>
      <c r="AA13" s="375">
        <v>1000</v>
      </c>
      <c r="AB13" s="375"/>
      <c r="AC13" s="375"/>
      <c r="AD13" s="375"/>
      <c r="AE13" s="375"/>
      <c r="AF13" s="375"/>
      <c r="AG13" s="375"/>
      <c r="AH13" s="375"/>
      <c r="AI13" s="375"/>
      <c r="AJ13" s="375"/>
      <c r="AK13" s="375"/>
      <c r="AL13" s="375"/>
      <c r="AM13" s="375"/>
      <c r="AN13" s="375"/>
      <c r="AO13" s="375"/>
      <c r="AP13" s="375"/>
      <c r="AQ13" s="390" t="s">
        <v>6289</v>
      </c>
    </row>
    <row r="14" s="363" customFormat="1" ht="18" customHeight="1" spans="1:43">
      <c r="A14" s="368">
        <v>45736</v>
      </c>
      <c r="B14" s="369" t="s">
        <v>6292</v>
      </c>
      <c r="C14" s="370" t="s">
        <v>6118</v>
      </c>
      <c r="D14" s="370" t="s">
        <v>3198</v>
      </c>
      <c r="E14" s="370">
        <v>100000</v>
      </c>
      <c r="F14" s="371" t="s">
        <v>6081</v>
      </c>
      <c r="G14" s="370" t="s">
        <v>6082</v>
      </c>
      <c r="H14" s="371" t="s">
        <v>6083</v>
      </c>
      <c r="I14" s="375">
        <v>100000</v>
      </c>
      <c r="J14" s="375"/>
      <c r="K14" s="375"/>
      <c r="L14" s="375"/>
      <c r="M14" s="375"/>
      <c r="N14" s="375"/>
      <c r="O14" s="375"/>
      <c r="P14" s="375"/>
      <c r="Q14" s="375"/>
      <c r="R14" s="375"/>
      <c r="S14" s="375"/>
      <c r="T14" s="375"/>
      <c r="U14" s="375"/>
      <c r="V14" s="375"/>
      <c r="W14" s="375"/>
      <c r="X14" s="375"/>
      <c r="Y14" s="375"/>
      <c r="Z14" s="375"/>
      <c r="AA14" s="375"/>
      <c r="AB14" s="375"/>
      <c r="AC14" s="375"/>
      <c r="AD14" s="375"/>
      <c r="AE14" s="375"/>
      <c r="AF14" s="375"/>
      <c r="AG14" s="375"/>
      <c r="AH14" s="375"/>
      <c r="AI14" s="375"/>
      <c r="AJ14" s="375"/>
      <c r="AK14" s="375"/>
      <c r="AL14" s="375"/>
      <c r="AM14" s="375"/>
      <c r="AN14" s="375"/>
      <c r="AO14" s="375"/>
      <c r="AP14" s="375"/>
      <c r="AQ14" s="390" t="s">
        <v>6274</v>
      </c>
    </row>
    <row r="15" s="363" customFormat="1" ht="18" customHeight="1" spans="1:43">
      <c r="A15" s="368">
        <v>45736</v>
      </c>
      <c r="B15" s="369" t="s">
        <v>6293</v>
      </c>
      <c r="C15" s="370" t="s">
        <v>6118</v>
      </c>
      <c r="D15" s="370" t="s">
        <v>3198</v>
      </c>
      <c r="E15" s="370">
        <v>30000</v>
      </c>
      <c r="F15" s="371" t="s">
        <v>6276</v>
      </c>
      <c r="G15" s="370" t="s">
        <v>6277</v>
      </c>
      <c r="H15" s="371" t="s">
        <v>6083</v>
      </c>
      <c r="I15" s="375"/>
      <c r="J15" s="375">
        <v>30000</v>
      </c>
      <c r="K15" s="375"/>
      <c r="L15" s="375"/>
      <c r="M15" s="375"/>
      <c r="N15" s="375"/>
      <c r="O15" s="375"/>
      <c r="P15" s="375"/>
      <c r="Q15" s="375"/>
      <c r="R15" s="375"/>
      <c r="S15" s="375"/>
      <c r="T15" s="375"/>
      <c r="U15" s="375"/>
      <c r="V15" s="375"/>
      <c r="W15" s="375"/>
      <c r="X15" s="375"/>
      <c r="Y15" s="375"/>
      <c r="Z15" s="375"/>
      <c r="AA15" s="375"/>
      <c r="AB15" s="375"/>
      <c r="AC15" s="375"/>
      <c r="AD15" s="375"/>
      <c r="AE15" s="375"/>
      <c r="AF15" s="375"/>
      <c r="AG15" s="375"/>
      <c r="AH15" s="375"/>
      <c r="AI15" s="375"/>
      <c r="AJ15" s="375"/>
      <c r="AK15" s="375"/>
      <c r="AL15" s="375"/>
      <c r="AM15" s="375"/>
      <c r="AN15" s="375"/>
      <c r="AO15" s="375"/>
      <c r="AP15" s="375"/>
      <c r="AQ15" s="390" t="s">
        <v>6274</v>
      </c>
    </row>
    <row r="16" s="363" customFormat="1" ht="18" customHeight="1" spans="1:43">
      <c r="A16" s="368">
        <v>45736</v>
      </c>
      <c r="B16" s="369" t="s">
        <v>6294</v>
      </c>
      <c r="C16" s="370" t="s">
        <v>6118</v>
      </c>
      <c r="D16" s="370" t="s">
        <v>3198</v>
      </c>
      <c r="E16" s="370">
        <v>200000</v>
      </c>
      <c r="F16" s="371" t="s">
        <v>6295</v>
      </c>
      <c r="G16" s="370" t="s">
        <v>6277</v>
      </c>
      <c r="H16" s="371" t="s">
        <v>6083</v>
      </c>
      <c r="I16" s="375"/>
      <c r="J16" s="375"/>
      <c r="K16" s="375"/>
      <c r="L16" s="375"/>
      <c r="M16" s="375"/>
      <c r="N16" s="375">
        <v>200000</v>
      </c>
      <c r="O16" s="375"/>
      <c r="P16" s="375"/>
      <c r="Q16" s="375"/>
      <c r="R16" s="375"/>
      <c r="S16" s="375"/>
      <c r="T16" s="375"/>
      <c r="U16" s="375"/>
      <c r="V16" s="375"/>
      <c r="W16" s="375"/>
      <c r="X16" s="375"/>
      <c r="Y16" s="375"/>
      <c r="Z16" s="375"/>
      <c r="AA16" s="375"/>
      <c r="AB16" s="375"/>
      <c r="AC16" s="375"/>
      <c r="AD16" s="375"/>
      <c r="AE16" s="375"/>
      <c r="AF16" s="375"/>
      <c r="AG16" s="375"/>
      <c r="AH16" s="375"/>
      <c r="AI16" s="375"/>
      <c r="AJ16" s="375"/>
      <c r="AK16" s="375"/>
      <c r="AL16" s="375"/>
      <c r="AM16" s="375"/>
      <c r="AN16" s="375"/>
      <c r="AO16" s="375"/>
      <c r="AP16" s="375"/>
      <c r="AQ16" s="390" t="s">
        <v>6280</v>
      </c>
    </row>
    <row r="17" s="363" customFormat="1" ht="18" customHeight="1" spans="1:43">
      <c r="A17" s="368">
        <v>45736</v>
      </c>
      <c r="B17" s="369" t="s">
        <v>6296</v>
      </c>
      <c r="C17" s="370" t="s">
        <v>6118</v>
      </c>
      <c r="D17" s="370" t="s">
        <v>6282</v>
      </c>
      <c r="E17" s="370">
        <v>2000</v>
      </c>
      <c r="F17" s="371" t="s">
        <v>6283</v>
      </c>
      <c r="G17" s="370" t="s">
        <v>6082</v>
      </c>
      <c r="H17" s="371" t="s">
        <v>6083</v>
      </c>
      <c r="I17" s="375"/>
      <c r="J17" s="375"/>
      <c r="K17" s="375"/>
      <c r="L17" s="375"/>
      <c r="M17" s="375"/>
      <c r="N17" s="375"/>
      <c r="O17" s="375"/>
      <c r="P17" s="375"/>
      <c r="Q17" s="375"/>
      <c r="R17" s="375"/>
      <c r="S17" s="375"/>
      <c r="T17" s="375"/>
      <c r="U17" s="375"/>
      <c r="V17" s="375"/>
      <c r="W17" s="375"/>
      <c r="X17" s="375"/>
      <c r="Y17" s="375">
        <v>2000</v>
      </c>
      <c r="Z17" s="375"/>
      <c r="AA17" s="375"/>
      <c r="AB17" s="375"/>
      <c r="AC17" s="375"/>
      <c r="AD17" s="375"/>
      <c r="AE17" s="375"/>
      <c r="AF17" s="375"/>
      <c r="AG17" s="375"/>
      <c r="AH17" s="375"/>
      <c r="AI17" s="375"/>
      <c r="AJ17" s="375"/>
      <c r="AK17" s="375"/>
      <c r="AL17" s="375"/>
      <c r="AM17" s="375"/>
      <c r="AN17" s="375"/>
      <c r="AO17" s="375"/>
      <c r="AP17" s="375"/>
      <c r="AQ17" s="390" t="s">
        <v>6280</v>
      </c>
    </row>
    <row r="18" s="363" customFormat="1" ht="18" customHeight="1" spans="1:43">
      <c r="A18" s="368">
        <v>45736</v>
      </c>
      <c r="B18" s="369" t="s">
        <v>6297</v>
      </c>
      <c r="C18" s="370" t="s">
        <v>6118</v>
      </c>
      <c r="D18" s="370" t="s">
        <v>6282</v>
      </c>
      <c r="E18" s="370">
        <v>800</v>
      </c>
      <c r="F18" s="371" t="s">
        <v>6285</v>
      </c>
      <c r="G18" s="370" t="s">
        <v>6277</v>
      </c>
      <c r="H18" s="371" t="s">
        <v>6083</v>
      </c>
      <c r="I18" s="375"/>
      <c r="J18" s="375"/>
      <c r="K18" s="375"/>
      <c r="L18" s="375"/>
      <c r="M18" s="375"/>
      <c r="N18" s="375"/>
      <c r="O18" s="375"/>
      <c r="P18" s="375"/>
      <c r="Q18" s="375"/>
      <c r="R18" s="375"/>
      <c r="S18" s="375"/>
      <c r="T18" s="375"/>
      <c r="U18" s="375"/>
      <c r="V18" s="375"/>
      <c r="W18" s="375"/>
      <c r="X18" s="375"/>
      <c r="Y18" s="375"/>
      <c r="Z18" s="375">
        <v>800</v>
      </c>
      <c r="AA18" s="375"/>
      <c r="AB18" s="375"/>
      <c r="AC18" s="375"/>
      <c r="AD18" s="375"/>
      <c r="AE18" s="375"/>
      <c r="AF18" s="375"/>
      <c r="AG18" s="375"/>
      <c r="AH18" s="375"/>
      <c r="AI18" s="375"/>
      <c r="AJ18" s="375"/>
      <c r="AK18" s="375"/>
      <c r="AL18" s="375"/>
      <c r="AM18" s="375"/>
      <c r="AN18" s="375"/>
      <c r="AO18" s="375"/>
      <c r="AP18" s="375"/>
      <c r="AQ18" s="390" t="s">
        <v>6280</v>
      </c>
    </row>
    <row r="19" s="363" customFormat="1" ht="18" customHeight="1" spans="1:43">
      <c r="A19" s="368">
        <v>45736</v>
      </c>
      <c r="B19" s="369" t="s">
        <v>6298</v>
      </c>
      <c r="C19" s="370" t="s">
        <v>6118</v>
      </c>
      <c r="D19" s="370" t="s">
        <v>3272</v>
      </c>
      <c r="E19" s="370">
        <v>1241</v>
      </c>
      <c r="F19" s="371" t="s">
        <v>6299</v>
      </c>
      <c r="G19" s="370" t="s">
        <v>6277</v>
      </c>
      <c r="H19" s="371" t="s">
        <v>6083</v>
      </c>
      <c r="I19" s="375"/>
      <c r="J19" s="375"/>
      <c r="K19" s="375"/>
      <c r="L19" s="375"/>
      <c r="M19" s="375"/>
      <c r="N19" s="375"/>
      <c r="O19" s="375"/>
      <c r="P19" s="375"/>
      <c r="Q19" s="375"/>
      <c r="R19" s="375"/>
      <c r="S19" s="375"/>
      <c r="T19" s="375"/>
      <c r="U19" s="375"/>
      <c r="V19" s="375"/>
      <c r="W19" s="375">
        <v>1241</v>
      </c>
      <c r="X19" s="375"/>
      <c r="Y19" s="375"/>
      <c r="Z19" s="375"/>
      <c r="AA19" s="375"/>
      <c r="AB19" s="375"/>
      <c r="AC19" s="375"/>
      <c r="AD19" s="375"/>
      <c r="AE19" s="375"/>
      <c r="AF19" s="375"/>
      <c r="AG19" s="375"/>
      <c r="AH19" s="375"/>
      <c r="AI19" s="375"/>
      <c r="AJ19" s="375"/>
      <c r="AK19" s="375"/>
      <c r="AL19" s="375"/>
      <c r="AM19" s="375"/>
      <c r="AN19" s="375"/>
      <c r="AO19" s="375"/>
      <c r="AP19" s="375"/>
      <c r="AQ19" s="390" t="s">
        <v>6280</v>
      </c>
    </row>
    <row r="20" s="363" customFormat="1" ht="18" customHeight="1" spans="1:43">
      <c r="A20" s="368">
        <v>45736</v>
      </c>
      <c r="B20" s="369" t="s">
        <v>6300</v>
      </c>
      <c r="C20" s="370" t="s">
        <v>6118</v>
      </c>
      <c r="D20" s="370" t="s">
        <v>3165</v>
      </c>
      <c r="E20" s="370">
        <v>70000</v>
      </c>
      <c r="F20" s="371" t="s">
        <v>6087</v>
      </c>
      <c r="G20" s="370" t="s">
        <v>6088</v>
      </c>
      <c r="H20" s="371" t="s">
        <v>6083</v>
      </c>
      <c r="I20" s="375"/>
      <c r="J20" s="375"/>
      <c r="K20" s="375"/>
      <c r="L20" s="375"/>
      <c r="M20" s="375">
        <v>70000</v>
      </c>
      <c r="N20" s="375"/>
      <c r="O20" s="375"/>
      <c r="P20" s="375"/>
      <c r="Q20" s="375"/>
      <c r="R20" s="375"/>
      <c r="S20" s="375"/>
      <c r="T20" s="375"/>
      <c r="U20" s="375"/>
      <c r="V20" s="375"/>
      <c r="W20" s="375"/>
      <c r="X20" s="375"/>
      <c r="Y20" s="375"/>
      <c r="Z20" s="375"/>
      <c r="AA20" s="375"/>
      <c r="AB20" s="375"/>
      <c r="AC20" s="375"/>
      <c r="AD20" s="375"/>
      <c r="AE20" s="375"/>
      <c r="AF20" s="375"/>
      <c r="AG20" s="375"/>
      <c r="AH20" s="375"/>
      <c r="AI20" s="375"/>
      <c r="AJ20" s="375"/>
      <c r="AK20" s="375"/>
      <c r="AL20" s="375"/>
      <c r="AM20" s="375"/>
      <c r="AN20" s="375"/>
      <c r="AO20" s="375"/>
      <c r="AP20" s="375"/>
      <c r="AQ20" s="390" t="s">
        <v>6287</v>
      </c>
    </row>
    <row r="21" s="363" customFormat="1" ht="18" customHeight="1" spans="1:43">
      <c r="A21" s="368">
        <v>45736</v>
      </c>
      <c r="B21" s="369" t="s">
        <v>6301</v>
      </c>
      <c r="C21" s="370" t="s">
        <v>6118</v>
      </c>
      <c r="D21" s="370" t="s">
        <v>3165</v>
      </c>
      <c r="E21" s="370">
        <v>50000</v>
      </c>
      <c r="F21" s="371" t="s">
        <v>6279</v>
      </c>
      <c r="G21" s="370" t="s">
        <v>6092</v>
      </c>
      <c r="H21" s="371" t="s">
        <v>6083</v>
      </c>
      <c r="I21" s="375"/>
      <c r="J21" s="375"/>
      <c r="K21" s="375"/>
      <c r="L21" s="375"/>
      <c r="M21" s="375"/>
      <c r="N21" s="375"/>
      <c r="O21" s="375">
        <v>50000</v>
      </c>
      <c r="P21" s="375"/>
      <c r="Q21" s="375"/>
      <c r="R21" s="375"/>
      <c r="S21" s="375"/>
      <c r="T21" s="375"/>
      <c r="U21" s="375"/>
      <c r="V21" s="375"/>
      <c r="W21" s="375"/>
      <c r="X21" s="375"/>
      <c r="Y21" s="375"/>
      <c r="Z21" s="375"/>
      <c r="AA21" s="375"/>
      <c r="AB21" s="375"/>
      <c r="AC21" s="375"/>
      <c r="AD21" s="375"/>
      <c r="AE21" s="375"/>
      <c r="AF21" s="375"/>
      <c r="AG21" s="375"/>
      <c r="AH21" s="375"/>
      <c r="AI21" s="375"/>
      <c r="AJ21" s="375"/>
      <c r="AK21" s="375"/>
      <c r="AL21" s="375"/>
      <c r="AM21" s="375"/>
      <c r="AN21" s="375"/>
      <c r="AO21" s="375"/>
      <c r="AP21" s="375"/>
      <c r="AQ21" s="390" t="s">
        <v>6289</v>
      </c>
    </row>
    <row r="22" s="363" customFormat="1" ht="18" customHeight="1" spans="1:43">
      <c r="A22" s="368">
        <v>45736</v>
      </c>
      <c r="B22" s="369" t="s">
        <v>6302</v>
      </c>
      <c r="C22" s="370" t="s">
        <v>6118</v>
      </c>
      <c r="D22" s="370" t="s">
        <v>3193</v>
      </c>
      <c r="E22" s="370">
        <v>300</v>
      </c>
      <c r="F22" s="371" t="s">
        <v>6303</v>
      </c>
      <c r="G22" s="370" t="s">
        <v>6088</v>
      </c>
      <c r="H22" s="371" t="s">
        <v>6083</v>
      </c>
      <c r="I22" s="375"/>
      <c r="J22" s="375"/>
      <c r="K22" s="375"/>
      <c r="L22" s="375"/>
      <c r="M22" s="375"/>
      <c r="N22" s="375"/>
      <c r="O22" s="375"/>
      <c r="P22" s="375"/>
      <c r="Q22" s="375"/>
      <c r="R22" s="375"/>
      <c r="S22" s="375"/>
      <c r="T22" s="375"/>
      <c r="U22" s="375"/>
      <c r="V22" s="375"/>
      <c r="W22" s="375"/>
      <c r="X22" s="375"/>
      <c r="Y22" s="375"/>
      <c r="Z22" s="375"/>
      <c r="AA22" s="375"/>
      <c r="AB22" s="375"/>
      <c r="AC22" s="375"/>
      <c r="AD22" s="375"/>
      <c r="AE22" s="375"/>
      <c r="AF22" s="375"/>
      <c r="AG22" s="375"/>
      <c r="AH22" s="375"/>
      <c r="AI22" s="375"/>
      <c r="AJ22" s="375">
        <v>300</v>
      </c>
      <c r="AK22" s="375"/>
      <c r="AL22" s="375"/>
      <c r="AM22" s="375"/>
      <c r="AN22" s="375"/>
      <c r="AO22" s="375"/>
      <c r="AP22" s="375"/>
      <c r="AQ22" s="390" t="s">
        <v>6289</v>
      </c>
    </row>
    <row r="23" s="363" customFormat="1" ht="18" customHeight="1" spans="1:43">
      <c r="A23" s="368">
        <v>45736</v>
      </c>
      <c r="B23" s="369" t="s">
        <v>6304</v>
      </c>
      <c r="C23" s="370" t="s">
        <v>6118</v>
      </c>
      <c r="D23" s="370" t="s">
        <v>3165</v>
      </c>
      <c r="E23" s="370">
        <v>2500</v>
      </c>
      <c r="F23" s="371" t="s">
        <v>6291</v>
      </c>
      <c r="G23" s="370" t="s">
        <v>6088</v>
      </c>
      <c r="H23" s="371" t="s">
        <v>6083</v>
      </c>
      <c r="I23" s="375"/>
      <c r="J23" s="375"/>
      <c r="K23" s="375"/>
      <c r="L23" s="375"/>
      <c r="M23" s="375"/>
      <c r="N23" s="375"/>
      <c r="O23" s="375"/>
      <c r="P23" s="375"/>
      <c r="Q23" s="375"/>
      <c r="R23" s="375"/>
      <c r="S23" s="375"/>
      <c r="T23" s="375"/>
      <c r="U23" s="375"/>
      <c r="V23" s="375"/>
      <c r="W23" s="375"/>
      <c r="X23" s="375"/>
      <c r="Y23" s="375"/>
      <c r="Z23" s="375"/>
      <c r="AA23" s="375">
        <v>2500</v>
      </c>
      <c r="AB23" s="375"/>
      <c r="AC23" s="375"/>
      <c r="AD23" s="375"/>
      <c r="AE23" s="375"/>
      <c r="AF23" s="375"/>
      <c r="AG23" s="375"/>
      <c r="AH23" s="375"/>
      <c r="AI23" s="375"/>
      <c r="AJ23" s="375"/>
      <c r="AK23" s="375"/>
      <c r="AL23" s="375"/>
      <c r="AM23" s="375"/>
      <c r="AN23" s="375"/>
      <c r="AO23" s="375"/>
      <c r="AP23" s="375"/>
      <c r="AQ23" s="390" t="s">
        <v>6289</v>
      </c>
    </row>
    <row r="24" s="363" customFormat="1" ht="18" customHeight="1" spans="1:43">
      <c r="A24" s="368">
        <v>45736</v>
      </c>
      <c r="B24" s="369" t="s">
        <v>6305</v>
      </c>
      <c r="C24" s="370" t="s">
        <v>6118</v>
      </c>
      <c r="D24" s="370" t="s">
        <v>3206</v>
      </c>
      <c r="E24" s="370">
        <v>2500</v>
      </c>
      <c r="F24" s="371" t="s">
        <v>6306</v>
      </c>
      <c r="G24" s="370" t="s">
        <v>6088</v>
      </c>
      <c r="H24" s="371" t="s">
        <v>6083</v>
      </c>
      <c r="I24" s="375"/>
      <c r="J24" s="375"/>
      <c r="K24" s="375"/>
      <c r="L24" s="375"/>
      <c r="M24" s="375"/>
      <c r="N24" s="375"/>
      <c r="O24" s="375"/>
      <c r="P24" s="375"/>
      <c r="Q24" s="375"/>
      <c r="R24" s="375"/>
      <c r="S24" s="375"/>
      <c r="T24" s="375"/>
      <c r="U24" s="375"/>
      <c r="V24" s="375"/>
      <c r="W24" s="375"/>
      <c r="X24" s="375">
        <v>2500</v>
      </c>
      <c r="Y24" s="375"/>
      <c r="Z24" s="375"/>
      <c r="AA24" s="375"/>
      <c r="AB24" s="375"/>
      <c r="AC24" s="375"/>
      <c r="AD24" s="375"/>
      <c r="AE24" s="375"/>
      <c r="AF24" s="375"/>
      <c r="AG24" s="375"/>
      <c r="AH24" s="375"/>
      <c r="AI24" s="375"/>
      <c r="AJ24" s="375"/>
      <c r="AK24" s="375"/>
      <c r="AL24" s="375"/>
      <c r="AM24" s="375"/>
      <c r="AN24" s="375"/>
      <c r="AO24" s="375"/>
      <c r="AP24" s="375"/>
      <c r="AQ24" s="390" t="s">
        <v>6289</v>
      </c>
    </row>
    <row r="25" s="363" customFormat="1" ht="18" customHeight="1" spans="1:43">
      <c r="A25" s="368">
        <v>45722</v>
      </c>
      <c r="B25" s="369" t="s">
        <v>6307</v>
      </c>
      <c r="C25" s="370" t="s">
        <v>6105</v>
      </c>
      <c r="D25" s="370">
        <v>77731</v>
      </c>
      <c r="E25" s="370">
        <v>9348</v>
      </c>
      <c r="F25" s="371" t="s">
        <v>6308</v>
      </c>
      <c r="G25" s="370"/>
      <c r="H25" s="371" t="s">
        <v>68</v>
      </c>
      <c r="I25" s="375"/>
      <c r="J25" s="375"/>
      <c r="K25" s="375"/>
      <c r="L25" s="375"/>
      <c r="M25" s="375"/>
      <c r="N25" s="375"/>
      <c r="O25" s="375"/>
      <c r="P25" s="375"/>
      <c r="Q25" s="375"/>
      <c r="R25" s="375"/>
      <c r="S25" s="375"/>
      <c r="T25" s="375"/>
      <c r="U25" s="375"/>
      <c r="V25" s="375"/>
      <c r="W25" s="375"/>
      <c r="X25" s="375"/>
      <c r="Y25" s="375"/>
      <c r="Z25" s="375"/>
      <c r="AA25" s="375"/>
      <c r="AB25" s="375"/>
      <c r="AC25" s="375"/>
      <c r="AD25" s="375"/>
      <c r="AE25" s="375"/>
      <c r="AF25" s="375"/>
      <c r="AG25" s="375"/>
      <c r="AH25" s="375"/>
      <c r="AI25" s="375"/>
      <c r="AJ25" s="375"/>
      <c r="AK25" s="375"/>
      <c r="AL25" s="375"/>
      <c r="AM25" s="375"/>
      <c r="AN25" s="375">
        <v>9348</v>
      </c>
      <c r="AO25" s="375"/>
      <c r="AP25" s="375"/>
      <c r="AQ25" s="390" t="s">
        <v>6309</v>
      </c>
    </row>
    <row r="26" s="363" customFormat="1" ht="18" customHeight="1" spans="1:43">
      <c r="A26" s="368">
        <v>45722</v>
      </c>
      <c r="B26" s="369" t="s">
        <v>6310</v>
      </c>
      <c r="C26" s="370" t="s">
        <v>6105</v>
      </c>
      <c r="D26" s="370">
        <v>77731</v>
      </c>
      <c r="E26" s="370">
        <v>9348</v>
      </c>
      <c r="F26" s="371" t="s">
        <v>6311</v>
      </c>
      <c r="G26" s="370" t="s">
        <v>6088</v>
      </c>
      <c r="H26" s="371" t="s">
        <v>68</v>
      </c>
      <c r="I26" s="375"/>
      <c r="J26" s="375"/>
      <c r="K26" s="375"/>
      <c r="L26" s="375"/>
      <c r="M26" s="375"/>
      <c r="N26" s="375"/>
      <c r="O26" s="375"/>
      <c r="P26" s="375"/>
      <c r="Q26" s="375"/>
      <c r="R26" s="375"/>
      <c r="S26" s="375"/>
      <c r="T26" s="375"/>
      <c r="U26" s="375"/>
      <c r="V26" s="375"/>
      <c r="W26" s="375"/>
      <c r="X26" s="375"/>
      <c r="Y26" s="375"/>
      <c r="Z26" s="375"/>
      <c r="AA26" s="375"/>
      <c r="AB26" s="375"/>
      <c r="AC26" s="375"/>
      <c r="AD26" s="375"/>
      <c r="AE26" s="375"/>
      <c r="AF26" s="375"/>
      <c r="AG26" s="375"/>
      <c r="AH26" s="375"/>
      <c r="AI26" s="375"/>
      <c r="AJ26" s="375"/>
      <c r="AK26" s="375"/>
      <c r="AL26" s="375"/>
      <c r="AM26" s="375"/>
      <c r="AN26" s="375"/>
      <c r="AO26" s="375">
        <v>9348</v>
      </c>
      <c r="AP26" s="375"/>
      <c r="AQ26" s="390" t="s">
        <v>6309</v>
      </c>
    </row>
    <row r="27" s="363" customFormat="1" ht="18" customHeight="1" spans="1:43">
      <c r="A27" s="368">
        <v>45722</v>
      </c>
      <c r="B27" s="369" t="s">
        <v>6312</v>
      </c>
      <c r="C27" s="370" t="s">
        <v>6105</v>
      </c>
      <c r="D27" s="370">
        <v>77731</v>
      </c>
      <c r="E27" s="370">
        <v>9348</v>
      </c>
      <c r="F27" s="371" t="s">
        <v>6313</v>
      </c>
      <c r="G27" s="370"/>
      <c r="H27" s="371" t="s">
        <v>68</v>
      </c>
      <c r="I27" s="375"/>
      <c r="J27" s="375"/>
      <c r="K27" s="375"/>
      <c r="L27" s="375"/>
      <c r="M27" s="375"/>
      <c r="N27" s="375"/>
      <c r="O27" s="375"/>
      <c r="P27" s="375"/>
      <c r="Q27" s="375"/>
      <c r="R27" s="375"/>
      <c r="S27" s="375"/>
      <c r="T27" s="375"/>
      <c r="U27" s="375"/>
      <c r="V27" s="375"/>
      <c r="W27" s="375"/>
      <c r="X27" s="375"/>
      <c r="Y27" s="375"/>
      <c r="Z27" s="375"/>
      <c r="AA27" s="375"/>
      <c r="AB27" s="375"/>
      <c r="AC27" s="375"/>
      <c r="AD27" s="375"/>
      <c r="AE27" s="375"/>
      <c r="AF27" s="375"/>
      <c r="AG27" s="375"/>
      <c r="AH27" s="375"/>
      <c r="AI27" s="375"/>
      <c r="AJ27" s="375"/>
      <c r="AK27" s="375"/>
      <c r="AL27" s="375"/>
      <c r="AM27" s="375"/>
      <c r="AN27" s="375"/>
      <c r="AO27" s="375"/>
      <c r="AP27" s="375">
        <v>9348</v>
      </c>
      <c r="AQ27" s="390" t="s">
        <v>6309</v>
      </c>
    </row>
    <row r="28" s="363" customFormat="1" ht="18" customHeight="1" spans="1:43">
      <c r="A28" s="368">
        <v>45736</v>
      </c>
      <c r="B28" s="369" t="s">
        <v>6314</v>
      </c>
      <c r="C28" s="370" t="s">
        <v>6184</v>
      </c>
      <c r="D28" s="370">
        <v>77731</v>
      </c>
      <c r="E28" s="370">
        <v>10000</v>
      </c>
      <c r="F28" s="371" t="s">
        <v>6308</v>
      </c>
      <c r="G28" s="370"/>
      <c r="H28" s="371" t="s">
        <v>6083</v>
      </c>
      <c r="I28" s="375"/>
      <c r="J28" s="375"/>
      <c r="K28" s="375"/>
      <c r="L28" s="375"/>
      <c r="M28" s="375"/>
      <c r="N28" s="375"/>
      <c r="O28" s="375"/>
      <c r="P28" s="375"/>
      <c r="Q28" s="375"/>
      <c r="R28" s="375"/>
      <c r="S28" s="375"/>
      <c r="T28" s="375"/>
      <c r="U28" s="375"/>
      <c r="V28" s="375"/>
      <c r="W28" s="375"/>
      <c r="X28" s="375"/>
      <c r="Y28" s="375"/>
      <c r="Z28" s="375"/>
      <c r="AA28" s="375"/>
      <c r="AB28" s="375"/>
      <c r="AC28" s="375"/>
      <c r="AD28" s="375"/>
      <c r="AE28" s="375"/>
      <c r="AF28" s="375"/>
      <c r="AG28" s="375"/>
      <c r="AH28" s="375"/>
      <c r="AI28" s="375"/>
      <c r="AJ28" s="375"/>
      <c r="AK28" s="375"/>
      <c r="AL28" s="375"/>
      <c r="AM28" s="375"/>
      <c r="AN28" s="375">
        <v>10000</v>
      </c>
      <c r="AO28" s="375"/>
      <c r="AP28" s="375"/>
      <c r="AQ28" s="390" t="s">
        <v>6315</v>
      </c>
    </row>
    <row r="29" s="363" customFormat="1" ht="18" customHeight="1" spans="1:43">
      <c r="A29" s="368">
        <v>45736</v>
      </c>
      <c r="B29" s="369" t="s">
        <v>6316</v>
      </c>
      <c r="C29" s="370" t="s">
        <v>6184</v>
      </c>
      <c r="D29" s="370">
        <v>77731</v>
      </c>
      <c r="E29" s="370">
        <v>5000</v>
      </c>
      <c r="F29" s="371" t="s">
        <v>6311</v>
      </c>
      <c r="G29" s="370" t="s">
        <v>6088</v>
      </c>
      <c r="H29" s="371" t="s">
        <v>6083</v>
      </c>
      <c r="I29" s="375"/>
      <c r="J29" s="375"/>
      <c r="K29" s="375"/>
      <c r="L29" s="375"/>
      <c r="M29" s="375"/>
      <c r="N29" s="375"/>
      <c r="O29" s="375"/>
      <c r="P29" s="375"/>
      <c r="Q29" s="375"/>
      <c r="R29" s="375"/>
      <c r="S29" s="375"/>
      <c r="T29" s="375"/>
      <c r="U29" s="375"/>
      <c r="V29" s="375"/>
      <c r="W29" s="375"/>
      <c r="X29" s="375"/>
      <c r="Y29" s="375"/>
      <c r="Z29" s="375"/>
      <c r="AA29" s="375"/>
      <c r="AB29" s="375"/>
      <c r="AC29" s="375"/>
      <c r="AD29" s="375"/>
      <c r="AE29" s="375"/>
      <c r="AF29" s="375"/>
      <c r="AG29" s="375"/>
      <c r="AH29" s="375"/>
      <c r="AI29" s="375"/>
      <c r="AJ29" s="375"/>
      <c r="AK29" s="375"/>
      <c r="AL29" s="375"/>
      <c r="AM29" s="375"/>
      <c r="AN29" s="375"/>
      <c r="AO29" s="375">
        <v>5000</v>
      </c>
      <c r="AP29" s="375"/>
      <c r="AQ29" s="390" t="s">
        <v>6315</v>
      </c>
    </row>
    <row r="30" s="363" customFormat="1" ht="18" customHeight="1" spans="1:43">
      <c r="A30" s="368">
        <v>45736</v>
      </c>
      <c r="B30" s="369" t="s">
        <v>6317</v>
      </c>
      <c r="C30" s="370" t="s">
        <v>6184</v>
      </c>
      <c r="D30" s="370">
        <v>77731</v>
      </c>
      <c r="E30" s="370">
        <v>5000</v>
      </c>
      <c r="F30" s="371" t="s">
        <v>6313</v>
      </c>
      <c r="G30" s="370"/>
      <c r="H30" s="371" t="s">
        <v>6083</v>
      </c>
      <c r="I30" s="375"/>
      <c r="J30" s="375"/>
      <c r="K30" s="375"/>
      <c r="L30" s="375"/>
      <c r="M30" s="375"/>
      <c r="N30" s="375"/>
      <c r="O30" s="375"/>
      <c r="P30" s="375"/>
      <c r="Q30" s="375"/>
      <c r="R30" s="375"/>
      <c r="S30" s="375"/>
      <c r="T30" s="375"/>
      <c r="U30" s="375"/>
      <c r="V30" s="375"/>
      <c r="W30" s="375"/>
      <c r="X30" s="375"/>
      <c r="Y30" s="375"/>
      <c r="Z30" s="375"/>
      <c r="AA30" s="375"/>
      <c r="AB30" s="375"/>
      <c r="AC30" s="375"/>
      <c r="AD30" s="375"/>
      <c r="AE30" s="375"/>
      <c r="AF30" s="375"/>
      <c r="AG30" s="375"/>
      <c r="AH30" s="375"/>
      <c r="AI30" s="375"/>
      <c r="AJ30" s="375"/>
      <c r="AK30" s="375"/>
      <c r="AL30" s="375"/>
      <c r="AM30" s="375"/>
      <c r="AN30" s="375"/>
      <c r="AO30" s="375"/>
      <c r="AP30" s="375">
        <v>5000</v>
      </c>
      <c r="AQ30" s="390" t="s">
        <v>6315</v>
      </c>
    </row>
    <row r="31" s="363" customFormat="1" ht="18" customHeight="1" spans="1:43">
      <c r="A31" s="368">
        <v>45727</v>
      </c>
      <c r="B31" s="369" t="s">
        <v>6318</v>
      </c>
      <c r="C31" s="370" t="s">
        <v>6319</v>
      </c>
      <c r="D31" s="370" t="s">
        <v>6320</v>
      </c>
      <c r="E31" s="370">
        <v>7664</v>
      </c>
      <c r="F31" s="371" t="s">
        <v>6321</v>
      </c>
      <c r="G31" s="370" t="s">
        <v>6082</v>
      </c>
      <c r="H31" s="371" t="s">
        <v>6083</v>
      </c>
      <c r="I31" s="375"/>
      <c r="J31" s="375"/>
      <c r="K31" s="375"/>
      <c r="L31" s="375"/>
      <c r="M31" s="375"/>
      <c r="N31" s="375"/>
      <c r="O31" s="375"/>
      <c r="P31" s="375"/>
      <c r="Q31" s="375"/>
      <c r="R31" s="375"/>
      <c r="S31" s="375"/>
      <c r="T31" s="375"/>
      <c r="U31" s="375"/>
      <c r="V31" s="375"/>
      <c r="W31" s="375"/>
      <c r="X31" s="375"/>
      <c r="Y31" s="375"/>
      <c r="Z31" s="375"/>
      <c r="AA31" s="375"/>
      <c r="AB31" s="375">
        <v>7664</v>
      </c>
      <c r="AC31" s="375"/>
      <c r="AD31" s="375"/>
      <c r="AE31" s="375"/>
      <c r="AF31" s="375"/>
      <c r="AG31" s="375"/>
      <c r="AH31" s="375"/>
      <c r="AI31" s="375"/>
      <c r="AJ31" s="375"/>
      <c r="AK31" s="375"/>
      <c r="AL31" s="375"/>
      <c r="AM31" s="375"/>
      <c r="AN31" s="375"/>
      <c r="AO31" s="375"/>
      <c r="AP31" s="375"/>
      <c r="AQ31" s="390" t="s">
        <v>6322</v>
      </c>
    </row>
    <row r="32" s="363" customFormat="1" ht="18" customHeight="1" spans="1:43">
      <c r="A32" s="368">
        <v>45748</v>
      </c>
      <c r="B32" s="369" t="s">
        <v>6323</v>
      </c>
      <c r="C32" s="370" t="s">
        <v>6319</v>
      </c>
      <c r="D32" s="370" t="s">
        <v>6320</v>
      </c>
      <c r="E32" s="370">
        <v>2690</v>
      </c>
      <c r="F32" s="371" t="s">
        <v>6321</v>
      </c>
      <c r="G32" s="370" t="s">
        <v>6082</v>
      </c>
      <c r="H32" s="371" t="s">
        <v>6083</v>
      </c>
      <c r="I32" s="375"/>
      <c r="J32" s="375"/>
      <c r="K32" s="375"/>
      <c r="L32" s="375"/>
      <c r="M32" s="375"/>
      <c r="N32" s="375"/>
      <c r="O32" s="375"/>
      <c r="P32" s="375"/>
      <c r="Q32" s="375"/>
      <c r="R32" s="375"/>
      <c r="S32" s="375"/>
      <c r="T32" s="375"/>
      <c r="U32" s="375"/>
      <c r="V32" s="375"/>
      <c r="W32" s="375"/>
      <c r="X32" s="375"/>
      <c r="Y32" s="375"/>
      <c r="Z32" s="375"/>
      <c r="AA32" s="375"/>
      <c r="AB32" s="375">
        <v>2690</v>
      </c>
      <c r="AC32" s="375"/>
      <c r="AD32" s="375"/>
      <c r="AE32" s="375"/>
      <c r="AF32" s="375"/>
      <c r="AG32" s="375"/>
      <c r="AH32" s="375"/>
      <c r="AI32" s="375"/>
      <c r="AJ32" s="375"/>
      <c r="AK32" s="375"/>
      <c r="AL32" s="375"/>
      <c r="AM32" s="375"/>
      <c r="AN32" s="375"/>
      <c r="AO32" s="375"/>
      <c r="AP32" s="375"/>
      <c r="AQ32" s="390" t="s">
        <v>6324</v>
      </c>
    </row>
    <row r="33" s="363" customFormat="1" ht="18" customHeight="1" spans="1:43">
      <c r="A33" s="368">
        <v>45743</v>
      </c>
      <c r="B33" s="369" t="s">
        <v>6325</v>
      </c>
      <c r="C33" s="370" t="s">
        <v>6184</v>
      </c>
      <c r="D33" s="370">
        <v>77731</v>
      </c>
      <c r="E33" s="370">
        <v>20000</v>
      </c>
      <c r="F33" s="371" t="s">
        <v>6326</v>
      </c>
      <c r="G33" s="370" t="s">
        <v>6082</v>
      </c>
      <c r="H33" s="371" t="s">
        <v>6083</v>
      </c>
      <c r="I33" s="375"/>
      <c r="J33" s="375"/>
      <c r="K33" s="375">
        <v>20000</v>
      </c>
      <c r="L33" s="375"/>
      <c r="M33" s="375"/>
      <c r="N33" s="375"/>
      <c r="O33" s="375"/>
      <c r="P33" s="375"/>
      <c r="Q33" s="375"/>
      <c r="R33" s="375"/>
      <c r="S33" s="375"/>
      <c r="T33" s="375"/>
      <c r="U33" s="375"/>
      <c r="V33" s="375"/>
      <c r="W33" s="375"/>
      <c r="X33" s="375"/>
      <c r="Y33" s="375"/>
      <c r="Z33" s="375"/>
      <c r="AA33" s="375"/>
      <c r="AB33" s="375"/>
      <c r="AC33" s="375"/>
      <c r="AD33" s="375"/>
      <c r="AE33" s="375"/>
      <c r="AF33" s="375"/>
      <c r="AG33" s="375"/>
      <c r="AH33" s="375"/>
      <c r="AI33" s="375"/>
      <c r="AJ33" s="375"/>
      <c r="AK33" s="375"/>
      <c r="AL33" s="375"/>
      <c r="AM33" s="375"/>
      <c r="AN33" s="375"/>
      <c r="AO33" s="375"/>
      <c r="AP33" s="375"/>
      <c r="AQ33" s="390" t="s">
        <v>6309</v>
      </c>
    </row>
    <row r="34" s="363" customFormat="1" ht="18" customHeight="1" spans="1:43">
      <c r="A34" s="368">
        <v>45748</v>
      </c>
      <c r="B34" s="369" t="s">
        <v>6327</v>
      </c>
      <c r="C34" s="370" t="s">
        <v>6118</v>
      </c>
      <c r="D34" s="370" t="s">
        <v>3198</v>
      </c>
      <c r="E34" s="370">
        <v>100000</v>
      </c>
      <c r="F34" s="371" t="s">
        <v>6081</v>
      </c>
      <c r="G34" s="370" t="s">
        <v>6082</v>
      </c>
      <c r="H34" s="371" t="s">
        <v>6083</v>
      </c>
      <c r="I34" s="375">
        <v>100000</v>
      </c>
      <c r="J34" s="375"/>
      <c r="K34" s="375"/>
      <c r="L34" s="375"/>
      <c r="M34" s="375"/>
      <c r="N34" s="375"/>
      <c r="O34" s="375"/>
      <c r="P34" s="375"/>
      <c r="Q34" s="375"/>
      <c r="R34" s="375"/>
      <c r="S34" s="375"/>
      <c r="T34" s="375"/>
      <c r="U34" s="375"/>
      <c r="V34" s="375"/>
      <c r="W34" s="375"/>
      <c r="X34" s="375"/>
      <c r="Y34" s="375"/>
      <c r="Z34" s="375"/>
      <c r="AA34" s="375"/>
      <c r="AB34" s="375"/>
      <c r="AC34" s="375"/>
      <c r="AD34" s="375"/>
      <c r="AE34" s="375"/>
      <c r="AF34" s="375"/>
      <c r="AG34" s="375"/>
      <c r="AH34" s="375"/>
      <c r="AI34" s="375"/>
      <c r="AJ34" s="375"/>
      <c r="AK34" s="375"/>
      <c r="AL34" s="375"/>
      <c r="AM34" s="375"/>
      <c r="AN34" s="375"/>
      <c r="AO34" s="375"/>
      <c r="AP34" s="375"/>
      <c r="AQ34" s="390" t="s">
        <v>6274</v>
      </c>
    </row>
    <row r="35" s="363" customFormat="1" ht="18" customHeight="1" spans="1:43">
      <c r="A35" s="368">
        <v>45748</v>
      </c>
      <c r="B35" s="369" t="s">
        <v>6328</v>
      </c>
      <c r="C35" s="370" t="s">
        <v>6118</v>
      </c>
      <c r="D35" s="370" t="s">
        <v>3198</v>
      </c>
      <c r="E35" s="370">
        <v>20000</v>
      </c>
      <c r="F35" s="371" t="s">
        <v>6276</v>
      </c>
      <c r="G35" s="370" t="s">
        <v>6277</v>
      </c>
      <c r="H35" s="371" t="s">
        <v>6083</v>
      </c>
      <c r="I35" s="375"/>
      <c r="J35" s="375">
        <v>20000</v>
      </c>
      <c r="K35" s="375"/>
      <c r="L35" s="375"/>
      <c r="M35" s="375"/>
      <c r="N35" s="375"/>
      <c r="O35" s="375"/>
      <c r="P35" s="375"/>
      <c r="Q35" s="375"/>
      <c r="R35" s="375"/>
      <c r="S35" s="375"/>
      <c r="T35" s="375"/>
      <c r="U35" s="375"/>
      <c r="V35" s="375"/>
      <c r="W35" s="375"/>
      <c r="X35" s="375"/>
      <c r="Y35" s="375"/>
      <c r="Z35" s="375"/>
      <c r="AA35" s="375"/>
      <c r="AB35" s="375"/>
      <c r="AC35" s="375"/>
      <c r="AD35" s="375"/>
      <c r="AE35" s="375"/>
      <c r="AF35" s="375"/>
      <c r="AG35" s="375"/>
      <c r="AH35" s="375"/>
      <c r="AI35" s="375"/>
      <c r="AJ35" s="375"/>
      <c r="AK35" s="375"/>
      <c r="AL35" s="375"/>
      <c r="AM35" s="375"/>
      <c r="AN35" s="375"/>
      <c r="AO35" s="375"/>
      <c r="AP35" s="375"/>
      <c r="AQ35" s="390" t="s">
        <v>6274</v>
      </c>
    </row>
    <row r="36" s="363" customFormat="1" ht="18" customHeight="1" spans="1:43">
      <c r="A36" s="368">
        <v>45748</v>
      </c>
      <c r="B36" s="369" t="s">
        <v>6329</v>
      </c>
      <c r="C36" s="370" t="s">
        <v>6118</v>
      </c>
      <c r="D36" s="370" t="s">
        <v>3198</v>
      </c>
      <c r="E36" s="370">
        <v>100000</v>
      </c>
      <c r="F36" s="371" t="s">
        <v>6295</v>
      </c>
      <c r="G36" s="370" t="s">
        <v>6277</v>
      </c>
      <c r="H36" s="371" t="s">
        <v>6083</v>
      </c>
      <c r="I36" s="375"/>
      <c r="J36" s="375"/>
      <c r="K36" s="375"/>
      <c r="L36" s="375"/>
      <c r="M36" s="375"/>
      <c r="N36" s="375">
        <v>100000</v>
      </c>
      <c r="O36" s="375"/>
      <c r="P36" s="375"/>
      <c r="Q36" s="375"/>
      <c r="R36" s="375"/>
      <c r="S36" s="375"/>
      <c r="T36" s="375"/>
      <c r="U36" s="375"/>
      <c r="V36" s="375"/>
      <c r="W36" s="375"/>
      <c r="X36" s="375"/>
      <c r="Y36" s="375"/>
      <c r="Z36" s="375"/>
      <c r="AA36" s="375"/>
      <c r="AB36" s="375"/>
      <c r="AC36" s="375"/>
      <c r="AD36" s="375"/>
      <c r="AE36" s="375"/>
      <c r="AF36" s="375"/>
      <c r="AG36" s="375"/>
      <c r="AH36" s="375"/>
      <c r="AI36" s="375"/>
      <c r="AJ36" s="375"/>
      <c r="AK36" s="375"/>
      <c r="AL36" s="375"/>
      <c r="AM36" s="375"/>
      <c r="AN36" s="375"/>
      <c r="AO36" s="375"/>
      <c r="AP36" s="375"/>
      <c r="AQ36" s="390"/>
    </row>
    <row r="37" s="363" customFormat="1" ht="18" customHeight="1" spans="1:43">
      <c r="A37" s="368">
        <v>45748</v>
      </c>
      <c r="B37" s="369" t="s">
        <v>6330</v>
      </c>
      <c r="C37" s="370" t="s">
        <v>6118</v>
      </c>
      <c r="D37" s="370" t="s">
        <v>3272</v>
      </c>
      <c r="E37" s="370">
        <v>1000</v>
      </c>
      <c r="F37" s="371" t="s">
        <v>6331</v>
      </c>
      <c r="G37" s="370" t="s">
        <v>6082</v>
      </c>
      <c r="H37" s="371" t="s">
        <v>6083</v>
      </c>
      <c r="I37" s="375"/>
      <c r="J37" s="375"/>
      <c r="K37" s="375"/>
      <c r="L37" s="375"/>
      <c r="M37" s="375"/>
      <c r="N37" s="375"/>
      <c r="O37" s="375"/>
      <c r="P37" s="375"/>
      <c r="Q37" s="375"/>
      <c r="R37" s="375"/>
      <c r="S37" s="375"/>
      <c r="T37" s="375"/>
      <c r="U37" s="375"/>
      <c r="V37" s="375">
        <v>1000</v>
      </c>
      <c r="W37" s="375"/>
      <c r="X37" s="375"/>
      <c r="Y37" s="375"/>
      <c r="Z37" s="375"/>
      <c r="AA37" s="375"/>
      <c r="AB37" s="375"/>
      <c r="AC37" s="375"/>
      <c r="AD37" s="375"/>
      <c r="AE37" s="375"/>
      <c r="AF37" s="375"/>
      <c r="AG37" s="375"/>
      <c r="AH37" s="375"/>
      <c r="AI37" s="375"/>
      <c r="AJ37" s="375"/>
      <c r="AK37" s="375"/>
      <c r="AL37" s="375"/>
      <c r="AM37" s="375"/>
      <c r="AN37" s="375"/>
      <c r="AO37" s="375"/>
      <c r="AP37" s="375"/>
      <c r="AQ37" s="390"/>
    </row>
    <row r="38" s="363" customFormat="1" ht="18" customHeight="1" spans="1:43">
      <c r="A38" s="368">
        <v>45748</v>
      </c>
      <c r="B38" s="369" t="s">
        <v>6332</v>
      </c>
      <c r="C38" s="370" t="s">
        <v>6118</v>
      </c>
      <c r="D38" s="370" t="s">
        <v>3165</v>
      </c>
      <c r="E38" s="370">
        <v>80000</v>
      </c>
      <c r="F38" s="371" t="s">
        <v>6087</v>
      </c>
      <c r="G38" s="370" t="s">
        <v>6088</v>
      </c>
      <c r="H38" s="371" t="s">
        <v>6083</v>
      </c>
      <c r="I38" s="375"/>
      <c r="J38" s="375"/>
      <c r="K38" s="375"/>
      <c r="L38" s="375"/>
      <c r="M38" s="375">
        <v>80000</v>
      </c>
      <c r="N38" s="375"/>
      <c r="O38" s="375"/>
      <c r="P38" s="375"/>
      <c r="Q38" s="375"/>
      <c r="R38" s="375"/>
      <c r="S38" s="375"/>
      <c r="T38" s="375"/>
      <c r="U38" s="375"/>
      <c r="V38" s="375"/>
      <c r="W38" s="375"/>
      <c r="X38" s="375"/>
      <c r="Y38" s="375"/>
      <c r="Z38" s="375"/>
      <c r="AA38" s="375"/>
      <c r="AB38" s="375"/>
      <c r="AC38" s="375"/>
      <c r="AD38" s="375"/>
      <c r="AE38" s="375"/>
      <c r="AF38" s="375"/>
      <c r="AG38" s="375"/>
      <c r="AH38" s="375"/>
      <c r="AI38" s="375"/>
      <c r="AJ38" s="375"/>
      <c r="AK38" s="375"/>
      <c r="AL38" s="375"/>
      <c r="AM38" s="375"/>
      <c r="AN38" s="375"/>
      <c r="AO38" s="375"/>
      <c r="AP38" s="375"/>
      <c r="AQ38" s="390"/>
    </row>
    <row r="39" s="363" customFormat="1" ht="18" customHeight="1" spans="1:43">
      <c r="A39" s="368">
        <v>45748</v>
      </c>
      <c r="B39" s="369" t="s">
        <v>6333</v>
      </c>
      <c r="C39" s="370" t="s">
        <v>6118</v>
      </c>
      <c r="D39" s="370" t="s">
        <v>3165</v>
      </c>
      <c r="E39" s="370">
        <v>50000</v>
      </c>
      <c r="F39" s="371" t="s">
        <v>6279</v>
      </c>
      <c r="G39" s="370" t="s">
        <v>6092</v>
      </c>
      <c r="H39" s="371" t="s">
        <v>6083</v>
      </c>
      <c r="I39" s="375"/>
      <c r="J39" s="375"/>
      <c r="K39" s="375"/>
      <c r="L39" s="375"/>
      <c r="M39" s="375"/>
      <c r="N39" s="375"/>
      <c r="O39" s="375">
        <v>50000</v>
      </c>
      <c r="P39" s="375"/>
      <c r="Q39" s="375"/>
      <c r="R39" s="375"/>
      <c r="S39" s="375"/>
      <c r="T39" s="375"/>
      <c r="U39" s="375"/>
      <c r="V39" s="375"/>
      <c r="W39" s="375"/>
      <c r="X39" s="375"/>
      <c r="Y39" s="375"/>
      <c r="Z39" s="375"/>
      <c r="AA39" s="375"/>
      <c r="AB39" s="375"/>
      <c r="AC39" s="375"/>
      <c r="AD39" s="375"/>
      <c r="AE39" s="375"/>
      <c r="AF39" s="375"/>
      <c r="AG39" s="375"/>
      <c r="AH39" s="375"/>
      <c r="AI39" s="375"/>
      <c r="AJ39" s="375"/>
      <c r="AK39" s="375"/>
      <c r="AL39" s="375"/>
      <c r="AM39" s="375"/>
      <c r="AN39" s="375"/>
      <c r="AO39" s="375"/>
      <c r="AP39" s="375"/>
      <c r="AQ39" s="390"/>
    </row>
    <row r="40" s="363" customFormat="1" ht="18" customHeight="1" spans="1:43">
      <c r="A40" s="368">
        <v>45748</v>
      </c>
      <c r="B40" s="369" t="s">
        <v>6334</v>
      </c>
      <c r="C40" s="370" t="s">
        <v>6118</v>
      </c>
      <c r="D40" s="370" t="s">
        <v>3328</v>
      </c>
      <c r="E40" s="370">
        <v>300</v>
      </c>
      <c r="F40" s="371" t="s">
        <v>6335</v>
      </c>
      <c r="G40" s="370" t="s">
        <v>6088</v>
      </c>
      <c r="H40" s="371" t="s">
        <v>6083</v>
      </c>
      <c r="I40" s="375"/>
      <c r="J40" s="375"/>
      <c r="K40" s="375"/>
      <c r="L40" s="375"/>
      <c r="M40" s="375"/>
      <c r="N40" s="375"/>
      <c r="O40" s="375"/>
      <c r="P40" s="375"/>
      <c r="Q40" s="375"/>
      <c r="R40" s="375"/>
      <c r="S40" s="375"/>
      <c r="T40" s="375"/>
      <c r="U40" s="375"/>
      <c r="V40" s="375"/>
      <c r="W40" s="375"/>
      <c r="X40" s="375"/>
      <c r="Y40" s="375"/>
      <c r="Z40" s="375"/>
      <c r="AA40" s="375"/>
      <c r="AB40" s="375"/>
      <c r="AC40" s="375"/>
      <c r="AD40" s="375"/>
      <c r="AE40" s="375"/>
      <c r="AF40" s="375"/>
      <c r="AG40" s="375"/>
      <c r="AH40" s="375"/>
      <c r="AI40" s="375"/>
      <c r="AJ40" s="375"/>
      <c r="AK40" s="375"/>
      <c r="AL40" s="375">
        <v>300</v>
      </c>
      <c r="AM40" s="375"/>
      <c r="AN40" s="375"/>
      <c r="AO40" s="375"/>
      <c r="AP40" s="375"/>
      <c r="AQ40" s="390"/>
    </row>
    <row r="41" s="363" customFormat="1" ht="18" customHeight="1" spans="1:43">
      <c r="A41" s="368">
        <v>45748</v>
      </c>
      <c r="B41" s="369" t="s">
        <v>6336</v>
      </c>
      <c r="C41" s="370" t="s">
        <v>6118</v>
      </c>
      <c r="D41" s="370" t="s">
        <v>3206</v>
      </c>
      <c r="E41" s="370">
        <v>1000</v>
      </c>
      <c r="F41" s="371" t="s">
        <v>6306</v>
      </c>
      <c r="G41" s="370" t="s">
        <v>6088</v>
      </c>
      <c r="H41" s="371" t="s">
        <v>6083</v>
      </c>
      <c r="I41" s="375"/>
      <c r="J41" s="375"/>
      <c r="K41" s="375"/>
      <c r="L41" s="375"/>
      <c r="M41" s="375"/>
      <c r="N41" s="375"/>
      <c r="O41" s="375"/>
      <c r="P41" s="375"/>
      <c r="Q41" s="375"/>
      <c r="R41" s="375"/>
      <c r="S41" s="375"/>
      <c r="T41" s="375"/>
      <c r="U41" s="375"/>
      <c r="V41" s="375"/>
      <c r="W41" s="375"/>
      <c r="X41" s="375">
        <v>1000</v>
      </c>
      <c r="Y41" s="375"/>
      <c r="Z41" s="375"/>
      <c r="AA41" s="375"/>
      <c r="AB41" s="375"/>
      <c r="AC41" s="375"/>
      <c r="AD41" s="375"/>
      <c r="AE41" s="375"/>
      <c r="AF41" s="375"/>
      <c r="AG41" s="375"/>
      <c r="AH41" s="375"/>
      <c r="AI41" s="375"/>
      <c r="AJ41" s="375"/>
      <c r="AK41" s="375"/>
      <c r="AL41" s="375"/>
      <c r="AM41" s="375"/>
      <c r="AN41" s="375"/>
      <c r="AO41" s="375"/>
      <c r="AP41" s="375"/>
      <c r="AQ41" s="390"/>
    </row>
    <row r="42" s="363" customFormat="1" ht="18" customHeight="1" spans="1:43">
      <c r="A42" s="368">
        <v>45758</v>
      </c>
      <c r="B42" s="369" t="s">
        <v>6337</v>
      </c>
      <c r="C42" s="370" t="s">
        <v>6181</v>
      </c>
      <c r="D42" s="370" t="s">
        <v>6338</v>
      </c>
      <c r="E42" s="370">
        <v>33320</v>
      </c>
      <c r="F42" s="371" t="s">
        <v>6107</v>
      </c>
      <c r="G42" s="370" t="s">
        <v>6339</v>
      </c>
      <c r="H42" s="371"/>
      <c r="I42" s="375"/>
      <c r="J42" s="375"/>
      <c r="K42" s="375"/>
      <c r="L42" s="375"/>
      <c r="M42" s="375"/>
      <c r="N42" s="375"/>
      <c r="O42" s="375"/>
      <c r="P42" s="375"/>
      <c r="Q42" s="375"/>
      <c r="R42" s="375"/>
      <c r="S42" s="375"/>
      <c r="T42" s="375"/>
      <c r="U42" s="375"/>
      <c r="V42" s="375"/>
      <c r="W42" s="375"/>
      <c r="X42" s="375"/>
      <c r="Y42" s="375"/>
      <c r="Z42" s="375"/>
      <c r="AA42" s="375"/>
      <c r="AB42" s="375"/>
      <c r="AC42" s="375"/>
      <c r="AD42" s="375">
        <v>33320</v>
      </c>
      <c r="AE42" s="375"/>
      <c r="AF42" s="375"/>
      <c r="AG42" s="375"/>
      <c r="AH42" s="375"/>
      <c r="AI42" s="375"/>
      <c r="AJ42" s="375"/>
      <c r="AK42" s="375"/>
      <c r="AL42" s="375"/>
      <c r="AM42" s="375"/>
      <c r="AN42" s="375"/>
      <c r="AO42" s="375"/>
      <c r="AP42" s="375"/>
      <c r="AQ42" s="390" t="s">
        <v>6340</v>
      </c>
    </row>
    <row r="43" s="363" customFormat="1" ht="18" customHeight="1" spans="1:43">
      <c r="A43" s="368">
        <v>45758</v>
      </c>
      <c r="B43" s="369" t="s">
        <v>6341</v>
      </c>
      <c r="C43" s="370" t="s">
        <v>6181</v>
      </c>
      <c r="D43" s="370" t="s">
        <v>6338</v>
      </c>
      <c r="E43" s="370">
        <v>33320</v>
      </c>
      <c r="F43" s="371" t="s">
        <v>6173</v>
      </c>
      <c r="G43" s="370" t="s">
        <v>6339</v>
      </c>
      <c r="H43" s="371"/>
      <c r="I43" s="375"/>
      <c r="J43" s="375"/>
      <c r="K43" s="375"/>
      <c r="L43" s="375"/>
      <c r="M43" s="375"/>
      <c r="N43" s="375"/>
      <c r="O43" s="375"/>
      <c r="P43" s="375"/>
      <c r="Q43" s="375"/>
      <c r="R43" s="375"/>
      <c r="S43" s="375"/>
      <c r="T43" s="375"/>
      <c r="U43" s="375"/>
      <c r="V43" s="375"/>
      <c r="W43" s="375"/>
      <c r="X43" s="375"/>
      <c r="Y43" s="375"/>
      <c r="Z43" s="375"/>
      <c r="AA43" s="375"/>
      <c r="AB43" s="375"/>
      <c r="AC43" s="375"/>
      <c r="AD43" s="375"/>
      <c r="AE43" s="375">
        <v>33320</v>
      </c>
      <c r="AF43" s="375"/>
      <c r="AG43" s="375"/>
      <c r="AH43" s="375"/>
      <c r="AI43" s="375"/>
      <c r="AJ43" s="375"/>
      <c r="AK43" s="375"/>
      <c r="AL43" s="375"/>
      <c r="AM43" s="375"/>
      <c r="AN43" s="375"/>
      <c r="AO43" s="375"/>
      <c r="AP43" s="375"/>
      <c r="AQ43" s="390" t="s">
        <v>6340</v>
      </c>
    </row>
    <row r="44" s="363" customFormat="1" ht="18" customHeight="1" spans="1:43">
      <c r="A44" s="368">
        <v>45758</v>
      </c>
      <c r="B44" s="369" t="s">
        <v>6342</v>
      </c>
      <c r="C44" s="370" t="s">
        <v>6181</v>
      </c>
      <c r="D44" s="370" t="s">
        <v>6338</v>
      </c>
      <c r="E44" s="370">
        <v>1798</v>
      </c>
      <c r="F44" s="371" t="s">
        <v>6321</v>
      </c>
      <c r="G44" s="370" t="s">
        <v>6339</v>
      </c>
      <c r="H44" s="371"/>
      <c r="I44" s="375"/>
      <c r="J44" s="375"/>
      <c r="K44" s="375"/>
      <c r="L44" s="375"/>
      <c r="M44" s="375"/>
      <c r="N44" s="375"/>
      <c r="O44" s="375"/>
      <c r="P44" s="375"/>
      <c r="Q44" s="375"/>
      <c r="R44" s="375"/>
      <c r="S44" s="375"/>
      <c r="T44" s="375"/>
      <c r="U44" s="375"/>
      <c r="V44" s="375"/>
      <c r="W44" s="375"/>
      <c r="X44" s="375"/>
      <c r="Y44" s="375"/>
      <c r="Z44" s="375"/>
      <c r="AA44" s="375"/>
      <c r="AB44" s="375"/>
      <c r="AC44" s="375"/>
      <c r="AD44" s="375"/>
      <c r="AE44" s="375"/>
      <c r="AF44" s="375">
        <v>1798</v>
      </c>
      <c r="AG44" s="375"/>
      <c r="AH44" s="375"/>
      <c r="AI44" s="375"/>
      <c r="AJ44" s="375"/>
      <c r="AK44" s="375"/>
      <c r="AL44" s="375"/>
      <c r="AM44" s="375"/>
      <c r="AN44" s="375"/>
      <c r="AO44" s="375"/>
      <c r="AP44" s="375"/>
      <c r="AQ44" s="390" t="s">
        <v>6343</v>
      </c>
    </row>
    <row r="45" s="363" customFormat="1" ht="18" customHeight="1" spans="1:43">
      <c r="A45" s="368">
        <v>45770</v>
      </c>
      <c r="B45" s="369" t="s">
        <v>6344</v>
      </c>
      <c r="C45" s="370" t="s">
        <v>6142</v>
      </c>
      <c r="D45" s="370">
        <v>77731</v>
      </c>
      <c r="E45" s="370">
        <v>10000</v>
      </c>
      <c r="F45" s="371" t="s">
        <v>6308</v>
      </c>
      <c r="G45" s="370"/>
      <c r="H45" s="371"/>
      <c r="I45" s="375"/>
      <c r="J45" s="375"/>
      <c r="K45" s="375"/>
      <c r="L45" s="375"/>
      <c r="M45" s="375"/>
      <c r="N45" s="375"/>
      <c r="O45" s="375"/>
      <c r="P45" s="375"/>
      <c r="Q45" s="375"/>
      <c r="R45" s="375"/>
      <c r="S45" s="375"/>
      <c r="T45" s="375"/>
      <c r="U45" s="375"/>
      <c r="V45" s="375"/>
      <c r="W45" s="375"/>
      <c r="X45" s="375"/>
      <c r="Y45" s="375"/>
      <c r="Z45" s="375"/>
      <c r="AA45" s="375"/>
      <c r="AB45" s="375"/>
      <c r="AC45" s="375"/>
      <c r="AD45" s="375"/>
      <c r="AE45" s="375"/>
      <c r="AF45" s="375"/>
      <c r="AG45" s="375"/>
      <c r="AH45" s="375"/>
      <c r="AI45" s="375"/>
      <c r="AJ45" s="375"/>
      <c r="AK45" s="375"/>
      <c r="AL45" s="375"/>
      <c r="AM45" s="375"/>
      <c r="AN45" s="375">
        <v>10000</v>
      </c>
      <c r="AO45" s="375"/>
      <c r="AP45" s="375"/>
      <c r="AQ45" s="390" t="s">
        <v>6345</v>
      </c>
    </row>
    <row r="46" s="363" customFormat="1" ht="18" customHeight="1" spans="1:43">
      <c r="A46" s="368">
        <v>45770</v>
      </c>
      <c r="B46" s="369" t="s">
        <v>6346</v>
      </c>
      <c r="C46" s="370" t="s">
        <v>6142</v>
      </c>
      <c r="D46" s="370">
        <v>77731</v>
      </c>
      <c r="E46" s="370">
        <v>5000</v>
      </c>
      <c r="F46" s="371" t="s">
        <v>6311</v>
      </c>
      <c r="G46" s="370" t="s">
        <v>6088</v>
      </c>
      <c r="H46" s="371"/>
      <c r="I46" s="375"/>
      <c r="J46" s="375"/>
      <c r="K46" s="375"/>
      <c r="L46" s="375"/>
      <c r="M46" s="375"/>
      <c r="N46" s="375"/>
      <c r="O46" s="375"/>
      <c r="P46" s="375"/>
      <c r="Q46" s="375"/>
      <c r="R46" s="375"/>
      <c r="S46" s="375"/>
      <c r="T46" s="375"/>
      <c r="U46" s="375"/>
      <c r="V46" s="375"/>
      <c r="W46" s="375"/>
      <c r="X46" s="375"/>
      <c r="Y46" s="375"/>
      <c r="Z46" s="375"/>
      <c r="AA46" s="375"/>
      <c r="AB46" s="375"/>
      <c r="AC46" s="375"/>
      <c r="AD46" s="375"/>
      <c r="AE46" s="375"/>
      <c r="AF46" s="375"/>
      <c r="AG46" s="375"/>
      <c r="AH46" s="375"/>
      <c r="AI46" s="375"/>
      <c r="AJ46" s="375"/>
      <c r="AK46" s="375"/>
      <c r="AL46" s="375"/>
      <c r="AM46" s="375"/>
      <c r="AN46" s="375"/>
      <c r="AO46" s="375">
        <v>5000</v>
      </c>
      <c r="AP46" s="375"/>
      <c r="AQ46" s="390" t="s">
        <v>6345</v>
      </c>
    </row>
    <row r="47" s="363" customFormat="1" ht="18" customHeight="1" spans="1:43">
      <c r="A47" s="368">
        <v>45770</v>
      </c>
      <c r="B47" s="369" t="s">
        <v>6347</v>
      </c>
      <c r="C47" s="370" t="s">
        <v>6142</v>
      </c>
      <c r="D47" s="370">
        <v>77731</v>
      </c>
      <c r="E47" s="370">
        <v>5000</v>
      </c>
      <c r="F47" s="371" t="s">
        <v>6313</v>
      </c>
      <c r="G47" s="370"/>
      <c r="H47" s="371"/>
      <c r="I47" s="375"/>
      <c r="J47" s="375"/>
      <c r="K47" s="375"/>
      <c r="L47" s="375"/>
      <c r="M47" s="375"/>
      <c r="N47" s="375"/>
      <c r="O47" s="375"/>
      <c r="P47" s="375"/>
      <c r="Q47" s="375"/>
      <c r="R47" s="375"/>
      <c r="S47" s="375"/>
      <c r="T47" s="375"/>
      <c r="U47" s="375"/>
      <c r="V47" s="375"/>
      <c r="W47" s="375"/>
      <c r="X47" s="375"/>
      <c r="Y47" s="375"/>
      <c r="Z47" s="375"/>
      <c r="AA47" s="375"/>
      <c r="AB47" s="375"/>
      <c r="AC47" s="375"/>
      <c r="AD47" s="375"/>
      <c r="AE47" s="375"/>
      <c r="AF47" s="375"/>
      <c r="AG47" s="375"/>
      <c r="AH47" s="375"/>
      <c r="AI47" s="375"/>
      <c r="AJ47" s="375"/>
      <c r="AK47" s="375"/>
      <c r="AL47" s="375"/>
      <c r="AM47" s="375"/>
      <c r="AN47" s="375"/>
      <c r="AO47" s="375"/>
      <c r="AP47" s="375">
        <v>5000</v>
      </c>
      <c r="AQ47" s="390" t="s">
        <v>6345</v>
      </c>
    </row>
    <row r="48" s="363" customFormat="1" ht="18" customHeight="1" spans="1:43">
      <c r="A48" s="368">
        <v>45770</v>
      </c>
      <c r="B48" s="369" t="s">
        <v>6348</v>
      </c>
      <c r="C48" s="370" t="s">
        <v>6118</v>
      </c>
      <c r="D48" s="370" t="s">
        <v>3165</v>
      </c>
      <c r="E48" s="370">
        <v>180000</v>
      </c>
      <c r="F48" s="371" t="s">
        <v>6087</v>
      </c>
      <c r="G48" s="370" t="s">
        <v>6088</v>
      </c>
      <c r="H48" s="371" t="s">
        <v>6083</v>
      </c>
      <c r="I48" s="375"/>
      <c r="J48" s="375"/>
      <c r="K48" s="375"/>
      <c r="L48" s="375"/>
      <c r="M48" s="375">
        <v>180000</v>
      </c>
      <c r="N48" s="375"/>
      <c r="O48" s="375"/>
      <c r="P48" s="375"/>
      <c r="Q48" s="375"/>
      <c r="R48" s="375"/>
      <c r="S48" s="375"/>
      <c r="T48" s="375"/>
      <c r="U48" s="375"/>
      <c r="V48" s="375"/>
      <c r="W48" s="375"/>
      <c r="X48" s="375"/>
      <c r="Y48" s="375"/>
      <c r="Z48" s="375"/>
      <c r="AA48" s="375"/>
      <c r="AB48" s="375"/>
      <c r="AC48" s="375"/>
      <c r="AD48" s="375"/>
      <c r="AE48" s="375"/>
      <c r="AF48" s="375"/>
      <c r="AG48" s="375"/>
      <c r="AH48" s="375"/>
      <c r="AI48" s="375"/>
      <c r="AJ48" s="375"/>
      <c r="AK48" s="375"/>
      <c r="AL48" s="375"/>
      <c r="AM48" s="375"/>
      <c r="AN48" s="375"/>
      <c r="AO48" s="375"/>
      <c r="AP48" s="375"/>
      <c r="AQ48" s="390" t="s">
        <v>6287</v>
      </c>
    </row>
    <row r="49" s="363" customFormat="1" ht="18" customHeight="1" spans="1:43">
      <c r="A49" s="368">
        <v>45770</v>
      </c>
      <c r="B49" s="369" t="s">
        <v>6349</v>
      </c>
      <c r="C49" s="370" t="s">
        <v>6118</v>
      </c>
      <c r="D49" s="370" t="s">
        <v>3165</v>
      </c>
      <c r="E49" s="370">
        <v>200000</v>
      </c>
      <c r="F49" s="371" t="s">
        <v>6279</v>
      </c>
      <c r="G49" s="370" t="s">
        <v>6092</v>
      </c>
      <c r="H49" s="371" t="s">
        <v>6083</v>
      </c>
      <c r="I49" s="375"/>
      <c r="J49" s="375"/>
      <c r="K49" s="375"/>
      <c r="L49" s="375"/>
      <c r="M49" s="375"/>
      <c r="N49" s="375"/>
      <c r="O49" s="375">
        <v>200000</v>
      </c>
      <c r="P49" s="375"/>
      <c r="Q49" s="375"/>
      <c r="R49" s="375"/>
      <c r="S49" s="375"/>
      <c r="T49" s="375"/>
      <c r="U49" s="375"/>
      <c r="V49" s="375"/>
      <c r="W49" s="375"/>
      <c r="X49" s="375"/>
      <c r="Y49" s="375"/>
      <c r="Z49" s="375"/>
      <c r="AA49" s="375"/>
      <c r="AB49" s="375"/>
      <c r="AC49" s="375"/>
      <c r="AD49" s="375"/>
      <c r="AE49" s="375"/>
      <c r="AF49" s="375"/>
      <c r="AG49" s="375"/>
      <c r="AH49" s="375"/>
      <c r="AI49" s="375"/>
      <c r="AJ49" s="375"/>
      <c r="AK49" s="375"/>
      <c r="AL49" s="375"/>
      <c r="AM49" s="375"/>
      <c r="AN49" s="375"/>
      <c r="AO49" s="375"/>
      <c r="AP49" s="375"/>
      <c r="AQ49" s="390" t="s">
        <v>6289</v>
      </c>
    </row>
    <row r="50" s="363" customFormat="1" ht="18" customHeight="1" spans="1:43">
      <c r="A50" s="368">
        <v>45770</v>
      </c>
      <c r="B50" s="369" t="s">
        <v>6350</v>
      </c>
      <c r="C50" s="370" t="s">
        <v>6118</v>
      </c>
      <c r="D50" s="370" t="s">
        <v>3165</v>
      </c>
      <c r="E50" s="370">
        <v>1500</v>
      </c>
      <c r="F50" s="371" t="s">
        <v>6291</v>
      </c>
      <c r="G50" s="370" t="s">
        <v>6088</v>
      </c>
      <c r="H50" s="371" t="s">
        <v>6083</v>
      </c>
      <c r="I50" s="375"/>
      <c r="J50" s="375"/>
      <c r="K50" s="375"/>
      <c r="L50" s="375"/>
      <c r="M50" s="375"/>
      <c r="N50" s="375"/>
      <c r="O50" s="375"/>
      <c r="P50" s="375"/>
      <c r="Q50" s="375"/>
      <c r="R50" s="375"/>
      <c r="S50" s="375"/>
      <c r="T50" s="375"/>
      <c r="U50" s="375"/>
      <c r="V50" s="375"/>
      <c r="W50" s="375"/>
      <c r="X50" s="375"/>
      <c r="Y50" s="375"/>
      <c r="Z50" s="375"/>
      <c r="AA50" s="375">
        <v>1500</v>
      </c>
      <c r="AB50" s="375"/>
      <c r="AC50" s="375"/>
      <c r="AD50" s="375"/>
      <c r="AE50" s="375"/>
      <c r="AF50" s="375"/>
      <c r="AG50" s="375"/>
      <c r="AH50" s="375"/>
      <c r="AI50" s="375"/>
      <c r="AJ50" s="375"/>
      <c r="AK50" s="375"/>
      <c r="AL50" s="375"/>
      <c r="AM50" s="375"/>
      <c r="AN50" s="375"/>
      <c r="AO50" s="375"/>
      <c r="AP50" s="375"/>
      <c r="AQ50" s="390" t="s">
        <v>6289</v>
      </c>
    </row>
    <row r="51" s="363" customFormat="1" ht="18" customHeight="1" spans="1:43">
      <c r="A51" s="368">
        <v>45770</v>
      </c>
      <c r="B51" s="369" t="s">
        <v>6351</v>
      </c>
      <c r="C51" s="370" t="s">
        <v>6118</v>
      </c>
      <c r="D51" s="370" t="s">
        <v>3206</v>
      </c>
      <c r="E51" s="370">
        <v>3000</v>
      </c>
      <c r="F51" s="371" t="s">
        <v>6306</v>
      </c>
      <c r="G51" s="370" t="s">
        <v>6088</v>
      </c>
      <c r="H51" s="371" t="s">
        <v>6083</v>
      </c>
      <c r="I51" s="375"/>
      <c r="J51" s="375"/>
      <c r="K51" s="375"/>
      <c r="L51" s="375"/>
      <c r="M51" s="375"/>
      <c r="N51" s="375"/>
      <c r="O51" s="375"/>
      <c r="P51" s="375"/>
      <c r="Q51" s="375"/>
      <c r="R51" s="375"/>
      <c r="S51" s="375"/>
      <c r="T51" s="375"/>
      <c r="U51" s="375"/>
      <c r="V51" s="375"/>
      <c r="W51" s="375"/>
      <c r="X51" s="375">
        <v>3000</v>
      </c>
      <c r="Y51" s="375"/>
      <c r="Z51" s="375"/>
      <c r="AA51" s="375"/>
      <c r="AB51" s="375"/>
      <c r="AC51" s="375"/>
      <c r="AD51" s="375"/>
      <c r="AE51" s="375"/>
      <c r="AF51" s="375"/>
      <c r="AG51" s="375"/>
      <c r="AH51" s="375"/>
      <c r="AI51" s="375"/>
      <c r="AJ51" s="375"/>
      <c r="AK51" s="375"/>
      <c r="AL51" s="375"/>
      <c r="AM51" s="375"/>
      <c r="AN51" s="375"/>
      <c r="AO51" s="375"/>
      <c r="AP51" s="375"/>
      <c r="AQ51" s="390" t="s">
        <v>6289</v>
      </c>
    </row>
    <row r="52" s="363" customFormat="1" ht="18" customHeight="1" spans="1:43">
      <c r="A52" s="368">
        <v>45770</v>
      </c>
      <c r="B52" s="369" t="s">
        <v>6352</v>
      </c>
      <c r="C52" s="370" t="s">
        <v>6118</v>
      </c>
      <c r="D52" s="370" t="s">
        <v>62</v>
      </c>
      <c r="E52" s="370">
        <v>376</v>
      </c>
      <c r="F52" s="371" t="s">
        <v>6353</v>
      </c>
      <c r="G52" s="370" t="s">
        <v>6088</v>
      </c>
      <c r="H52" s="371" t="s">
        <v>6083</v>
      </c>
      <c r="I52" s="375"/>
      <c r="J52" s="375"/>
      <c r="K52" s="375"/>
      <c r="L52" s="375"/>
      <c r="M52" s="375"/>
      <c r="N52" s="375"/>
      <c r="O52" s="375"/>
      <c r="P52" s="375"/>
      <c r="Q52" s="375"/>
      <c r="R52" s="375"/>
      <c r="S52" s="375"/>
      <c r="T52" s="375"/>
      <c r="U52" s="375"/>
      <c r="V52" s="375"/>
      <c r="W52" s="375"/>
      <c r="X52" s="375"/>
      <c r="Y52" s="375"/>
      <c r="Z52" s="375"/>
      <c r="AA52" s="375"/>
      <c r="AB52" s="375"/>
      <c r="AC52" s="375"/>
      <c r="AD52" s="375"/>
      <c r="AE52" s="375"/>
      <c r="AF52" s="375"/>
      <c r="AG52" s="375"/>
      <c r="AH52" s="375"/>
      <c r="AI52" s="375"/>
      <c r="AJ52" s="375"/>
      <c r="AK52" s="375"/>
      <c r="AL52" s="375"/>
      <c r="AM52" s="375">
        <v>376</v>
      </c>
      <c r="AN52" s="375"/>
      <c r="AO52" s="375"/>
      <c r="AP52" s="375"/>
      <c r="AQ52" s="390" t="s">
        <v>6354</v>
      </c>
    </row>
    <row r="53" s="363" customFormat="1" ht="18" customHeight="1" spans="1:43">
      <c r="A53" s="368">
        <v>45784</v>
      </c>
      <c r="B53" s="369"/>
      <c r="C53" s="370" t="s">
        <v>6355</v>
      </c>
      <c r="D53" s="370" t="s">
        <v>3585</v>
      </c>
      <c r="E53" s="370">
        <v>300</v>
      </c>
      <c r="F53" s="371" t="s">
        <v>6356</v>
      </c>
      <c r="G53" s="370" t="s">
        <v>6277</v>
      </c>
      <c r="H53" s="371" t="s">
        <v>6083</v>
      </c>
      <c r="I53" s="375"/>
      <c r="J53" s="375"/>
      <c r="K53" s="375"/>
      <c r="L53" s="375"/>
      <c r="M53" s="375"/>
      <c r="N53" s="375"/>
      <c r="O53" s="375"/>
      <c r="P53" s="375"/>
      <c r="Q53" s="375"/>
      <c r="R53" s="375"/>
      <c r="S53" s="375"/>
      <c r="T53" s="375"/>
      <c r="U53" s="375"/>
      <c r="V53" s="375"/>
      <c r="W53" s="375"/>
      <c r="X53" s="375"/>
      <c r="Y53" s="375"/>
      <c r="Z53" s="375"/>
      <c r="AA53" s="375"/>
      <c r="AB53" s="375"/>
      <c r="AC53" s="375"/>
      <c r="AD53" s="375"/>
      <c r="AE53" s="375"/>
      <c r="AF53" s="375"/>
      <c r="AG53" s="375"/>
      <c r="AH53" s="375">
        <v>300</v>
      </c>
      <c r="AI53" s="375"/>
      <c r="AJ53" s="375"/>
      <c r="AK53" s="375"/>
      <c r="AL53" s="375"/>
      <c r="AM53" s="375"/>
      <c r="AN53" s="375"/>
      <c r="AO53" s="375"/>
      <c r="AP53" s="375"/>
      <c r="AQ53" s="390" t="s">
        <v>6280</v>
      </c>
    </row>
    <row r="54" s="363" customFormat="1" ht="18" customHeight="1" spans="1:43">
      <c r="A54" s="368">
        <v>45784</v>
      </c>
      <c r="B54" s="369"/>
      <c r="C54" s="370" t="s">
        <v>6355</v>
      </c>
      <c r="D54" s="370" t="s">
        <v>3652</v>
      </c>
      <c r="E54" s="370">
        <v>300</v>
      </c>
      <c r="F54" s="371" t="s">
        <v>6357</v>
      </c>
      <c r="G54" s="370" t="s">
        <v>6277</v>
      </c>
      <c r="H54" s="371" t="s">
        <v>6083</v>
      </c>
      <c r="I54" s="375"/>
      <c r="J54" s="375"/>
      <c r="K54" s="375"/>
      <c r="L54" s="375"/>
      <c r="M54" s="375"/>
      <c r="N54" s="375"/>
      <c r="O54" s="375"/>
      <c r="P54" s="375"/>
      <c r="Q54" s="375"/>
      <c r="R54" s="375"/>
      <c r="S54" s="375"/>
      <c r="T54" s="375"/>
      <c r="U54" s="375"/>
      <c r="V54" s="375"/>
      <c r="W54" s="375"/>
      <c r="X54" s="375"/>
      <c r="Y54" s="375"/>
      <c r="Z54" s="375"/>
      <c r="AA54" s="375"/>
      <c r="AB54" s="375"/>
      <c r="AC54" s="375"/>
      <c r="AD54" s="375"/>
      <c r="AE54" s="375"/>
      <c r="AF54" s="375"/>
      <c r="AG54" s="375"/>
      <c r="AH54" s="375"/>
      <c r="AI54" s="375">
        <v>300</v>
      </c>
      <c r="AJ54" s="375"/>
      <c r="AK54" s="375"/>
      <c r="AL54" s="375"/>
      <c r="AM54" s="375"/>
      <c r="AN54" s="375"/>
      <c r="AO54" s="375"/>
      <c r="AP54" s="375"/>
      <c r="AQ54" s="390" t="s">
        <v>6358</v>
      </c>
    </row>
    <row r="55" s="363" customFormat="1" ht="18" customHeight="1" spans="1:43">
      <c r="A55" s="368">
        <v>45784</v>
      </c>
      <c r="B55" s="369" t="s">
        <v>6359</v>
      </c>
      <c r="C55" s="370" t="s">
        <v>6355</v>
      </c>
      <c r="D55" s="370" t="s">
        <v>6282</v>
      </c>
      <c r="E55" s="370">
        <v>1500</v>
      </c>
      <c r="F55" s="371" t="s">
        <v>6283</v>
      </c>
      <c r="G55" s="370" t="s">
        <v>6082</v>
      </c>
      <c r="H55" s="371" t="s">
        <v>6083</v>
      </c>
      <c r="I55" s="375"/>
      <c r="J55" s="375"/>
      <c r="K55" s="375"/>
      <c r="L55" s="375"/>
      <c r="M55" s="375"/>
      <c r="N55" s="375"/>
      <c r="O55" s="375"/>
      <c r="P55" s="375"/>
      <c r="Q55" s="375"/>
      <c r="R55" s="375"/>
      <c r="S55" s="375"/>
      <c r="T55" s="375"/>
      <c r="U55" s="375"/>
      <c r="V55" s="375"/>
      <c r="W55" s="375"/>
      <c r="X55" s="375"/>
      <c r="Y55" s="375">
        <v>1500</v>
      </c>
      <c r="Z55" s="375"/>
      <c r="AA55" s="375"/>
      <c r="AB55" s="375"/>
      <c r="AC55" s="375"/>
      <c r="AD55" s="375"/>
      <c r="AE55" s="375"/>
      <c r="AF55" s="375"/>
      <c r="AG55" s="375"/>
      <c r="AH55" s="375"/>
      <c r="AI55" s="375"/>
      <c r="AJ55" s="375"/>
      <c r="AK55" s="375"/>
      <c r="AL55" s="375"/>
      <c r="AM55" s="375"/>
      <c r="AN55" s="375"/>
      <c r="AO55" s="375"/>
      <c r="AP55" s="375"/>
      <c r="AQ55" s="390" t="s">
        <v>6280</v>
      </c>
    </row>
    <row r="56" s="363" customFormat="1" ht="18" customHeight="1" spans="1:43">
      <c r="A56" s="368">
        <v>45784</v>
      </c>
      <c r="B56" s="369" t="s">
        <v>6360</v>
      </c>
      <c r="C56" s="370" t="s">
        <v>6355</v>
      </c>
      <c r="D56" s="370" t="s">
        <v>6282</v>
      </c>
      <c r="E56" s="370">
        <v>800</v>
      </c>
      <c r="F56" s="371" t="s">
        <v>6285</v>
      </c>
      <c r="G56" s="370" t="s">
        <v>6277</v>
      </c>
      <c r="H56" s="371" t="s">
        <v>6083</v>
      </c>
      <c r="I56" s="375"/>
      <c r="J56" s="375"/>
      <c r="K56" s="375"/>
      <c r="L56" s="375"/>
      <c r="M56" s="375"/>
      <c r="N56" s="375"/>
      <c r="O56" s="375"/>
      <c r="P56" s="375"/>
      <c r="Q56" s="375"/>
      <c r="R56" s="375"/>
      <c r="S56" s="375"/>
      <c r="T56" s="375"/>
      <c r="U56" s="375"/>
      <c r="V56" s="375"/>
      <c r="W56" s="375"/>
      <c r="X56" s="375"/>
      <c r="Y56" s="375"/>
      <c r="Z56" s="375">
        <v>800</v>
      </c>
      <c r="AA56" s="375"/>
      <c r="AB56" s="375"/>
      <c r="AC56" s="375"/>
      <c r="AD56" s="375"/>
      <c r="AE56" s="375"/>
      <c r="AF56" s="375"/>
      <c r="AG56" s="375"/>
      <c r="AH56" s="375"/>
      <c r="AI56" s="375"/>
      <c r="AJ56" s="375"/>
      <c r="AK56" s="375"/>
      <c r="AL56" s="375"/>
      <c r="AM56" s="375"/>
      <c r="AN56" s="375"/>
      <c r="AO56" s="375"/>
      <c r="AP56" s="375"/>
      <c r="AQ56" s="390" t="s">
        <v>6280</v>
      </c>
    </row>
    <row r="57" s="363" customFormat="1" ht="18" customHeight="1" spans="1:43">
      <c r="A57" s="368">
        <v>45784</v>
      </c>
      <c r="B57" s="369" t="s">
        <v>6361</v>
      </c>
      <c r="C57" s="370" t="s">
        <v>6355</v>
      </c>
      <c r="D57" s="370" t="s">
        <v>3272</v>
      </c>
      <c r="E57" s="370">
        <v>500</v>
      </c>
      <c r="F57" s="371" t="s">
        <v>6331</v>
      </c>
      <c r="G57" s="370" t="s">
        <v>6082</v>
      </c>
      <c r="H57" s="371" t="s">
        <v>6083</v>
      </c>
      <c r="I57" s="375"/>
      <c r="J57" s="375"/>
      <c r="K57" s="375"/>
      <c r="L57" s="375"/>
      <c r="M57" s="375"/>
      <c r="N57" s="375"/>
      <c r="O57" s="375"/>
      <c r="P57" s="375"/>
      <c r="Q57" s="375"/>
      <c r="R57" s="375"/>
      <c r="S57" s="375"/>
      <c r="T57" s="375"/>
      <c r="U57" s="375"/>
      <c r="V57" s="375">
        <v>500</v>
      </c>
      <c r="W57" s="375"/>
      <c r="X57" s="375"/>
      <c r="Y57" s="375"/>
      <c r="Z57" s="375"/>
      <c r="AA57" s="375"/>
      <c r="AB57" s="375"/>
      <c r="AC57" s="375"/>
      <c r="AD57" s="375"/>
      <c r="AE57" s="375"/>
      <c r="AF57" s="375"/>
      <c r="AG57" s="375"/>
      <c r="AH57" s="375"/>
      <c r="AI57" s="375"/>
      <c r="AJ57" s="375"/>
      <c r="AK57" s="375"/>
      <c r="AL57" s="375"/>
      <c r="AM57" s="375"/>
      <c r="AN57" s="375"/>
      <c r="AO57" s="375"/>
      <c r="AP57" s="375"/>
      <c r="AQ57" s="390" t="s">
        <v>6280</v>
      </c>
    </row>
    <row r="58" s="363" customFormat="1" ht="18" customHeight="1" spans="1:43">
      <c r="A58" s="368">
        <v>45784</v>
      </c>
      <c r="B58" s="369" t="s">
        <v>6362</v>
      </c>
      <c r="C58" s="370" t="s">
        <v>6355</v>
      </c>
      <c r="D58" s="370" t="s">
        <v>3272</v>
      </c>
      <c r="E58" s="370">
        <v>500</v>
      </c>
      <c r="F58" s="371" t="s">
        <v>6299</v>
      </c>
      <c r="G58" s="370" t="s">
        <v>6277</v>
      </c>
      <c r="H58" s="371" t="s">
        <v>6083</v>
      </c>
      <c r="I58" s="375"/>
      <c r="J58" s="375"/>
      <c r="K58" s="375"/>
      <c r="L58" s="375"/>
      <c r="M58" s="375"/>
      <c r="N58" s="375"/>
      <c r="O58" s="375"/>
      <c r="P58" s="375"/>
      <c r="Q58" s="375"/>
      <c r="R58" s="375"/>
      <c r="S58" s="375"/>
      <c r="T58" s="375"/>
      <c r="U58" s="375"/>
      <c r="V58" s="375"/>
      <c r="W58" s="375">
        <v>500</v>
      </c>
      <c r="X58" s="375"/>
      <c r="Y58" s="375"/>
      <c r="Z58" s="375"/>
      <c r="AA58" s="375"/>
      <c r="AB58" s="375"/>
      <c r="AC58" s="375"/>
      <c r="AD58" s="375"/>
      <c r="AE58" s="375"/>
      <c r="AF58" s="375"/>
      <c r="AG58" s="375"/>
      <c r="AH58" s="375"/>
      <c r="AI58" s="375"/>
      <c r="AJ58" s="375"/>
      <c r="AK58" s="375"/>
      <c r="AL58" s="375"/>
      <c r="AM58" s="375"/>
      <c r="AN58" s="375"/>
      <c r="AO58" s="375"/>
      <c r="AP58" s="375"/>
      <c r="AQ58" s="390" t="s">
        <v>6280</v>
      </c>
    </row>
    <row r="59" s="363" customFormat="1" ht="18" customHeight="1" spans="1:43">
      <c r="A59" s="368">
        <v>45784</v>
      </c>
      <c r="B59" s="369" t="s">
        <v>6363</v>
      </c>
      <c r="C59" s="370" t="s">
        <v>6355</v>
      </c>
      <c r="D59" s="370" t="s">
        <v>3165</v>
      </c>
      <c r="E59" s="370">
        <v>1500</v>
      </c>
      <c r="F59" s="371" t="s">
        <v>6291</v>
      </c>
      <c r="G59" s="370" t="s">
        <v>6088</v>
      </c>
      <c r="H59" s="371" t="s">
        <v>6083</v>
      </c>
      <c r="I59" s="375"/>
      <c r="J59" s="375"/>
      <c r="K59" s="375"/>
      <c r="L59" s="375"/>
      <c r="M59" s="375"/>
      <c r="N59" s="375"/>
      <c r="O59" s="375"/>
      <c r="P59" s="375"/>
      <c r="Q59" s="375"/>
      <c r="R59" s="375"/>
      <c r="S59" s="375"/>
      <c r="T59" s="375"/>
      <c r="U59" s="375"/>
      <c r="V59" s="375"/>
      <c r="W59" s="375"/>
      <c r="X59" s="375"/>
      <c r="Y59" s="375"/>
      <c r="Z59" s="375"/>
      <c r="AA59" s="375">
        <v>1500</v>
      </c>
      <c r="AB59" s="375"/>
      <c r="AC59" s="375"/>
      <c r="AD59" s="375"/>
      <c r="AE59" s="375"/>
      <c r="AF59" s="375"/>
      <c r="AG59" s="375"/>
      <c r="AH59" s="375"/>
      <c r="AI59" s="375"/>
      <c r="AJ59" s="375"/>
      <c r="AK59" s="375"/>
      <c r="AL59" s="375"/>
      <c r="AM59" s="375"/>
      <c r="AN59" s="375"/>
      <c r="AO59" s="375"/>
      <c r="AP59" s="375"/>
      <c r="AQ59" s="390" t="s">
        <v>6289</v>
      </c>
    </row>
    <row r="60" s="363" customFormat="1" ht="18" customHeight="1" spans="1:43">
      <c r="A60" s="368">
        <v>45784</v>
      </c>
      <c r="B60" s="369" t="s">
        <v>6364</v>
      </c>
      <c r="C60" s="370" t="s">
        <v>6355</v>
      </c>
      <c r="D60" s="370" t="s">
        <v>3206</v>
      </c>
      <c r="E60" s="370">
        <v>2000</v>
      </c>
      <c r="F60" s="371" t="s">
        <v>6306</v>
      </c>
      <c r="G60" s="370" t="s">
        <v>6088</v>
      </c>
      <c r="H60" s="371" t="s">
        <v>6083</v>
      </c>
      <c r="I60" s="375"/>
      <c r="J60" s="375"/>
      <c r="K60" s="375"/>
      <c r="L60" s="375"/>
      <c r="M60" s="375"/>
      <c r="N60" s="375"/>
      <c r="O60" s="375"/>
      <c r="P60" s="375"/>
      <c r="Q60" s="375"/>
      <c r="R60" s="375"/>
      <c r="S60" s="375"/>
      <c r="T60" s="375"/>
      <c r="U60" s="375"/>
      <c r="V60" s="375"/>
      <c r="W60" s="375"/>
      <c r="X60" s="375">
        <v>2000</v>
      </c>
      <c r="Y60" s="375"/>
      <c r="Z60" s="375"/>
      <c r="AA60" s="375"/>
      <c r="AB60" s="375"/>
      <c r="AC60" s="375"/>
      <c r="AD60" s="375"/>
      <c r="AE60" s="375"/>
      <c r="AF60" s="375"/>
      <c r="AG60" s="375"/>
      <c r="AH60" s="375"/>
      <c r="AI60" s="375"/>
      <c r="AJ60" s="375"/>
      <c r="AK60" s="375"/>
      <c r="AL60" s="375"/>
      <c r="AM60" s="375"/>
      <c r="AN60" s="375"/>
      <c r="AO60" s="375"/>
      <c r="AP60" s="375"/>
      <c r="AQ60" s="390" t="s">
        <v>6289</v>
      </c>
    </row>
    <row r="61" s="363" customFormat="1" ht="18" customHeight="1" spans="1:43">
      <c r="A61" s="368">
        <v>45793</v>
      </c>
      <c r="B61" s="369" t="s">
        <v>6365</v>
      </c>
      <c r="C61" s="370" t="s">
        <v>6129</v>
      </c>
      <c r="D61" s="370" t="s">
        <v>6320</v>
      </c>
      <c r="E61" s="370">
        <v>5038</v>
      </c>
      <c r="F61" s="371" t="s">
        <v>6321</v>
      </c>
      <c r="G61" s="370" t="s">
        <v>6082</v>
      </c>
      <c r="H61" s="371" t="s">
        <v>6083</v>
      </c>
      <c r="I61" s="375"/>
      <c r="J61" s="375"/>
      <c r="K61" s="375"/>
      <c r="L61" s="375"/>
      <c r="M61" s="375"/>
      <c r="N61" s="375"/>
      <c r="O61" s="375"/>
      <c r="P61" s="375"/>
      <c r="Q61" s="375"/>
      <c r="R61" s="375"/>
      <c r="S61" s="375"/>
      <c r="T61" s="375"/>
      <c r="U61" s="375"/>
      <c r="V61" s="375"/>
      <c r="W61" s="375"/>
      <c r="X61" s="375"/>
      <c r="Y61" s="375"/>
      <c r="Z61" s="375"/>
      <c r="AA61" s="375"/>
      <c r="AB61" s="375">
        <v>5038</v>
      </c>
      <c r="AC61" s="375"/>
      <c r="AD61" s="375"/>
      <c r="AE61" s="375"/>
      <c r="AF61" s="375"/>
      <c r="AG61" s="375"/>
      <c r="AH61" s="375"/>
      <c r="AI61" s="375"/>
      <c r="AJ61" s="375"/>
      <c r="AK61" s="375"/>
      <c r="AL61" s="375"/>
      <c r="AM61" s="375"/>
      <c r="AN61" s="375"/>
      <c r="AO61" s="375"/>
      <c r="AP61" s="375"/>
      <c r="AQ61" s="390" t="s">
        <v>6366</v>
      </c>
    </row>
    <row r="62" s="363" customFormat="1" ht="18" customHeight="1" spans="1:43">
      <c r="A62" s="368">
        <v>45793</v>
      </c>
      <c r="B62" s="369" t="s">
        <v>6367</v>
      </c>
      <c r="C62" s="370" t="s">
        <v>6129</v>
      </c>
      <c r="D62" s="370" t="s">
        <v>6320</v>
      </c>
      <c r="E62" s="370">
        <v>8814</v>
      </c>
      <c r="F62" s="371" t="s">
        <v>6321</v>
      </c>
      <c r="G62" s="370" t="s">
        <v>6082</v>
      </c>
      <c r="H62" s="371" t="s">
        <v>6083</v>
      </c>
      <c r="I62" s="375"/>
      <c r="J62" s="375"/>
      <c r="K62" s="375"/>
      <c r="L62" s="375"/>
      <c r="M62" s="375"/>
      <c r="N62" s="375"/>
      <c r="O62" s="375"/>
      <c r="P62" s="375"/>
      <c r="Q62" s="375"/>
      <c r="R62" s="375"/>
      <c r="S62" s="375"/>
      <c r="T62" s="375"/>
      <c r="U62" s="375"/>
      <c r="V62" s="375"/>
      <c r="W62" s="375"/>
      <c r="X62" s="375"/>
      <c r="Y62" s="375"/>
      <c r="Z62" s="375"/>
      <c r="AA62" s="375"/>
      <c r="AB62" s="375">
        <v>8814</v>
      </c>
      <c r="AC62" s="375"/>
      <c r="AD62" s="375"/>
      <c r="AE62" s="375"/>
      <c r="AF62" s="375"/>
      <c r="AG62" s="375"/>
      <c r="AH62" s="375"/>
      <c r="AI62" s="375"/>
      <c r="AJ62" s="375"/>
      <c r="AK62" s="375"/>
      <c r="AL62" s="375"/>
      <c r="AM62" s="375"/>
      <c r="AN62" s="375"/>
      <c r="AO62" s="375"/>
      <c r="AP62" s="375"/>
      <c r="AQ62" s="390" t="s">
        <v>6368</v>
      </c>
    </row>
    <row r="63" s="363" customFormat="1" ht="18" customHeight="1" spans="1:43">
      <c r="A63" s="368">
        <v>45798</v>
      </c>
      <c r="B63" s="369" t="s">
        <v>6369</v>
      </c>
      <c r="C63" s="370" t="s">
        <v>6129</v>
      </c>
      <c r="D63" s="370" t="s">
        <v>6320</v>
      </c>
      <c r="E63" s="370">
        <v>1398</v>
      </c>
      <c r="F63" s="371" t="s">
        <v>6321</v>
      </c>
      <c r="G63" s="370" t="s">
        <v>6082</v>
      </c>
      <c r="H63" s="371" t="s">
        <v>6083</v>
      </c>
      <c r="I63" s="375"/>
      <c r="J63" s="375"/>
      <c r="K63" s="375"/>
      <c r="L63" s="375"/>
      <c r="M63" s="375"/>
      <c r="N63" s="375"/>
      <c r="O63" s="375"/>
      <c r="P63" s="375"/>
      <c r="Q63" s="375"/>
      <c r="R63" s="375"/>
      <c r="S63" s="375"/>
      <c r="T63" s="375"/>
      <c r="U63" s="375"/>
      <c r="V63" s="375"/>
      <c r="W63" s="375"/>
      <c r="X63" s="375"/>
      <c r="Y63" s="375"/>
      <c r="Z63" s="375"/>
      <c r="AA63" s="375"/>
      <c r="AB63" s="375">
        <v>1398</v>
      </c>
      <c r="AC63" s="375"/>
      <c r="AD63" s="375"/>
      <c r="AE63" s="375"/>
      <c r="AF63" s="375"/>
      <c r="AG63" s="375"/>
      <c r="AH63" s="375"/>
      <c r="AI63" s="375"/>
      <c r="AJ63" s="375"/>
      <c r="AK63" s="375"/>
      <c r="AL63" s="375"/>
      <c r="AM63" s="375"/>
      <c r="AN63" s="375"/>
      <c r="AO63" s="375"/>
      <c r="AP63" s="375"/>
      <c r="AQ63" s="390" t="s">
        <v>6370</v>
      </c>
    </row>
    <row r="64" s="363" customFormat="1" ht="18" customHeight="1" spans="1:43">
      <c r="A64" s="368">
        <v>45793</v>
      </c>
      <c r="B64" s="369" t="s">
        <v>6371</v>
      </c>
      <c r="C64" s="370" t="s">
        <v>6118</v>
      </c>
      <c r="D64" s="370" t="s">
        <v>3198</v>
      </c>
      <c r="E64" s="370">
        <v>200000</v>
      </c>
      <c r="F64" s="371" t="s">
        <v>6081</v>
      </c>
      <c r="G64" s="370" t="s">
        <v>6082</v>
      </c>
      <c r="H64" s="371" t="s">
        <v>6083</v>
      </c>
      <c r="I64" s="375">
        <v>200000</v>
      </c>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5"/>
      <c r="AH64" s="375"/>
      <c r="AI64" s="375"/>
      <c r="AJ64" s="375"/>
      <c r="AK64" s="375"/>
      <c r="AL64" s="375"/>
      <c r="AM64" s="375"/>
      <c r="AN64" s="375"/>
      <c r="AO64" s="375"/>
      <c r="AP64" s="375"/>
      <c r="AQ64" s="390" t="s">
        <v>6274</v>
      </c>
    </row>
    <row r="65" s="363" customFormat="1" ht="18" customHeight="1" spans="1:43">
      <c r="A65" s="368">
        <v>45793</v>
      </c>
      <c r="B65" s="369" t="s">
        <v>6372</v>
      </c>
      <c r="C65" s="370" t="s">
        <v>6118</v>
      </c>
      <c r="D65" s="370" t="s">
        <v>3198</v>
      </c>
      <c r="E65" s="370">
        <v>20000</v>
      </c>
      <c r="F65" s="371" t="s">
        <v>6276</v>
      </c>
      <c r="G65" s="370" t="s">
        <v>6277</v>
      </c>
      <c r="H65" s="371" t="s">
        <v>6083</v>
      </c>
      <c r="I65" s="375"/>
      <c r="J65" s="375">
        <v>20000</v>
      </c>
      <c r="K65" s="375"/>
      <c r="L65" s="375"/>
      <c r="M65" s="375"/>
      <c r="N65" s="375"/>
      <c r="O65" s="375"/>
      <c r="P65" s="375"/>
      <c r="Q65" s="375"/>
      <c r="R65" s="375"/>
      <c r="S65" s="375"/>
      <c r="T65" s="375"/>
      <c r="U65" s="375"/>
      <c r="V65" s="375"/>
      <c r="W65" s="375"/>
      <c r="X65" s="375"/>
      <c r="Y65" s="375"/>
      <c r="Z65" s="375"/>
      <c r="AA65" s="375"/>
      <c r="AB65" s="375"/>
      <c r="AC65" s="375"/>
      <c r="AD65" s="375"/>
      <c r="AE65" s="375"/>
      <c r="AF65" s="375"/>
      <c r="AG65" s="375"/>
      <c r="AH65" s="375"/>
      <c r="AI65" s="375"/>
      <c r="AJ65" s="375"/>
      <c r="AK65" s="375"/>
      <c r="AL65" s="375"/>
      <c r="AM65" s="375"/>
      <c r="AN65" s="375"/>
      <c r="AO65" s="375"/>
      <c r="AP65" s="375"/>
      <c r="AQ65" s="390" t="s">
        <v>6274</v>
      </c>
    </row>
    <row r="66" s="363" customFormat="1" ht="18" customHeight="1" spans="1:43">
      <c r="A66" s="368">
        <v>45793</v>
      </c>
      <c r="B66" s="369" t="s">
        <v>6373</v>
      </c>
      <c r="C66" s="370" t="s">
        <v>6118</v>
      </c>
      <c r="D66" s="370" t="s">
        <v>3198</v>
      </c>
      <c r="E66" s="370">
        <v>300000</v>
      </c>
      <c r="F66" s="371" t="s">
        <v>6295</v>
      </c>
      <c r="G66" s="370" t="s">
        <v>6277</v>
      </c>
      <c r="H66" s="371" t="s">
        <v>6083</v>
      </c>
      <c r="I66" s="375"/>
      <c r="J66" s="375"/>
      <c r="K66" s="375"/>
      <c r="L66" s="375"/>
      <c r="M66" s="375"/>
      <c r="N66" s="375">
        <v>300000</v>
      </c>
      <c r="O66" s="375"/>
      <c r="P66" s="375"/>
      <c r="Q66" s="375"/>
      <c r="R66" s="375"/>
      <c r="S66" s="375"/>
      <c r="T66" s="375"/>
      <c r="U66" s="375"/>
      <c r="V66" s="375"/>
      <c r="W66" s="375"/>
      <c r="X66" s="375"/>
      <c r="Y66" s="375"/>
      <c r="Z66" s="375"/>
      <c r="AA66" s="375"/>
      <c r="AB66" s="375"/>
      <c r="AC66" s="375"/>
      <c r="AD66" s="375"/>
      <c r="AE66" s="375"/>
      <c r="AF66" s="375"/>
      <c r="AG66" s="375"/>
      <c r="AH66" s="375"/>
      <c r="AI66" s="375"/>
      <c r="AJ66" s="375"/>
      <c r="AK66" s="375"/>
      <c r="AL66" s="375"/>
      <c r="AM66" s="375"/>
      <c r="AN66" s="375"/>
      <c r="AO66" s="375"/>
      <c r="AP66" s="375"/>
      <c r="AQ66" s="390" t="s">
        <v>6280</v>
      </c>
    </row>
    <row r="67" s="363" customFormat="1" ht="18" customHeight="1" spans="1:43">
      <c r="A67" s="368">
        <v>45793</v>
      </c>
      <c r="B67" s="369" t="s">
        <v>6374</v>
      </c>
      <c r="C67" s="370" t="s">
        <v>6118</v>
      </c>
      <c r="D67" s="370" t="s">
        <v>6282</v>
      </c>
      <c r="E67" s="370">
        <v>2500</v>
      </c>
      <c r="F67" s="371" t="s">
        <v>6283</v>
      </c>
      <c r="G67" s="370" t="s">
        <v>6082</v>
      </c>
      <c r="H67" s="371" t="s">
        <v>6083</v>
      </c>
      <c r="I67" s="375"/>
      <c r="J67" s="375"/>
      <c r="K67" s="375"/>
      <c r="L67" s="375"/>
      <c r="M67" s="375"/>
      <c r="N67" s="375"/>
      <c r="O67" s="375"/>
      <c r="P67" s="375"/>
      <c r="Q67" s="375"/>
      <c r="R67" s="375"/>
      <c r="S67" s="375"/>
      <c r="T67" s="375"/>
      <c r="U67" s="375"/>
      <c r="V67" s="375"/>
      <c r="W67" s="375"/>
      <c r="X67" s="375"/>
      <c r="Y67" s="375">
        <v>2500</v>
      </c>
      <c r="Z67" s="375"/>
      <c r="AA67" s="375"/>
      <c r="AB67" s="375"/>
      <c r="AC67" s="375"/>
      <c r="AD67" s="375"/>
      <c r="AE67" s="375"/>
      <c r="AF67" s="375"/>
      <c r="AG67" s="375"/>
      <c r="AH67" s="375"/>
      <c r="AI67" s="375"/>
      <c r="AJ67" s="375"/>
      <c r="AK67" s="375"/>
      <c r="AL67" s="375"/>
      <c r="AM67" s="375"/>
      <c r="AN67" s="375"/>
      <c r="AO67" s="375"/>
      <c r="AP67" s="375"/>
      <c r="AQ67" s="390" t="s">
        <v>6280</v>
      </c>
    </row>
    <row r="68" s="363" customFormat="1" ht="18" customHeight="1" spans="1:43">
      <c r="A68" s="368">
        <v>45793</v>
      </c>
      <c r="B68" s="369" t="s">
        <v>6375</v>
      </c>
      <c r="C68" s="370" t="s">
        <v>6118</v>
      </c>
      <c r="D68" s="370" t="s">
        <v>3272</v>
      </c>
      <c r="E68" s="370">
        <v>500</v>
      </c>
      <c r="F68" s="371" t="s">
        <v>6299</v>
      </c>
      <c r="G68" s="370" t="s">
        <v>6277</v>
      </c>
      <c r="H68" s="371" t="s">
        <v>6083</v>
      </c>
      <c r="I68" s="375"/>
      <c r="J68" s="375"/>
      <c r="K68" s="375"/>
      <c r="L68" s="375"/>
      <c r="M68" s="375"/>
      <c r="N68" s="375"/>
      <c r="O68" s="375"/>
      <c r="P68" s="375"/>
      <c r="Q68" s="375"/>
      <c r="R68" s="375"/>
      <c r="S68" s="375"/>
      <c r="T68" s="375"/>
      <c r="U68" s="375"/>
      <c r="V68" s="375"/>
      <c r="W68" s="375">
        <v>500</v>
      </c>
      <c r="X68" s="375"/>
      <c r="Y68" s="375"/>
      <c r="Z68" s="375"/>
      <c r="AA68" s="375"/>
      <c r="AB68" s="375"/>
      <c r="AC68" s="375"/>
      <c r="AD68" s="375"/>
      <c r="AE68" s="375"/>
      <c r="AF68" s="375"/>
      <c r="AG68" s="375"/>
      <c r="AH68" s="375"/>
      <c r="AI68" s="375"/>
      <c r="AJ68" s="375"/>
      <c r="AK68" s="375"/>
      <c r="AL68" s="375"/>
      <c r="AM68" s="375"/>
      <c r="AN68" s="375"/>
      <c r="AO68" s="375"/>
      <c r="AP68" s="375"/>
      <c r="AQ68" s="390" t="s">
        <v>6280</v>
      </c>
    </row>
    <row r="69" s="363" customFormat="1" ht="18" customHeight="1" spans="1:43">
      <c r="A69" s="368">
        <v>45793</v>
      </c>
      <c r="B69" s="369" t="s">
        <v>6376</v>
      </c>
      <c r="C69" s="370" t="s">
        <v>6118</v>
      </c>
      <c r="D69" s="370" t="s">
        <v>3165</v>
      </c>
      <c r="E69" s="370">
        <v>1000</v>
      </c>
      <c r="F69" s="371" t="s">
        <v>6291</v>
      </c>
      <c r="G69" s="370" t="s">
        <v>6088</v>
      </c>
      <c r="H69" s="371" t="s">
        <v>6083</v>
      </c>
      <c r="I69" s="375"/>
      <c r="J69" s="375"/>
      <c r="K69" s="375"/>
      <c r="L69" s="375"/>
      <c r="M69" s="375"/>
      <c r="N69" s="375"/>
      <c r="O69" s="375"/>
      <c r="P69" s="375"/>
      <c r="Q69" s="375"/>
      <c r="R69" s="375"/>
      <c r="S69" s="375"/>
      <c r="T69" s="375"/>
      <c r="U69" s="375"/>
      <c r="V69" s="375"/>
      <c r="W69" s="375"/>
      <c r="X69" s="375"/>
      <c r="Y69" s="375"/>
      <c r="Z69" s="375"/>
      <c r="AA69" s="375">
        <v>1000</v>
      </c>
      <c r="AB69" s="375"/>
      <c r="AC69" s="375"/>
      <c r="AD69" s="375"/>
      <c r="AE69" s="375"/>
      <c r="AF69" s="375"/>
      <c r="AG69" s="375"/>
      <c r="AH69" s="375"/>
      <c r="AI69" s="375"/>
      <c r="AJ69" s="375"/>
      <c r="AK69" s="375"/>
      <c r="AL69" s="375"/>
      <c r="AM69" s="375"/>
      <c r="AN69" s="375"/>
      <c r="AO69" s="375"/>
      <c r="AP69" s="375"/>
      <c r="AQ69" s="390" t="s">
        <v>6289</v>
      </c>
    </row>
    <row r="70" s="363" customFormat="1" ht="18" customHeight="1" spans="1:43">
      <c r="A70" s="368">
        <v>45793</v>
      </c>
      <c r="B70" s="369" t="s">
        <v>6377</v>
      </c>
      <c r="C70" s="370" t="s">
        <v>6118</v>
      </c>
      <c r="D70" s="370" t="s">
        <v>3206</v>
      </c>
      <c r="E70" s="370">
        <v>2000</v>
      </c>
      <c r="F70" s="371" t="s">
        <v>6306</v>
      </c>
      <c r="G70" s="370" t="s">
        <v>6088</v>
      </c>
      <c r="H70" s="371" t="s">
        <v>6083</v>
      </c>
      <c r="I70" s="375"/>
      <c r="J70" s="375"/>
      <c r="K70" s="375"/>
      <c r="L70" s="375"/>
      <c r="M70" s="375"/>
      <c r="N70" s="375"/>
      <c r="O70" s="375"/>
      <c r="P70" s="375"/>
      <c r="Q70" s="375"/>
      <c r="R70" s="375"/>
      <c r="S70" s="375"/>
      <c r="T70" s="375"/>
      <c r="U70" s="375"/>
      <c r="V70" s="375"/>
      <c r="W70" s="375"/>
      <c r="X70" s="375">
        <v>2000</v>
      </c>
      <c r="Y70" s="375"/>
      <c r="Z70" s="375"/>
      <c r="AA70" s="375"/>
      <c r="AB70" s="375"/>
      <c r="AC70" s="375"/>
      <c r="AD70" s="375"/>
      <c r="AE70" s="375"/>
      <c r="AF70" s="375"/>
      <c r="AG70" s="375"/>
      <c r="AH70" s="375"/>
      <c r="AI70" s="375"/>
      <c r="AJ70" s="375"/>
      <c r="AK70" s="375"/>
      <c r="AL70" s="375"/>
      <c r="AM70" s="375"/>
      <c r="AN70" s="375"/>
      <c r="AO70" s="375"/>
      <c r="AP70" s="375"/>
      <c r="AQ70" s="390" t="s">
        <v>6289</v>
      </c>
    </row>
    <row r="71" s="363" customFormat="1" ht="18" customHeight="1" spans="1:43">
      <c r="A71" s="368">
        <v>45806</v>
      </c>
      <c r="B71" s="369" t="s">
        <v>6378</v>
      </c>
      <c r="C71" s="370" t="s">
        <v>6118</v>
      </c>
      <c r="D71" s="370" t="s">
        <v>3198</v>
      </c>
      <c r="E71" s="370">
        <v>200000</v>
      </c>
      <c r="F71" s="371" t="s">
        <v>6081</v>
      </c>
      <c r="G71" s="370" t="s">
        <v>6082</v>
      </c>
      <c r="H71" s="371" t="s">
        <v>6083</v>
      </c>
      <c r="I71" s="375">
        <v>200000</v>
      </c>
      <c r="J71" s="375"/>
      <c r="K71" s="375"/>
      <c r="L71" s="375"/>
      <c r="M71" s="375"/>
      <c r="N71" s="375"/>
      <c r="O71" s="375"/>
      <c r="P71" s="375"/>
      <c r="Q71" s="375"/>
      <c r="R71" s="375"/>
      <c r="S71" s="375"/>
      <c r="T71" s="375"/>
      <c r="U71" s="375"/>
      <c r="V71" s="375"/>
      <c r="W71" s="375"/>
      <c r="X71" s="375"/>
      <c r="Y71" s="375"/>
      <c r="Z71" s="375"/>
      <c r="AA71" s="375"/>
      <c r="AB71" s="375"/>
      <c r="AC71" s="375"/>
      <c r="AD71" s="375"/>
      <c r="AE71" s="375"/>
      <c r="AF71" s="375"/>
      <c r="AG71" s="375"/>
      <c r="AH71" s="375"/>
      <c r="AI71" s="375"/>
      <c r="AJ71" s="375"/>
      <c r="AK71" s="375"/>
      <c r="AL71" s="375"/>
      <c r="AM71" s="375"/>
      <c r="AN71" s="375"/>
      <c r="AO71" s="375"/>
      <c r="AP71" s="375"/>
      <c r="AQ71" s="390" t="s">
        <v>6274</v>
      </c>
    </row>
    <row r="72" s="363" customFormat="1" ht="18" customHeight="1" spans="1:43">
      <c r="A72" s="368">
        <v>45806</v>
      </c>
      <c r="B72" s="369" t="s">
        <v>6379</v>
      </c>
      <c r="C72" s="370" t="s">
        <v>6118</v>
      </c>
      <c r="D72" s="370" t="s">
        <v>3198</v>
      </c>
      <c r="E72" s="370">
        <v>100000</v>
      </c>
      <c r="F72" s="371" t="s">
        <v>6295</v>
      </c>
      <c r="G72" s="370" t="s">
        <v>6277</v>
      </c>
      <c r="H72" s="371" t="s">
        <v>6083</v>
      </c>
      <c r="I72" s="375"/>
      <c r="J72" s="375"/>
      <c r="K72" s="375"/>
      <c r="L72" s="375"/>
      <c r="M72" s="375"/>
      <c r="N72" s="375">
        <v>100000</v>
      </c>
      <c r="O72" s="375"/>
      <c r="P72" s="375"/>
      <c r="Q72" s="375"/>
      <c r="R72" s="375"/>
      <c r="S72" s="375"/>
      <c r="T72" s="375"/>
      <c r="U72" s="375"/>
      <c r="V72" s="375"/>
      <c r="W72" s="375"/>
      <c r="X72" s="375"/>
      <c r="Y72" s="375"/>
      <c r="Z72" s="375"/>
      <c r="AA72" s="375"/>
      <c r="AB72" s="375"/>
      <c r="AC72" s="375"/>
      <c r="AD72" s="375"/>
      <c r="AE72" s="375"/>
      <c r="AF72" s="375"/>
      <c r="AG72" s="375"/>
      <c r="AH72" s="375"/>
      <c r="AI72" s="375"/>
      <c r="AJ72" s="375"/>
      <c r="AK72" s="375"/>
      <c r="AL72" s="375"/>
      <c r="AM72" s="375"/>
      <c r="AN72" s="375"/>
      <c r="AO72" s="375"/>
      <c r="AP72" s="375"/>
      <c r="AQ72" s="390" t="s">
        <v>6280</v>
      </c>
    </row>
    <row r="73" s="363" customFormat="1" ht="18" customHeight="1" spans="1:43">
      <c r="A73" s="368">
        <v>45806</v>
      </c>
      <c r="B73" s="369" t="s">
        <v>6380</v>
      </c>
      <c r="C73" s="370" t="s">
        <v>6118</v>
      </c>
      <c r="D73" s="370" t="s">
        <v>3272</v>
      </c>
      <c r="E73" s="370">
        <v>1000</v>
      </c>
      <c r="F73" s="371" t="s">
        <v>6331</v>
      </c>
      <c r="G73" s="370" t="s">
        <v>6082</v>
      </c>
      <c r="H73" s="371" t="s">
        <v>6083</v>
      </c>
      <c r="I73" s="375"/>
      <c r="J73" s="375"/>
      <c r="K73" s="375"/>
      <c r="L73" s="375"/>
      <c r="M73" s="375"/>
      <c r="N73" s="375"/>
      <c r="O73" s="375"/>
      <c r="P73" s="375"/>
      <c r="Q73" s="375"/>
      <c r="R73" s="375"/>
      <c r="S73" s="375"/>
      <c r="T73" s="375"/>
      <c r="U73" s="375"/>
      <c r="V73" s="375">
        <v>1000</v>
      </c>
      <c r="W73" s="375"/>
      <c r="X73" s="375"/>
      <c r="Y73" s="375"/>
      <c r="Z73" s="375"/>
      <c r="AA73" s="375"/>
      <c r="AB73" s="375"/>
      <c r="AC73" s="375"/>
      <c r="AD73" s="375"/>
      <c r="AE73" s="375"/>
      <c r="AF73" s="375"/>
      <c r="AG73" s="375"/>
      <c r="AH73" s="375"/>
      <c r="AI73" s="375"/>
      <c r="AJ73" s="375"/>
      <c r="AK73" s="375"/>
      <c r="AL73" s="375"/>
      <c r="AM73" s="375"/>
      <c r="AN73" s="375"/>
      <c r="AO73" s="375"/>
      <c r="AP73" s="375"/>
      <c r="AQ73" s="390" t="s">
        <v>6280</v>
      </c>
    </row>
    <row r="74" s="363" customFormat="1" ht="18" customHeight="1" spans="1:43">
      <c r="A74" s="368">
        <v>45806</v>
      </c>
      <c r="B74" s="369" t="s">
        <v>6381</v>
      </c>
      <c r="C74" s="370" t="s">
        <v>6118</v>
      </c>
      <c r="D74" s="370" t="s">
        <v>6282</v>
      </c>
      <c r="E74" s="370">
        <v>1500</v>
      </c>
      <c r="F74" s="371" t="s">
        <v>6283</v>
      </c>
      <c r="G74" s="370" t="s">
        <v>6082</v>
      </c>
      <c r="H74" s="371" t="s">
        <v>6083</v>
      </c>
      <c r="I74" s="375"/>
      <c r="J74" s="375"/>
      <c r="K74" s="375"/>
      <c r="L74" s="375"/>
      <c r="M74" s="375"/>
      <c r="N74" s="375"/>
      <c r="O74" s="375"/>
      <c r="P74" s="375"/>
      <c r="Q74" s="375"/>
      <c r="R74" s="375"/>
      <c r="S74" s="375"/>
      <c r="T74" s="375"/>
      <c r="U74" s="375"/>
      <c r="V74" s="375"/>
      <c r="W74" s="375"/>
      <c r="X74" s="375"/>
      <c r="Y74" s="375">
        <v>1500</v>
      </c>
      <c r="Z74" s="375"/>
      <c r="AA74" s="375"/>
      <c r="AB74" s="375"/>
      <c r="AC74" s="375"/>
      <c r="AD74" s="375"/>
      <c r="AE74" s="375"/>
      <c r="AF74" s="375"/>
      <c r="AG74" s="375"/>
      <c r="AH74" s="375"/>
      <c r="AI74" s="375"/>
      <c r="AJ74" s="375"/>
      <c r="AK74" s="375"/>
      <c r="AL74" s="375"/>
      <c r="AM74" s="375"/>
      <c r="AN74" s="375"/>
      <c r="AO74" s="375"/>
      <c r="AP74" s="375"/>
      <c r="AQ74" s="390" t="s">
        <v>6280</v>
      </c>
    </row>
    <row r="75" s="363" customFormat="1" ht="18" customHeight="1" spans="1:43">
      <c r="A75" s="368">
        <v>45806</v>
      </c>
      <c r="B75" s="369" t="s">
        <v>6382</v>
      </c>
      <c r="C75" s="370" t="s">
        <v>6118</v>
      </c>
      <c r="D75" s="370" t="s">
        <v>3165</v>
      </c>
      <c r="E75" s="370">
        <v>100000</v>
      </c>
      <c r="F75" s="371" t="s">
        <v>6087</v>
      </c>
      <c r="G75" s="370" t="s">
        <v>6088</v>
      </c>
      <c r="H75" s="371" t="s">
        <v>6083</v>
      </c>
      <c r="I75" s="375"/>
      <c r="J75" s="375"/>
      <c r="K75" s="375"/>
      <c r="L75" s="375"/>
      <c r="M75" s="375">
        <v>100000</v>
      </c>
      <c r="N75" s="375"/>
      <c r="O75" s="375"/>
      <c r="P75" s="375"/>
      <c r="Q75" s="375"/>
      <c r="R75" s="375"/>
      <c r="S75" s="375"/>
      <c r="T75" s="375"/>
      <c r="U75" s="375"/>
      <c r="V75" s="375"/>
      <c r="W75" s="375"/>
      <c r="X75" s="375"/>
      <c r="Y75" s="375"/>
      <c r="Z75" s="375"/>
      <c r="AA75" s="375"/>
      <c r="AB75" s="375"/>
      <c r="AC75" s="375"/>
      <c r="AD75" s="375"/>
      <c r="AE75" s="375"/>
      <c r="AF75" s="375"/>
      <c r="AG75" s="375"/>
      <c r="AH75" s="375"/>
      <c r="AI75" s="375"/>
      <c r="AJ75" s="375"/>
      <c r="AK75" s="375"/>
      <c r="AL75" s="375"/>
      <c r="AM75" s="375"/>
      <c r="AN75" s="375"/>
      <c r="AO75" s="375"/>
      <c r="AP75" s="375"/>
      <c r="AQ75" s="390" t="s">
        <v>6287</v>
      </c>
    </row>
    <row r="76" s="363" customFormat="1" ht="18" customHeight="1" spans="1:43">
      <c r="A76" s="368">
        <v>45806</v>
      </c>
      <c r="B76" s="369" t="s">
        <v>6383</v>
      </c>
      <c r="C76" s="370" t="s">
        <v>6118</v>
      </c>
      <c r="D76" s="370" t="s">
        <v>3165</v>
      </c>
      <c r="E76" s="370">
        <v>150000</v>
      </c>
      <c r="F76" s="371" t="s">
        <v>6279</v>
      </c>
      <c r="G76" s="370" t="s">
        <v>6092</v>
      </c>
      <c r="H76" s="371" t="s">
        <v>6083</v>
      </c>
      <c r="I76" s="375"/>
      <c r="J76" s="375"/>
      <c r="K76" s="375"/>
      <c r="L76" s="375"/>
      <c r="M76" s="375"/>
      <c r="N76" s="375"/>
      <c r="O76" s="375">
        <v>150000</v>
      </c>
      <c r="P76" s="375"/>
      <c r="Q76" s="375"/>
      <c r="R76" s="375"/>
      <c r="S76" s="375"/>
      <c r="T76" s="375"/>
      <c r="U76" s="375"/>
      <c r="V76" s="375"/>
      <c r="W76" s="375"/>
      <c r="X76" s="375"/>
      <c r="Y76" s="375"/>
      <c r="Z76" s="375"/>
      <c r="AA76" s="375"/>
      <c r="AB76" s="375"/>
      <c r="AC76" s="375"/>
      <c r="AD76" s="375"/>
      <c r="AE76" s="375"/>
      <c r="AF76" s="375"/>
      <c r="AG76" s="375"/>
      <c r="AH76" s="375"/>
      <c r="AI76" s="375"/>
      <c r="AJ76" s="375"/>
      <c r="AK76" s="375"/>
      <c r="AL76" s="375"/>
      <c r="AM76" s="375"/>
      <c r="AN76" s="375"/>
      <c r="AO76" s="375"/>
      <c r="AP76" s="375"/>
      <c r="AQ76" s="390" t="s">
        <v>6289</v>
      </c>
    </row>
    <row r="77" s="363" customFormat="1" ht="18" customHeight="1" spans="1:43">
      <c r="A77" s="368">
        <v>45806</v>
      </c>
      <c r="B77" s="369" t="s">
        <v>6384</v>
      </c>
      <c r="C77" s="370" t="s">
        <v>6118</v>
      </c>
      <c r="D77" s="370" t="s">
        <v>3328</v>
      </c>
      <c r="E77" s="370">
        <v>200</v>
      </c>
      <c r="F77" s="371" t="s">
        <v>6335</v>
      </c>
      <c r="G77" s="370" t="s">
        <v>6088</v>
      </c>
      <c r="H77" s="371" t="s">
        <v>6083</v>
      </c>
      <c r="I77" s="375"/>
      <c r="J77" s="375"/>
      <c r="K77" s="375"/>
      <c r="L77" s="375"/>
      <c r="M77" s="375"/>
      <c r="N77" s="375"/>
      <c r="O77" s="375"/>
      <c r="P77" s="375"/>
      <c r="Q77" s="375"/>
      <c r="R77" s="375"/>
      <c r="S77" s="375"/>
      <c r="T77" s="375"/>
      <c r="U77" s="375"/>
      <c r="V77" s="375"/>
      <c r="W77" s="375"/>
      <c r="X77" s="375"/>
      <c r="Y77" s="375"/>
      <c r="Z77" s="375"/>
      <c r="AA77" s="375"/>
      <c r="AB77" s="375"/>
      <c r="AC77" s="375"/>
      <c r="AD77" s="375"/>
      <c r="AE77" s="375"/>
      <c r="AF77" s="375"/>
      <c r="AG77" s="375"/>
      <c r="AH77" s="375"/>
      <c r="AI77" s="375"/>
      <c r="AJ77" s="375"/>
      <c r="AK77" s="375"/>
      <c r="AL77" s="375">
        <v>200</v>
      </c>
      <c r="AM77" s="375"/>
      <c r="AN77" s="375"/>
      <c r="AO77" s="375"/>
      <c r="AP77" s="375"/>
      <c r="AQ77" s="390" t="s">
        <v>6289</v>
      </c>
    </row>
    <row r="78" s="363" customFormat="1" ht="18" customHeight="1" spans="1:43">
      <c r="A78" s="368">
        <v>45806</v>
      </c>
      <c r="B78" s="369" t="s">
        <v>6385</v>
      </c>
      <c r="C78" s="370" t="s">
        <v>6118</v>
      </c>
      <c r="D78" s="370" t="s">
        <v>3206</v>
      </c>
      <c r="E78" s="370">
        <v>2500</v>
      </c>
      <c r="F78" s="371" t="s">
        <v>6306</v>
      </c>
      <c r="G78" s="370" t="s">
        <v>6088</v>
      </c>
      <c r="H78" s="371" t="s">
        <v>6083</v>
      </c>
      <c r="I78" s="375"/>
      <c r="J78" s="375"/>
      <c r="K78" s="375"/>
      <c r="L78" s="375"/>
      <c r="M78" s="375"/>
      <c r="N78" s="375"/>
      <c r="O78" s="375"/>
      <c r="P78" s="375"/>
      <c r="Q78" s="375"/>
      <c r="R78" s="375"/>
      <c r="S78" s="375"/>
      <c r="T78" s="375"/>
      <c r="U78" s="375"/>
      <c r="V78" s="375"/>
      <c r="W78" s="375"/>
      <c r="X78" s="375">
        <v>2500</v>
      </c>
      <c r="Y78" s="375"/>
      <c r="Z78" s="375"/>
      <c r="AA78" s="375"/>
      <c r="AB78" s="375"/>
      <c r="AC78" s="375"/>
      <c r="AD78" s="375"/>
      <c r="AE78" s="375"/>
      <c r="AF78" s="375"/>
      <c r="AG78" s="375"/>
      <c r="AH78" s="375"/>
      <c r="AI78" s="375"/>
      <c r="AJ78" s="375"/>
      <c r="AK78" s="375"/>
      <c r="AL78" s="375"/>
      <c r="AM78" s="375"/>
      <c r="AN78" s="375"/>
      <c r="AO78" s="375"/>
      <c r="AP78" s="375"/>
      <c r="AQ78" s="390" t="s">
        <v>6289</v>
      </c>
    </row>
    <row r="79" s="363" customFormat="1" ht="18" customHeight="1" spans="1:43">
      <c r="A79" s="368">
        <v>45806</v>
      </c>
      <c r="B79" s="369" t="s">
        <v>6386</v>
      </c>
      <c r="C79" s="370" t="s">
        <v>6118</v>
      </c>
      <c r="D79" s="370" t="s">
        <v>3165</v>
      </c>
      <c r="E79" s="370">
        <v>500</v>
      </c>
      <c r="F79" s="371" t="s">
        <v>6291</v>
      </c>
      <c r="G79" s="370" t="s">
        <v>6088</v>
      </c>
      <c r="H79" s="371" t="s">
        <v>6083</v>
      </c>
      <c r="I79" s="375"/>
      <c r="J79" s="375"/>
      <c r="K79" s="375"/>
      <c r="L79" s="375"/>
      <c r="M79" s="375"/>
      <c r="N79" s="375"/>
      <c r="O79" s="375"/>
      <c r="P79" s="375"/>
      <c r="Q79" s="375"/>
      <c r="R79" s="375"/>
      <c r="S79" s="375"/>
      <c r="T79" s="375"/>
      <c r="U79" s="375"/>
      <c r="V79" s="375"/>
      <c r="W79" s="375"/>
      <c r="X79" s="375"/>
      <c r="Y79" s="375"/>
      <c r="Z79" s="375"/>
      <c r="AA79" s="375">
        <v>500</v>
      </c>
      <c r="AB79" s="375"/>
      <c r="AC79" s="375"/>
      <c r="AD79" s="375"/>
      <c r="AE79" s="375"/>
      <c r="AF79" s="375"/>
      <c r="AG79" s="375"/>
      <c r="AH79" s="375"/>
      <c r="AI79" s="375"/>
      <c r="AJ79" s="375"/>
      <c r="AK79" s="375"/>
      <c r="AL79" s="375"/>
      <c r="AM79" s="375"/>
      <c r="AN79" s="375"/>
      <c r="AO79" s="375"/>
      <c r="AP79" s="375"/>
      <c r="AQ79" s="390" t="s">
        <v>6289</v>
      </c>
    </row>
    <row r="80" s="363" customFormat="1" ht="18" customHeight="1" spans="1:43">
      <c r="A80" s="368">
        <v>45806</v>
      </c>
      <c r="B80" s="369" t="s">
        <v>6387</v>
      </c>
      <c r="C80" s="370" t="s">
        <v>6129</v>
      </c>
      <c r="D80" s="370" t="s">
        <v>6320</v>
      </c>
      <c r="E80" s="370">
        <v>5638</v>
      </c>
      <c r="F80" s="371" t="s">
        <v>6321</v>
      </c>
      <c r="G80" s="370" t="s">
        <v>6082</v>
      </c>
      <c r="H80" s="371" t="s">
        <v>6083</v>
      </c>
      <c r="I80" s="375"/>
      <c r="J80" s="375"/>
      <c r="K80" s="375"/>
      <c r="L80" s="375"/>
      <c r="M80" s="375"/>
      <c r="N80" s="375"/>
      <c r="O80" s="375"/>
      <c r="P80" s="375"/>
      <c r="Q80" s="375"/>
      <c r="R80" s="375"/>
      <c r="S80" s="375"/>
      <c r="T80" s="375"/>
      <c r="U80" s="375"/>
      <c r="V80" s="375"/>
      <c r="W80" s="375"/>
      <c r="X80" s="375"/>
      <c r="Y80" s="375"/>
      <c r="Z80" s="375"/>
      <c r="AA80" s="375"/>
      <c r="AB80" s="375">
        <v>5638</v>
      </c>
      <c r="AC80" s="375"/>
      <c r="AD80" s="375"/>
      <c r="AE80" s="375"/>
      <c r="AF80" s="375"/>
      <c r="AG80" s="375"/>
      <c r="AH80" s="375"/>
      <c r="AI80" s="375"/>
      <c r="AJ80" s="375"/>
      <c r="AK80" s="375"/>
      <c r="AL80" s="375"/>
      <c r="AM80" s="375"/>
      <c r="AN80" s="375"/>
      <c r="AO80" s="375"/>
      <c r="AP80" s="375"/>
      <c r="AQ80" s="390" t="s">
        <v>6388</v>
      </c>
    </row>
    <row r="81" s="363" customFormat="1" ht="18" customHeight="1" spans="1:43">
      <c r="A81" s="368">
        <v>45817</v>
      </c>
      <c r="B81" s="369" t="s">
        <v>6389</v>
      </c>
      <c r="C81" s="370" t="s">
        <v>6129</v>
      </c>
      <c r="D81" s="370" t="s">
        <v>6320</v>
      </c>
      <c r="E81" s="370">
        <v>3392</v>
      </c>
      <c r="F81" s="371" t="s">
        <v>6321</v>
      </c>
      <c r="G81" s="370" t="s">
        <v>6082</v>
      </c>
      <c r="H81" s="371" t="s">
        <v>6083</v>
      </c>
      <c r="I81" s="375"/>
      <c r="J81" s="375"/>
      <c r="K81" s="375"/>
      <c r="L81" s="375"/>
      <c r="M81" s="375"/>
      <c r="N81" s="375"/>
      <c r="O81" s="375"/>
      <c r="P81" s="375"/>
      <c r="Q81" s="375"/>
      <c r="R81" s="375"/>
      <c r="S81" s="375"/>
      <c r="T81" s="375"/>
      <c r="U81" s="375"/>
      <c r="V81" s="375"/>
      <c r="W81" s="375"/>
      <c r="X81" s="375"/>
      <c r="Y81" s="375"/>
      <c r="Z81" s="375"/>
      <c r="AA81" s="375"/>
      <c r="AB81" s="375">
        <v>3392</v>
      </c>
      <c r="AC81" s="375"/>
      <c r="AD81" s="375"/>
      <c r="AE81" s="375"/>
      <c r="AF81" s="375"/>
      <c r="AG81" s="375"/>
      <c r="AH81" s="375"/>
      <c r="AI81" s="375"/>
      <c r="AJ81" s="375"/>
      <c r="AK81" s="375"/>
      <c r="AL81" s="375"/>
      <c r="AM81" s="375"/>
      <c r="AN81" s="375"/>
      <c r="AO81" s="375"/>
      <c r="AP81" s="375"/>
      <c r="AQ81" s="390" t="s">
        <v>6390</v>
      </c>
    </row>
    <row r="82" s="363" customFormat="1" ht="18" customHeight="1" spans="1:43">
      <c r="A82" s="368">
        <v>45820</v>
      </c>
      <c r="B82" s="369" t="s">
        <v>6391</v>
      </c>
      <c r="C82" s="370" t="s">
        <v>6129</v>
      </c>
      <c r="D82" s="370" t="s">
        <v>6320</v>
      </c>
      <c r="E82" s="370">
        <v>4768</v>
      </c>
      <c r="F82" s="371" t="s">
        <v>6321</v>
      </c>
      <c r="G82" s="370" t="s">
        <v>6082</v>
      </c>
      <c r="H82" s="371" t="s">
        <v>6083</v>
      </c>
      <c r="I82" s="375"/>
      <c r="J82" s="375"/>
      <c r="K82" s="375"/>
      <c r="L82" s="375"/>
      <c r="M82" s="375"/>
      <c r="N82" s="375"/>
      <c r="O82" s="375"/>
      <c r="P82" s="375"/>
      <c r="Q82" s="375"/>
      <c r="R82" s="375"/>
      <c r="S82" s="375"/>
      <c r="T82" s="375"/>
      <c r="U82" s="375"/>
      <c r="V82" s="375"/>
      <c r="W82" s="375"/>
      <c r="X82" s="375"/>
      <c r="Y82" s="375"/>
      <c r="Z82" s="375"/>
      <c r="AA82" s="375"/>
      <c r="AB82" s="375">
        <v>4768</v>
      </c>
      <c r="AC82" s="375"/>
      <c r="AD82" s="375"/>
      <c r="AE82" s="375"/>
      <c r="AF82" s="375"/>
      <c r="AG82" s="375"/>
      <c r="AH82" s="375"/>
      <c r="AI82" s="375"/>
      <c r="AJ82" s="375"/>
      <c r="AK82" s="375"/>
      <c r="AL82" s="375"/>
      <c r="AM82" s="375"/>
      <c r="AN82" s="375"/>
      <c r="AO82" s="375"/>
      <c r="AP82" s="375"/>
      <c r="AQ82" s="390"/>
    </row>
    <row r="83" s="363" customFormat="1" ht="18" customHeight="1" spans="1:43">
      <c r="A83" s="368">
        <v>45771</v>
      </c>
      <c r="B83" s="369" t="s">
        <v>6128</v>
      </c>
      <c r="C83" s="370" t="s">
        <v>6129</v>
      </c>
      <c r="D83" s="370">
        <v>77785</v>
      </c>
      <c r="E83" s="370">
        <v>20000</v>
      </c>
      <c r="F83" s="371" t="s">
        <v>6130</v>
      </c>
      <c r="G83" s="370"/>
      <c r="H83" s="371"/>
      <c r="I83" s="375"/>
      <c r="J83" s="375"/>
      <c r="K83" s="375"/>
      <c r="L83" s="375"/>
      <c r="M83" s="375"/>
      <c r="N83" s="375"/>
      <c r="O83" s="375"/>
      <c r="P83" s="375"/>
      <c r="Q83" s="375"/>
      <c r="R83" s="375"/>
      <c r="S83" s="375"/>
      <c r="T83" s="375"/>
      <c r="U83" s="375"/>
      <c r="V83" s="375"/>
      <c r="W83" s="375"/>
      <c r="X83" s="375"/>
      <c r="Y83" s="375"/>
      <c r="Z83" s="375"/>
      <c r="AA83" s="375"/>
      <c r="AB83" s="375"/>
      <c r="AC83" s="375"/>
      <c r="AD83" s="375"/>
      <c r="AE83" s="375"/>
      <c r="AF83" s="375"/>
      <c r="AG83" s="375">
        <v>20000</v>
      </c>
      <c r="AH83" s="375"/>
      <c r="AI83" s="375"/>
      <c r="AJ83" s="375"/>
      <c r="AK83" s="375"/>
      <c r="AL83" s="375"/>
      <c r="AM83" s="375"/>
      <c r="AN83" s="375"/>
      <c r="AO83" s="375"/>
      <c r="AP83" s="375"/>
      <c r="AQ83" s="390" t="s">
        <v>6131</v>
      </c>
    </row>
    <row r="84" s="363" customFormat="1" ht="18" customHeight="1" spans="1:43">
      <c r="A84" s="368">
        <v>45811</v>
      </c>
      <c r="B84" s="369" t="s">
        <v>6139</v>
      </c>
      <c r="C84" s="370" t="s">
        <v>6129</v>
      </c>
      <c r="D84" s="370">
        <v>77785</v>
      </c>
      <c r="E84" s="370">
        <v>12000</v>
      </c>
      <c r="F84" s="371" t="s">
        <v>6130</v>
      </c>
      <c r="G84" s="370"/>
      <c r="H84" s="371"/>
      <c r="I84" s="375"/>
      <c r="J84" s="375"/>
      <c r="K84" s="375"/>
      <c r="L84" s="375"/>
      <c r="M84" s="375"/>
      <c r="N84" s="375"/>
      <c r="O84" s="375"/>
      <c r="P84" s="375"/>
      <c r="Q84" s="375"/>
      <c r="R84" s="375"/>
      <c r="S84" s="375"/>
      <c r="T84" s="375"/>
      <c r="U84" s="375"/>
      <c r="V84" s="375"/>
      <c r="W84" s="375"/>
      <c r="X84" s="375"/>
      <c r="Y84" s="375"/>
      <c r="Z84" s="375"/>
      <c r="AA84" s="375"/>
      <c r="AB84" s="375"/>
      <c r="AC84" s="375"/>
      <c r="AD84" s="375"/>
      <c r="AE84" s="375"/>
      <c r="AF84" s="375"/>
      <c r="AG84" s="375">
        <v>12000</v>
      </c>
      <c r="AH84" s="375"/>
      <c r="AI84" s="375"/>
      <c r="AJ84" s="375"/>
      <c r="AK84" s="375"/>
      <c r="AL84" s="375"/>
      <c r="AM84" s="375"/>
      <c r="AN84" s="375"/>
      <c r="AO84" s="375"/>
      <c r="AP84" s="375"/>
      <c r="AQ84" s="390" t="s">
        <v>6140</v>
      </c>
    </row>
    <row r="85" s="363" customFormat="1" ht="18" customHeight="1" spans="1:43">
      <c r="A85" s="368">
        <v>45820</v>
      </c>
      <c r="B85" s="369" t="s">
        <v>6392</v>
      </c>
      <c r="C85" s="370" t="s">
        <v>6118</v>
      </c>
      <c r="D85" s="370" t="s">
        <v>3198</v>
      </c>
      <c r="E85" s="370">
        <v>200000</v>
      </c>
      <c r="F85" s="371" t="s">
        <v>6081</v>
      </c>
      <c r="G85" s="370" t="s">
        <v>6082</v>
      </c>
      <c r="H85" s="371" t="s">
        <v>6083</v>
      </c>
      <c r="I85" s="375">
        <v>200000</v>
      </c>
      <c r="J85" s="375"/>
      <c r="K85" s="375"/>
      <c r="L85" s="375"/>
      <c r="M85" s="375"/>
      <c r="N85" s="375"/>
      <c r="O85" s="375"/>
      <c r="P85" s="375"/>
      <c r="Q85" s="375"/>
      <c r="R85" s="375"/>
      <c r="S85" s="375"/>
      <c r="T85" s="375"/>
      <c r="U85" s="375"/>
      <c r="V85" s="375"/>
      <c r="W85" s="375"/>
      <c r="X85" s="375"/>
      <c r="Y85" s="375"/>
      <c r="Z85" s="375"/>
      <c r="AA85" s="375"/>
      <c r="AB85" s="375"/>
      <c r="AC85" s="375"/>
      <c r="AD85" s="375"/>
      <c r="AE85" s="375"/>
      <c r="AF85" s="375"/>
      <c r="AG85" s="375"/>
      <c r="AH85" s="375"/>
      <c r="AI85" s="375"/>
      <c r="AJ85" s="375"/>
      <c r="AK85" s="375"/>
      <c r="AL85" s="375"/>
      <c r="AM85" s="375"/>
      <c r="AN85" s="375"/>
      <c r="AO85" s="375"/>
      <c r="AP85" s="375"/>
      <c r="AQ85" s="390"/>
    </row>
    <row r="86" s="363" customFormat="1" ht="18" customHeight="1" spans="1:43">
      <c r="A86" s="368">
        <v>45820</v>
      </c>
      <c r="B86" s="369" t="s">
        <v>6393</v>
      </c>
      <c r="C86" s="370" t="s">
        <v>6118</v>
      </c>
      <c r="D86" s="370" t="s">
        <v>3198</v>
      </c>
      <c r="E86" s="370">
        <v>250000</v>
      </c>
      <c r="F86" s="371" t="s">
        <v>6295</v>
      </c>
      <c r="G86" s="370" t="s">
        <v>6277</v>
      </c>
      <c r="H86" s="371" t="s">
        <v>6083</v>
      </c>
      <c r="I86" s="375"/>
      <c r="J86" s="375"/>
      <c r="K86" s="375"/>
      <c r="L86" s="375"/>
      <c r="M86" s="375"/>
      <c r="N86" s="375">
        <v>250000</v>
      </c>
      <c r="O86" s="375"/>
      <c r="P86" s="375"/>
      <c r="Q86" s="375"/>
      <c r="R86" s="375"/>
      <c r="S86" s="375"/>
      <c r="T86" s="375"/>
      <c r="U86" s="375"/>
      <c r="V86" s="375"/>
      <c r="W86" s="375"/>
      <c r="X86" s="375"/>
      <c r="Y86" s="375"/>
      <c r="Z86" s="375"/>
      <c r="AA86" s="375"/>
      <c r="AB86" s="375"/>
      <c r="AC86" s="375"/>
      <c r="AD86" s="375"/>
      <c r="AE86" s="375"/>
      <c r="AF86" s="375"/>
      <c r="AG86" s="375"/>
      <c r="AH86" s="375"/>
      <c r="AI86" s="375"/>
      <c r="AJ86" s="375"/>
      <c r="AK86" s="375"/>
      <c r="AL86" s="375"/>
      <c r="AM86" s="375"/>
      <c r="AN86" s="375"/>
      <c r="AO86" s="375"/>
      <c r="AP86" s="375"/>
      <c r="AQ86" s="390"/>
    </row>
    <row r="87" s="363" customFormat="1" ht="18" customHeight="1" spans="1:43">
      <c r="A87" s="368">
        <v>45820</v>
      </c>
      <c r="B87" s="369" t="s">
        <v>6394</v>
      </c>
      <c r="C87" s="370" t="s">
        <v>6118</v>
      </c>
      <c r="D87" s="370" t="s">
        <v>3272</v>
      </c>
      <c r="E87" s="370">
        <v>500</v>
      </c>
      <c r="F87" s="371" t="s">
        <v>6331</v>
      </c>
      <c r="G87" s="370" t="s">
        <v>6082</v>
      </c>
      <c r="H87" s="371" t="s">
        <v>6083</v>
      </c>
      <c r="I87" s="375"/>
      <c r="J87" s="375"/>
      <c r="K87" s="375"/>
      <c r="L87" s="375"/>
      <c r="M87" s="375"/>
      <c r="N87" s="375"/>
      <c r="O87" s="375"/>
      <c r="P87" s="375"/>
      <c r="Q87" s="375"/>
      <c r="R87" s="375"/>
      <c r="S87" s="375"/>
      <c r="T87" s="375"/>
      <c r="U87" s="375"/>
      <c r="V87" s="375">
        <v>500</v>
      </c>
      <c r="W87" s="375"/>
      <c r="X87" s="375"/>
      <c r="Y87" s="375"/>
      <c r="Z87" s="375"/>
      <c r="AA87" s="375"/>
      <c r="AB87" s="375"/>
      <c r="AC87" s="375"/>
      <c r="AD87" s="375"/>
      <c r="AE87" s="375"/>
      <c r="AF87" s="375"/>
      <c r="AG87" s="375"/>
      <c r="AH87" s="375"/>
      <c r="AI87" s="375"/>
      <c r="AJ87" s="375"/>
      <c r="AK87" s="375"/>
      <c r="AL87" s="375"/>
      <c r="AM87" s="375"/>
      <c r="AN87" s="375"/>
      <c r="AO87" s="375"/>
      <c r="AP87" s="375"/>
      <c r="AQ87" s="390"/>
    </row>
    <row r="88" s="363" customFormat="1" ht="18" customHeight="1" spans="1:43">
      <c r="A88" s="368">
        <v>45820</v>
      </c>
      <c r="B88" s="369" t="s">
        <v>6395</v>
      </c>
      <c r="C88" s="370" t="s">
        <v>6118</v>
      </c>
      <c r="D88" s="370" t="s">
        <v>6396</v>
      </c>
      <c r="E88" s="370">
        <v>300</v>
      </c>
      <c r="F88" s="371" t="s">
        <v>6397</v>
      </c>
      <c r="G88" s="370" t="s">
        <v>6277</v>
      </c>
      <c r="H88" s="371" t="s">
        <v>6083</v>
      </c>
      <c r="I88" s="375"/>
      <c r="J88" s="375"/>
      <c r="K88" s="375"/>
      <c r="L88" s="375"/>
      <c r="M88" s="375"/>
      <c r="N88" s="375"/>
      <c r="O88" s="375"/>
      <c r="P88" s="375"/>
      <c r="Q88" s="375"/>
      <c r="R88" s="375"/>
      <c r="S88" s="375"/>
      <c r="T88" s="375"/>
      <c r="U88" s="375"/>
      <c r="V88" s="375"/>
      <c r="W88" s="375"/>
      <c r="X88" s="375"/>
      <c r="Y88" s="375"/>
      <c r="Z88" s="375"/>
      <c r="AA88" s="375"/>
      <c r="AB88" s="375"/>
      <c r="AC88" s="375"/>
      <c r="AD88" s="375"/>
      <c r="AE88" s="375"/>
      <c r="AF88" s="375"/>
      <c r="AG88" s="375"/>
      <c r="AH88" s="375"/>
      <c r="AI88" s="375"/>
      <c r="AJ88" s="375"/>
      <c r="AK88" s="375">
        <v>300</v>
      </c>
      <c r="AL88" s="375"/>
      <c r="AM88" s="375"/>
      <c r="AN88" s="375"/>
      <c r="AO88" s="375"/>
      <c r="AP88" s="375"/>
      <c r="AQ88" s="390"/>
    </row>
    <row r="89" s="363" customFormat="1" ht="18" customHeight="1" spans="1:43">
      <c r="A89" s="368">
        <v>45820</v>
      </c>
      <c r="B89" s="369" t="s">
        <v>6398</v>
      </c>
      <c r="C89" s="370" t="s">
        <v>6118</v>
      </c>
      <c r="D89" s="370" t="s">
        <v>3165</v>
      </c>
      <c r="E89" s="370">
        <v>50000</v>
      </c>
      <c r="F89" s="371" t="s">
        <v>6279</v>
      </c>
      <c r="G89" s="370" t="s">
        <v>6092</v>
      </c>
      <c r="H89" s="371" t="s">
        <v>6083</v>
      </c>
      <c r="I89" s="375"/>
      <c r="J89" s="375"/>
      <c r="K89" s="375"/>
      <c r="L89" s="375"/>
      <c r="M89" s="375"/>
      <c r="N89" s="375"/>
      <c r="O89" s="375">
        <v>50000</v>
      </c>
      <c r="P89" s="375"/>
      <c r="Q89" s="375"/>
      <c r="R89" s="375"/>
      <c r="S89" s="375"/>
      <c r="T89" s="375"/>
      <c r="U89" s="375"/>
      <c r="V89" s="375"/>
      <c r="W89" s="375"/>
      <c r="X89" s="375"/>
      <c r="Y89" s="375"/>
      <c r="Z89" s="375"/>
      <c r="AA89" s="375"/>
      <c r="AB89" s="375"/>
      <c r="AC89" s="375"/>
      <c r="AD89" s="375"/>
      <c r="AE89" s="375"/>
      <c r="AF89" s="375"/>
      <c r="AG89" s="375"/>
      <c r="AH89" s="375"/>
      <c r="AI89" s="375"/>
      <c r="AJ89" s="375"/>
      <c r="AK89" s="375"/>
      <c r="AL89" s="375"/>
      <c r="AM89" s="375"/>
      <c r="AN89" s="375"/>
      <c r="AO89" s="375"/>
      <c r="AP89" s="375"/>
      <c r="AQ89" s="390"/>
    </row>
    <row r="90" s="363" customFormat="1" ht="18" customHeight="1" spans="1:43">
      <c r="A90" s="368">
        <v>45820</v>
      </c>
      <c r="B90" s="369" t="s">
        <v>6399</v>
      </c>
      <c r="C90" s="370" t="s">
        <v>6118</v>
      </c>
      <c r="D90" s="370" t="s">
        <v>3206</v>
      </c>
      <c r="E90" s="370">
        <v>500</v>
      </c>
      <c r="F90" s="371" t="s">
        <v>6306</v>
      </c>
      <c r="G90" s="370" t="s">
        <v>6088</v>
      </c>
      <c r="H90" s="371" t="s">
        <v>6083</v>
      </c>
      <c r="I90" s="375"/>
      <c r="J90" s="375"/>
      <c r="K90" s="375"/>
      <c r="L90" s="375"/>
      <c r="M90" s="375"/>
      <c r="N90" s="375"/>
      <c r="O90" s="375"/>
      <c r="P90" s="375"/>
      <c r="Q90" s="375"/>
      <c r="R90" s="375"/>
      <c r="S90" s="375"/>
      <c r="T90" s="375"/>
      <c r="U90" s="375"/>
      <c r="V90" s="375"/>
      <c r="W90" s="375"/>
      <c r="X90" s="375">
        <v>500</v>
      </c>
      <c r="Y90" s="375"/>
      <c r="Z90" s="375"/>
      <c r="AA90" s="375"/>
      <c r="AB90" s="375"/>
      <c r="AC90" s="375"/>
      <c r="AD90" s="375"/>
      <c r="AE90" s="375"/>
      <c r="AF90" s="375"/>
      <c r="AG90" s="375"/>
      <c r="AH90" s="375"/>
      <c r="AI90" s="375"/>
      <c r="AJ90" s="375"/>
      <c r="AK90" s="375"/>
      <c r="AL90" s="375"/>
      <c r="AM90" s="375"/>
      <c r="AN90" s="375"/>
      <c r="AO90" s="375"/>
      <c r="AP90" s="375"/>
      <c r="AQ90" s="390"/>
    </row>
    <row r="91" s="363" customFormat="1" ht="18" customHeight="1" spans="1:43">
      <c r="A91" s="368">
        <v>45820</v>
      </c>
      <c r="B91" s="369" t="s">
        <v>6400</v>
      </c>
      <c r="C91" s="370" t="s">
        <v>6118</v>
      </c>
      <c r="D91" s="370" t="s">
        <v>62</v>
      </c>
      <c r="E91" s="370">
        <v>100</v>
      </c>
      <c r="F91" s="371" t="s">
        <v>6353</v>
      </c>
      <c r="G91" s="370" t="s">
        <v>6088</v>
      </c>
      <c r="H91" s="371" t="s">
        <v>6083</v>
      </c>
      <c r="I91" s="375"/>
      <c r="J91" s="375"/>
      <c r="K91" s="375"/>
      <c r="L91" s="375"/>
      <c r="M91" s="375"/>
      <c r="N91" s="375"/>
      <c r="O91" s="375"/>
      <c r="P91" s="375"/>
      <c r="Q91" s="375"/>
      <c r="R91" s="375"/>
      <c r="S91" s="375"/>
      <c r="T91" s="375"/>
      <c r="U91" s="375"/>
      <c r="V91" s="375"/>
      <c r="W91" s="375"/>
      <c r="X91" s="375"/>
      <c r="Y91" s="375"/>
      <c r="Z91" s="375"/>
      <c r="AA91" s="375"/>
      <c r="AB91" s="375"/>
      <c r="AC91" s="375"/>
      <c r="AD91" s="375"/>
      <c r="AE91" s="375"/>
      <c r="AF91" s="375"/>
      <c r="AG91" s="375"/>
      <c r="AH91" s="375"/>
      <c r="AI91" s="375"/>
      <c r="AJ91" s="375"/>
      <c r="AK91" s="375"/>
      <c r="AL91" s="375"/>
      <c r="AM91" s="375">
        <v>100</v>
      </c>
      <c r="AN91" s="375"/>
      <c r="AO91" s="375"/>
      <c r="AP91" s="375"/>
      <c r="AQ91" s="390"/>
    </row>
    <row r="92" s="363" customFormat="1" ht="18" customHeight="1" spans="1:43">
      <c r="A92" s="368">
        <v>45827</v>
      </c>
      <c r="B92" s="369" t="s">
        <v>6153</v>
      </c>
      <c r="C92" s="370" t="s">
        <v>6148</v>
      </c>
      <c r="D92" s="370" t="s">
        <v>6149</v>
      </c>
      <c r="E92" s="370">
        <v>29400</v>
      </c>
      <c r="F92" s="371" t="s">
        <v>6154</v>
      </c>
      <c r="G92" s="370" t="s">
        <v>6401</v>
      </c>
      <c r="H92" s="371" t="s">
        <v>6083</v>
      </c>
      <c r="I92" s="375"/>
      <c r="J92" s="375"/>
      <c r="K92" s="375"/>
      <c r="L92" s="375"/>
      <c r="M92" s="375"/>
      <c r="N92" s="375"/>
      <c r="O92" s="375"/>
      <c r="P92" s="375"/>
      <c r="Q92" s="375"/>
      <c r="R92" s="375">
        <v>29400</v>
      </c>
      <c r="S92" s="375"/>
      <c r="T92" s="375"/>
      <c r="U92" s="375"/>
      <c r="V92" s="375"/>
      <c r="W92" s="375"/>
      <c r="X92" s="375"/>
      <c r="Y92" s="375"/>
      <c r="Z92" s="375"/>
      <c r="AA92" s="375"/>
      <c r="AB92" s="375"/>
      <c r="AC92" s="375"/>
      <c r="AD92" s="375"/>
      <c r="AE92" s="375"/>
      <c r="AF92" s="375"/>
      <c r="AG92" s="375"/>
      <c r="AH92" s="375"/>
      <c r="AI92" s="375"/>
      <c r="AJ92" s="375"/>
      <c r="AK92" s="375"/>
      <c r="AL92" s="375"/>
      <c r="AM92" s="375"/>
      <c r="AN92" s="375"/>
      <c r="AO92" s="375"/>
      <c r="AP92" s="375"/>
      <c r="AQ92" s="390" t="s">
        <v>6152</v>
      </c>
    </row>
    <row r="93" s="363" customFormat="1" ht="18" customHeight="1" spans="1:43">
      <c r="A93" s="368">
        <v>45827</v>
      </c>
      <c r="B93" s="369" t="s">
        <v>6402</v>
      </c>
      <c r="C93" s="370" t="s">
        <v>6148</v>
      </c>
      <c r="D93" s="370" t="s">
        <v>6149</v>
      </c>
      <c r="E93" s="370">
        <v>29400</v>
      </c>
      <c r="F93" s="371" t="s">
        <v>6190</v>
      </c>
      <c r="G93" s="370" t="s">
        <v>6088</v>
      </c>
      <c r="H93" s="371" t="s">
        <v>6083</v>
      </c>
      <c r="I93" s="375"/>
      <c r="J93" s="375"/>
      <c r="K93" s="375"/>
      <c r="L93" s="375"/>
      <c r="M93" s="375"/>
      <c r="N93" s="375"/>
      <c r="O93" s="375"/>
      <c r="P93" s="375"/>
      <c r="Q93" s="375"/>
      <c r="R93" s="375"/>
      <c r="S93" s="375"/>
      <c r="T93" s="375">
        <v>29400</v>
      </c>
      <c r="U93" s="375"/>
      <c r="V93" s="375"/>
      <c r="W93" s="375"/>
      <c r="X93" s="375"/>
      <c r="Y93" s="375"/>
      <c r="Z93" s="375"/>
      <c r="AA93" s="375"/>
      <c r="AB93" s="375"/>
      <c r="AC93" s="375"/>
      <c r="AD93" s="375"/>
      <c r="AE93" s="375"/>
      <c r="AF93" s="375"/>
      <c r="AG93" s="375"/>
      <c r="AH93" s="375"/>
      <c r="AI93" s="375"/>
      <c r="AJ93" s="375"/>
      <c r="AK93" s="375"/>
      <c r="AL93" s="375"/>
      <c r="AM93" s="375"/>
      <c r="AN93" s="375"/>
      <c r="AO93" s="375"/>
      <c r="AP93" s="375"/>
      <c r="AQ93" s="390" t="s">
        <v>6152</v>
      </c>
    </row>
    <row r="94" s="363" customFormat="1" ht="18" customHeight="1" spans="1:43">
      <c r="A94" s="368">
        <v>45827</v>
      </c>
      <c r="B94" s="369" t="s">
        <v>6147</v>
      </c>
      <c r="C94" s="370" t="s">
        <v>6148</v>
      </c>
      <c r="D94" s="370" t="s">
        <v>6149</v>
      </c>
      <c r="E94" s="370">
        <v>29400</v>
      </c>
      <c r="F94" s="371" t="s">
        <v>6192</v>
      </c>
      <c r="G94" s="370" t="s">
        <v>6151</v>
      </c>
      <c r="H94" s="371" t="s">
        <v>6083</v>
      </c>
      <c r="I94" s="375"/>
      <c r="J94" s="375"/>
      <c r="K94" s="375"/>
      <c r="L94" s="375"/>
      <c r="M94" s="375"/>
      <c r="N94" s="375"/>
      <c r="O94" s="375"/>
      <c r="P94" s="375"/>
      <c r="Q94" s="375"/>
      <c r="R94" s="375"/>
      <c r="S94" s="375"/>
      <c r="T94" s="375"/>
      <c r="U94" s="375"/>
      <c r="V94" s="375"/>
      <c r="W94" s="375"/>
      <c r="X94" s="375"/>
      <c r="Y94" s="375"/>
      <c r="Z94" s="375"/>
      <c r="AA94" s="375"/>
      <c r="AB94" s="375"/>
      <c r="AC94" s="375"/>
      <c r="AD94" s="375"/>
      <c r="AE94" s="375"/>
      <c r="AF94" s="375"/>
      <c r="AG94" s="375"/>
      <c r="AH94" s="375"/>
      <c r="AI94" s="375"/>
      <c r="AJ94" s="375"/>
      <c r="AK94" s="375"/>
      <c r="AL94" s="375"/>
      <c r="AM94" s="375"/>
      <c r="AN94" s="375"/>
      <c r="AO94" s="375"/>
      <c r="AP94" s="375"/>
      <c r="AQ94" s="390" t="s">
        <v>6152</v>
      </c>
    </row>
    <row r="95" s="363" customFormat="1" ht="18" customHeight="1" spans="1:43">
      <c r="A95" s="368">
        <v>45827</v>
      </c>
      <c r="B95" s="369" t="s">
        <v>6403</v>
      </c>
      <c r="C95" s="370" t="s">
        <v>6148</v>
      </c>
      <c r="D95" s="370" t="s">
        <v>6149</v>
      </c>
      <c r="E95" s="370">
        <v>88200</v>
      </c>
      <c r="F95" s="371" t="s">
        <v>6404</v>
      </c>
      <c r="G95" s="370" t="s">
        <v>6405</v>
      </c>
      <c r="H95" s="371" t="s">
        <v>6083</v>
      </c>
      <c r="I95" s="375"/>
      <c r="J95" s="375"/>
      <c r="K95" s="375"/>
      <c r="L95" s="375"/>
      <c r="M95" s="375"/>
      <c r="N95" s="375"/>
      <c r="O95" s="375"/>
      <c r="P95" s="375"/>
      <c r="Q95" s="375"/>
      <c r="R95" s="375"/>
      <c r="S95" s="375">
        <v>88200</v>
      </c>
      <c r="T95" s="375"/>
      <c r="U95" s="375"/>
      <c r="V95" s="375"/>
      <c r="W95" s="375"/>
      <c r="X95" s="375"/>
      <c r="Y95" s="375"/>
      <c r="Z95" s="375"/>
      <c r="AA95" s="375"/>
      <c r="AB95" s="375"/>
      <c r="AC95" s="375"/>
      <c r="AD95" s="375"/>
      <c r="AE95" s="375"/>
      <c r="AF95" s="375"/>
      <c r="AG95" s="375"/>
      <c r="AH95" s="375"/>
      <c r="AI95" s="375"/>
      <c r="AJ95" s="375"/>
      <c r="AK95" s="375"/>
      <c r="AL95" s="375"/>
      <c r="AM95" s="375"/>
      <c r="AN95" s="375"/>
      <c r="AO95" s="375"/>
      <c r="AP95" s="375"/>
      <c r="AQ95" s="390" t="s">
        <v>6152</v>
      </c>
    </row>
    <row r="96" s="363" customFormat="1" ht="18" customHeight="1" spans="1:43">
      <c r="A96" s="368">
        <v>45827</v>
      </c>
      <c r="B96" s="369" t="s">
        <v>6406</v>
      </c>
      <c r="C96" s="370" t="s">
        <v>6148</v>
      </c>
      <c r="D96" s="370" t="s">
        <v>6149</v>
      </c>
      <c r="E96" s="370">
        <v>5880</v>
      </c>
      <c r="F96" s="371" t="s">
        <v>6194</v>
      </c>
      <c r="G96" s="370" t="s">
        <v>6088</v>
      </c>
      <c r="H96" s="371" t="s">
        <v>6083</v>
      </c>
      <c r="I96" s="375"/>
      <c r="J96" s="375"/>
      <c r="K96" s="375"/>
      <c r="L96" s="375"/>
      <c r="M96" s="375"/>
      <c r="N96" s="375"/>
      <c r="O96" s="375"/>
      <c r="P96" s="375"/>
      <c r="Q96" s="375"/>
      <c r="R96" s="375"/>
      <c r="S96" s="375"/>
      <c r="T96" s="375"/>
      <c r="U96" s="375">
        <v>5880</v>
      </c>
      <c r="V96" s="375"/>
      <c r="W96" s="375"/>
      <c r="X96" s="375"/>
      <c r="Y96" s="375"/>
      <c r="Z96" s="375"/>
      <c r="AA96" s="375"/>
      <c r="AB96" s="375"/>
      <c r="AC96" s="375"/>
      <c r="AD96" s="375"/>
      <c r="AE96" s="375"/>
      <c r="AF96" s="375"/>
      <c r="AG96" s="375"/>
      <c r="AH96" s="375"/>
      <c r="AI96" s="375"/>
      <c r="AJ96" s="375"/>
      <c r="AK96" s="375"/>
      <c r="AL96" s="375"/>
      <c r="AM96" s="375"/>
      <c r="AN96" s="375"/>
      <c r="AO96" s="375"/>
      <c r="AP96" s="375"/>
      <c r="AQ96" s="390" t="s">
        <v>6152</v>
      </c>
    </row>
    <row r="97" s="363" customFormat="1" ht="18" customHeight="1" spans="1:43">
      <c r="A97" s="368">
        <v>45828</v>
      </c>
      <c r="B97" s="369" t="s">
        <v>6407</v>
      </c>
      <c r="C97" s="370" t="s">
        <v>6408</v>
      </c>
      <c r="D97" s="370" t="s">
        <v>6320</v>
      </c>
      <c r="E97" s="370">
        <v>1809</v>
      </c>
      <c r="F97" s="371" t="s">
        <v>6321</v>
      </c>
      <c r="G97" s="370" t="s">
        <v>6108</v>
      </c>
      <c r="H97" s="371" t="s">
        <v>6083</v>
      </c>
      <c r="I97" s="375"/>
      <c r="J97" s="375"/>
      <c r="K97" s="375"/>
      <c r="L97" s="375"/>
      <c r="M97" s="375"/>
      <c r="N97" s="375"/>
      <c r="O97" s="375"/>
      <c r="P97" s="375"/>
      <c r="Q97" s="375"/>
      <c r="R97" s="375"/>
      <c r="S97" s="375"/>
      <c r="T97" s="375"/>
      <c r="U97" s="375"/>
      <c r="V97" s="375"/>
      <c r="W97" s="375"/>
      <c r="X97" s="375"/>
      <c r="Y97" s="375"/>
      <c r="Z97" s="375"/>
      <c r="AA97" s="375"/>
      <c r="AB97" s="375">
        <v>1809</v>
      </c>
      <c r="AC97" s="375"/>
      <c r="AD97" s="375"/>
      <c r="AE97" s="375"/>
      <c r="AF97" s="375"/>
      <c r="AG97" s="375"/>
      <c r="AH97" s="375"/>
      <c r="AI97" s="375"/>
      <c r="AJ97" s="375"/>
      <c r="AK97" s="375"/>
      <c r="AL97" s="375"/>
      <c r="AM97" s="375"/>
      <c r="AN97" s="375"/>
      <c r="AO97" s="375"/>
      <c r="AP97" s="375"/>
      <c r="AQ97" s="390" t="s">
        <v>6409</v>
      </c>
    </row>
    <row r="98" s="363" customFormat="1" ht="18" customHeight="1" spans="1:43">
      <c r="A98" s="368">
        <v>45832</v>
      </c>
      <c r="B98" s="369" t="s">
        <v>6410</v>
      </c>
      <c r="C98" s="370" t="s">
        <v>6118</v>
      </c>
      <c r="D98" s="370" t="s">
        <v>3198</v>
      </c>
      <c r="E98" s="370">
        <v>200000</v>
      </c>
      <c r="F98" s="371" t="s">
        <v>6081</v>
      </c>
      <c r="G98" s="370" t="s">
        <v>6082</v>
      </c>
      <c r="H98" s="371" t="s">
        <v>6083</v>
      </c>
      <c r="I98" s="375">
        <v>200000</v>
      </c>
      <c r="J98" s="375"/>
      <c r="K98" s="375"/>
      <c r="L98" s="375"/>
      <c r="M98" s="375"/>
      <c r="N98" s="375"/>
      <c r="O98" s="375"/>
      <c r="P98" s="375"/>
      <c r="Q98" s="375"/>
      <c r="R98" s="375"/>
      <c r="S98" s="375"/>
      <c r="T98" s="375"/>
      <c r="U98" s="375"/>
      <c r="V98" s="375"/>
      <c r="W98" s="375"/>
      <c r="X98" s="375"/>
      <c r="Y98" s="375"/>
      <c r="Z98" s="375"/>
      <c r="AA98" s="375"/>
      <c r="AB98" s="375"/>
      <c r="AC98" s="375"/>
      <c r="AD98" s="375"/>
      <c r="AE98" s="375"/>
      <c r="AF98" s="375"/>
      <c r="AG98" s="375"/>
      <c r="AH98" s="375"/>
      <c r="AI98" s="375"/>
      <c r="AJ98" s="375"/>
      <c r="AK98" s="375"/>
      <c r="AL98" s="375"/>
      <c r="AM98" s="375"/>
      <c r="AN98" s="375"/>
      <c r="AO98" s="375"/>
      <c r="AP98" s="375"/>
      <c r="AQ98" s="390" t="s">
        <v>6274</v>
      </c>
    </row>
    <row r="99" s="363" customFormat="1" ht="18" customHeight="1" spans="1:43">
      <c r="A99" s="368">
        <v>45832</v>
      </c>
      <c r="B99" s="369" t="s">
        <v>6411</v>
      </c>
      <c r="C99" s="370" t="s">
        <v>6118</v>
      </c>
      <c r="D99" s="370" t="s">
        <v>3198</v>
      </c>
      <c r="E99" s="370">
        <v>250000</v>
      </c>
      <c r="F99" s="371" t="s">
        <v>6295</v>
      </c>
      <c r="G99" s="370" t="s">
        <v>6277</v>
      </c>
      <c r="H99" s="371" t="s">
        <v>6156</v>
      </c>
      <c r="I99" s="375"/>
      <c r="J99" s="375"/>
      <c r="K99" s="375"/>
      <c r="L99" s="375"/>
      <c r="M99" s="375"/>
      <c r="N99" s="375">
        <v>250000</v>
      </c>
      <c r="O99" s="375"/>
      <c r="P99" s="375"/>
      <c r="Q99" s="375"/>
      <c r="R99" s="375"/>
      <c r="S99" s="375"/>
      <c r="T99" s="375"/>
      <c r="U99" s="375"/>
      <c r="V99" s="375"/>
      <c r="W99" s="375"/>
      <c r="X99" s="375"/>
      <c r="Y99" s="375"/>
      <c r="Z99" s="375"/>
      <c r="AA99" s="375"/>
      <c r="AB99" s="375"/>
      <c r="AC99" s="375"/>
      <c r="AD99" s="375"/>
      <c r="AE99" s="375"/>
      <c r="AF99" s="375"/>
      <c r="AG99" s="375"/>
      <c r="AH99" s="375"/>
      <c r="AI99" s="375"/>
      <c r="AJ99" s="375"/>
      <c r="AK99" s="375"/>
      <c r="AL99" s="375"/>
      <c r="AM99" s="375"/>
      <c r="AN99" s="375"/>
      <c r="AO99" s="375"/>
      <c r="AP99" s="375"/>
      <c r="AQ99" s="390" t="s">
        <v>6412</v>
      </c>
    </row>
    <row r="100" s="363" customFormat="1" ht="18" customHeight="1" spans="1:43">
      <c r="A100" s="368">
        <v>45832</v>
      </c>
      <c r="B100" s="369" t="s">
        <v>6413</v>
      </c>
      <c r="C100" s="370" t="s">
        <v>6118</v>
      </c>
      <c r="D100" s="370" t="s">
        <v>6282</v>
      </c>
      <c r="E100" s="370">
        <v>4000</v>
      </c>
      <c r="F100" s="371" t="s">
        <v>6283</v>
      </c>
      <c r="G100" s="370" t="s">
        <v>6082</v>
      </c>
      <c r="H100" s="371" t="s">
        <v>6083</v>
      </c>
      <c r="I100" s="375"/>
      <c r="J100" s="375"/>
      <c r="K100" s="375"/>
      <c r="L100" s="375"/>
      <c r="M100" s="375"/>
      <c r="N100" s="375"/>
      <c r="O100" s="375"/>
      <c r="P100" s="375"/>
      <c r="Q100" s="375"/>
      <c r="R100" s="375"/>
      <c r="S100" s="375"/>
      <c r="T100" s="375"/>
      <c r="U100" s="375"/>
      <c r="V100" s="375"/>
      <c r="W100" s="375"/>
      <c r="X100" s="375"/>
      <c r="Y100" s="375">
        <v>4000</v>
      </c>
      <c r="Z100" s="375"/>
      <c r="AA100" s="375"/>
      <c r="AB100" s="375"/>
      <c r="AC100" s="375"/>
      <c r="AD100" s="375"/>
      <c r="AE100" s="375"/>
      <c r="AF100" s="375"/>
      <c r="AG100" s="375"/>
      <c r="AH100" s="375"/>
      <c r="AI100" s="375"/>
      <c r="AJ100" s="375"/>
      <c r="AK100" s="375"/>
      <c r="AL100" s="375"/>
      <c r="AM100" s="375"/>
      <c r="AN100" s="375"/>
      <c r="AO100" s="375"/>
      <c r="AP100" s="375"/>
      <c r="AQ100" s="390" t="s">
        <v>6280</v>
      </c>
    </row>
    <row r="101" s="363" customFormat="1" ht="18" customHeight="1" spans="1:43">
      <c r="A101" s="368">
        <v>45832</v>
      </c>
      <c r="B101" s="369" t="s">
        <v>6414</v>
      </c>
      <c r="C101" s="370" t="s">
        <v>6118</v>
      </c>
      <c r="D101" s="370" t="s">
        <v>3272</v>
      </c>
      <c r="E101" s="370">
        <v>1158</v>
      </c>
      <c r="F101" s="371" t="s">
        <v>6299</v>
      </c>
      <c r="G101" s="370" t="s">
        <v>6277</v>
      </c>
      <c r="H101" s="371" t="s">
        <v>6083</v>
      </c>
      <c r="I101" s="375"/>
      <c r="J101" s="375"/>
      <c r="K101" s="375"/>
      <c r="L101" s="375"/>
      <c r="M101" s="375"/>
      <c r="N101" s="375"/>
      <c r="O101" s="375"/>
      <c r="P101" s="375"/>
      <c r="Q101" s="375"/>
      <c r="R101" s="375"/>
      <c r="S101" s="375"/>
      <c r="T101" s="375"/>
      <c r="U101" s="375"/>
      <c r="V101" s="375"/>
      <c r="W101" s="375">
        <v>1158</v>
      </c>
      <c r="X101" s="375"/>
      <c r="Y101" s="375"/>
      <c r="Z101" s="375"/>
      <c r="AA101" s="375"/>
      <c r="AB101" s="375"/>
      <c r="AC101" s="375"/>
      <c r="AD101" s="375"/>
      <c r="AE101" s="375"/>
      <c r="AF101" s="375"/>
      <c r="AG101" s="375"/>
      <c r="AH101" s="375"/>
      <c r="AI101" s="375"/>
      <c r="AJ101" s="375"/>
      <c r="AK101" s="375"/>
      <c r="AL101" s="375"/>
      <c r="AM101" s="375"/>
      <c r="AN101" s="375"/>
      <c r="AO101" s="375"/>
      <c r="AP101" s="375"/>
      <c r="AQ101" s="390" t="s">
        <v>6280</v>
      </c>
    </row>
    <row r="102" s="363" customFormat="1" ht="18" customHeight="1" spans="1:43">
      <c r="A102" s="368">
        <v>45832</v>
      </c>
      <c r="B102" s="369" t="s">
        <v>6415</v>
      </c>
      <c r="C102" s="370" t="s">
        <v>6118</v>
      </c>
      <c r="D102" s="370" t="s">
        <v>3272</v>
      </c>
      <c r="E102" s="370">
        <v>600</v>
      </c>
      <c r="F102" s="371" t="s">
        <v>6331</v>
      </c>
      <c r="G102" s="370" t="s">
        <v>6082</v>
      </c>
      <c r="H102" s="371" t="s">
        <v>6083</v>
      </c>
      <c r="I102" s="375"/>
      <c r="J102" s="375"/>
      <c r="K102" s="375"/>
      <c r="L102" s="375"/>
      <c r="M102" s="375"/>
      <c r="N102" s="375"/>
      <c r="O102" s="375"/>
      <c r="P102" s="375"/>
      <c r="Q102" s="375"/>
      <c r="R102" s="375"/>
      <c r="S102" s="375"/>
      <c r="T102" s="375"/>
      <c r="U102" s="375"/>
      <c r="V102" s="375">
        <v>600</v>
      </c>
      <c r="W102" s="375"/>
      <c r="X102" s="375"/>
      <c r="Y102" s="375"/>
      <c r="Z102" s="375"/>
      <c r="AA102" s="375"/>
      <c r="AB102" s="375"/>
      <c r="AC102" s="375"/>
      <c r="AD102" s="375"/>
      <c r="AE102" s="375"/>
      <c r="AF102" s="375"/>
      <c r="AG102" s="375"/>
      <c r="AH102" s="375"/>
      <c r="AI102" s="375"/>
      <c r="AJ102" s="375"/>
      <c r="AK102" s="375"/>
      <c r="AL102" s="375"/>
      <c r="AM102" s="375"/>
      <c r="AN102" s="375"/>
      <c r="AO102" s="375"/>
      <c r="AP102" s="375"/>
      <c r="AQ102" s="390" t="s">
        <v>6280</v>
      </c>
    </row>
    <row r="103" s="363" customFormat="1" ht="18" customHeight="1" spans="1:43">
      <c r="A103" s="368">
        <v>45832</v>
      </c>
      <c r="B103" s="369" t="s">
        <v>6416</v>
      </c>
      <c r="C103" s="370" t="s">
        <v>6118</v>
      </c>
      <c r="D103" s="370" t="s">
        <v>3165</v>
      </c>
      <c r="E103" s="370">
        <v>100000</v>
      </c>
      <c r="F103" s="371" t="s">
        <v>6087</v>
      </c>
      <c r="G103" s="370" t="s">
        <v>6088</v>
      </c>
      <c r="H103" s="371" t="s">
        <v>6083</v>
      </c>
      <c r="I103" s="375"/>
      <c r="J103" s="375"/>
      <c r="K103" s="375"/>
      <c r="L103" s="375"/>
      <c r="M103" s="375">
        <v>100000</v>
      </c>
      <c r="N103" s="375"/>
      <c r="O103" s="375"/>
      <c r="P103" s="375"/>
      <c r="Q103" s="375"/>
      <c r="R103" s="375"/>
      <c r="S103" s="375"/>
      <c r="T103" s="375"/>
      <c r="U103" s="375"/>
      <c r="V103" s="375"/>
      <c r="W103" s="375"/>
      <c r="X103" s="375"/>
      <c r="Y103" s="375"/>
      <c r="Z103" s="375"/>
      <c r="AA103" s="375"/>
      <c r="AB103" s="375"/>
      <c r="AC103" s="375"/>
      <c r="AD103" s="375"/>
      <c r="AE103" s="375"/>
      <c r="AF103" s="375"/>
      <c r="AG103" s="375"/>
      <c r="AH103" s="375"/>
      <c r="AI103" s="375"/>
      <c r="AJ103" s="375"/>
      <c r="AK103" s="375"/>
      <c r="AL103" s="375"/>
      <c r="AM103" s="375"/>
      <c r="AN103" s="375"/>
      <c r="AO103" s="375"/>
      <c r="AP103" s="375"/>
      <c r="AQ103" s="390" t="s">
        <v>6287</v>
      </c>
    </row>
    <row r="104" s="363" customFormat="1" ht="18" customHeight="1" spans="1:43">
      <c r="A104" s="368">
        <v>45832</v>
      </c>
      <c r="B104" s="369" t="s">
        <v>6417</v>
      </c>
      <c r="C104" s="370" t="s">
        <v>6118</v>
      </c>
      <c r="D104" s="370" t="s">
        <v>3165</v>
      </c>
      <c r="E104" s="370">
        <v>150000</v>
      </c>
      <c r="F104" s="371" t="s">
        <v>6279</v>
      </c>
      <c r="G104" s="370" t="s">
        <v>6092</v>
      </c>
      <c r="H104" s="371" t="s">
        <v>6156</v>
      </c>
      <c r="I104" s="375"/>
      <c r="J104" s="375"/>
      <c r="K104" s="375"/>
      <c r="L104" s="375"/>
      <c r="M104" s="375"/>
      <c r="N104" s="375"/>
      <c r="O104" s="375">
        <v>150000</v>
      </c>
      <c r="P104" s="375"/>
      <c r="Q104" s="375"/>
      <c r="R104" s="375"/>
      <c r="S104" s="375"/>
      <c r="T104" s="375"/>
      <c r="U104" s="375"/>
      <c r="V104" s="375"/>
      <c r="W104" s="375"/>
      <c r="X104" s="375"/>
      <c r="Y104" s="375"/>
      <c r="Z104" s="375"/>
      <c r="AA104" s="375"/>
      <c r="AB104" s="375"/>
      <c r="AC104" s="375"/>
      <c r="AD104" s="375"/>
      <c r="AE104" s="375"/>
      <c r="AF104" s="375"/>
      <c r="AG104" s="375"/>
      <c r="AH104" s="375"/>
      <c r="AI104" s="375"/>
      <c r="AJ104" s="375"/>
      <c r="AK104" s="375"/>
      <c r="AL104" s="375"/>
      <c r="AM104" s="375"/>
      <c r="AN104" s="375"/>
      <c r="AO104" s="375"/>
      <c r="AP104" s="375"/>
      <c r="AQ104" s="390" t="s">
        <v>6418</v>
      </c>
    </row>
    <row r="105" s="363" customFormat="1" ht="18" customHeight="1" spans="1:43">
      <c r="A105" s="368">
        <v>45832</v>
      </c>
      <c r="B105" s="369" t="s">
        <v>6419</v>
      </c>
      <c r="C105" s="370" t="s">
        <v>6118</v>
      </c>
      <c r="D105" s="370" t="s">
        <v>3165</v>
      </c>
      <c r="E105" s="370">
        <v>600</v>
      </c>
      <c r="F105" s="371" t="s">
        <v>6291</v>
      </c>
      <c r="G105" s="370" t="s">
        <v>6088</v>
      </c>
      <c r="H105" s="371" t="s">
        <v>6083</v>
      </c>
      <c r="I105" s="375"/>
      <c r="J105" s="375"/>
      <c r="K105" s="375"/>
      <c r="L105" s="375"/>
      <c r="M105" s="375"/>
      <c r="N105" s="375"/>
      <c r="O105" s="375"/>
      <c r="P105" s="375"/>
      <c r="Q105" s="375"/>
      <c r="R105" s="375"/>
      <c r="S105" s="375"/>
      <c r="T105" s="375"/>
      <c r="U105" s="375"/>
      <c r="V105" s="375"/>
      <c r="W105" s="375"/>
      <c r="X105" s="375"/>
      <c r="Y105" s="375"/>
      <c r="Z105" s="375"/>
      <c r="AA105" s="375">
        <v>600</v>
      </c>
      <c r="AB105" s="375"/>
      <c r="AC105" s="375"/>
      <c r="AD105" s="375"/>
      <c r="AE105" s="375"/>
      <c r="AF105" s="375"/>
      <c r="AG105" s="375"/>
      <c r="AH105" s="375"/>
      <c r="AI105" s="375"/>
      <c r="AJ105" s="375"/>
      <c r="AK105" s="375"/>
      <c r="AL105" s="375"/>
      <c r="AM105" s="375"/>
      <c r="AN105" s="375"/>
      <c r="AO105" s="375"/>
      <c r="AP105" s="375"/>
      <c r="AQ105" s="390" t="s">
        <v>6289</v>
      </c>
    </row>
    <row r="106" s="363" customFormat="1" ht="18" customHeight="1" spans="1:43">
      <c r="A106" s="368">
        <v>45832</v>
      </c>
      <c r="B106" s="369" t="s">
        <v>6420</v>
      </c>
      <c r="C106" s="370" t="s">
        <v>6118</v>
      </c>
      <c r="D106" s="370" t="s">
        <v>3206</v>
      </c>
      <c r="E106" s="370">
        <v>1500</v>
      </c>
      <c r="F106" s="371" t="s">
        <v>6306</v>
      </c>
      <c r="G106" s="370" t="s">
        <v>6088</v>
      </c>
      <c r="H106" s="371" t="s">
        <v>6083</v>
      </c>
      <c r="I106" s="375"/>
      <c r="J106" s="375"/>
      <c r="K106" s="375"/>
      <c r="L106" s="375"/>
      <c r="M106" s="375"/>
      <c r="N106" s="375"/>
      <c r="O106" s="375"/>
      <c r="P106" s="375"/>
      <c r="Q106" s="375"/>
      <c r="R106" s="375"/>
      <c r="S106" s="375"/>
      <c r="T106" s="375"/>
      <c r="U106" s="375"/>
      <c r="V106" s="375"/>
      <c r="W106" s="375"/>
      <c r="X106" s="375">
        <v>1500</v>
      </c>
      <c r="Y106" s="375"/>
      <c r="Z106" s="375"/>
      <c r="AA106" s="375"/>
      <c r="AB106" s="375"/>
      <c r="AC106" s="375"/>
      <c r="AD106" s="375"/>
      <c r="AE106" s="375"/>
      <c r="AF106" s="375"/>
      <c r="AG106" s="375"/>
      <c r="AH106" s="375"/>
      <c r="AI106" s="375"/>
      <c r="AJ106" s="375"/>
      <c r="AK106" s="375"/>
      <c r="AL106" s="375"/>
      <c r="AM106" s="375"/>
      <c r="AN106" s="375"/>
      <c r="AO106" s="375"/>
      <c r="AP106" s="375"/>
      <c r="AQ106" s="390" t="s">
        <v>6289</v>
      </c>
    </row>
    <row r="107" s="363" customFormat="1" ht="18" customHeight="1" spans="1:43">
      <c r="A107" s="368">
        <v>45842</v>
      </c>
      <c r="B107" s="369" t="s">
        <v>6421</v>
      </c>
      <c r="C107" s="370" t="s">
        <v>6118</v>
      </c>
      <c r="D107" s="370" t="s">
        <v>3198</v>
      </c>
      <c r="E107" s="370">
        <v>20000</v>
      </c>
      <c r="F107" s="371" t="s">
        <v>6276</v>
      </c>
      <c r="G107" s="370" t="s">
        <v>6277</v>
      </c>
      <c r="H107" s="371" t="s">
        <v>6083</v>
      </c>
      <c r="I107" s="375"/>
      <c r="J107" s="375">
        <v>20000</v>
      </c>
      <c r="K107" s="375"/>
      <c r="L107" s="375"/>
      <c r="M107" s="375"/>
      <c r="N107" s="375"/>
      <c r="O107" s="375"/>
      <c r="P107" s="375"/>
      <c r="Q107" s="375"/>
      <c r="R107" s="375"/>
      <c r="S107" s="375"/>
      <c r="T107" s="375"/>
      <c r="U107" s="375"/>
      <c r="V107" s="375"/>
      <c r="W107" s="375"/>
      <c r="X107" s="375"/>
      <c r="Y107" s="375"/>
      <c r="Z107" s="375"/>
      <c r="AA107" s="375"/>
      <c r="AB107" s="375"/>
      <c r="AC107" s="375"/>
      <c r="AD107" s="375"/>
      <c r="AE107" s="375"/>
      <c r="AF107" s="375"/>
      <c r="AG107" s="375"/>
      <c r="AH107" s="375"/>
      <c r="AI107" s="375"/>
      <c r="AJ107" s="375"/>
      <c r="AK107" s="375"/>
      <c r="AL107" s="375"/>
      <c r="AM107" s="375"/>
      <c r="AN107" s="375"/>
      <c r="AO107" s="375"/>
      <c r="AP107" s="375"/>
      <c r="AQ107" s="390" t="s">
        <v>6274</v>
      </c>
    </row>
    <row r="108" s="363" customFormat="1" ht="18" customHeight="1" spans="1:43">
      <c r="A108" s="368">
        <v>45842</v>
      </c>
      <c r="B108" s="369" t="s">
        <v>6422</v>
      </c>
      <c r="C108" s="370" t="s">
        <v>6118</v>
      </c>
      <c r="D108" s="370" t="s">
        <v>3198</v>
      </c>
      <c r="E108" s="370">
        <v>100000</v>
      </c>
      <c r="F108" s="371" t="s">
        <v>6295</v>
      </c>
      <c r="G108" s="370" t="s">
        <v>6277</v>
      </c>
      <c r="H108" s="371" t="s">
        <v>6156</v>
      </c>
      <c r="I108" s="375"/>
      <c r="J108" s="375"/>
      <c r="K108" s="375"/>
      <c r="L108" s="375"/>
      <c r="M108" s="375"/>
      <c r="N108" s="375">
        <v>100000</v>
      </c>
      <c r="O108" s="375"/>
      <c r="P108" s="375"/>
      <c r="Q108" s="375"/>
      <c r="R108" s="375"/>
      <c r="S108" s="375"/>
      <c r="T108" s="375"/>
      <c r="U108" s="375"/>
      <c r="V108" s="375"/>
      <c r="W108" s="375"/>
      <c r="X108" s="375"/>
      <c r="Y108" s="375"/>
      <c r="Z108" s="375"/>
      <c r="AA108" s="375"/>
      <c r="AB108" s="375"/>
      <c r="AC108" s="375"/>
      <c r="AD108" s="375"/>
      <c r="AE108" s="375"/>
      <c r="AF108" s="375"/>
      <c r="AG108" s="375"/>
      <c r="AH108" s="375"/>
      <c r="AI108" s="375"/>
      <c r="AJ108" s="375"/>
      <c r="AK108" s="375"/>
      <c r="AL108" s="375"/>
      <c r="AM108" s="375"/>
      <c r="AN108" s="375"/>
      <c r="AO108" s="375"/>
      <c r="AP108" s="375"/>
      <c r="AQ108" s="390" t="s">
        <v>6412</v>
      </c>
    </row>
    <row r="109" s="363" customFormat="1" ht="18" customHeight="1" spans="1:43">
      <c r="A109" s="368">
        <v>45842</v>
      </c>
      <c r="B109" s="369" t="s">
        <v>6423</v>
      </c>
      <c r="C109" s="370" t="s">
        <v>6118</v>
      </c>
      <c r="D109" s="370" t="s">
        <v>6282</v>
      </c>
      <c r="E109" s="370">
        <v>500</v>
      </c>
      <c r="F109" s="371" t="s">
        <v>6283</v>
      </c>
      <c r="G109" s="370" t="s">
        <v>6082</v>
      </c>
      <c r="H109" s="371" t="s">
        <v>6083</v>
      </c>
      <c r="I109" s="375"/>
      <c r="J109" s="375"/>
      <c r="K109" s="375"/>
      <c r="L109" s="375"/>
      <c r="M109" s="375"/>
      <c r="N109" s="375"/>
      <c r="O109" s="375"/>
      <c r="P109" s="375"/>
      <c r="Q109" s="375"/>
      <c r="R109" s="375"/>
      <c r="S109" s="375"/>
      <c r="T109" s="375"/>
      <c r="U109" s="375"/>
      <c r="V109" s="375"/>
      <c r="W109" s="375"/>
      <c r="X109" s="375"/>
      <c r="Y109" s="375">
        <v>500</v>
      </c>
      <c r="Z109" s="375"/>
      <c r="AA109" s="375"/>
      <c r="AB109" s="375"/>
      <c r="AC109" s="375"/>
      <c r="AD109" s="375"/>
      <c r="AE109" s="375"/>
      <c r="AF109" s="375"/>
      <c r="AG109" s="375"/>
      <c r="AH109" s="375"/>
      <c r="AI109" s="375"/>
      <c r="AJ109" s="375"/>
      <c r="AK109" s="375"/>
      <c r="AL109" s="375"/>
      <c r="AM109" s="375"/>
      <c r="AN109" s="375"/>
      <c r="AO109" s="375"/>
      <c r="AP109" s="375"/>
      <c r="AQ109" s="390" t="s">
        <v>6280</v>
      </c>
    </row>
    <row r="110" s="363" customFormat="1" ht="18" customHeight="1" spans="1:43">
      <c r="A110" s="368">
        <v>45842</v>
      </c>
      <c r="B110" s="369" t="s">
        <v>6424</v>
      </c>
      <c r="C110" s="370" t="s">
        <v>6118</v>
      </c>
      <c r="D110" s="370" t="s">
        <v>3165</v>
      </c>
      <c r="E110" s="370">
        <v>1000</v>
      </c>
      <c r="F110" s="371" t="s">
        <v>6291</v>
      </c>
      <c r="G110" s="370" t="s">
        <v>6088</v>
      </c>
      <c r="H110" s="371" t="s">
        <v>6083</v>
      </c>
      <c r="I110" s="375"/>
      <c r="J110" s="375"/>
      <c r="K110" s="375"/>
      <c r="L110" s="375"/>
      <c r="M110" s="375"/>
      <c r="N110" s="375"/>
      <c r="O110" s="375"/>
      <c r="P110" s="375"/>
      <c r="Q110" s="375"/>
      <c r="R110" s="375"/>
      <c r="S110" s="375"/>
      <c r="T110" s="375"/>
      <c r="U110" s="375"/>
      <c r="V110" s="375"/>
      <c r="W110" s="375"/>
      <c r="X110" s="375"/>
      <c r="Y110" s="375"/>
      <c r="Z110" s="375"/>
      <c r="AA110" s="375">
        <v>1000</v>
      </c>
      <c r="AB110" s="375"/>
      <c r="AC110" s="375"/>
      <c r="AD110" s="375"/>
      <c r="AE110" s="375"/>
      <c r="AF110" s="375"/>
      <c r="AG110" s="375"/>
      <c r="AH110" s="375"/>
      <c r="AI110" s="375"/>
      <c r="AJ110" s="375"/>
      <c r="AK110" s="375"/>
      <c r="AL110" s="375"/>
      <c r="AM110" s="375"/>
      <c r="AN110" s="375"/>
      <c r="AO110" s="375"/>
      <c r="AP110" s="375"/>
      <c r="AQ110" s="390" t="s">
        <v>6289</v>
      </c>
    </row>
    <row r="111" s="363" customFormat="1" ht="18" customHeight="1" spans="1:43">
      <c r="A111" s="368">
        <v>45838</v>
      </c>
      <c r="B111" s="369" t="s">
        <v>6425</v>
      </c>
      <c r="C111" s="370" t="s">
        <v>6181</v>
      </c>
      <c r="D111" s="370">
        <v>77785</v>
      </c>
      <c r="E111" s="370">
        <v>24000</v>
      </c>
      <c r="F111" s="371" t="s">
        <v>6107</v>
      </c>
      <c r="G111" s="370"/>
      <c r="H111" s="371"/>
      <c r="I111" s="375"/>
      <c r="J111" s="375"/>
      <c r="K111" s="375"/>
      <c r="L111" s="375">
        <v>24000</v>
      </c>
      <c r="M111" s="375"/>
      <c r="N111" s="375"/>
      <c r="O111" s="375"/>
      <c r="P111" s="375"/>
      <c r="Q111" s="375"/>
      <c r="R111" s="375"/>
      <c r="S111" s="375"/>
      <c r="T111" s="375"/>
      <c r="U111" s="375"/>
      <c r="V111" s="375"/>
      <c r="W111" s="375"/>
      <c r="X111" s="375"/>
      <c r="Y111" s="375"/>
      <c r="Z111" s="375"/>
      <c r="AA111" s="375"/>
      <c r="AB111" s="375"/>
      <c r="AC111" s="375"/>
      <c r="AD111" s="375"/>
      <c r="AE111" s="375"/>
      <c r="AF111" s="375"/>
      <c r="AG111" s="375"/>
      <c r="AH111" s="375"/>
      <c r="AI111" s="375"/>
      <c r="AJ111" s="375"/>
      <c r="AK111" s="375"/>
      <c r="AL111" s="375"/>
      <c r="AM111" s="375"/>
      <c r="AN111" s="375"/>
      <c r="AO111" s="375"/>
      <c r="AP111" s="375"/>
      <c r="AQ111" s="390" t="s">
        <v>6426</v>
      </c>
    </row>
    <row r="112" s="363" customFormat="1" ht="18" customHeight="1" spans="1:43">
      <c r="A112" s="368">
        <v>45853</v>
      </c>
      <c r="B112" s="369" t="s">
        <v>6427</v>
      </c>
      <c r="C112" s="370" t="s">
        <v>6118</v>
      </c>
      <c r="D112" s="370" t="s">
        <v>3198</v>
      </c>
      <c r="E112" s="370">
        <v>100000</v>
      </c>
      <c r="F112" s="371" t="s">
        <v>6081</v>
      </c>
      <c r="G112" s="370" t="s">
        <v>6082</v>
      </c>
      <c r="H112" s="371" t="s">
        <v>6083</v>
      </c>
      <c r="I112" s="375">
        <v>100000</v>
      </c>
      <c r="J112" s="375"/>
      <c r="K112" s="375"/>
      <c r="L112" s="375"/>
      <c r="M112" s="375"/>
      <c r="N112" s="375"/>
      <c r="O112" s="375"/>
      <c r="P112" s="375"/>
      <c r="Q112" s="375"/>
      <c r="R112" s="375"/>
      <c r="S112" s="375"/>
      <c r="T112" s="375"/>
      <c r="U112" s="375"/>
      <c r="V112" s="375"/>
      <c r="W112" s="375"/>
      <c r="X112" s="375"/>
      <c r="Y112" s="375"/>
      <c r="Z112" s="375"/>
      <c r="AA112" s="375"/>
      <c r="AB112" s="375"/>
      <c r="AC112" s="375"/>
      <c r="AD112" s="375"/>
      <c r="AE112" s="375"/>
      <c r="AF112" s="375"/>
      <c r="AG112" s="375"/>
      <c r="AH112" s="375"/>
      <c r="AI112" s="375"/>
      <c r="AJ112" s="375"/>
      <c r="AK112" s="375"/>
      <c r="AL112" s="375"/>
      <c r="AM112" s="375"/>
      <c r="AN112" s="375"/>
      <c r="AO112" s="375"/>
      <c r="AP112" s="375"/>
      <c r="AQ112" s="390" t="s">
        <v>6274</v>
      </c>
    </row>
    <row r="113" s="363" customFormat="1" ht="18" customHeight="1" spans="1:43">
      <c r="A113" s="368">
        <v>45853</v>
      </c>
      <c r="B113" s="369" t="s">
        <v>6428</v>
      </c>
      <c r="C113" s="370" t="s">
        <v>6118</v>
      </c>
      <c r="D113" s="370" t="s">
        <v>3198</v>
      </c>
      <c r="E113" s="370">
        <v>20000</v>
      </c>
      <c r="F113" s="371" t="s">
        <v>6276</v>
      </c>
      <c r="G113" s="370" t="s">
        <v>6277</v>
      </c>
      <c r="H113" s="371" t="s">
        <v>6083</v>
      </c>
      <c r="I113" s="375"/>
      <c r="J113" s="375">
        <v>20000</v>
      </c>
      <c r="K113" s="375"/>
      <c r="L113" s="375"/>
      <c r="M113" s="375"/>
      <c r="N113" s="375"/>
      <c r="O113" s="375"/>
      <c r="P113" s="375"/>
      <c r="Q113" s="375"/>
      <c r="R113" s="375"/>
      <c r="S113" s="375"/>
      <c r="T113" s="375"/>
      <c r="U113" s="375"/>
      <c r="V113" s="375"/>
      <c r="W113" s="375"/>
      <c r="X113" s="375"/>
      <c r="Y113" s="375"/>
      <c r="Z113" s="375"/>
      <c r="AA113" s="375"/>
      <c r="AB113" s="375"/>
      <c r="AC113" s="375"/>
      <c r="AD113" s="375"/>
      <c r="AE113" s="375"/>
      <c r="AF113" s="375"/>
      <c r="AG113" s="375"/>
      <c r="AH113" s="375"/>
      <c r="AI113" s="375"/>
      <c r="AJ113" s="375"/>
      <c r="AK113" s="375"/>
      <c r="AL113" s="375"/>
      <c r="AM113" s="375"/>
      <c r="AN113" s="375"/>
      <c r="AO113" s="375"/>
      <c r="AP113" s="375"/>
      <c r="AQ113" s="390" t="s">
        <v>6274</v>
      </c>
    </row>
    <row r="114" s="363" customFormat="1" ht="18" customHeight="1" spans="1:43">
      <c r="A114" s="368">
        <v>45853</v>
      </c>
      <c r="B114" s="369" t="s">
        <v>6429</v>
      </c>
      <c r="C114" s="370" t="s">
        <v>6118</v>
      </c>
      <c r="D114" s="370" t="s">
        <v>3198</v>
      </c>
      <c r="E114" s="370">
        <v>200000</v>
      </c>
      <c r="F114" s="371" t="s">
        <v>6295</v>
      </c>
      <c r="G114" s="370" t="s">
        <v>6277</v>
      </c>
      <c r="H114" s="371" t="s">
        <v>6156</v>
      </c>
      <c r="I114" s="375"/>
      <c r="J114" s="375"/>
      <c r="K114" s="375"/>
      <c r="L114" s="375"/>
      <c r="M114" s="375"/>
      <c r="N114" s="375">
        <v>200000</v>
      </c>
      <c r="O114" s="375"/>
      <c r="P114" s="375"/>
      <c r="Q114" s="375"/>
      <c r="R114" s="375"/>
      <c r="S114" s="375"/>
      <c r="T114" s="375"/>
      <c r="U114" s="375"/>
      <c r="V114" s="375"/>
      <c r="W114" s="375"/>
      <c r="X114" s="375"/>
      <c r="Y114" s="375"/>
      <c r="Z114" s="375"/>
      <c r="AA114" s="375"/>
      <c r="AB114" s="375"/>
      <c r="AC114" s="375"/>
      <c r="AD114" s="375"/>
      <c r="AE114" s="375"/>
      <c r="AF114" s="375"/>
      <c r="AG114" s="375"/>
      <c r="AH114" s="375"/>
      <c r="AI114" s="375"/>
      <c r="AJ114" s="375"/>
      <c r="AK114" s="375"/>
      <c r="AL114" s="375"/>
      <c r="AM114" s="375"/>
      <c r="AN114" s="375"/>
      <c r="AO114" s="375"/>
      <c r="AP114" s="375"/>
      <c r="AQ114" s="390" t="s">
        <v>6412</v>
      </c>
    </row>
    <row r="115" s="363" customFormat="1" ht="18" customHeight="1" spans="1:43">
      <c r="A115" s="368">
        <v>45853</v>
      </c>
      <c r="B115" s="369" t="s">
        <v>6430</v>
      </c>
      <c r="C115" s="370" t="s">
        <v>6118</v>
      </c>
      <c r="D115" s="370" t="s">
        <v>6282</v>
      </c>
      <c r="E115" s="370">
        <v>500</v>
      </c>
      <c r="F115" s="371" t="s">
        <v>6283</v>
      </c>
      <c r="G115" s="370" t="s">
        <v>6082</v>
      </c>
      <c r="H115" s="371" t="s">
        <v>6083</v>
      </c>
      <c r="I115" s="375"/>
      <c r="J115" s="375"/>
      <c r="K115" s="375"/>
      <c r="L115" s="375"/>
      <c r="M115" s="375"/>
      <c r="N115" s="375"/>
      <c r="O115" s="375"/>
      <c r="P115" s="375"/>
      <c r="Q115" s="375"/>
      <c r="R115" s="375"/>
      <c r="S115" s="375"/>
      <c r="T115" s="375"/>
      <c r="U115" s="375"/>
      <c r="V115" s="375"/>
      <c r="W115" s="375"/>
      <c r="X115" s="375"/>
      <c r="Y115" s="375">
        <v>500</v>
      </c>
      <c r="Z115" s="375"/>
      <c r="AA115" s="375"/>
      <c r="AB115" s="375"/>
      <c r="AC115" s="375"/>
      <c r="AD115" s="375"/>
      <c r="AE115" s="375"/>
      <c r="AF115" s="375"/>
      <c r="AG115" s="375"/>
      <c r="AH115" s="375"/>
      <c r="AI115" s="375"/>
      <c r="AJ115" s="375"/>
      <c r="AK115" s="375"/>
      <c r="AL115" s="375"/>
      <c r="AM115" s="375"/>
      <c r="AN115" s="375"/>
      <c r="AO115" s="375"/>
      <c r="AP115" s="375"/>
      <c r="AQ115" s="390" t="s">
        <v>6280</v>
      </c>
    </row>
    <row r="116" s="363" customFormat="1" ht="18" customHeight="1" spans="1:43">
      <c r="A116" s="368">
        <v>45853</v>
      </c>
      <c r="B116" s="369" t="s">
        <v>6431</v>
      </c>
      <c r="C116" s="370" t="s">
        <v>6118</v>
      </c>
      <c r="D116" s="370" t="s">
        <v>3165</v>
      </c>
      <c r="E116" s="370">
        <v>1000</v>
      </c>
      <c r="F116" s="371" t="s">
        <v>6291</v>
      </c>
      <c r="G116" s="370" t="s">
        <v>6088</v>
      </c>
      <c r="H116" s="371" t="s">
        <v>6083</v>
      </c>
      <c r="I116" s="375"/>
      <c r="J116" s="375"/>
      <c r="K116" s="375"/>
      <c r="L116" s="375"/>
      <c r="M116" s="375"/>
      <c r="N116" s="375"/>
      <c r="O116" s="375"/>
      <c r="P116" s="375"/>
      <c r="Q116" s="375"/>
      <c r="R116" s="375"/>
      <c r="S116" s="375"/>
      <c r="T116" s="375"/>
      <c r="U116" s="375"/>
      <c r="V116" s="375"/>
      <c r="W116" s="375"/>
      <c r="X116" s="375"/>
      <c r="Y116" s="375"/>
      <c r="Z116" s="375"/>
      <c r="AA116" s="375">
        <v>1000</v>
      </c>
      <c r="AB116" s="375"/>
      <c r="AC116" s="375"/>
      <c r="AD116" s="375"/>
      <c r="AE116" s="375"/>
      <c r="AF116" s="375"/>
      <c r="AG116" s="375"/>
      <c r="AH116" s="375"/>
      <c r="AI116" s="375"/>
      <c r="AJ116" s="375"/>
      <c r="AK116" s="375"/>
      <c r="AL116" s="375"/>
      <c r="AM116" s="375"/>
      <c r="AN116" s="375"/>
      <c r="AO116" s="375"/>
      <c r="AP116" s="375"/>
      <c r="AQ116" s="390" t="s">
        <v>6289</v>
      </c>
    </row>
    <row r="117" s="363" customFormat="1" ht="18" customHeight="1" spans="1:43">
      <c r="A117" s="368"/>
      <c r="B117" s="369"/>
      <c r="C117" s="370" t="s">
        <v>6432</v>
      </c>
      <c r="D117" s="370">
        <v>77731</v>
      </c>
      <c r="E117" s="370">
        <v>101272</v>
      </c>
      <c r="F117" s="371" t="s">
        <v>6326</v>
      </c>
      <c r="G117" s="370" t="s">
        <v>6082</v>
      </c>
      <c r="H117" s="371" t="s">
        <v>6083</v>
      </c>
      <c r="I117" s="375"/>
      <c r="J117" s="375"/>
      <c r="K117" s="375"/>
      <c r="L117" s="375"/>
      <c r="M117" s="375"/>
      <c r="N117" s="375"/>
      <c r="O117" s="375"/>
      <c r="P117" s="375"/>
      <c r="Q117" s="375"/>
      <c r="R117" s="375"/>
      <c r="S117" s="375"/>
      <c r="T117" s="375"/>
      <c r="U117" s="375"/>
      <c r="V117" s="375"/>
      <c r="W117" s="375"/>
      <c r="X117" s="375"/>
      <c r="Y117" s="375"/>
      <c r="Z117" s="375"/>
      <c r="AA117" s="375"/>
      <c r="AB117" s="375"/>
      <c r="AC117" s="375"/>
      <c r="AD117" s="375"/>
      <c r="AE117" s="375"/>
      <c r="AF117" s="375"/>
      <c r="AG117" s="375"/>
      <c r="AH117" s="375"/>
      <c r="AI117" s="375"/>
      <c r="AJ117" s="375"/>
      <c r="AK117" s="375"/>
      <c r="AL117" s="375"/>
      <c r="AM117" s="375"/>
      <c r="AN117" s="375"/>
      <c r="AO117" s="375"/>
      <c r="AP117" s="375"/>
      <c r="AQ117" s="390"/>
    </row>
    <row r="118" s="363" customFormat="1" ht="18" customHeight="1" spans="1:43">
      <c r="A118" s="368"/>
      <c r="B118" s="369"/>
      <c r="C118" s="370" t="s">
        <v>6432</v>
      </c>
      <c r="D118" s="370">
        <v>77721</v>
      </c>
      <c r="E118" s="370"/>
      <c r="F118" s="371"/>
      <c r="G118" s="370"/>
      <c r="H118" s="371"/>
      <c r="I118" s="375"/>
      <c r="J118" s="375"/>
      <c r="K118" s="375"/>
      <c r="L118" s="375"/>
      <c r="M118" s="375"/>
      <c r="N118" s="375"/>
      <c r="O118" s="375"/>
      <c r="P118" s="375"/>
      <c r="Q118" s="375"/>
      <c r="R118" s="375">
        <v>385650</v>
      </c>
      <c r="S118" s="375"/>
      <c r="T118" s="375"/>
      <c r="U118" s="375"/>
      <c r="V118" s="375"/>
      <c r="W118" s="375"/>
      <c r="X118" s="375"/>
      <c r="Y118" s="375"/>
      <c r="Z118" s="375"/>
      <c r="AA118" s="375"/>
      <c r="AB118" s="375"/>
      <c r="AC118" s="375"/>
      <c r="AD118" s="375"/>
      <c r="AE118" s="375"/>
      <c r="AF118" s="375"/>
      <c r="AG118" s="375"/>
      <c r="AH118" s="375"/>
      <c r="AI118" s="375"/>
      <c r="AJ118" s="375"/>
      <c r="AK118" s="375"/>
      <c r="AL118" s="375"/>
      <c r="AM118" s="375"/>
      <c r="AN118" s="375"/>
      <c r="AO118" s="375"/>
      <c r="AP118" s="375"/>
      <c r="AQ118" s="390"/>
    </row>
    <row r="119" s="363" customFormat="1" ht="18" customHeight="1" spans="1:43">
      <c r="A119" s="368"/>
      <c r="B119" s="369"/>
      <c r="C119" s="370" t="s">
        <v>6433</v>
      </c>
      <c r="D119" s="370">
        <v>77782</v>
      </c>
      <c r="E119" s="370">
        <v>10000</v>
      </c>
      <c r="F119" s="371" t="s">
        <v>6107</v>
      </c>
      <c r="G119" s="370" t="s">
        <v>6108</v>
      </c>
      <c r="H119" s="371"/>
      <c r="I119" s="375"/>
      <c r="J119" s="375"/>
      <c r="K119" s="375"/>
      <c r="L119" s="375"/>
      <c r="M119" s="375"/>
      <c r="N119" s="375"/>
      <c r="O119" s="375"/>
      <c r="P119" s="375"/>
      <c r="Q119" s="375"/>
      <c r="R119" s="375"/>
      <c r="S119" s="375"/>
      <c r="T119" s="375"/>
      <c r="U119" s="375"/>
      <c r="V119" s="375"/>
      <c r="W119" s="375"/>
      <c r="X119" s="375"/>
      <c r="Y119" s="375"/>
      <c r="Z119" s="375"/>
      <c r="AA119" s="375"/>
      <c r="AB119" s="375"/>
      <c r="AC119" s="375"/>
      <c r="AD119" s="375">
        <v>10000</v>
      </c>
      <c r="AE119" s="375"/>
      <c r="AF119" s="375"/>
      <c r="AG119" s="375"/>
      <c r="AH119" s="375"/>
      <c r="AI119" s="375"/>
      <c r="AJ119" s="375"/>
      <c r="AK119" s="375"/>
      <c r="AL119" s="375"/>
      <c r="AM119" s="375"/>
      <c r="AN119" s="375"/>
      <c r="AO119" s="375"/>
      <c r="AP119" s="375"/>
      <c r="AQ119" s="390"/>
    </row>
    <row r="120" s="363" customFormat="1" ht="18" customHeight="1" spans="1:43">
      <c r="A120" s="368">
        <v>45840</v>
      </c>
      <c r="B120" s="369" t="s">
        <v>6434</v>
      </c>
      <c r="C120" s="370" t="s">
        <v>6181</v>
      </c>
      <c r="D120" s="370" t="s">
        <v>6338</v>
      </c>
      <c r="E120" s="370">
        <v>10000</v>
      </c>
      <c r="F120" s="371" t="s">
        <v>6173</v>
      </c>
      <c r="G120" s="370" t="s">
        <v>6092</v>
      </c>
      <c r="H120" s="371"/>
      <c r="I120" s="375"/>
      <c r="J120" s="375"/>
      <c r="K120" s="375"/>
      <c r="L120" s="375"/>
      <c r="M120" s="375"/>
      <c r="N120" s="375"/>
      <c r="O120" s="375"/>
      <c r="P120" s="375"/>
      <c r="Q120" s="375"/>
      <c r="R120" s="375"/>
      <c r="S120" s="375"/>
      <c r="T120" s="375"/>
      <c r="U120" s="375"/>
      <c r="V120" s="375"/>
      <c r="W120" s="375"/>
      <c r="X120" s="375"/>
      <c r="Y120" s="375"/>
      <c r="Z120" s="375"/>
      <c r="AA120" s="375"/>
      <c r="AB120" s="375"/>
      <c r="AC120" s="375"/>
      <c r="AD120" s="375"/>
      <c r="AE120" s="375">
        <v>10000</v>
      </c>
      <c r="AF120" s="375"/>
      <c r="AG120" s="375"/>
      <c r="AH120" s="375"/>
      <c r="AI120" s="375"/>
      <c r="AJ120" s="375"/>
      <c r="AK120" s="375"/>
      <c r="AL120" s="375"/>
      <c r="AM120" s="375"/>
      <c r="AN120" s="375"/>
      <c r="AO120" s="375"/>
      <c r="AP120" s="375"/>
      <c r="AQ120" s="390" t="s">
        <v>6435</v>
      </c>
    </row>
    <row r="121" s="363" customFormat="1" ht="18" customHeight="1" spans="1:43">
      <c r="A121" s="368">
        <v>45840</v>
      </c>
      <c r="B121" s="369" t="s">
        <v>6436</v>
      </c>
      <c r="C121" s="370" t="s">
        <v>6181</v>
      </c>
      <c r="D121" s="370" t="s">
        <v>6338</v>
      </c>
      <c r="E121" s="370">
        <v>500</v>
      </c>
      <c r="F121" s="371" t="s">
        <v>6321</v>
      </c>
      <c r="G121" s="370" t="s">
        <v>6088</v>
      </c>
      <c r="H121" s="371"/>
      <c r="I121" s="375"/>
      <c r="J121" s="375"/>
      <c r="K121" s="375"/>
      <c r="L121" s="375"/>
      <c r="M121" s="375"/>
      <c r="N121" s="375"/>
      <c r="O121" s="375"/>
      <c r="P121" s="375"/>
      <c r="Q121" s="375"/>
      <c r="R121" s="375"/>
      <c r="S121" s="375"/>
      <c r="T121" s="375"/>
      <c r="U121" s="375"/>
      <c r="V121" s="375"/>
      <c r="W121" s="375"/>
      <c r="X121" s="375"/>
      <c r="Y121" s="375"/>
      <c r="Z121" s="375"/>
      <c r="AA121" s="375"/>
      <c r="AB121" s="375"/>
      <c r="AC121" s="375"/>
      <c r="AD121" s="375"/>
      <c r="AE121" s="375"/>
      <c r="AF121" s="375">
        <v>500</v>
      </c>
      <c r="AG121" s="375"/>
      <c r="AH121" s="375"/>
      <c r="AI121" s="375"/>
      <c r="AJ121" s="375"/>
      <c r="AK121" s="375"/>
      <c r="AL121" s="375"/>
      <c r="AM121" s="375"/>
      <c r="AN121" s="375"/>
      <c r="AO121" s="375"/>
      <c r="AP121" s="375"/>
      <c r="AQ121" s="390" t="s">
        <v>6435</v>
      </c>
    </row>
    <row r="122" s="363" customFormat="1" ht="18" customHeight="1" spans="1:43">
      <c r="A122" s="368">
        <v>45777</v>
      </c>
      <c r="B122" s="369">
        <v>1000027554</v>
      </c>
      <c r="C122" s="370" t="s">
        <v>6142</v>
      </c>
      <c r="D122" s="370">
        <v>77731</v>
      </c>
      <c r="E122" s="370">
        <v>3000</v>
      </c>
      <c r="F122" s="371" t="s">
        <v>6308</v>
      </c>
      <c r="G122" s="370"/>
      <c r="H122" s="371"/>
      <c r="I122" s="375"/>
      <c r="J122" s="375"/>
      <c r="K122" s="375"/>
      <c r="L122" s="375"/>
      <c r="M122" s="375"/>
      <c r="N122" s="375"/>
      <c r="O122" s="375"/>
      <c r="P122" s="375"/>
      <c r="Q122" s="375"/>
      <c r="R122" s="375"/>
      <c r="S122" s="375"/>
      <c r="T122" s="375"/>
      <c r="U122" s="375"/>
      <c r="V122" s="375"/>
      <c r="W122" s="375"/>
      <c r="X122" s="375"/>
      <c r="Y122" s="375"/>
      <c r="Z122" s="375"/>
      <c r="AA122" s="375"/>
      <c r="AB122" s="375"/>
      <c r="AC122" s="375"/>
      <c r="AD122" s="375"/>
      <c r="AE122" s="375"/>
      <c r="AF122" s="375"/>
      <c r="AG122" s="375"/>
      <c r="AH122" s="375"/>
      <c r="AI122" s="375"/>
      <c r="AJ122" s="375"/>
      <c r="AK122" s="375"/>
      <c r="AL122" s="375"/>
      <c r="AM122" s="375"/>
      <c r="AN122" s="375">
        <v>3000</v>
      </c>
      <c r="AO122" s="375"/>
      <c r="AP122" s="375"/>
      <c r="AQ122" s="390" t="s">
        <v>6437</v>
      </c>
    </row>
    <row r="123" s="363" customFormat="1" ht="18" customHeight="1" spans="1:43">
      <c r="A123" s="368">
        <v>45777</v>
      </c>
      <c r="B123" s="369">
        <v>1000027555</v>
      </c>
      <c r="C123" s="370" t="s">
        <v>6142</v>
      </c>
      <c r="D123" s="370">
        <v>77731</v>
      </c>
      <c r="E123" s="370">
        <v>3000</v>
      </c>
      <c r="F123" s="371" t="s">
        <v>6311</v>
      </c>
      <c r="G123" s="370"/>
      <c r="H123" s="371"/>
      <c r="I123" s="375"/>
      <c r="J123" s="375"/>
      <c r="K123" s="375"/>
      <c r="L123" s="375"/>
      <c r="M123" s="375"/>
      <c r="N123" s="375"/>
      <c r="O123" s="375"/>
      <c r="P123" s="375"/>
      <c r="Q123" s="375"/>
      <c r="R123" s="375"/>
      <c r="S123" s="375"/>
      <c r="T123" s="375"/>
      <c r="U123" s="375"/>
      <c r="V123" s="375"/>
      <c r="W123" s="375"/>
      <c r="X123" s="375"/>
      <c r="Y123" s="375"/>
      <c r="Z123" s="375"/>
      <c r="AA123" s="375"/>
      <c r="AB123" s="375"/>
      <c r="AC123" s="375"/>
      <c r="AD123" s="375"/>
      <c r="AE123" s="375"/>
      <c r="AF123" s="375"/>
      <c r="AG123" s="375"/>
      <c r="AH123" s="375"/>
      <c r="AI123" s="375"/>
      <c r="AJ123" s="375"/>
      <c r="AK123" s="375"/>
      <c r="AL123" s="375"/>
      <c r="AM123" s="375"/>
      <c r="AN123" s="375"/>
      <c r="AO123" s="375">
        <v>3000</v>
      </c>
      <c r="AP123" s="375"/>
      <c r="AQ123" s="390" t="s">
        <v>6437</v>
      </c>
    </row>
    <row r="124" s="363" customFormat="1" ht="18" customHeight="1" spans="1:43">
      <c r="A124" s="368">
        <v>45777</v>
      </c>
      <c r="B124" s="369">
        <v>1000027556</v>
      </c>
      <c r="C124" s="370" t="s">
        <v>6142</v>
      </c>
      <c r="D124" s="370">
        <v>77731</v>
      </c>
      <c r="E124" s="370">
        <v>3000</v>
      </c>
      <c r="F124" s="371" t="s">
        <v>6313</v>
      </c>
      <c r="G124" s="370"/>
      <c r="H124" s="371"/>
      <c r="I124" s="375"/>
      <c r="J124" s="375"/>
      <c r="K124" s="375"/>
      <c r="L124" s="375"/>
      <c r="M124" s="375"/>
      <c r="N124" s="375"/>
      <c r="O124" s="375"/>
      <c r="P124" s="375"/>
      <c r="Q124" s="375"/>
      <c r="R124" s="375"/>
      <c r="S124" s="375"/>
      <c r="T124" s="375"/>
      <c r="U124" s="375"/>
      <c r="V124" s="375"/>
      <c r="W124" s="375"/>
      <c r="X124" s="375"/>
      <c r="Y124" s="375"/>
      <c r="Z124" s="375"/>
      <c r="AA124" s="375"/>
      <c r="AB124" s="375"/>
      <c r="AC124" s="375"/>
      <c r="AD124" s="375"/>
      <c r="AE124" s="375"/>
      <c r="AF124" s="375"/>
      <c r="AG124" s="375"/>
      <c r="AH124" s="375"/>
      <c r="AI124" s="375"/>
      <c r="AJ124" s="375"/>
      <c r="AK124" s="375"/>
      <c r="AL124" s="375"/>
      <c r="AM124" s="375"/>
      <c r="AN124" s="375"/>
      <c r="AO124" s="375"/>
      <c r="AP124" s="375">
        <v>3000</v>
      </c>
      <c r="AQ124" s="390" t="s">
        <v>6437</v>
      </c>
    </row>
    <row r="125" s="363" customFormat="1" ht="18" customHeight="1" spans="1:43">
      <c r="A125" s="368">
        <v>45803</v>
      </c>
      <c r="B125" s="369">
        <v>1000028384</v>
      </c>
      <c r="C125" s="370" t="s">
        <v>6142</v>
      </c>
      <c r="D125" s="370">
        <v>77731</v>
      </c>
      <c r="E125" s="370">
        <v>1008</v>
      </c>
      <c r="F125" s="371" t="s">
        <v>6308</v>
      </c>
      <c r="G125" s="370"/>
      <c r="H125" s="371"/>
      <c r="I125" s="375"/>
      <c r="J125" s="375"/>
      <c r="K125" s="375"/>
      <c r="L125" s="375"/>
      <c r="M125" s="375"/>
      <c r="N125" s="375"/>
      <c r="O125" s="375"/>
      <c r="P125" s="375"/>
      <c r="Q125" s="375"/>
      <c r="R125" s="375"/>
      <c r="S125" s="375"/>
      <c r="T125" s="375"/>
      <c r="U125" s="375"/>
      <c r="V125" s="375"/>
      <c r="W125" s="375"/>
      <c r="X125" s="375"/>
      <c r="Y125" s="375"/>
      <c r="Z125" s="375"/>
      <c r="AA125" s="375"/>
      <c r="AB125" s="375"/>
      <c r="AC125" s="375"/>
      <c r="AD125" s="375"/>
      <c r="AE125" s="375"/>
      <c r="AF125" s="375"/>
      <c r="AG125" s="375"/>
      <c r="AH125" s="375"/>
      <c r="AI125" s="375"/>
      <c r="AJ125" s="375"/>
      <c r="AK125" s="375"/>
      <c r="AL125" s="375"/>
      <c r="AM125" s="375"/>
      <c r="AN125" s="375">
        <v>1008</v>
      </c>
      <c r="AO125" s="375"/>
      <c r="AP125" s="375"/>
      <c r="AQ125" s="390" t="s">
        <v>6438</v>
      </c>
    </row>
    <row r="126" s="363" customFormat="1" ht="18" customHeight="1" spans="1:43">
      <c r="A126" s="368">
        <v>45803</v>
      </c>
      <c r="B126" s="369">
        <v>1000028387</v>
      </c>
      <c r="C126" s="370" t="s">
        <v>6142</v>
      </c>
      <c r="D126" s="370">
        <v>77731</v>
      </c>
      <c r="E126" s="370">
        <v>1008</v>
      </c>
      <c r="F126" s="371" t="s">
        <v>6311</v>
      </c>
      <c r="G126" s="370"/>
      <c r="H126" s="371"/>
      <c r="I126" s="375"/>
      <c r="J126" s="375"/>
      <c r="K126" s="375"/>
      <c r="L126" s="375"/>
      <c r="M126" s="375"/>
      <c r="N126" s="375"/>
      <c r="O126" s="375"/>
      <c r="P126" s="375"/>
      <c r="Q126" s="375"/>
      <c r="R126" s="375"/>
      <c r="S126" s="375"/>
      <c r="T126" s="375"/>
      <c r="U126" s="375"/>
      <c r="V126" s="375"/>
      <c r="W126" s="375"/>
      <c r="X126" s="375"/>
      <c r="Y126" s="375"/>
      <c r="Z126" s="375"/>
      <c r="AA126" s="375"/>
      <c r="AB126" s="375"/>
      <c r="AC126" s="375"/>
      <c r="AD126" s="375"/>
      <c r="AE126" s="375"/>
      <c r="AF126" s="375"/>
      <c r="AG126" s="375"/>
      <c r="AH126" s="375"/>
      <c r="AI126" s="375"/>
      <c r="AJ126" s="375"/>
      <c r="AK126" s="375"/>
      <c r="AL126" s="375"/>
      <c r="AM126" s="375"/>
      <c r="AN126" s="375"/>
      <c r="AO126" s="375">
        <v>1008</v>
      </c>
      <c r="AP126" s="375"/>
      <c r="AQ126" s="390" t="s">
        <v>6438</v>
      </c>
    </row>
    <row r="127" s="363" customFormat="1" ht="18" customHeight="1" spans="1:43">
      <c r="A127" s="368">
        <v>45803</v>
      </c>
      <c r="B127" s="369">
        <v>1000028386</v>
      </c>
      <c r="C127" s="370" t="s">
        <v>6142</v>
      </c>
      <c r="D127" s="370">
        <v>77731</v>
      </c>
      <c r="E127" s="370">
        <v>1008</v>
      </c>
      <c r="F127" s="371" t="s">
        <v>6313</v>
      </c>
      <c r="G127" s="370"/>
      <c r="H127" s="371"/>
      <c r="I127" s="375"/>
      <c r="J127" s="375"/>
      <c r="K127" s="375"/>
      <c r="L127" s="375"/>
      <c r="M127" s="375"/>
      <c r="N127" s="375"/>
      <c r="O127" s="375"/>
      <c r="P127" s="375"/>
      <c r="Q127" s="375"/>
      <c r="R127" s="375"/>
      <c r="S127" s="375"/>
      <c r="T127" s="375"/>
      <c r="U127" s="375"/>
      <c r="V127" s="375"/>
      <c r="W127" s="375"/>
      <c r="X127" s="375"/>
      <c r="Y127" s="375"/>
      <c r="Z127" s="375"/>
      <c r="AA127" s="375"/>
      <c r="AB127" s="375"/>
      <c r="AC127" s="375"/>
      <c r="AD127" s="375"/>
      <c r="AE127" s="375"/>
      <c r="AF127" s="375"/>
      <c r="AG127" s="375"/>
      <c r="AH127" s="375"/>
      <c r="AI127" s="375"/>
      <c r="AJ127" s="375"/>
      <c r="AK127" s="375"/>
      <c r="AL127" s="375"/>
      <c r="AM127" s="375"/>
      <c r="AN127" s="375"/>
      <c r="AO127" s="375"/>
      <c r="AP127" s="375">
        <v>1008</v>
      </c>
      <c r="AQ127" s="390" t="s">
        <v>6438</v>
      </c>
    </row>
    <row r="128" s="363" customFormat="1" ht="18" customHeight="1" spans="1:43">
      <c r="A128" s="368">
        <v>45842</v>
      </c>
      <c r="B128" s="369" t="s">
        <v>6439</v>
      </c>
      <c r="C128" s="370" t="s">
        <v>6142</v>
      </c>
      <c r="D128" s="370">
        <v>77731</v>
      </c>
      <c r="E128" s="370">
        <v>22908</v>
      </c>
      <c r="F128" s="371" t="s">
        <v>6308</v>
      </c>
      <c r="G128" s="370"/>
      <c r="H128" s="371"/>
      <c r="I128" s="375"/>
      <c r="J128" s="375"/>
      <c r="K128" s="375"/>
      <c r="L128" s="375"/>
      <c r="M128" s="375"/>
      <c r="N128" s="375"/>
      <c r="O128" s="375"/>
      <c r="P128" s="375"/>
      <c r="Q128" s="375"/>
      <c r="R128" s="375"/>
      <c r="S128" s="375"/>
      <c r="T128" s="375"/>
      <c r="U128" s="375"/>
      <c r="V128" s="375"/>
      <c r="W128" s="375"/>
      <c r="X128" s="375"/>
      <c r="Y128" s="375"/>
      <c r="Z128" s="375"/>
      <c r="AA128" s="375"/>
      <c r="AB128" s="375"/>
      <c r="AC128" s="375"/>
      <c r="AD128" s="375"/>
      <c r="AE128" s="375"/>
      <c r="AF128" s="375"/>
      <c r="AG128" s="375"/>
      <c r="AH128" s="375"/>
      <c r="AI128" s="375"/>
      <c r="AJ128" s="375"/>
      <c r="AK128" s="375"/>
      <c r="AL128" s="375"/>
      <c r="AM128" s="375"/>
      <c r="AN128" s="375">
        <v>22908</v>
      </c>
      <c r="AO128" s="375"/>
      <c r="AP128" s="375"/>
      <c r="AQ128" s="390" t="s">
        <v>6440</v>
      </c>
    </row>
    <row r="129" s="363" customFormat="1" ht="18" customHeight="1" spans="1:43">
      <c r="A129" s="368">
        <v>45842</v>
      </c>
      <c r="B129" s="369" t="s">
        <v>6441</v>
      </c>
      <c r="C129" s="370" t="s">
        <v>6142</v>
      </c>
      <c r="D129" s="370">
        <v>77731</v>
      </c>
      <c r="E129" s="370">
        <v>22908</v>
      </c>
      <c r="F129" s="371" t="s">
        <v>6311</v>
      </c>
      <c r="G129" s="370"/>
      <c r="H129" s="371"/>
      <c r="I129" s="375"/>
      <c r="J129" s="375"/>
      <c r="K129" s="375"/>
      <c r="L129" s="375"/>
      <c r="M129" s="375"/>
      <c r="N129" s="375"/>
      <c r="O129" s="375"/>
      <c r="P129" s="375"/>
      <c r="Q129" s="375"/>
      <c r="R129" s="375"/>
      <c r="S129" s="375"/>
      <c r="T129" s="375"/>
      <c r="U129" s="375"/>
      <c r="V129" s="375"/>
      <c r="W129" s="375"/>
      <c r="X129" s="375"/>
      <c r="Y129" s="375"/>
      <c r="Z129" s="375"/>
      <c r="AA129" s="375"/>
      <c r="AB129" s="375"/>
      <c r="AC129" s="375"/>
      <c r="AD129" s="375"/>
      <c r="AE129" s="375"/>
      <c r="AF129" s="375"/>
      <c r="AG129" s="375"/>
      <c r="AH129" s="375"/>
      <c r="AI129" s="375"/>
      <c r="AJ129" s="375"/>
      <c r="AK129" s="375"/>
      <c r="AL129" s="375"/>
      <c r="AM129" s="375"/>
      <c r="AN129" s="375"/>
      <c r="AO129" s="375">
        <v>22908</v>
      </c>
      <c r="AP129" s="375"/>
      <c r="AQ129" s="390" t="s">
        <v>6440</v>
      </c>
    </row>
    <row r="130" s="363" customFormat="1" ht="18" customHeight="1" spans="1:43">
      <c r="A130" s="368">
        <v>45842</v>
      </c>
      <c r="B130" s="369" t="s">
        <v>6442</v>
      </c>
      <c r="C130" s="370" t="s">
        <v>6142</v>
      </c>
      <c r="D130" s="370">
        <v>77731</v>
      </c>
      <c r="E130" s="370">
        <v>22908</v>
      </c>
      <c r="F130" s="371" t="s">
        <v>6313</v>
      </c>
      <c r="G130" s="370"/>
      <c r="H130" s="371"/>
      <c r="I130" s="375"/>
      <c r="J130" s="375"/>
      <c r="K130" s="375"/>
      <c r="L130" s="375"/>
      <c r="M130" s="375"/>
      <c r="N130" s="375"/>
      <c r="O130" s="375"/>
      <c r="P130" s="375"/>
      <c r="Q130" s="375"/>
      <c r="R130" s="375"/>
      <c r="S130" s="375"/>
      <c r="T130" s="375"/>
      <c r="U130" s="375"/>
      <c r="V130" s="375"/>
      <c r="W130" s="375"/>
      <c r="X130" s="375"/>
      <c r="Y130" s="375"/>
      <c r="Z130" s="375"/>
      <c r="AA130" s="375"/>
      <c r="AB130" s="375"/>
      <c r="AC130" s="375"/>
      <c r="AD130" s="375"/>
      <c r="AE130" s="375"/>
      <c r="AF130" s="375"/>
      <c r="AG130" s="375"/>
      <c r="AH130" s="375"/>
      <c r="AI130" s="375"/>
      <c r="AJ130" s="375"/>
      <c r="AK130" s="375"/>
      <c r="AL130" s="375"/>
      <c r="AM130" s="375"/>
      <c r="AN130" s="375"/>
      <c r="AO130" s="375"/>
      <c r="AP130" s="375">
        <v>22908</v>
      </c>
      <c r="AQ130" s="390" t="s">
        <v>6440</v>
      </c>
    </row>
    <row r="131" s="363" customFormat="1" ht="18" customHeight="1" spans="1:43">
      <c r="A131" s="368">
        <v>45842</v>
      </c>
      <c r="B131" s="369" t="s">
        <v>6443</v>
      </c>
      <c r="C131" s="370" t="s">
        <v>6142</v>
      </c>
      <c r="D131" s="370">
        <v>77731</v>
      </c>
      <c r="E131" s="370">
        <v>45816</v>
      </c>
      <c r="F131" s="371" t="s">
        <v>6326</v>
      </c>
      <c r="G131" s="370"/>
      <c r="H131" s="371"/>
      <c r="I131" s="375"/>
      <c r="J131" s="375"/>
      <c r="K131" s="375">
        <v>45816</v>
      </c>
      <c r="L131" s="375"/>
      <c r="M131" s="375"/>
      <c r="N131" s="375"/>
      <c r="O131" s="375"/>
      <c r="P131" s="375"/>
      <c r="Q131" s="375"/>
      <c r="R131" s="375"/>
      <c r="S131" s="375"/>
      <c r="T131" s="375"/>
      <c r="U131" s="375"/>
      <c r="V131" s="375"/>
      <c r="W131" s="375"/>
      <c r="X131" s="375"/>
      <c r="Y131" s="375"/>
      <c r="Z131" s="375"/>
      <c r="AA131" s="375"/>
      <c r="AB131" s="375"/>
      <c r="AC131" s="375"/>
      <c r="AD131" s="375"/>
      <c r="AE131" s="375"/>
      <c r="AF131" s="375"/>
      <c r="AG131" s="375"/>
      <c r="AH131" s="375"/>
      <c r="AI131" s="375"/>
      <c r="AJ131" s="375"/>
      <c r="AK131" s="375"/>
      <c r="AL131" s="375"/>
      <c r="AM131" s="375"/>
      <c r="AN131" s="375"/>
      <c r="AO131" s="375"/>
      <c r="AP131" s="375"/>
      <c r="AQ131" s="390" t="s">
        <v>6440</v>
      </c>
    </row>
    <row r="132" s="363" customFormat="1" ht="18" customHeight="1" spans="1:43">
      <c r="A132" s="368">
        <v>45859</v>
      </c>
      <c r="B132" s="369" t="s">
        <v>6444</v>
      </c>
      <c r="C132" s="370" t="s">
        <v>6142</v>
      </c>
      <c r="D132" s="370">
        <v>77731</v>
      </c>
      <c r="E132" s="370">
        <v>10000</v>
      </c>
      <c r="F132" s="371" t="s">
        <v>6308</v>
      </c>
      <c r="G132" s="370"/>
      <c r="H132" s="371"/>
      <c r="I132" s="375"/>
      <c r="J132" s="375"/>
      <c r="K132" s="375"/>
      <c r="L132" s="375"/>
      <c r="M132" s="375"/>
      <c r="N132" s="375"/>
      <c r="O132" s="375"/>
      <c r="P132" s="375"/>
      <c r="Q132" s="375"/>
      <c r="R132" s="375"/>
      <c r="S132" s="375"/>
      <c r="T132" s="375"/>
      <c r="U132" s="375"/>
      <c r="V132" s="375"/>
      <c r="W132" s="375"/>
      <c r="X132" s="375"/>
      <c r="Y132" s="375"/>
      <c r="Z132" s="375"/>
      <c r="AA132" s="375"/>
      <c r="AB132" s="375"/>
      <c r="AC132" s="375"/>
      <c r="AD132" s="375"/>
      <c r="AE132" s="375"/>
      <c r="AF132" s="375"/>
      <c r="AG132" s="375"/>
      <c r="AH132" s="375"/>
      <c r="AI132" s="375"/>
      <c r="AJ132" s="375"/>
      <c r="AK132" s="375"/>
      <c r="AL132" s="375"/>
      <c r="AM132" s="375"/>
      <c r="AN132" s="375">
        <v>10000</v>
      </c>
      <c r="AO132" s="375"/>
      <c r="AP132" s="375"/>
      <c r="AQ132" s="390" t="s">
        <v>6445</v>
      </c>
    </row>
    <row r="133" s="363" customFormat="1" ht="18" customHeight="1" spans="1:43">
      <c r="A133" s="368">
        <v>45859</v>
      </c>
      <c r="B133" s="369" t="s">
        <v>6446</v>
      </c>
      <c r="C133" s="370" t="s">
        <v>6142</v>
      </c>
      <c r="D133" s="370">
        <v>77731</v>
      </c>
      <c r="E133" s="370">
        <v>5000</v>
      </c>
      <c r="F133" s="371" t="s">
        <v>6311</v>
      </c>
      <c r="G133" s="370"/>
      <c r="H133" s="371"/>
      <c r="I133" s="375"/>
      <c r="J133" s="375"/>
      <c r="K133" s="375"/>
      <c r="L133" s="375"/>
      <c r="M133" s="375"/>
      <c r="N133" s="375"/>
      <c r="O133" s="375"/>
      <c r="P133" s="375"/>
      <c r="Q133" s="375"/>
      <c r="R133" s="375"/>
      <c r="S133" s="375"/>
      <c r="T133" s="375"/>
      <c r="U133" s="375"/>
      <c r="V133" s="375"/>
      <c r="W133" s="375"/>
      <c r="X133" s="375"/>
      <c r="Y133" s="375"/>
      <c r="Z133" s="375"/>
      <c r="AA133" s="375"/>
      <c r="AB133" s="375"/>
      <c r="AC133" s="375"/>
      <c r="AD133" s="375"/>
      <c r="AE133" s="375"/>
      <c r="AF133" s="375"/>
      <c r="AG133" s="375"/>
      <c r="AH133" s="375"/>
      <c r="AI133" s="375"/>
      <c r="AJ133" s="375"/>
      <c r="AK133" s="375"/>
      <c r="AL133" s="375"/>
      <c r="AM133" s="375"/>
      <c r="AN133" s="375"/>
      <c r="AO133" s="375">
        <v>5000</v>
      </c>
      <c r="AP133" s="375"/>
      <c r="AQ133" s="390" t="s">
        <v>6445</v>
      </c>
    </row>
    <row r="134" s="363" customFormat="1" ht="18" customHeight="1" spans="1:43">
      <c r="A134" s="368">
        <v>45859</v>
      </c>
      <c r="B134" s="369" t="s">
        <v>6447</v>
      </c>
      <c r="C134" s="370" t="s">
        <v>6142</v>
      </c>
      <c r="D134" s="370">
        <v>77731</v>
      </c>
      <c r="E134" s="370">
        <v>5000</v>
      </c>
      <c r="F134" s="371" t="s">
        <v>6313</v>
      </c>
      <c r="G134" s="370"/>
      <c r="H134" s="371"/>
      <c r="I134" s="375"/>
      <c r="J134" s="375"/>
      <c r="K134" s="375"/>
      <c r="L134" s="375"/>
      <c r="M134" s="375"/>
      <c r="N134" s="375"/>
      <c r="O134" s="375"/>
      <c r="P134" s="375"/>
      <c r="Q134" s="375"/>
      <c r="R134" s="375"/>
      <c r="S134" s="375"/>
      <c r="T134" s="375"/>
      <c r="U134" s="375"/>
      <c r="V134" s="375"/>
      <c r="W134" s="375"/>
      <c r="X134" s="375"/>
      <c r="Y134" s="375"/>
      <c r="Z134" s="375"/>
      <c r="AA134" s="375"/>
      <c r="AB134" s="375"/>
      <c r="AC134" s="375"/>
      <c r="AD134" s="375"/>
      <c r="AE134" s="375"/>
      <c r="AF134" s="375"/>
      <c r="AG134" s="375"/>
      <c r="AH134" s="375"/>
      <c r="AI134" s="375"/>
      <c r="AJ134" s="375"/>
      <c r="AK134" s="375"/>
      <c r="AL134" s="375"/>
      <c r="AM134" s="375"/>
      <c r="AN134" s="375"/>
      <c r="AO134" s="375"/>
      <c r="AP134" s="375">
        <v>5000</v>
      </c>
      <c r="AQ134" s="390" t="s">
        <v>6445</v>
      </c>
    </row>
    <row r="135" s="363" customFormat="1" ht="18" customHeight="1" spans="1:43">
      <c r="A135" s="368">
        <v>45867</v>
      </c>
      <c r="B135" s="369" t="s">
        <v>6174</v>
      </c>
      <c r="C135" s="370" t="s">
        <v>6142</v>
      </c>
      <c r="D135" s="370">
        <v>77785</v>
      </c>
      <c r="E135" s="370">
        <v>3312</v>
      </c>
      <c r="F135" s="371" t="s">
        <v>6130</v>
      </c>
      <c r="G135" s="370" t="s">
        <v>6088</v>
      </c>
      <c r="H135" s="371" t="s">
        <v>68</v>
      </c>
      <c r="I135" s="375"/>
      <c r="J135" s="375"/>
      <c r="K135" s="375"/>
      <c r="L135" s="375"/>
      <c r="M135" s="375"/>
      <c r="N135" s="375"/>
      <c r="O135" s="375"/>
      <c r="P135" s="375"/>
      <c r="Q135" s="375"/>
      <c r="R135" s="375"/>
      <c r="S135" s="375"/>
      <c r="T135" s="375"/>
      <c r="U135" s="375"/>
      <c r="V135" s="375"/>
      <c r="W135" s="375"/>
      <c r="X135" s="375"/>
      <c r="Y135" s="375"/>
      <c r="Z135" s="375"/>
      <c r="AA135" s="375"/>
      <c r="AB135" s="375"/>
      <c r="AC135" s="375"/>
      <c r="AD135" s="375"/>
      <c r="AE135" s="375"/>
      <c r="AF135" s="375"/>
      <c r="AG135" s="375">
        <v>3312</v>
      </c>
      <c r="AH135" s="375"/>
      <c r="AI135" s="375"/>
      <c r="AJ135" s="375"/>
      <c r="AK135" s="375"/>
      <c r="AL135" s="375"/>
      <c r="AM135" s="375"/>
      <c r="AN135" s="375"/>
      <c r="AO135" s="375"/>
      <c r="AP135" s="375"/>
      <c r="AQ135" s="390" t="s">
        <v>6176</v>
      </c>
    </row>
    <row r="136" s="363" customFormat="1" ht="18" customHeight="1" spans="1:43">
      <c r="A136" s="368">
        <v>45874</v>
      </c>
      <c r="B136" s="369" t="s">
        <v>6448</v>
      </c>
      <c r="C136" s="370" t="s">
        <v>6118</v>
      </c>
      <c r="D136" s="370" t="s">
        <v>3198</v>
      </c>
      <c r="E136" s="370">
        <v>50000</v>
      </c>
      <c r="F136" s="371" t="s">
        <v>6081</v>
      </c>
      <c r="G136" s="370" t="s">
        <v>6082</v>
      </c>
      <c r="H136" s="371" t="s">
        <v>6083</v>
      </c>
      <c r="I136" s="375">
        <v>50000</v>
      </c>
      <c r="J136" s="375"/>
      <c r="K136" s="375"/>
      <c r="L136" s="375"/>
      <c r="M136" s="375"/>
      <c r="N136" s="375"/>
      <c r="O136" s="375"/>
      <c r="P136" s="375"/>
      <c r="Q136" s="375"/>
      <c r="R136" s="375"/>
      <c r="S136" s="375"/>
      <c r="T136" s="375"/>
      <c r="U136" s="375"/>
      <c r="V136" s="375"/>
      <c r="W136" s="375"/>
      <c r="X136" s="375"/>
      <c r="Y136" s="375"/>
      <c r="Z136" s="375"/>
      <c r="AA136" s="375"/>
      <c r="AB136" s="375"/>
      <c r="AC136" s="375"/>
      <c r="AD136" s="375"/>
      <c r="AE136" s="375"/>
      <c r="AF136" s="375"/>
      <c r="AG136" s="375"/>
      <c r="AH136" s="375"/>
      <c r="AI136" s="375"/>
      <c r="AJ136" s="375"/>
      <c r="AK136" s="375"/>
      <c r="AL136" s="375"/>
      <c r="AM136" s="375"/>
      <c r="AN136" s="375"/>
      <c r="AO136" s="375"/>
      <c r="AP136" s="375"/>
      <c r="AQ136" s="390" t="s">
        <v>6274</v>
      </c>
    </row>
    <row r="137" s="363" customFormat="1" ht="18" customHeight="1" spans="1:43">
      <c r="A137" s="368">
        <v>45874</v>
      </c>
      <c r="B137" s="369" t="s">
        <v>6449</v>
      </c>
      <c r="C137" s="370" t="s">
        <v>6118</v>
      </c>
      <c r="D137" s="370" t="s">
        <v>3198</v>
      </c>
      <c r="E137" s="370">
        <v>70000</v>
      </c>
      <c r="F137" s="371" t="s">
        <v>6295</v>
      </c>
      <c r="G137" s="370" t="s">
        <v>6277</v>
      </c>
      <c r="H137" s="371" t="s">
        <v>6156</v>
      </c>
      <c r="I137" s="375"/>
      <c r="J137" s="375"/>
      <c r="K137" s="375"/>
      <c r="L137" s="375"/>
      <c r="M137" s="375"/>
      <c r="N137" s="375">
        <v>70000</v>
      </c>
      <c r="O137" s="375"/>
      <c r="P137" s="375"/>
      <c r="Q137" s="375"/>
      <c r="R137" s="375"/>
      <c r="S137" s="375"/>
      <c r="T137" s="375"/>
      <c r="U137" s="375"/>
      <c r="V137" s="375"/>
      <c r="W137" s="375"/>
      <c r="X137" s="375"/>
      <c r="Y137" s="375"/>
      <c r="Z137" s="375"/>
      <c r="AA137" s="375"/>
      <c r="AB137" s="375"/>
      <c r="AC137" s="375"/>
      <c r="AD137" s="375"/>
      <c r="AE137" s="375"/>
      <c r="AF137" s="375"/>
      <c r="AG137" s="375"/>
      <c r="AH137" s="375"/>
      <c r="AI137" s="375"/>
      <c r="AJ137" s="375"/>
      <c r="AK137" s="375"/>
      <c r="AL137" s="375"/>
      <c r="AM137" s="375"/>
      <c r="AN137" s="375"/>
      <c r="AO137" s="375"/>
      <c r="AP137" s="375"/>
      <c r="AQ137" s="390" t="s">
        <v>6412</v>
      </c>
    </row>
    <row r="138" s="363" customFormat="1" ht="18" customHeight="1" spans="1:43">
      <c r="A138" s="368">
        <v>45874</v>
      </c>
      <c r="B138" s="369" t="s">
        <v>6450</v>
      </c>
      <c r="C138" s="370" t="s">
        <v>6118</v>
      </c>
      <c r="D138" s="370" t="s">
        <v>6282</v>
      </c>
      <c r="E138" s="370">
        <v>3800</v>
      </c>
      <c r="F138" s="371" t="s">
        <v>6283</v>
      </c>
      <c r="G138" s="370" t="s">
        <v>6082</v>
      </c>
      <c r="H138" s="371" t="s">
        <v>6083</v>
      </c>
      <c r="I138" s="375"/>
      <c r="J138" s="375"/>
      <c r="K138" s="375"/>
      <c r="L138" s="375"/>
      <c r="M138" s="375"/>
      <c r="N138" s="375"/>
      <c r="O138" s="375"/>
      <c r="P138" s="375"/>
      <c r="Q138" s="375"/>
      <c r="R138" s="375"/>
      <c r="S138" s="375"/>
      <c r="T138" s="375"/>
      <c r="U138" s="375"/>
      <c r="V138" s="375"/>
      <c r="W138" s="375"/>
      <c r="X138" s="375"/>
      <c r="Y138" s="375">
        <v>3800</v>
      </c>
      <c r="Z138" s="375"/>
      <c r="AA138" s="375"/>
      <c r="AB138" s="375"/>
      <c r="AC138" s="375"/>
      <c r="AD138" s="375"/>
      <c r="AE138" s="375"/>
      <c r="AF138" s="375"/>
      <c r="AG138" s="375"/>
      <c r="AH138" s="375"/>
      <c r="AI138" s="375"/>
      <c r="AJ138" s="375"/>
      <c r="AK138" s="375"/>
      <c r="AL138" s="375"/>
      <c r="AM138" s="375"/>
      <c r="AN138" s="375"/>
      <c r="AO138" s="375"/>
      <c r="AP138" s="375"/>
      <c r="AQ138" s="390" t="s">
        <v>6280</v>
      </c>
    </row>
    <row r="139" s="363" customFormat="1" ht="18" customHeight="1" spans="1:43">
      <c r="A139" s="368">
        <v>45874</v>
      </c>
      <c r="B139" s="369" t="s">
        <v>6451</v>
      </c>
      <c r="C139" s="370" t="s">
        <v>6118</v>
      </c>
      <c r="D139" s="370" t="s">
        <v>6282</v>
      </c>
      <c r="E139" s="370">
        <v>500</v>
      </c>
      <c r="F139" s="371" t="s">
        <v>6285</v>
      </c>
      <c r="G139" s="370" t="s">
        <v>6277</v>
      </c>
      <c r="H139" s="371" t="s">
        <v>6083</v>
      </c>
      <c r="I139" s="375"/>
      <c r="J139" s="375"/>
      <c r="K139" s="375"/>
      <c r="L139" s="375"/>
      <c r="M139" s="375"/>
      <c r="N139" s="375"/>
      <c r="O139" s="375"/>
      <c r="P139" s="375"/>
      <c r="Q139" s="375"/>
      <c r="R139" s="375"/>
      <c r="S139" s="375"/>
      <c r="T139" s="375"/>
      <c r="U139" s="375"/>
      <c r="V139" s="375"/>
      <c r="W139" s="375"/>
      <c r="X139" s="375"/>
      <c r="Y139" s="375"/>
      <c r="Z139" s="375">
        <v>500</v>
      </c>
      <c r="AA139" s="375"/>
      <c r="AB139" s="375"/>
      <c r="AC139" s="375"/>
      <c r="AD139" s="375"/>
      <c r="AE139" s="375"/>
      <c r="AF139" s="375"/>
      <c r="AG139" s="375"/>
      <c r="AH139" s="375"/>
      <c r="AI139" s="375"/>
      <c r="AJ139" s="375"/>
      <c r="AK139" s="375"/>
      <c r="AL139" s="375"/>
      <c r="AM139" s="375"/>
      <c r="AN139" s="375"/>
      <c r="AO139" s="375"/>
      <c r="AP139" s="375"/>
      <c r="AQ139" s="390" t="s">
        <v>6280</v>
      </c>
    </row>
    <row r="140" s="363" customFormat="1" ht="18" customHeight="1" spans="1:43">
      <c r="A140" s="368">
        <v>45874</v>
      </c>
      <c r="B140" s="369" t="s">
        <v>6452</v>
      </c>
      <c r="C140" s="370" t="s">
        <v>6118</v>
      </c>
      <c r="D140" s="370" t="s">
        <v>3165</v>
      </c>
      <c r="E140" s="370">
        <v>40000</v>
      </c>
      <c r="F140" s="371" t="s">
        <v>6087</v>
      </c>
      <c r="G140" s="370" t="s">
        <v>6088</v>
      </c>
      <c r="H140" s="371" t="s">
        <v>6083</v>
      </c>
      <c r="I140" s="375"/>
      <c r="J140" s="375"/>
      <c r="K140" s="375"/>
      <c r="L140" s="375"/>
      <c r="M140" s="375">
        <v>40000</v>
      </c>
      <c r="N140" s="375"/>
      <c r="O140" s="375"/>
      <c r="P140" s="375"/>
      <c r="Q140" s="375"/>
      <c r="R140" s="375"/>
      <c r="S140" s="375"/>
      <c r="T140" s="375"/>
      <c r="U140" s="375"/>
      <c r="V140" s="375"/>
      <c r="W140" s="375"/>
      <c r="X140" s="375"/>
      <c r="Y140" s="375"/>
      <c r="Z140" s="375"/>
      <c r="AA140" s="375"/>
      <c r="AB140" s="375"/>
      <c r="AC140" s="375"/>
      <c r="AD140" s="375"/>
      <c r="AE140" s="375"/>
      <c r="AF140" s="375"/>
      <c r="AG140" s="375"/>
      <c r="AH140" s="375"/>
      <c r="AI140" s="375"/>
      <c r="AJ140" s="375"/>
      <c r="AK140" s="375"/>
      <c r="AL140" s="375"/>
      <c r="AM140" s="375"/>
      <c r="AN140" s="375"/>
      <c r="AO140" s="375"/>
      <c r="AP140" s="375"/>
      <c r="AQ140" s="390" t="s">
        <v>6287</v>
      </c>
    </row>
    <row r="141" s="363" customFormat="1" ht="18" customHeight="1" spans="1:43">
      <c r="A141" s="368">
        <v>45874</v>
      </c>
      <c r="B141" s="369" t="s">
        <v>6453</v>
      </c>
      <c r="C141" s="370" t="s">
        <v>6118</v>
      </c>
      <c r="D141" s="370" t="s">
        <v>3165</v>
      </c>
      <c r="E141" s="370">
        <v>2000</v>
      </c>
      <c r="F141" s="371" t="s">
        <v>6291</v>
      </c>
      <c r="G141" s="370" t="s">
        <v>6088</v>
      </c>
      <c r="H141" s="371" t="s">
        <v>6083</v>
      </c>
      <c r="I141" s="375"/>
      <c r="J141" s="375"/>
      <c r="K141" s="375"/>
      <c r="L141" s="375"/>
      <c r="M141" s="375"/>
      <c r="N141" s="375"/>
      <c r="O141" s="375"/>
      <c r="P141" s="375"/>
      <c r="Q141" s="375"/>
      <c r="R141" s="375"/>
      <c r="S141" s="375"/>
      <c r="T141" s="375"/>
      <c r="U141" s="375"/>
      <c r="V141" s="375"/>
      <c r="W141" s="375"/>
      <c r="X141" s="375"/>
      <c r="Y141" s="375"/>
      <c r="Z141" s="375"/>
      <c r="AA141" s="375">
        <v>2000</v>
      </c>
      <c r="AB141" s="375"/>
      <c r="AC141" s="375"/>
      <c r="AD141" s="375"/>
      <c r="AE141" s="375"/>
      <c r="AF141" s="375"/>
      <c r="AG141" s="375"/>
      <c r="AH141" s="375"/>
      <c r="AI141" s="375"/>
      <c r="AJ141" s="375"/>
      <c r="AK141" s="375"/>
      <c r="AL141" s="375"/>
      <c r="AM141" s="375"/>
      <c r="AN141" s="375"/>
      <c r="AO141" s="375"/>
      <c r="AP141" s="375"/>
      <c r="AQ141" s="390" t="s">
        <v>6289</v>
      </c>
    </row>
    <row r="142" s="363" customFormat="1" ht="18" customHeight="1" spans="1:43">
      <c r="A142" s="368">
        <v>45874</v>
      </c>
      <c r="B142" s="369" t="s">
        <v>6454</v>
      </c>
      <c r="C142" s="370" t="s">
        <v>6118</v>
      </c>
      <c r="D142" s="370" t="s">
        <v>3206</v>
      </c>
      <c r="E142" s="370">
        <v>2900</v>
      </c>
      <c r="F142" s="371" t="s">
        <v>6306</v>
      </c>
      <c r="G142" s="370" t="s">
        <v>6088</v>
      </c>
      <c r="H142" s="371" t="s">
        <v>6083</v>
      </c>
      <c r="I142" s="375"/>
      <c r="J142" s="375"/>
      <c r="K142" s="375"/>
      <c r="L142" s="375"/>
      <c r="M142" s="375"/>
      <c r="N142" s="375"/>
      <c r="O142" s="375"/>
      <c r="P142" s="375"/>
      <c r="Q142" s="375"/>
      <c r="R142" s="375"/>
      <c r="S142" s="375"/>
      <c r="T142" s="375"/>
      <c r="U142" s="375"/>
      <c r="V142" s="375"/>
      <c r="W142" s="375"/>
      <c r="X142" s="375">
        <v>2900</v>
      </c>
      <c r="Y142" s="375"/>
      <c r="Z142" s="375"/>
      <c r="AA142" s="375"/>
      <c r="AB142" s="375"/>
      <c r="AC142" s="375"/>
      <c r="AD142" s="375"/>
      <c r="AE142" s="375"/>
      <c r="AF142" s="375"/>
      <c r="AG142" s="375"/>
      <c r="AH142" s="375"/>
      <c r="AI142" s="375"/>
      <c r="AJ142" s="375"/>
      <c r="AK142" s="375"/>
      <c r="AL142" s="375"/>
      <c r="AM142" s="375"/>
      <c r="AN142" s="375"/>
      <c r="AO142" s="375"/>
      <c r="AP142" s="375"/>
      <c r="AQ142" s="390" t="s">
        <v>6289</v>
      </c>
    </row>
    <row r="143" s="363" customFormat="1" ht="18" customHeight="1" spans="1:43">
      <c r="A143" s="368">
        <v>45866</v>
      </c>
      <c r="B143" s="369" t="s">
        <v>6455</v>
      </c>
      <c r="C143" s="370" t="s">
        <v>6456</v>
      </c>
      <c r="D143" s="370" t="s">
        <v>6149</v>
      </c>
      <c r="E143" s="370">
        <v>20000</v>
      </c>
      <c r="F143" s="371" t="s">
        <v>6457</v>
      </c>
      <c r="G143" s="370" t="s">
        <v>68</v>
      </c>
      <c r="H143" s="371" t="s">
        <v>68</v>
      </c>
      <c r="I143" s="375"/>
      <c r="J143" s="375"/>
      <c r="K143" s="375"/>
      <c r="L143" s="375"/>
      <c r="M143" s="375"/>
      <c r="N143" s="375"/>
      <c r="O143" s="375"/>
      <c r="P143" s="375"/>
      <c r="Q143" s="375"/>
      <c r="R143" s="375">
        <v>20000</v>
      </c>
      <c r="S143" s="375"/>
      <c r="T143" s="375"/>
      <c r="U143" s="375"/>
      <c r="V143" s="375"/>
      <c r="W143" s="375"/>
      <c r="X143" s="375"/>
      <c r="Y143" s="375"/>
      <c r="Z143" s="375"/>
      <c r="AA143" s="375"/>
      <c r="AB143" s="375"/>
      <c r="AC143" s="375"/>
      <c r="AD143" s="375"/>
      <c r="AE143" s="375"/>
      <c r="AF143" s="375"/>
      <c r="AG143" s="375"/>
      <c r="AH143" s="375"/>
      <c r="AI143" s="375"/>
      <c r="AJ143" s="375"/>
      <c r="AK143" s="375"/>
      <c r="AL143" s="375"/>
      <c r="AM143" s="375"/>
      <c r="AN143" s="375"/>
      <c r="AO143" s="375"/>
      <c r="AP143" s="375"/>
      <c r="AQ143" s="390" t="s">
        <v>6458</v>
      </c>
    </row>
    <row r="144" s="363" customFormat="1" ht="18" customHeight="1" spans="1:43">
      <c r="A144" s="368">
        <v>45852</v>
      </c>
      <c r="B144" s="369" t="s">
        <v>6459</v>
      </c>
      <c r="C144" s="370" t="s">
        <v>6456</v>
      </c>
      <c r="D144" s="370" t="s">
        <v>6149</v>
      </c>
      <c r="E144" s="370">
        <v>81000</v>
      </c>
      <c r="F144" s="371" t="s">
        <v>6404</v>
      </c>
      <c r="G144" s="370" t="s">
        <v>68</v>
      </c>
      <c r="H144" s="371" t="s">
        <v>68</v>
      </c>
      <c r="I144" s="375"/>
      <c r="J144" s="375"/>
      <c r="K144" s="375"/>
      <c r="L144" s="375"/>
      <c r="M144" s="375"/>
      <c r="N144" s="375"/>
      <c r="O144" s="375"/>
      <c r="P144" s="375"/>
      <c r="Q144" s="375"/>
      <c r="R144" s="375"/>
      <c r="S144" s="375">
        <v>81000</v>
      </c>
      <c r="T144" s="375"/>
      <c r="U144" s="375"/>
      <c r="V144" s="375"/>
      <c r="W144" s="375"/>
      <c r="X144" s="375"/>
      <c r="Y144" s="375"/>
      <c r="Z144" s="375"/>
      <c r="AA144" s="375"/>
      <c r="AB144" s="375"/>
      <c r="AC144" s="375"/>
      <c r="AD144" s="375"/>
      <c r="AE144" s="375"/>
      <c r="AF144" s="375"/>
      <c r="AG144" s="375"/>
      <c r="AH144" s="375"/>
      <c r="AI144" s="375"/>
      <c r="AJ144" s="375"/>
      <c r="AK144" s="375"/>
      <c r="AL144" s="375"/>
      <c r="AM144" s="375"/>
      <c r="AN144" s="375"/>
      <c r="AO144" s="375"/>
      <c r="AP144" s="375"/>
      <c r="AQ144" s="390" t="s">
        <v>6188</v>
      </c>
    </row>
    <row r="145" s="363" customFormat="1" ht="18" customHeight="1" spans="1:43">
      <c r="A145" s="368">
        <v>45827</v>
      </c>
      <c r="B145" s="369" t="s">
        <v>6460</v>
      </c>
      <c r="C145" s="370" t="s">
        <v>6456</v>
      </c>
      <c r="D145" s="370" t="s">
        <v>6149</v>
      </c>
      <c r="E145" s="370">
        <v>145800</v>
      </c>
      <c r="F145" s="371" t="s">
        <v>6404</v>
      </c>
      <c r="G145" s="370" t="s">
        <v>68</v>
      </c>
      <c r="H145" s="371" t="s">
        <v>68</v>
      </c>
      <c r="I145" s="375"/>
      <c r="J145" s="375"/>
      <c r="K145" s="375"/>
      <c r="L145" s="375"/>
      <c r="M145" s="375"/>
      <c r="N145" s="375"/>
      <c r="O145" s="375"/>
      <c r="P145" s="375"/>
      <c r="Q145" s="375"/>
      <c r="R145" s="375"/>
      <c r="S145" s="375">
        <v>145800</v>
      </c>
      <c r="T145" s="375"/>
      <c r="U145" s="375"/>
      <c r="V145" s="375"/>
      <c r="W145" s="375"/>
      <c r="X145" s="375"/>
      <c r="Y145" s="375"/>
      <c r="Z145" s="375"/>
      <c r="AA145" s="375"/>
      <c r="AB145" s="375"/>
      <c r="AC145" s="375"/>
      <c r="AD145" s="375"/>
      <c r="AE145" s="375"/>
      <c r="AF145" s="375"/>
      <c r="AG145" s="375"/>
      <c r="AH145" s="375"/>
      <c r="AI145" s="375"/>
      <c r="AJ145" s="375"/>
      <c r="AK145" s="375"/>
      <c r="AL145" s="375"/>
      <c r="AM145" s="375"/>
      <c r="AN145" s="375"/>
      <c r="AO145" s="375"/>
      <c r="AP145" s="375"/>
      <c r="AQ145" s="390" t="s">
        <v>6196</v>
      </c>
    </row>
    <row r="146" s="363" customFormat="1" ht="18" customHeight="1" spans="1:43">
      <c r="A146" s="368">
        <v>45876</v>
      </c>
      <c r="B146" s="369" t="s">
        <v>6180</v>
      </c>
      <c r="C146" s="370" t="s">
        <v>6181</v>
      </c>
      <c r="D146" s="370">
        <v>77785</v>
      </c>
      <c r="E146" s="370">
        <v>5000</v>
      </c>
      <c r="F146" s="371" t="s">
        <v>6130</v>
      </c>
      <c r="G146" s="370" t="s">
        <v>68</v>
      </c>
      <c r="H146" s="371" t="s">
        <v>68</v>
      </c>
      <c r="I146" s="375"/>
      <c r="J146" s="375"/>
      <c r="K146" s="375"/>
      <c r="L146" s="375"/>
      <c r="M146" s="375"/>
      <c r="N146" s="375"/>
      <c r="O146" s="375"/>
      <c r="P146" s="375"/>
      <c r="Q146" s="375"/>
      <c r="R146" s="375"/>
      <c r="S146" s="375"/>
      <c r="T146" s="375"/>
      <c r="U146" s="375"/>
      <c r="V146" s="375"/>
      <c r="W146" s="375"/>
      <c r="X146" s="375"/>
      <c r="Y146" s="375"/>
      <c r="Z146" s="375"/>
      <c r="AA146" s="375"/>
      <c r="AB146" s="375"/>
      <c r="AC146" s="375"/>
      <c r="AD146" s="375"/>
      <c r="AE146" s="375"/>
      <c r="AF146" s="375"/>
      <c r="AG146" s="375">
        <v>5000</v>
      </c>
      <c r="AH146" s="375"/>
      <c r="AI146" s="375"/>
      <c r="AJ146" s="375"/>
      <c r="AK146" s="375"/>
      <c r="AL146" s="375"/>
      <c r="AM146" s="375"/>
      <c r="AN146" s="375"/>
      <c r="AO146" s="375"/>
      <c r="AP146" s="375"/>
      <c r="AQ146" s="390" t="s">
        <v>6461</v>
      </c>
    </row>
    <row r="147" s="363" customFormat="1" ht="18" customHeight="1" spans="1:43">
      <c r="A147" s="368">
        <v>45883</v>
      </c>
      <c r="B147" s="369" t="s">
        <v>6462</v>
      </c>
      <c r="C147" s="370" t="s">
        <v>6181</v>
      </c>
      <c r="D147" s="370" t="s">
        <v>6463</v>
      </c>
      <c r="E147" s="370">
        <v>1000</v>
      </c>
      <c r="F147" s="371" t="s">
        <v>6321</v>
      </c>
      <c r="G147" s="370" t="s">
        <v>68</v>
      </c>
      <c r="H147" s="371" t="s">
        <v>68</v>
      </c>
      <c r="I147" s="375"/>
      <c r="J147" s="375"/>
      <c r="K147" s="375"/>
      <c r="L147" s="375"/>
      <c r="M147" s="375"/>
      <c r="N147" s="375"/>
      <c r="O147" s="375"/>
      <c r="P147" s="375"/>
      <c r="Q147" s="375"/>
      <c r="R147" s="375"/>
      <c r="S147" s="375"/>
      <c r="T147" s="375"/>
      <c r="U147" s="375"/>
      <c r="V147" s="375"/>
      <c r="W147" s="375"/>
      <c r="X147" s="375"/>
      <c r="Y147" s="375"/>
      <c r="Z147" s="375"/>
      <c r="AA147" s="375"/>
      <c r="AB147" s="375"/>
      <c r="AC147" s="375"/>
      <c r="AD147" s="375"/>
      <c r="AE147" s="375"/>
      <c r="AF147" s="375"/>
      <c r="AG147" s="375"/>
      <c r="AH147" s="375"/>
      <c r="AI147" s="375"/>
      <c r="AJ147" s="375"/>
      <c r="AK147" s="375"/>
      <c r="AL147" s="375"/>
      <c r="AM147" s="375"/>
      <c r="AN147" s="375"/>
      <c r="AO147" s="375"/>
      <c r="AP147" s="375"/>
      <c r="AQ147" s="390" t="s">
        <v>6464</v>
      </c>
    </row>
    <row r="148" s="363" customFormat="1" ht="18" customHeight="1" spans="1:43">
      <c r="A148" s="368">
        <v>45827</v>
      </c>
      <c r="B148" s="369" t="s">
        <v>6465</v>
      </c>
      <c r="C148" s="371" t="s">
        <v>6148</v>
      </c>
      <c r="D148" s="370" t="s">
        <v>6149</v>
      </c>
      <c r="E148" s="370">
        <v>9720</v>
      </c>
      <c r="F148" s="371" t="s">
        <v>6194</v>
      </c>
      <c r="G148" s="370" t="s">
        <v>68</v>
      </c>
      <c r="H148" s="370" t="s">
        <v>68</v>
      </c>
      <c r="I148" s="375"/>
      <c r="J148" s="375"/>
      <c r="K148" s="375"/>
      <c r="L148" s="375"/>
      <c r="M148" s="375"/>
      <c r="N148" s="375"/>
      <c r="O148" s="375"/>
      <c r="P148" s="375"/>
      <c r="Q148" s="375"/>
      <c r="R148" s="375"/>
      <c r="S148" s="375"/>
      <c r="T148" s="375"/>
      <c r="U148" s="375">
        <v>9720</v>
      </c>
      <c r="V148" s="375"/>
      <c r="W148" s="375"/>
      <c r="X148" s="375"/>
      <c r="Y148" s="375"/>
      <c r="Z148" s="375"/>
      <c r="AA148" s="375"/>
      <c r="AB148" s="375"/>
      <c r="AC148" s="375"/>
      <c r="AD148" s="375"/>
      <c r="AE148" s="375"/>
      <c r="AF148" s="375"/>
      <c r="AG148" s="375"/>
      <c r="AH148" s="375"/>
      <c r="AI148" s="375"/>
      <c r="AJ148" s="375"/>
      <c r="AK148" s="375"/>
      <c r="AL148" s="375"/>
      <c r="AM148" s="375"/>
      <c r="AN148" s="375"/>
      <c r="AO148" s="375"/>
      <c r="AP148" s="375"/>
      <c r="AQ148" s="390" t="s">
        <v>6196</v>
      </c>
    </row>
    <row r="149" s="363" customFormat="1" ht="18" customHeight="1" spans="1:43">
      <c r="A149" s="368">
        <v>45827</v>
      </c>
      <c r="B149" s="369">
        <v>1000029129</v>
      </c>
      <c r="C149" s="371" t="s">
        <v>6148</v>
      </c>
      <c r="D149" s="370" t="s">
        <v>6149</v>
      </c>
      <c r="E149" s="370">
        <v>48600</v>
      </c>
      <c r="F149" s="371" t="s">
        <v>6190</v>
      </c>
      <c r="G149" s="370" t="s">
        <v>68</v>
      </c>
      <c r="H149" s="370" t="s">
        <v>68</v>
      </c>
      <c r="I149" s="375"/>
      <c r="J149" s="375"/>
      <c r="K149" s="375"/>
      <c r="L149" s="375"/>
      <c r="M149" s="375"/>
      <c r="N149" s="375"/>
      <c r="O149" s="375"/>
      <c r="P149" s="375"/>
      <c r="Q149" s="375"/>
      <c r="R149" s="375"/>
      <c r="S149" s="375"/>
      <c r="T149" s="375">
        <v>48600</v>
      </c>
      <c r="U149" s="375"/>
      <c r="V149" s="375"/>
      <c r="W149" s="375"/>
      <c r="X149" s="375"/>
      <c r="Y149" s="375"/>
      <c r="Z149" s="375"/>
      <c r="AA149" s="375"/>
      <c r="AB149" s="375"/>
      <c r="AC149" s="375"/>
      <c r="AD149" s="375"/>
      <c r="AE149" s="375"/>
      <c r="AF149" s="375"/>
      <c r="AG149" s="375"/>
      <c r="AH149" s="375"/>
      <c r="AI149" s="375"/>
      <c r="AJ149" s="375"/>
      <c r="AK149" s="375"/>
      <c r="AL149" s="375"/>
      <c r="AM149" s="375"/>
      <c r="AN149" s="375"/>
      <c r="AO149" s="375"/>
      <c r="AP149" s="375"/>
      <c r="AQ149" s="390" t="s">
        <v>6466</v>
      </c>
    </row>
    <row r="150" s="363" customFormat="1" ht="18" customHeight="1" spans="1:43">
      <c r="A150" s="368">
        <v>45852</v>
      </c>
      <c r="B150" s="369">
        <v>1000030016</v>
      </c>
      <c r="C150" s="371" t="s">
        <v>6148</v>
      </c>
      <c r="D150" s="370" t="s">
        <v>6149</v>
      </c>
      <c r="E150" s="370">
        <v>27000</v>
      </c>
      <c r="F150" s="371" t="s">
        <v>6190</v>
      </c>
      <c r="G150" s="370" t="s">
        <v>68</v>
      </c>
      <c r="H150" s="370" t="s">
        <v>68</v>
      </c>
      <c r="I150" s="375"/>
      <c r="J150" s="375"/>
      <c r="K150" s="375"/>
      <c r="L150" s="375"/>
      <c r="M150" s="375"/>
      <c r="N150" s="375"/>
      <c r="O150" s="375"/>
      <c r="P150" s="375"/>
      <c r="Q150" s="375"/>
      <c r="R150" s="375"/>
      <c r="S150" s="375"/>
      <c r="T150" s="375">
        <v>27000</v>
      </c>
      <c r="U150" s="375"/>
      <c r="V150" s="375"/>
      <c r="W150" s="375"/>
      <c r="X150" s="375"/>
      <c r="Y150" s="375"/>
      <c r="Z150" s="375"/>
      <c r="AA150" s="375"/>
      <c r="AB150" s="375"/>
      <c r="AC150" s="375"/>
      <c r="AD150" s="375"/>
      <c r="AE150" s="375"/>
      <c r="AF150" s="375"/>
      <c r="AG150" s="375"/>
      <c r="AH150" s="375"/>
      <c r="AI150" s="375"/>
      <c r="AJ150" s="375"/>
      <c r="AK150" s="375"/>
      <c r="AL150" s="375"/>
      <c r="AM150" s="375"/>
      <c r="AN150" s="375"/>
      <c r="AO150" s="375"/>
      <c r="AP150" s="375"/>
      <c r="AQ150" s="390" t="s">
        <v>6467</v>
      </c>
    </row>
    <row r="151" s="363" customFormat="1" ht="18" customHeight="1" spans="1:43">
      <c r="A151" s="368">
        <v>45852</v>
      </c>
      <c r="B151" s="369" t="s">
        <v>6193</v>
      </c>
      <c r="C151" s="371" t="s">
        <v>6148</v>
      </c>
      <c r="D151" s="370" t="s">
        <v>6149</v>
      </c>
      <c r="E151" s="370">
        <v>5400</v>
      </c>
      <c r="F151" s="371" t="s">
        <v>6194</v>
      </c>
      <c r="G151" s="370" t="s">
        <v>68</v>
      </c>
      <c r="H151" s="370" t="s">
        <v>68</v>
      </c>
      <c r="I151" s="375"/>
      <c r="J151" s="375"/>
      <c r="K151" s="375"/>
      <c r="L151" s="375"/>
      <c r="M151" s="375"/>
      <c r="N151" s="375"/>
      <c r="O151" s="375"/>
      <c r="P151" s="375"/>
      <c r="Q151" s="375"/>
      <c r="R151" s="375"/>
      <c r="S151" s="375"/>
      <c r="T151" s="375"/>
      <c r="U151" s="375">
        <v>5400</v>
      </c>
      <c r="V151" s="375"/>
      <c r="W151" s="375"/>
      <c r="X151" s="375"/>
      <c r="Y151" s="375"/>
      <c r="Z151" s="375"/>
      <c r="AA151" s="375"/>
      <c r="AB151" s="375"/>
      <c r="AC151" s="375"/>
      <c r="AD151" s="375"/>
      <c r="AE151" s="375"/>
      <c r="AF151" s="375"/>
      <c r="AG151" s="375"/>
      <c r="AH151" s="375"/>
      <c r="AI151" s="375"/>
      <c r="AJ151" s="375"/>
      <c r="AK151" s="375"/>
      <c r="AL151" s="375"/>
      <c r="AM151" s="375"/>
      <c r="AN151" s="375"/>
      <c r="AO151" s="375"/>
      <c r="AP151" s="375"/>
      <c r="AQ151" s="390" t="s">
        <v>6188</v>
      </c>
    </row>
    <row r="152" s="363" customFormat="1" ht="18" customHeight="1" spans="1:43">
      <c r="A152" s="368">
        <v>45888</v>
      </c>
      <c r="B152" s="369">
        <v>1000031538</v>
      </c>
      <c r="C152" s="370" t="s">
        <v>6198</v>
      </c>
      <c r="D152" s="370" t="s">
        <v>3198</v>
      </c>
      <c r="E152" s="370">
        <v>150000</v>
      </c>
      <c r="F152" s="371" t="s">
        <v>6081</v>
      </c>
      <c r="G152" s="370" t="s">
        <v>6082</v>
      </c>
      <c r="H152" s="371" t="s">
        <v>6083</v>
      </c>
      <c r="I152" s="375">
        <v>150000</v>
      </c>
      <c r="J152" s="375"/>
      <c r="K152" s="375"/>
      <c r="L152" s="375"/>
      <c r="M152" s="375"/>
      <c r="N152" s="375"/>
      <c r="O152" s="375"/>
      <c r="P152" s="375"/>
      <c r="Q152" s="375"/>
      <c r="R152" s="375"/>
      <c r="S152" s="375"/>
      <c r="T152" s="375"/>
      <c r="U152" s="375"/>
      <c r="V152" s="375"/>
      <c r="W152" s="375"/>
      <c r="X152" s="375"/>
      <c r="Y152" s="375"/>
      <c r="Z152" s="375"/>
      <c r="AA152" s="375"/>
      <c r="AB152" s="375"/>
      <c r="AC152" s="375"/>
      <c r="AD152" s="375"/>
      <c r="AE152" s="375"/>
      <c r="AF152" s="375"/>
      <c r="AG152" s="375"/>
      <c r="AH152" s="375"/>
      <c r="AI152" s="375"/>
      <c r="AJ152" s="375"/>
      <c r="AK152" s="375"/>
      <c r="AL152" s="375"/>
      <c r="AM152" s="375"/>
      <c r="AN152" s="375"/>
      <c r="AO152" s="375"/>
      <c r="AP152" s="375"/>
      <c r="AQ152" s="390" t="s">
        <v>6274</v>
      </c>
    </row>
    <row r="153" s="363" customFormat="1" ht="18" customHeight="1" spans="1:43">
      <c r="A153" s="368">
        <v>45888</v>
      </c>
      <c r="B153" s="369">
        <v>1000031539</v>
      </c>
      <c r="C153" s="370" t="s">
        <v>6198</v>
      </c>
      <c r="D153" s="370" t="s">
        <v>3198</v>
      </c>
      <c r="E153" s="370">
        <v>200000</v>
      </c>
      <c r="F153" s="371" t="s">
        <v>6295</v>
      </c>
      <c r="G153" s="370" t="s">
        <v>6277</v>
      </c>
      <c r="H153" s="371" t="s">
        <v>6156</v>
      </c>
      <c r="I153" s="375"/>
      <c r="J153" s="375"/>
      <c r="K153" s="375"/>
      <c r="L153" s="375"/>
      <c r="M153" s="375"/>
      <c r="N153" s="375">
        <v>200000</v>
      </c>
      <c r="O153" s="375"/>
      <c r="P153" s="375"/>
      <c r="Q153" s="375"/>
      <c r="R153" s="375"/>
      <c r="S153" s="375"/>
      <c r="T153" s="375"/>
      <c r="U153" s="375"/>
      <c r="V153" s="375"/>
      <c r="W153" s="375"/>
      <c r="X153" s="375"/>
      <c r="Y153" s="375"/>
      <c r="Z153" s="375"/>
      <c r="AA153" s="375"/>
      <c r="AB153" s="375"/>
      <c r="AC153" s="375"/>
      <c r="AD153" s="375"/>
      <c r="AE153" s="375"/>
      <c r="AF153" s="375"/>
      <c r="AG153" s="375"/>
      <c r="AH153" s="375"/>
      <c r="AI153" s="375"/>
      <c r="AJ153" s="375"/>
      <c r="AK153" s="375"/>
      <c r="AL153" s="375"/>
      <c r="AM153" s="375"/>
      <c r="AN153" s="375"/>
      <c r="AO153" s="375"/>
      <c r="AP153" s="375"/>
      <c r="AQ153" s="390" t="s">
        <v>6412</v>
      </c>
    </row>
    <row r="154" s="363" customFormat="1" ht="18" customHeight="1" spans="1:43">
      <c r="A154" s="368">
        <v>45888</v>
      </c>
      <c r="B154" s="369">
        <v>1000031540</v>
      </c>
      <c r="C154" s="370" t="s">
        <v>6198</v>
      </c>
      <c r="D154" s="370" t="s">
        <v>6282</v>
      </c>
      <c r="E154" s="370">
        <v>6500</v>
      </c>
      <c r="F154" s="371" t="s">
        <v>6283</v>
      </c>
      <c r="G154" s="370" t="s">
        <v>6082</v>
      </c>
      <c r="H154" s="371" t="s">
        <v>6083</v>
      </c>
      <c r="I154" s="375"/>
      <c r="J154" s="375"/>
      <c r="K154" s="375"/>
      <c r="L154" s="375"/>
      <c r="M154" s="375"/>
      <c r="N154" s="375"/>
      <c r="O154" s="375"/>
      <c r="P154" s="375"/>
      <c r="Q154" s="375"/>
      <c r="R154" s="375"/>
      <c r="S154" s="375"/>
      <c r="T154" s="375"/>
      <c r="U154" s="375"/>
      <c r="V154" s="375"/>
      <c r="W154" s="375"/>
      <c r="X154" s="375"/>
      <c r="Y154" s="375">
        <v>6500</v>
      </c>
      <c r="Z154" s="375"/>
      <c r="AA154" s="375"/>
      <c r="AB154" s="375"/>
      <c r="AC154" s="375"/>
      <c r="AD154" s="375"/>
      <c r="AE154" s="375"/>
      <c r="AF154" s="375"/>
      <c r="AG154" s="375"/>
      <c r="AH154" s="375"/>
      <c r="AI154" s="375"/>
      <c r="AJ154" s="375"/>
      <c r="AK154" s="375"/>
      <c r="AL154" s="375"/>
      <c r="AM154" s="375"/>
      <c r="AN154" s="375"/>
      <c r="AO154" s="375"/>
      <c r="AP154" s="375"/>
      <c r="AQ154" s="390" t="s">
        <v>6280</v>
      </c>
    </row>
    <row r="155" s="363" customFormat="1" ht="18" customHeight="1" spans="1:43">
      <c r="A155" s="368">
        <v>45888</v>
      </c>
      <c r="B155" s="369">
        <v>1000031544</v>
      </c>
      <c r="C155" s="370" t="s">
        <v>6198</v>
      </c>
      <c r="D155" s="370" t="s">
        <v>3165</v>
      </c>
      <c r="E155" s="370">
        <v>500</v>
      </c>
      <c r="F155" s="371" t="s">
        <v>6291</v>
      </c>
      <c r="G155" s="370" t="s">
        <v>6088</v>
      </c>
      <c r="H155" s="371" t="s">
        <v>6083</v>
      </c>
      <c r="I155" s="375"/>
      <c r="J155" s="375"/>
      <c r="K155" s="375"/>
      <c r="L155" s="375"/>
      <c r="M155" s="375"/>
      <c r="N155" s="375"/>
      <c r="O155" s="375"/>
      <c r="P155" s="375"/>
      <c r="Q155" s="375"/>
      <c r="R155" s="375"/>
      <c r="S155" s="375"/>
      <c r="T155" s="375"/>
      <c r="U155" s="375"/>
      <c r="V155" s="375"/>
      <c r="W155" s="375"/>
      <c r="X155" s="375"/>
      <c r="Y155" s="375"/>
      <c r="Z155" s="375"/>
      <c r="AA155" s="375">
        <v>500</v>
      </c>
      <c r="AB155" s="375"/>
      <c r="AC155" s="375"/>
      <c r="AD155" s="375"/>
      <c r="AE155" s="375"/>
      <c r="AF155" s="375"/>
      <c r="AG155" s="375"/>
      <c r="AH155" s="375"/>
      <c r="AI155" s="375"/>
      <c r="AJ155" s="375"/>
      <c r="AK155" s="375"/>
      <c r="AL155" s="375"/>
      <c r="AM155" s="375"/>
      <c r="AN155" s="375"/>
      <c r="AO155" s="375"/>
      <c r="AP155" s="375"/>
      <c r="AQ155" s="390" t="s">
        <v>6289</v>
      </c>
    </row>
    <row r="156" s="363" customFormat="1" ht="18" customHeight="1" spans="1:43">
      <c r="A156" s="368">
        <v>45888</v>
      </c>
      <c r="B156" s="369">
        <v>1000031545</v>
      </c>
      <c r="C156" s="370" t="s">
        <v>6198</v>
      </c>
      <c r="D156" s="370" t="s">
        <v>3206</v>
      </c>
      <c r="E156" s="370">
        <v>1500</v>
      </c>
      <c r="F156" s="371" t="s">
        <v>6306</v>
      </c>
      <c r="G156" s="370" t="s">
        <v>6088</v>
      </c>
      <c r="H156" s="371" t="s">
        <v>6083</v>
      </c>
      <c r="I156" s="375"/>
      <c r="J156" s="375"/>
      <c r="K156" s="375"/>
      <c r="L156" s="375"/>
      <c r="M156" s="375"/>
      <c r="N156" s="375"/>
      <c r="O156" s="375"/>
      <c r="P156" s="375"/>
      <c r="Q156" s="375"/>
      <c r="R156" s="375"/>
      <c r="S156" s="375"/>
      <c r="T156" s="375"/>
      <c r="U156" s="375"/>
      <c r="V156" s="375"/>
      <c r="W156" s="375"/>
      <c r="X156" s="375">
        <v>1500</v>
      </c>
      <c r="Y156" s="375"/>
      <c r="Z156" s="375"/>
      <c r="AA156" s="375"/>
      <c r="AB156" s="375"/>
      <c r="AC156" s="375"/>
      <c r="AD156" s="375"/>
      <c r="AE156" s="375"/>
      <c r="AF156" s="375"/>
      <c r="AG156" s="375"/>
      <c r="AH156" s="375"/>
      <c r="AI156" s="375"/>
      <c r="AJ156" s="375"/>
      <c r="AK156" s="375"/>
      <c r="AL156" s="375"/>
      <c r="AM156" s="375"/>
      <c r="AN156" s="375"/>
      <c r="AO156" s="375"/>
      <c r="AP156" s="375"/>
      <c r="AQ156" s="390" t="s">
        <v>6289</v>
      </c>
    </row>
    <row r="157" s="363" customFormat="1" ht="18" customHeight="1" spans="1:43">
      <c r="A157" s="368">
        <v>45897</v>
      </c>
      <c r="B157" s="369" t="s">
        <v>6468</v>
      </c>
      <c r="C157" s="370" t="s">
        <v>6129</v>
      </c>
      <c r="D157" s="370" t="s">
        <v>6320</v>
      </c>
      <c r="E157" s="370">
        <v>7491</v>
      </c>
      <c r="F157" s="371" t="s">
        <v>6321</v>
      </c>
      <c r="G157" s="370" t="s">
        <v>68</v>
      </c>
      <c r="H157" s="371" t="s">
        <v>6083</v>
      </c>
      <c r="I157" s="375"/>
      <c r="J157" s="375"/>
      <c r="K157" s="375"/>
      <c r="L157" s="375"/>
      <c r="M157" s="375"/>
      <c r="N157" s="375"/>
      <c r="O157" s="375"/>
      <c r="P157" s="375"/>
      <c r="Q157" s="375"/>
      <c r="R157" s="375"/>
      <c r="S157" s="375"/>
      <c r="T157" s="375"/>
      <c r="U157" s="375"/>
      <c r="V157" s="375"/>
      <c r="W157" s="375"/>
      <c r="X157" s="375"/>
      <c r="Y157" s="375"/>
      <c r="Z157" s="375"/>
      <c r="AA157" s="375"/>
      <c r="AB157" s="375">
        <v>7491</v>
      </c>
      <c r="AC157" s="375"/>
      <c r="AD157" s="375"/>
      <c r="AE157" s="375"/>
      <c r="AF157" s="375"/>
      <c r="AG157" s="375"/>
      <c r="AH157" s="375"/>
      <c r="AI157" s="375"/>
      <c r="AJ157" s="375"/>
      <c r="AK157" s="375"/>
      <c r="AL157" s="375"/>
      <c r="AM157" s="375"/>
      <c r="AN157" s="375"/>
      <c r="AO157" s="375"/>
      <c r="AP157" s="375"/>
      <c r="AQ157" s="390" t="s">
        <v>6469</v>
      </c>
    </row>
    <row r="158" s="363" customFormat="1" ht="18" customHeight="1" spans="1:43">
      <c r="A158" s="368">
        <v>45897</v>
      </c>
      <c r="B158" s="369" t="s">
        <v>6470</v>
      </c>
      <c r="C158" s="370" t="s">
        <v>6129</v>
      </c>
      <c r="D158" s="370" t="s">
        <v>6320</v>
      </c>
      <c r="E158" s="370">
        <v>2687</v>
      </c>
      <c r="F158" s="371" t="s">
        <v>6321</v>
      </c>
      <c r="G158" s="370" t="s">
        <v>68</v>
      </c>
      <c r="H158" s="371" t="s">
        <v>6083</v>
      </c>
      <c r="I158" s="375"/>
      <c r="J158" s="375"/>
      <c r="K158" s="375"/>
      <c r="L158" s="375"/>
      <c r="M158" s="375"/>
      <c r="N158" s="375"/>
      <c r="O158" s="375"/>
      <c r="P158" s="375"/>
      <c r="Q158" s="375"/>
      <c r="R158" s="375"/>
      <c r="S158" s="375"/>
      <c r="T158" s="375"/>
      <c r="U158" s="375"/>
      <c r="V158" s="375"/>
      <c r="W158" s="375"/>
      <c r="X158" s="375"/>
      <c r="Y158" s="375"/>
      <c r="Z158" s="375"/>
      <c r="AA158" s="375"/>
      <c r="AB158" s="375">
        <v>2687</v>
      </c>
      <c r="AC158" s="375"/>
      <c r="AD158" s="375"/>
      <c r="AE158" s="375"/>
      <c r="AF158" s="375"/>
      <c r="AG158" s="375"/>
      <c r="AH158" s="375"/>
      <c r="AI158" s="375"/>
      <c r="AJ158" s="375"/>
      <c r="AK158" s="375"/>
      <c r="AL158" s="375"/>
      <c r="AM158" s="375"/>
      <c r="AN158" s="375"/>
      <c r="AO158" s="375"/>
      <c r="AP158" s="375"/>
      <c r="AQ158" s="390" t="s">
        <v>6469</v>
      </c>
    </row>
    <row r="159" s="364" customFormat="1" ht="18" customHeight="1" spans="1:43">
      <c r="A159" s="391">
        <v>45902</v>
      </c>
      <c r="B159" s="392" t="s">
        <v>6199</v>
      </c>
      <c r="C159" s="393" t="s">
        <v>6181</v>
      </c>
      <c r="D159" s="393">
        <v>77785</v>
      </c>
      <c r="E159" s="393">
        <v>12000</v>
      </c>
      <c r="F159" s="394" t="s">
        <v>6130</v>
      </c>
      <c r="G159" s="393" t="s">
        <v>68</v>
      </c>
      <c r="H159" s="394" t="s">
        <v>68</v>
      </c>
      <c r="I159" s="395"/>
      <c r="J159" s="395"/>
      <c r="K159" s="395"/>
      <c r="L159" s="395"/>
      <c r="M159" s="395"/>
      <c r="N159" s="395"/>
      <c r="O159" s="395"/>
      <c r="P159" s="375"/>
      <c r="Q159" s="395"/>
      <c r="R159" s="395"/>
      <c r="S159" s="395"/>
      <c r="T159" s="395"/>
      <c r="U159" s="395"/>
      <c r="V159" s="395"/>
      <c r="W159" s="395"/>
      <c r="X159" s="395"/>
      <c r="Y159" s="395"/>
      <c r="Z159" s="395"/>
      <c r="AA159" s="395"/>
      <c r="AB159" s="395"/>
      <c r="AC159" s="395"/>
      <c r="AD159" s="395"/>
      <c r="AE159" s="395"/>
      <c r="AF159" s="395"/>
      <c r="AG159" s="395">
        <v>12000</v>
      </c>
      <c r="AH159" s="395"/>
      <c r="AI159" s="395"/>
      <c r="AJ159" s="395"/>
      <c r="AK159" s="395"/>
      <c r="AL159" s="395"/>
      <c r="AM159" s="395"/>
      <c r="AN159" s="395"/>
      <c r="AO159" s="395"/>
      <c r="AP159" s="395"/>
      <c r="AQ159" s="396" t="s">
        <v>6200</v>
      </c>
    </row>
    <row r="160" s="363" customFormat="1" ht="18" customHeight="1" spans="1:43">
      <c r="A160" s="368">
        <v>45904</v>
      </c>
      <c r="B160" s="369" t="s">
        <v>6471</v>
      </c>
      <c r="C160" s="370" t="s">
        <v>6129</v>
      </c>
      <c r="D160" s="370" t="s">
        <v>6320</v>
      </c>
      <c r="E160" s="370">
        <v>3971</v>
      </c>
      <c r="F160" s="371" t="s">
        <v>6321</v>
      </c>
      <c r="G160" s="370" t="s">
        <v>68</v>
      </c>
      <c r="H160" s="371" t="s">
        <v>6083</v>
      </c>
      <c r="I160" s="375"/>
      <c r="J160" s="375"/>
      <c r="K160" s="375"/>
      <c r="L160" s="375"/>
      <c r="M160" s="375"/>
      <c r="N160" s="375"/>
      <c r="O160" s="375"/>
      <c r="P160" s="375"/>
      <c r="Q160" s="375"/>
      <c r="R160" s="375"/>
      <c r="S160" s="375"/>
      <c r="T160" s="375"/>
      <c r="U160" s="375"/>
      <c r="V160" s="375"/>
      <c r="W160" s="375"/>
      <c r="X160" s="375"/>
      <c r="Y160" s="375"/>
      <c r="Z160" s="375"/>
      <c r="AA160" s="375"/>
      <c r="AB160" s="370">
        <v>3971</v>
      </c>
      <c r="AC160" s="375"/>
      <c r="AD160" s="375"/>
      <c r="AE160" s="375"/>
      <c r="AF160" s="375"/>
      <c r="AG160" s="375"/>
      <c r="AH160" s="375"/>
      <c r="AI160" s="375"/>
      <c r="AJ160" s="375"/>
      <c r="AK160" s="375"/>
      <c r="AL160" s="375"/>
      <c r="AM160" s="375"/>
      <c r="AN160" s="375"/>
      <c r="AO160" s="375"/>
      <c r="AP160" s="375"/>
      <c r="AQ160" s="390"/>
    </row>
    <row r="161" s="363" customFormat="1" ht="18" customHeight="1" spans="1:43">
      <c r="A161" s="368">
        <v>45910</v>
      </c>
      <c r="B161" s="369">
        <v>1000031583</v>
      </c>
      <c r="C161" s="370" t="s">
        <v>6118</v>
      </c>
      <c r="D161" s="370" t="s">
        <v>3198</v>
      </c>
      <c r="E161" s="370">
        <v>200000</v>
      </c>
      <c r="F161" s="371" t="s">
        <v>6081</v>
      </c>
      <c r="G161" s="370" t="s">
        <v>6082</v>
      </c>
      <c r="H161" s="371" t="s">
        <v>6083</v>
      </c>
      <c r="I161" s="375">
        <v>200000</v>
      </c>
      <c r="J161" s="375"/>
      <c r="K161" s="375"/>
      <c r="L161" s="375"/>
      <c r="M161" s="375"/>
      <c r="N161" s="375"/>
      <c r="O161" s="375"/>
      <c r="P161" s="375"/>
      <c r="Q161" s="375"/>
      <c r="R161" s="375"/>
      <c r="S161" s="375"/>
      <c r="T161" s="375"/>
      <c r="U161" s="375"/>
      <c r="V161" s="375"/>
      <c r="W161" s="375"/>
      <c r="X161" s="375"/>
      <c r="Y161" s="375"/>
      <c r="Z161" s="375"/>
      <c r="AA161" s="375"/>
      <c r="AB161" s="370"/>
      <c r="AC161" s="375"/>
      <c r="AD161" s="375"/>
      <c r="AE161" s="375"/>
      <c r="AF161" s="375"/>
      <c r="AG161" s="375"/>
      <c r="AH161" s="375"/>
      <c r="AI161" s="375"/>
      <c r="AJ161" s="375"/>
      <c r="AK161" s="375"/>
      <c r="AL161" s="375"/>
      <c r="AM161" s="375"/>
      <c r="AN161" s="375"/>
      <c r="AO161" s="375"/>
      <c r="AP161" s="375"/>
      <c r="AQ161" s="390" t="s">
        <v>6274</v>
      </c>
    </row>
    <row r="162" s="363" customFormat="1" ht="18" customHeight="1" spans="1:43">
      <c r="A162" s="368">
        <v>45897</v>
      </c>
      <c r="B162" s="369">
        <v>1000031584</v>
      </c>
      <c r="C162" s="370" t="s">
        <v>6118</v>
      </c>
      <c r="D162" s="370" t="s">
        <v>3198</v>
      </c>
      <c r="E162" s="370">
        <v>30000</v>
      </c>
      <c r="F162" s="371" t="s">
        <v>6276</v>
      </c>
      <c r="G162" s="370" t="s">
        <v>6277</v>
      </c>
      <c r="H162" s="371" t="s">
        <v>6083</v>
      </c>
      <c r="I162" s="375"/>
      <c r="J162" s="375">
        <v>30000</v>
      </c>
      <c r="K162" s="375"/>
      <c r="L162" s="375"/>
      <c r="M162" s="375"/>
      <c r="N162" s="375"/>
      <c r="O162" s="375"/>
      <c r="P162" s="375"/>
      <c r="Q162" s="375"/>
      <c r="R162" s="375"/>
      <c r="S162" s="375"/>
      <c r="T162" s="375"/>
      <c r="U162" s="375"/>
      <c r="V162" s="375"/>
      <c r="W162" s="375"/>
      <c r="X162" s="375"/>
      <c r="Y162" s="375"/>
      <c r="Z162" s="375"/>
      <c r="AA162" s="375"/>
      <c r="AB162" s="370"/>
      <c r="AC162" s="375"/>
      <c r="AD162" s="375"/>
      <c r="AE162" s="375"/>
      <c r="AF162" s="375"/>
      <c r="AG162" s="375"/>
      <c r="AH162" s="375"/>
      <c r="AI162" s="375"/>
      <c r="AJ162" s="375"/>
      <c r="AK162" s="375"/>
      <c r="AL162" s="375"/>
      <c r="AM162" s="375"/>
      <c r="AN162" s="375"/>
      <c r="AO162" s="375"/>
      <c r="AP162" s="375"/>
      <c r="AQ162" s="390" t="s">
        <v>6274</v>
      </c>
    </row>
    <row r="163" s="363" customFormat="1" ht="18" customHeight="1" spans="1:43">
      <c r="A163" s="368">
        <v>45897</v>
      </c>
      <c r="B163" s="369">
        <v>1000031585</v>
      </c>
      <c r="C163" s="370" t="s">
        <v>6118</v>
      </c>
      <c r="D163" s="370" t="s">
        <v>3198</v>
      </c>
      <c r="E163" s="370">
        <v>300000</v>
      </c>
      <c r="F163" s="371" t="s">
        <v>6295</v>
      </c>
      <c r="G163" s="370" t="s">
        <v>6277</v>
      </c>
      <c r="H163" s="371" t="s">
        <v>6156</v>
      </c>
      <c r="I163" s="375"/>
      <c r="J163" s="375"/>
      <c r="K163" s="375"/>
      <c r="L163" s="375"/>
      <c r="M163" s="375"/>
      <c r="N163" s="375">
        <v>300000</v>
      </c>
      <c r="O163" s="375"/>
      <c r="P163" s="375"/>
      <c r="Q163" s="375"/>
      <c r="R163" s="375"/>
      <c r="S163" s="375"/>
      <c r="T163" s="375"/>
      <c r="U163" s="375"/>
      <c r="V163" s="375"/>
      <c r="W163" s="375"/>
      <c r="X163" s="375"/>
      <c r="Y163" s="375"/>
      <c r="Z163" s="375"/>
      <c r="AA163" s="375"/>
      <c r="AB163" s="370"/>
      <c r="AC163" s="375"/>
      <c r="AD163" s="375"/>
      <c r="AE163" s="375"/>
      <c r="AF163" s="375"/>
      <c r="AG163" s="375"/>
      <c r="AH163" s="375"/>
      <c r="AI163" s="375"/>
      <c r="AJ163" s="375"/>
      <c r="AK163" s="375"/>
      <c r="AL163" s="375"/>
      <c r="AM163" s="375"/>
      <c r="AN163" s="375"/>
      <c r="AO163" s="375"/>
      <c r="AP163" s="375"/>
      <c r="AQ163" s="390" t="s">
        <v>6412</v>
      </c>
    </row>
    <row r="164" s="363" customFormat="1" ht="18" customHeight="1" spans="1:43">
      <c r="A164" s="368">
        <v>45897</v>
      </c>
      <c r="B164" s="369">
        <v>1000031586</v>
      </c>
      <c r="C164" s="370" t="s">
        <v>6118</v>
      </c>
      <c r="D164" s="370" t="s">
        <v>6282</v>
      </c>
      <c r="E164" s="370">
        <v>1000</v>
      </c>
      <c r="F164" s="371" t="s">
        <v>6283</v>
      </c>
      <c r="G164" s="370" t="s">
        <v>6082</v>
      </c>
      <c r="H164" s="371" t="s">
        <v>6083</v>
      </c>
      <c r="I164" s="375"/>
      <c r="J164" s="375"/>
      <c r="K164" s="375"/>
      <c r="L164" s="375"/>
      <c r="M164" s="375"/>
      <c r="N164" s="375"/>
      <c r="O164" s="375"/>
      <c r="P164" s="375"/>
      <c r="Q164" s="375"/>
      <c r="R164" s="375"/>
      <c r="S164" s="375"/>
      <c r="T164" s="375"/>
      <c r="U164" s="375"/>
      <c r="V164" s="375"/>
      <c r="W164" s="375"/>
      <c r="X164" s="375"/>
      <c r="Y164" s="375">
        <v>1000</v>
      </c>
      <c r="Z164" s="375"/>
      <c r="AA164" s="375"/>
      <c r="AB164" s="370"/>
      <c r="AC164" s="375"/>
      <c r="AD164" s="375"/>
      <c r="AE164" s="375"/>
      <c r="AF164" s="375"/>
      <c r="AG164" s="375"/>
      <c r="AH164" s="375"/>
      <c r="AI164" s="375"/>
      <c r="AJ164" s="375"/>
      <c r="AK164" s="375"/>
      <c r="AL164" s="375"/>
      <c r="AM164" s="375"/>
      <c r="AN164" s="375"/>
      <c r="AO164" s="375"/>
      <c r="AP164" s="375"/>
      <c r="AQ164" s="390" t="s">
        <v>6280</v>
      </c>
    </row>
    <row r="165" s="363" customFormat="1" ht="18" customHeight="1" spans="1:43">
      <c r="A165" s="368">
        <v>45897</v>
      </c>
      <c r="B165" s="369">
        <v>1000031587</v>
      </c>
      <c r="C165" s="370" t="s">
        <v>6118</v>
      </c>
      <c r="D165" s="370" t="s">
        <v>6282</v>
      </c>
      <c r="E165" s="370">
        <v>1500</v>
      </c>
      <c r="F165" s="371" t="s">
        <v>6285</v>
      </c>
      <c r="G165" s="370" t="s">
        <v>6277</v>
      </c>
      <c r="H165" s="371" t="s">
        <v>6083</v>
      </c>
      <c r="I165" s="375"/>
      <c r="J165" s="375"/>
      <c r="K165" s="375"/>
      <c r="L165" s="375"/>
      <c r="M165" s="375"/>
      <c r="N165" s="375"/>
      <c r="O165" s="375"/>
      <c r="P165" s="375"/>
      <c r="Q165" s="375"/>
      <c r="R165" s="375"/>
      <c r="S165" s="375"/>
      <c r="T165" s="375"/>
      <c r="U165" s="375"/>
      <c r="V165" s="375"/>
      <c r="W165" s="375"/>
      <c r="X165" s="375"/>
      <c r="Y165" s="375"/>
      <c r="Z165" s="375">
        <v>1500</v>
      </c>
      <c r="AA165" s="375"/>
      <c r="AB165" s="370"/>
      <c r="AC165" s="375"/>
      <c r="AD165" s="375"/>
      <c r="AE165" s="375"/>
      <c r="AF165" s="375"/>
      <c r="AG165" s="375"/>
      <c r="AH165" s="375"/>
      <c r="AI165" s="375"/>
      <c r="AJ165" s="375"/>
      <c r="AK165" s="375"/>
      <c r="AL165" s="375"/>
      <c r="AM165" s="375"/>
      <c r="AN165" s="375"/>
      <c r="AO165" s="375"/>
      <c r="AP165" s="375"/>
      <c r="AQ165" s="390" t="s">
        <v>6280</v>
      </c>
    </row>
    <row r="166" s="363" customFormat="1" ht="18" customHeight="1" spans="1:43">
      <c r="A166" s="368">
        <v>45897</v>
      </c>
      <c r="B166" s="369">
        <v>1000031588</v>
      </c>
      <c r="C166" s="370" t="s">
        <v>6118</v>
      </c>
      <c r="D166" s="370" t="s">
        <v>3272</v>
      </c>
      <c r="E166" s="370">
        <v>500</v>
      </c>
      <c r="F166" s="371" t="s">
        <v>6331</v>
      </c>
      <c r="G166" s="370" t="s">
        <v>6082</v>
      </c>
      <c r="H166" s="371" t="s">
        <v>6083</v>
      </c>
      <c r="I166" s="375"/>
      <c r="J166" s="375"/>
      <c r="K166" s="375"/>
      <c r="L166" s="375"/>
      <c r="M166" s="375"/>
      <c r="N166" s="375"/>
      <c r="O166" s="375"/>
      <c r="P166" s="375"/>
      <c r="Q166" s="375"/>
      <c r="R166" s="375"/>
      <c r="S166" s="375"/>
      <c r="T166" s="375"/>
      <c r="U166" s="375"/>
      <c r="V166" s="375">
        <v>500</v>
      </c>
      <c r="W166" s="375"/>
      <c r="X166" s="375"/>
      <c r="Y166" s="375"/>
      <c r="Z166" s="375"/>
      <c r="AA166" s="375"/>
      <c r="AB166" s="370"/>
      <c r="AC166" s="375"/>
      <c r="AD166" s="375"/>
      <c r="AE166" s="375"/>
      <c r="AF166" s="375"/>
      <c r="AG166" s="375"/>
      <c r="AH166" s="375"/>
      <c r="AI166" s="375"/>
      <c r="AJ166" s="375"/>
      <c r="AK166" s="375"/>
      <c r="AL166" s="375"/>
      <c r="AM166" s="375"/>
      <c r="AN166" s="375"/>
      <c r="AO166" s="375"/>
      <c r="AP166" s="375"/>
      <c r="AQ166" s="390" t="s">
        <v>6280</v>
      </c>
    </row>
    <row r="167" s="363" customFormat="1" ht="18" customHeight="1" spans="1:43">
      <c r="A167" s="368">
        <v>45897</v>
      </c>
      <c r="B167" s="369">
        <v>1000031594</v>
      </c>
      <c r="C167" s="370" t="s">
        <v>6118</v>
      </c>
      <c r="D167" s="370" t="s">
        <v>3165</v>
      </c>
      <c r="E167" s="370">
        <v>80000</v>
      </c>
      <c r="F167" s="371" t="s">
        <v>6087</v>
      </c>
      <c r="G167" s="370" t="s">
        <v>6088</v>
      </c>
      <c r="H167" s="371" t="s">
        <v>6083</v>
      </c>
      <c r="I167" s="375"/>
      <c r="J167" s="375"/>
      <c r="K167" s="375"/>
      <c r="L167" s="375"/>
      <c r="M167" s="375">
        <v>80000</v>
      </c>
      <c r="N167" s="375"/>
      <c r="O167" s="375"/>
      <c r="P167" s="375"/>
      <c r="Q167" s="375"/>
      <c r="R167" s="375"/>
      <c r="S167" s="375"/>
      <c r="T167" s="375"/>
      <c r="U167" s="375"/>
      <c r="V167" s="375"/>
      <c r="W167" s="375"/>
      <c r="X167" s="375"/>
      <c r="Y167" s="375"/>
      <c r="Z167" s="375"/>
      <c r="AA167" s="375"/>
      <c r="AB167" s="370"/>
      <c r="AC167" s="375"/>
      <c r="AD167" s="375"/>
      <c r="AE167" s="375"/>
      <c r="AF167" s="375"/>
      <c r="AG167" s="375"/>
      <c r="AH167" s="375"/>
      <c r="AI167" s="375"/>
      <c r="AJ167" s="375"/>
      <c r="AK167" s="375"/>
      <c r="AL167" s="375"/>
      <c r="AM167" s="375"/>
      <c r="AN167" s="375"/>
      <c r="AO167" s="375"/>
      <c r="AP167" s="375"/>
      <c r="AQ167" s="390" t="s">
        <v>6287</v>
      </c>
    </row>
    <row r="168" s="363" customFormat="1" ht="18" customHeight="1" spans="1:43">
      <c r="A168" s="368">
        <v>45897</v>
      </c>
      <c r="B168" s="369">
        <v>1000031595</v>
      </c>
      <c r="C168" s="370" t="s">
        <v>6118</v>
      </c>
      <c r="D168" s="370" t="s">
        <v>3165</v>
      </c>
      <c r="E168" s="370">
        <v>150000</v>
      </c>
      <c r="F168" s="371" t="s">
        <v>6279</v>
      </c>
      <c r="G168" s="370" t="s">
        <v>6092</v>
      </c>
      <c r="H168" s="371" t="s">
        <v>6156</v>
      </c>
      <c r="I168" s="375"/>
      <c r="J168" s="375"/>
      <c r="K168" s="375"/>
      <c r="L168" s="375"/>
      <c r="M168" s="375"/>
      <c r="N168" s="375"/>
      <c r="O168" s="375">
        <v>150000</v>
      </c>
      <c r="P168" s="375"/>
      <c r="Q168" s="375"/>
      <c r="R168" s="375"/>
      <c r="S168" s="375"/>
      <c r="T168" s="375"/>
      <c r="U168" s="375"/>
      <c r="V168" s="375"/>
      <c r="W168" s="375"/>
      <c r="X168" s="375"/>
      <c r="Y168" s="375"/>
      <c r="Z168" s="375"/>
      <c r="AA168" s="375"/>
      <c r="AB168" s="370"/>
      <c r="AC168" s="375"/>
      <c r="AD168" s="375"/>
      <c r="AE168" s="375"/>
      <c r="AF168" s="375"/>
      <c r="AG168" s="375"/>
      <c r="AH168" s="375"/>
      <c r="AI168" s="375"/>
      <c r="AJ168" s="375"/>
      <c r="AK168" s="375"/>
      <c r="AL168" s="375"/>
      <c r="AM168" s="375"/>
      <c r="AN168" s="375"/>
      <c r="AO168" s="375"/>
      <c r="AP168" s="375"/>
      <c r="AQ168" s="390" t="s">
        <v>6418</v>
      </c>
    </row>
    <row r="169" s="363" customFormat="1" ht="18" customHeight="1" spans="1:43">
      <c r="A169" s="368">
        <v>45897</v>
      </c>
      <c r="B169" s="369">
        <v>1000031596</v>
      </c>
      <c r="C169" s="370" t="s">
        <v>6118</v>
      </c>
      <c r="D169" s="370" t="s">
        <v>3165</v>
      </c>
      <c r="E169" s="370">
        <v>1000</v>
      </c>
      <c r="F169" s="371" t="s">
        <v>6291</v>
      </c>
      <c r="G169" s="370" t="s">
        <v>6088</v>
      </c>
      <c r="H169" s="371" t="s">
        <v>6083</v>
      </c>
      <c r="I169" s="375"/>
      <c r="J169" s="375"/>
      <c r="K169" s="375"/>
      <c r="L169" s="375"/>
      <c r="M169" s="375"/>
      <c r="N169" s="375"/>
      <c r="O169" s="375"/>
      <c r="P169" s="375"/>
      <c r="Q169" s="375"/>
      <c r="R169" s="375"/>
      <c r="S169" s="375"/>
      <c r="T169" s="375"/>
      <c r="U169" s="375"/>
      <c r="V169" s="375"/>
      <c r="W169" s="375"/>
      <c r="X169" s="375"/>
      <c r="Y169" s="375"/>
      <c r="Z169" s="375"/>
      <c r="AA169" s="375">
        <v>1000</v>
      </c>
      <c r="AB169" s="370"/>
      <c r="AC169" s="375"/>
      <c r="AD169" s="375"/>
      <c r="AE169" s="375"/>
      <c r="AF169" s="375"/>
      <c r="AG169" s="375"/>
      <c r="AH169" s="375"/>
      <c r="AI169" s="375"/>
      <c r="AJ169" s="375"/>
      <c r="AK169" s="375"/>
      <c r="AL169" s="375"/>
      <c r="AM169" s="375"/>
      <c r="AN169" s="375"/>
      <c r="AO169" s="375"/>
      <c r="AP169" s="375"/>
      <c r="AQ169" s="390" t="s">
        <v>6289</v>
      </c>
    </row>
    <row r="170" s="363" customFormat="1" ht="18" customHeight="1" spans="1:43">
      <c r="A170" s="368">
        <v>45897</v>
      </c>
      <c r="B170" s="369">
        <v>1000031597</v>
      </c>
      <c r="C170" s="370" t="s">
        <v>6118</v>
      </c>
      <c r="D170" s="370" t="s">
        <v>3206</v>
      </c>
      <c r="E170" s="370">
        <v>2000</v>
      </c>
      <c r="F170" s="371" t="s">
        <v>6306</v>
      </c>
      <c r="G170" s="370" t="s">
        <v>6088</v>
      </c>
      <c r="H170" s="371" t="s">
        <v>6083</v>
      </c>
      <c r="I170" s="375"/>
      <c r="J170" s="375"/>
      <c r="K170" s="375"/>
      <c r="L170" s="375"/>
      <c r="M170" s="375"/>
      <c r="N170" s="375"/>
      <c r="O170" s="375"/>
      <c r="P170" s="375"/>
      <c r="Q170" s="375"/>
      <c r="R170" s="375"/>
      <c r="S170" s="375"/>
      <c r="T170" s="375"/>
      <c r="U170" s="375"/>
      <c r="V170" s="375"/>
      <c r="W170" s="375"/>
      <c r="X170" s="375">
        <v>2000</v>
      </c>
      <c r="Y170" s="375"/>
      <c r="Z170" s="375"/>
      <c r="AA170" s="375"/>
      <c r="AB170" s="370"/>
      <c r="AC170" s="375"/>
      <c r="AD170" s="375"/>
      <c r="AE170" s="375"/>
      <c r="AF170" s="375"/>
      <c r="AG170" s="375"/>
      <c r="AH170" s="375"/>
      <c r="AI170" s="375"/>
      <c r="AJ170" s="375"/>
      <c r="AK170" s="375"/>
      <c r="AL170" s="375"/>
      <c r="AM170" s="375"/>
      <c r="AN170" s="375"/>
      <c r="AO170" s="375"/>
      <c r="AP170" s="375"/>
      <c r="AQ170" s="390" t="s">
        <v>6289</v>
      </c>
    </row>
    <row r="171" s="363" customFormat="1" ht="18" customHeight="1" spans="1:43">
      <c r="A171" s="368">
        <v>45905</v>
      </c>
      <c r="B171" s="369" t="s">
        <v>6472</v>
      </c>
      <c r="C171" s="370" t="s">
        <v>6181</v>
      </c>
      <c r="D171" s="370" t="s">
        <v>6205</v>
      </c>
      <c r="E171" s="370">
        <v>4800</v>
      </c>
      <c r="F171" s="371" t="s">
        <v>6473</v>
      </c>
      <c r="G171" s="370" t="s">
        <v>6088</v>
      </c>
      <c r="H171" s="371" t="s">
        <v>6207</v>
      </c>
      <c r="I171" s="375"/>
      <c r="J171" s="375"/>
      <c r="K171" s="375"/>
      <c r="L171" s="375"/>
      <c r="M171" s="375"/>
      <c r="N171" s="375"/>
      <c r="O171" s="375"/>
      <c r="P171" s="375"/>
      <c r="Q171" s="375"/>
      <c r="R171" s="375"/>
      <c r="S171" s="375"/>
      <c r="T171" s="375">
        <v>4800</v>
      </c>
      <c r="U171" s="375"/>
      <c r="V171" s="375"/>
      <c r="W171" s="375"/>
      <c r="X171" s="375"/>
      <c r="Y171" s="375"/>
      <c r="Z171" s="375"/>
      <c r="AA171" s="375"/>
      <c r="AB171" s="370"/>
      <c r="AC171" s="375"/>
      <c r="AD171" s="375"/>
      <c r="AE171" s="375"/>
      <c r="AF171" s="375"/>
      <c r="AG171" s="375"/>
      <c r="AH171" s="375"/>
      <c r="AI171" s="375"/>
      <c r="AJ171" s="375"/>
      <c r="AK171" s="375"/>
      <c r="AL171" s="375"/>
      <c r="AM171" s="375"/>
      <c r="AN171" s="375"/>
      <c r="AO171" s="375"/>
      <c r="AP171" s="375"/>
      <c r="AQ171" s="390" t="s">
        <v>6208</v>
      </c>
    </row>
    <row r="172" s="363" customFormat="1" ht="18" customHeight="1" spans="1:43">
      <c r="A172" s="368">
        <v>45905</v>
      </c>
      <c r="B172" s="369" t="s">
        <v>6474</v>
      </c>
      <c r="C172" s="370" t="s">
        <v>6181</v>
      </c>
      <c r="D172" s="370" t="s">
        <v>6205</v>
      </c>
      <c r="E172" s="370">
        <v>14400</v>
      </c>
      <c r="F172" s="371" t="s">
        <v>6475</v>
      </c>
      <c r="G172" s="370" t="s">
        <v>6088</v>
      </c>
      <c r="H172" s="371" t="s">
        <v>6207</v>
      </c>
      <c r="I172" s="375"/>
      <c r="J172" s="375"/>
      <c r="K172" s="375"/>
      <c r="L172" s="375"/>
      <c r="M172" s="375"/>
      <c r="N172" s="375"/>
      <c r="O172" s="375"/>
      <c r="P172" s="375"/>
      <c r="Q172" s="375"/>
      <c r="R172" s="375"/>
      <c r="S172" s="375">
        <v>14400</v>
      </c>
      <c r="T172" s="375"/>
      <c r="U172" s="375"/>
      <c r="V172" s="375"/>
      <c r="W172" s="375"/>
      <c r="X172" s="375"/>
      <c r="Y172" s="375"/>
      <c r="Z172" s="375"/>
      <c r="AA172" s="375"/>
      <c r="AB172" s="370"/>
      <c r="AC172" s="375"/>
      <c r="AD172" s="375"/>
      <c r="AE172" s="375"/>
      <c r="AF172" s="375"/>
      <c r="AG172" s="375"/>
      <c r="AH172" s="375"/>
      <c r="AI172" s="375"/>
      <c r="AJ172" s="375"/>
      <c r="AK172" s="375"/>
      <c r="AL172" s="375"/>
      <c r="AM172" s="375"/>
      <c r="AN172" s="375"/>
      <c r="AO172" s="375"/>
      <c r="AP172" s="375"/>
      <c r="AQ172" s="390" t="s">
        <v>6208</v>
      </c>
    </row>
    <row r="173" s="363" customFormat="1" ht="18" customHeight="1" spans="1:43">
      <c r="A173" s="368">
        <v>45905</v>
      </c>
      <c r="B173" s="369" t="s">
        <v>6476</v>
      </c>
      <c r="C173" s="370" t="s">
        <v>6181</v>
      </c>
      <c r="D173" s="370" t="s">
        <v>6205</v>
      </c>
      <c r="E173" s="370">
        <v>960</v>
      </c>
      <c r="F173" s="371" t="s">
        <v>6321</v>
      </c>
      <c r="G173" s="370" t="s">
        <v>6088</v>
      </c>
      <c r="H173" s="371" t="s">
        <v>6207</v>
      </c>
      <c r="I173" s="375"/>
      <c r="J173" s="375"/>
      <c r="K173" s="375"/>
      <c r="L173" s="375"/>
      <c r="M173" s="375"/>
      <c r="N173" s="375"/>
      <c r="O173" s="375"/>
      <c r="P173" s="375"/>
      <c r="Q173" s="375"/>
      <c r="R173" s="375"/>
      <c r="S173" s="375"/>
      <c r="T173" s="375"/>
      <c r="U173" s="375">
        <v>960</v>
      </c>
      <c r="V173" s="375"/>
      <c r="W173" s="375"/>
      <c r="X173" s="375"/>
      <c r="Y173" s="375"/>
      <c r="Z173" s="375"/>
      <c r="AA173" s="375"/>
      <c r="AB173" s="370"/>
      <c r="AC173" s="375"/>
      <c r="AD173" s="375"/>
      <c r="AE173" s="375"/>
      <c r="AF173" s="375"/>
      <c r="AG173" s="375"/>
      <c r="AH173" s="375"/>
      <c r="AI173" s="375"/>
      <c r="AJ173" s="375"/>
      <c r="AK173" s="375"/>
      <c r="AL173" s="375"/>
      <c r="AM173" s="375"/>
      <c r="AN173" s="375"/>
      <c r="AO173" s="375"/>
      <c r="AP173" s="375"/>
      <c r="AQ173" s="390" t="s">
        <v>6208</v>
      </c>
    </row>
    <row r="174" s="363" customFormat="1" ht="18" customHeight="1" spans="1:43">
      <c r="A174" s="368">
        <v>45908</v>
      </c>
      <c r="B174" s="369" t="s">
        <v>6477</v>
      </c>
      <c r="C174" s="370" t="s">
        <v>6181</v>
      </c>
      <c r="D174" s="370" t="s">
        <v>6205</v>
      </c>
      <c r="E174" s="370">
        <v>14400</v>
      </c>
      <c r="F174" s="371" t="s">
        <v>6478</v>
      </c>
      <c r="G174" s="370" t="s">
        <v>6088</v>
      </c>
      <c r="H174" s="371" t="s">
        <v>6207</v>
      </c>
      <c r="I174" s="375"/>
      <c r="J174" s="375"/>
      <c r="K174" s="375"/>
      <c r="L174" s="375"/>
      <c r="M174" s="375"/>
      <c r="N174" s="375"/>
      <c r="O174" s="375"/>
      <c r="P174" s="375"/>
      <c r="Q174" s="375"/>
      <c r="R174" s="375">
        <v>14400</v>
      </c>
      <c r="S174" s="375"/>
      <c r="T174" s="375"/>
      <c r="U174" s="375"/>
      <c r="V174" s="375"/>
      <c r="W174" s="375"/>
      <c r="X174" s="375"/>
      <c r="Y174" s="375"/>
      <c r="Z174" s="375"/>
      <c r="AA174" s="375"/>
      <c r="AB174" s="370"/>
      <c r="AC174" s="375"/>
      <c r="AD174" s="375"/>
      <c r="AE174" s="375"/>
      <c r="AF174" s="375"/>
      <c r="AG174" s="375"/>
      <c r="AH174" s="375"/>
      <c r="AI174" s="375"/>
      <c r="AJ174" s="375"/>
      <c r="AK174" s="375"/>
      <c r="AL174" s="375"/>
      <c r="AM174" s="375"/>
      <c r="AN174" s="375"/>
      <c r="AO174" s="375"/>
      <c r="AP174" s="375"/>
      <c r="AQ174" s="390" t="s">
        <v>6208</v>
      </c>
    </row>
    <row r="175" s="363" customFormat="1" ht="18" customHeight="1" spans="1:43">
      <c r="A175" s="368">
        <v>45905</v>
      </c>
      <c r="B175" s="369" t="s">
        <v>6479</v>
      </c>
      <c r="C175" s="370" t="s">
        <v>6142</v>
      </c>
      <c r="D175" s="370">
        <v>77785</v>
      </c>
      <c r="E175" s="370">
        <v>720</v>
      </c>
      <c r="F175" s="371" t="s">
        <v>6130</v>
      </c>
      <c r="G175" s="370" t="s">
        <v>6207</v>
      </c>
      <c r="H175" s="371" t="s">
        <v>68</v>
      </c>
      <c r="I175" s="375"/>
      <c r="J175" s="375"/>
      <c r="K175" s="375"/>
      <c r="L175" s="375"/>
      <c r="M175" s="375"/>
      <c r="N175" s="375"/>
      <c r="O175" s="375"/>
      <c r="P175" s="375"/>
      <c r="Q175" s="375"/>
      <c r="R175" s="375"/>
      <c r="S175" s="375"/>
      <c r="T175" s="375"/>
      <c r="U175" s="375"/>
      <c r="V175" s="375"/>
      <c r="W175" s="375"/>
      <c r="X175" s="375"/>
      <c r="Y175" s="375"/>
      <c r="Z175" s="375"/>
      <c r="AA175" s="375"/>
      <c r="AB175" s="370"/>
      <c r="AC175" s="375"/>
      <c r="AD175" s="375"/>
      <c r="AE175" s="375"/>
      <c r="AF175" s="375"/>
      <c r="AG175" s="375">
        <v>720</v>
      </c>
      <c r="AH175" s="375"/>
      <c r="AI175" s="375"/>
      <c r="AJ175" s="375"/>
      <c r="AK175" s="375"/>
      <c r="AL175" s="375"/>
      <c r="AM175" s="375"/>
      <c r="AN175" s="375"/>
      <c r="AO175" s="375"/>
      <c r="AP175" s="375"/>
      <c r="AQ175" s="390" t="s">
        <v>6480</v>
      </c>
    </row>
    <row r="176" s="363" customFormat="1" ht="18" customHeight="1" spans="1:43">
      <c r="A176" s="368">
        <v>45912</v>
      </c>
      <c r="B176" s="369" t="s">
        <v>6481</v>
      </c>
      <c r="C176" s="370" t="s">
        <v>6129</v>
      </c>
      <c r="D176" s="370" t="s">
        <v>6320</v>
      </c>
      <c r="E176" s="370">
        <v>18780</v>
      </c>
      <c r="F176" s="371" t="s">
        <v>6321</v>
      </c>
      <c r="G176" s="370" t="s">
        <v>6082</v>
      </c>
      <c r="H176" s="371" t="s">
        <v>6083</v>
      </c>
      <c r="I176" s="375"/>
      <c r="J176" s="375"/>
      <c r="K176" s="375"/>
      <c r="L176" s="375"/>
      <c r="M176" s="375"/>
      <c r="N176" s="375"/>
      <c r="O176" s="375"/>
      <c r="P176" s="375"/>
      <c r="Q176" s="375"/>
      <c r="R176" s="375"/>
      <c r="S176" s="375"/>
      <c r="T176" s="375"/>
      <c r="U176" s="375"/>
      <c r="V176" s="375"/>
      <c r="W176" s="375"/>
      <c r="X176" s="375"/>
      <c r="Y176" s="375"/>
      <c r="Z176" s="375"/>
      <c r="AA176" s="375"/>
      <c r="AB176" s="370">
        <v>18780</v>
      </c>
      <c r="AC176" s="375"/>
      <c r="AD176" s="375"/>
      <c r="AE176" s="375"/>
      <c r="AF176" s="375"/>
      <c r="AG176" s="375"/>
      <c r="AH176" s="375"/>
      <c r="AI176" s="375"/>
      <c r="AJ176" s="375"/>
      <c r="AK176" s="375"/>
      <c r="AL176" s="375"/>
      <c r="AM176" s="375"/>
      <c r="AN176" s="375"/>
      <c r="AO176" s="375"/>
      <c r="AP176" s="375"/>
      <c r="AQ176" s="390" t="s">
        <v>6482</v>
      </c>
    </row>
    <row r="177" s="363" customFormat="1" ht="18" customHeight="1" spans="1:43">
      <c r="A177" s="368">
        <v>45912</v>
      </c>
      <c r="B177" s="369" t="s">
        <v>6483</v>
      </c>
      <c r="C177" s="370" t="s">
        <v>6129</v>
      </c>
      <c r="D177" s="370" t="s">
        <v>6320</v>
      </c>
      <c r="E177" s="370">
        <v>2689</v>
      </c>
      <c r="F177" s="371" t="s">
        <v>6321</v>
      </c>
      <c r="G177" s="370" t="s">
        <v>6082</v>
      </c>
      <c r="H177" s="371" t="s">
        <v>6083</v>
      </c>
      <c r="I177" s="375"/>
      <c r="J177" s="375"/>
      <c r="K177" s="375"/>
      <c r="L177" s="375"/>
      <c r="M177" s="375"/>
      <c r="N177" s="375"/>
      <c r="O177" s="375"/>
      <c r="P177" s="375"/>
      <c r="Q177" s="375"/>
      <c r="R177" s="375"/>
      <c r="S177" s="375"/>
      <c r="T177" s="375"/>
      <c r="U177" s="375"/>
      <c r="V177" s="375"/>
      <c r="W177" s="375"/>
      <c r="X177" s="375"/>
      <c r="Y177" s="375"/>
      <c r="Z177" s="375"/>
      <c r="AA177" s="375"/>
      <c r="AB177" s="370">
        <v>2689</v>
      </c>
      <c r="AC177" s="375"/>
      <c r="AD177" s="375"/>
      <c r="AE177" s="375"/>
      <c r="AF177" s="375"/>
      <c r="AG177" s="375"/>
      <c r="AH177" s="375"/>
      <c r="AI177" s="375"/>
      <c r="AJ177" s="375"/>
      <c r="AK177" s="375"/>
      <c r="AL177" s="375"/>
      <c r="AM177" s="375"/>
      <c r="AN177" s="375"/>
      <c r="AO177" s="375"/>
      <c r="AP177" s="375"/>
      <c r="AQ177" s="390" t="s">
        <v>6484</v>
      </c>
    </row>
    <row r="178" s="363" customFormat="1" ht="18" customHeight="1" spans="1:43">
      <c r="A178" s="368">
        <v>45919</v>
      </c>
      <c r="B178" s="369" t="s">
        <v>6485</v>
      </c>
      <c r="C178" s="371" t="s">
        <v>6142</v>
      </c>
      <c r="D178" s="370">
        <v>77731</v>
      </c>
      <c r="E178" s="370">
        <v>10000</v>
      </c>
      <c r="F178" s="371" t="s">
        <v>6308</v>
      </c>
      <c r="G178" s="370" t="s">
        <v>6207</v>
      </c>
      <c r="H178" s="371" t="s">
        <v>68</v>
      </c>
      <c r="I178" s="375"/>
      <c r="J178" s="375"/>
      <c r="K178" s="375"/>
      <c r="L178" s="375"/>
      <c r="M178" s="375"/>
      <c r="N178" s="375"/>
      <c r="O178" s="375"/>
      <c r="P178" s="375"/>
      <c r="Q178" s="375"/>
      <c r="R178" s="375"/>
      <c r="S178" s="375"/>
      <c r="T178" s="375"/>
      <c r="U178" s="375"/>
      <c r="V178" s="375"/>
      <c r="W178" s="375"/>
      <c r="X178" s="375"/>
      <c r="Y178" s="375"/>
      <c r="Z178" s="375"/>
      <c r="AA178" s="375"/>
      <c r="AB178" s="370"/>
      <c r="AC178" s="375"/>
      <c r="AD178" s="375"/>
      <c r="AE178" s="375"/>
      <c r="AF178" s="375"/>
      <c r="AG178" s="375"/>
      <c r="AH178" s="375"/>
      <c r="AI178" s="375"/>
      <c r="AJ178" s="375"/>
      <c r="AK178" s="375"/>
      <c r="AL178" s="375"/>
      <c r="AM178" s="375"/>
      <c r="AN178" s="375">
        <v>10000</v>
      </c>
      <c r="AO178" s="375"/>
      <c r="AP178" s="375"/>
      <c r="AQ178" s="390"/>
    </row>
    <row r="179" s="363" customFormat="1" ht="18" customHeight="1" spans="1:43">
      <c r="A179" s="368">
        <v>45919</v>
      </c>
      <c r="B179" s="369" t="s">
        <v>6486</v>
      </c>
      <c r="C179" s="371" t="s">
        <v>6142</v>
      </c>
      <c r="D179" s="370">
        <v>77731</v>
      </c>
      <c r="E179" s="370">
        <v>8940</v>
      </c>
      <c r="F179" s="371" t="s">
        <v>6311</v>
      </c>
      <c r="G179" s="370" t="s">
        <v>6088</v>
      </c>
      <c r="H179" s="371" t="s">
        <v>68</v>
      </c>
      <c r="I179" s="375"/>
      <c r="J179" s="375"/>
      <c r="K179" s="375"/>
      <c r="L179" s="375"/>
      <c r="M179" s="375"/>
      <c r="N179" s="375"/>
      <c r="O179" s="375"/>
      <c r="P179" s="375"/>
      <c r="Q179" s="375"/>
      <c r="R179" s="375"/>
      <c r="S179" s="375"/>
      <c r="T179" s="375"/>
      <c r="U179" s="375"/>
      <c r="V179" s="375"/>
      <c r="W179" s="375"/>
      <c r="X179" s="375"/>
      <c r="Y179" s="375"/>
      <c r="Z179" s="375"/>
      <c r="AA179" s="375"/>
      <c r="AB179" s="370"/>
      <c r="AC179" s="375"/>
      <c r="AD179" s="375"/>
      <c r="AE179" s="375"/>
      <c r="AF179" s="375"/>
      <c r="AG179" s="375"/>
      <c r="AH179" s="375"/>
      <c r="AI179" s="375"/>
      <c r="AJ179" s="375"/>
      <c r="AK179" s="375"/>
      <c r="AL179" s="375"/>
      <c r="AM179" s="375"/>
      <c r="AN179" s="375"/>
      <c r="AO179" s="375">
        <v>8940</v>
      </c>
      <c r="AP179" s="375"/>
      <c r="AQ179" s="390"/>
    </row>
    <row r="180" s="363" customFormat="1" ht="18" customHeight="1" spans="1:43">
      <c r="A180" s="368">
        <v>45919</v>
      </c>
      <c r="B180" s="369" t="s">
        <v>6487</v>
      </c>
      <c r="C180" s="371" t="s">
        <v>6142</v>
      </c>
      <c r="D180" s="370">
        <v>77731</v>
      </c>
      <c r="E180" s="370">
        <v>8940</v>
      </c>
      <c r="F180" s="371" t="s">
        <v>6313</v>
      </c>
      <c r="G180" s="370" t="s">
        <v>6207</v>
      </c>
      <c r="H180" s="371" t="s">
        <v>68</v>
      </c>
      <c r="I180" s="375"/>
      <c r="J180" s="375"/>
      <c r="K180" s="375"/>
      <c r="L180" s="375"/>
      <c r="M180" s="375"/>
      <c r="N180" s="375"/>
      <c r="O180" s="375"/>
      <c r="P180" s="375"/>
      <c r="Q180" s="375"/>
      <c r="R180" s="375"/>
      <c r="S180" s="375"/>
      <c r="T180" s="375"/>
      <c r="U180" s="375"/>
      <c r="V180" s="375"/>
      <c r="W180" s="375"/>
      <c r="X180" s="375"/>
      <c r="Y180" s="375"/>
      <c r="Z180" s="375"/>
      <c r="AA180" s="375"/>
      <c r="AB180" s="370"/>
      <c r="AC180" s="375"/>
      <c r="AD180" s="375"/>
      <c r="AE180" s="375"/>
      <c r="AF180" s="375"/>
      <c r="AG180" s="375"/>
      <c r="AH180" s="375"/>
      <c r="AI180" s="375"/>
      <c r="AJ180" s="375"/>
      <c r="AK180" s="375"/>
      <c r="AL180" s="375"/>
      <c r="AM180" s="375"/>
      <c r="AN180" s="375"/>
      <c r="AO180" s="375"/>
      <c r="AP180" s="375">
        <v>8940</v>
      </c>
      <c r="AQ180" s="390"/>
    </row>
    <row r="181" s="364" customFormat="1" ht="18" customHeight="1" spans="1:43">
      <c r="A181" s="391">
        <v>45925</v>
      </c>
      <c r="B181" s="392" t="s">
        <v>6488</v>
      </c>
      <c r="C181" s="393" t="s">
        <v>6129</v>
      </c>
      <c r="D181" s="393" t="s">
        <v>6320</v>
      </c>
      <c r="E181" s="393">
        <v>1680</v>
      </c>
      <c r="F181" s="394" t="s">
        <v>6321</v>
      </c>
      <c r="G181" s="393" t="s">
        <v>6082</v>
      </c>
      <c r="H181" s="394" t="s">
        <v>6083</v>
      </c>
      <c r="I181" s="395"/>
      <c r="J181" s="395"/>
      <c r="K181" s="395"/>
      <c r="L181" s="395"/>
      <c r="M181" s="395"/>
      <c r="N181" s="395"/>
      <c r="O181" s="395"/>
      <c r="P181" s="395"/>
      <c r="Q181" s="395"/>
      <c r="R181" s="395"/>
      <c r="S181" s="395"/>
      <c r="T181" s="395"/>
      <c r="U181" s="395"/>
      <c r="V181" s="395"/>
      <c r="W181" s="395"/>
      <c r="X181" s="395"/>
      <c r="Y181" s="395"/>
      <c r="Z181" s="395"/>
      <c r="AA181" s="395"/>
      <c r="AB181" s="395">
        <v>1680</v>
      </c>
      <c r="AC181" s="393"/>
      <c r="AD181" s="395"/>
      <c r="AE181" s="395"/>
      <c r="AF181" s="395"/>
      <c r="AG181" s="395"/>
      <c r="AH181" s="395"/>
      <c r="AI181" s="395"/>
      <c r="AJ181" s="395"/>
      <c r="AK181" s="395"/>
      <c r="AL181" s="395"/>
      <c r="AM181" s="395"/>
      <c r="AN181" s="395"/>
      <c r="AO181" s="395"/>
      <c r="AP181" s="395"/>
      <c r="AQ181" s="396" t="s">
        <v>6489</v>
      </c>
    </row>
    <row r="182" s="363" customFormat="1" ht="18" customHeight="1" spans="1:43">
      <c r="A182" s="368">
        <v>45926</v>
      </c>
      <c r="B182" s="369" t="s">
        <v>6490</v>
      </c>
      <c r="C182" s="370" t="s">
        <v>6491</v>
      </c>
      <c r="D182" s="370" t="s">
        <v>6492</v>
      </c>
      <c r="E182" s="370">
        <v>1250</v>
      </c>
      <c r="F182" s="371" t="s">
        <v>6321</v>
      </c>
      <c r="G182" s="370" t="s">
        <v>6088</v>
      </c>
      <c r="H182" s="371"/>
      <c r="I182" s="375"/>
      <c r="J182" s="375"/>
      <c r="K182" s="375"/>
      <c r="L182" s="375"/>
      <c r="M182" s="375"/>
      <c r="N182" s="375"/>
      <c r="O182" s="375"/>
      <c r="P182" s="375"/>
      <c r="Q182" s="375"/>
      <c r="R182" s="375"/>
      <c r="S182" s="375"/>
      <c r="T182" s="375"/>
      <c r="U182" s="375"/>
      <c r="V182" s="375"/>
      <c r="W182" s="375"/>
      <c r="X182" s="375"/>
      <c r="Y182" s="375"/>
      <c r="Z182" s="375"/>
      <c r="AA182" s="375"/>
      <c r="AB182" s="370"/>
      <c r="AC182" s="375">
        <v>1250</v>
      </c>
      <c r="AD182" s="375"/>
      <c r="AE182" s="375"/>
      <c r="AF182" s="375"/>
      <c r="AG182" s="375"/>
      <c r="AH182" s="375"/>
      <c r="AI182" s="375"/>
      <c r="AJ182" s="375"/>
      <c r="AK182" s="375"/>
      <c r="AL182" s="375"/>
      <c r="AM182" s="375"/>
      <c r="AN182" s="375"/>
      <c r="AO182" s="375"/>
      <c r="AP182" s="375"/>
      <c r="AQ182" s="390" t="s">
        <v>6493</v>
      </c>
    </row>
    <row r="183" s="363" customFormat="1" ht="18" customHeight="1" spans="1:43">
      <c r="A183" s="368">
        <v>45926</v>
      </c>
      <c r="B183" s="369">
        <v>1000032510</v>
      </c>
      <c r="C183" s="370" t="s">
        <v>6118</v>
      </c>
      <c r="D183" s="370" t="s">
        <v>3198</v>
      </c>
      <c r="E183" s="370">
        <v>400000</v>
      </c>
      <c r="F183" s="371" t="s">
        <v>6081</v>
      </c>
      <c r="G183" s="370" t="s">
        <v>6082</v>
      </c>
      <c r="H183" s="371" t="s">
        <v>6083</v>
      </c>
      <c r="I183" s="375">
        <v>400000</v>
      </c>
      <c r="J183" s="375"/>
      <c r="K183" s="375"/>
      <c r="L183" s="375"/>
      <c r="M183" s="375"/>
      <c r="N183" s="375"/>
      <c r="O183" s="375"/>
      <c r="P183" s="375"/>
      <c r="Q183" s="375"/>
      <c r="R183" s="375"/>
      <c r="S183" s="375"/>
      <c r="T183" s="375"/>
      <c r="U183" s="375"/>
      <c r="V183" s="375"/>
      <c r="W183" s="375"/>
      <c r="X183" s="375"/>
      <c r="Y183" s="375"/>
      <c r="Z183" s="375"/>
      <c r="AA183" s="375"/>
      <c r="AB183" s="370"/>
      <c r="AC183" s="375"/>
      <c r="AD183" s="375"/>
      <c r="AE183" s="375"/>
      <c r="AF183" s="375"/>
      <c r="AG183" s="375"/>
      <c r="AH183" s="375"/>
      <c r="AI183" s="375"/>
      <c r="AJ183" s="375"/>
      <c r="AK183" s="375"/>
      <c r="AL183" s="375"/>
      <c r="AM183" s="375"/>
      <c r="AN183" s="375"/>
      <c r="AO183" s="375"/>
      <c r="AP183" s="375"/>
      <c r="AQ183" s="390" t="s">
        <v>6274</v>
      </c>
    </row>
    <row r="184" s="363" customFormat="1" ht="18" customHeight="1" spans="1:43">
      <c r="A184" s="368">
        <v>45926</v>
      </c>
      <c r="B184" s="369">
        <v>1000032512</v>
      </c>
      <c r="C184" s="370" t="s">
        <v>6118</v>
      </c>
      <c r="D184" s="370" t="s">
        <v>3198</v>
      </c>
      <c r="E184" s="370">
        <v>40000</v>
      </c>
      <c r="F184" s="371" t="s">
        <v>6276</v>
      </c>
      <c r="G184" s="370" t="s">
        <v>6277</v>
      </c>
      <c r="H184" s="371" t="s">
        <v>6083</v>
      </c>
      <c r="I184" s="375"/>
      <c r="J184" s="375">
        <v>40000</v>
      </c>
      <c r="K184" s="375"/>
      <c r="L184" s="375"/>
      <c r="M184" s="375"/>
      <c r="N184" s="375"/>
      <c r="O184" s="375"/>
      <c r="P184" s="375"/>
      <c r="Q184" s="375"/>
      <c r="R184" s="375"/>
      <c r="S184" s="375"/>
      <c r="T184" s="375"/>
      <c r="U184" s="375"/>
      <c r="V184" s="375"/>
      <c r="W184" s="375"/>
      <c r="X184" s="375"/>
      <c r="Y184" s="375"/>
      <c r="Z184" s="375"/>
      <c r="AA184" s="375"/>
      <c r="AB184" s="370"/>
      <c r="AC184" s="375"/>
      <c r="AD184" s="375"/>
      <c r="AE184" s="375"/>
      <c r="AF184" s="375"/>
      <c r="AG184" s="375"/>
      <c r="AH184" s="375"/>
      <c r="AI184" s="375"/>
      <c r="AJ184" s="375"/>
      <c r="AK184" s="375"/>
      <c r="AL184" s="375"/>
      <c r="AM184" s="375"/>
      <c r="AN184" s="375"/>
      <c r="AO184" s="375"/>
      <c r="AP184" s="375"/>
      <c r="AQ184" s="390" t="s">
        <v>6274</v>
      </c>
    </row>
    <row r="185" s="363" customFormat="1" ht="18" customHeight="1" spans="1:43">
      <c r="A185" s="368">
        <v>45926</v>
      </c>
      <c r="B185" s="369">
        <v>1000032513</v>
      </c>
      <c r="C185" s="370" t="s">
        <v>6118</v>
      </c>
      <c r="D185" s="370" t="s">
        <v>3198</v>
      </c>
      <c r="E185" s="370">
        <v>450000</v>
      </c>
      <c r="F185" s="371" t="s">
        <v>6295</v>
      </c>
      <c r="G185" s="370" t="s">
        <v>6277</v>
      </c>
      <c r="H185" s="371" t="s">
        <v>6156</v>
      </c>
      <c r="I185" s="375"/>
      <c r="J185" s="375"/>
      <c r="K185" s="375"/>
      <c r="L185" s="375"/>
      <c r="M185" s="375"/>
      <c r="N185" s="375">
        <v>450000</v>
      </c>
      <c r="O185" s="375"/>
      <c r="P185" s="375"/>
      <c r="Q185" s="375"/>
      <c r="R185" s="375"/>
      <c r="S185" s="375"/>
      <c r="T185" s="375"/>
      <c r="U185" s="375"/>
      <c r="V185" s="375"/>
      <c r="W185" s="375"/>
      <c r="X185" s="375"/>
      <c r="Y185" s="375"/>
      <c r="Z185" s="375"/>
      <c r="AA185" s="375"/>
      <c r="AB185" s="370"/>
      <c r="AC185" s="375"/>
      <c r="AD185" s="375"/>
      <c r="AE185" s="375"/>
      <c r="AF185" s="375"/>
      <c r="AG185" s="375"/>
      <c r="AH185" s="375"/>
      <c r="AI185" s="375"/>
      <c r="AJ185" s="375"/>
      <c r="AK185" s="375"/>
      <c r="AL185" s="375"/>
      <c r="AM185" s="375"/>
      <c r="AN185" s="375"/>
      <c r="AO185" s="375"/>
      <c r="AP185" s="375"/>
      <c r="AQ185" s="390" t="s">
        <v>6412</v>
      </c>
    </row>
    <row r="186" s="363" customFormat="1" ht="18" customHeight="1" spans="1:43">
      <c r="A186" s="368">
        <v>45926</v>
      </c>
      <c r="B186" s="369">
        <v>1000032515</v>
      </c>
      <c r="C186" s="370" t="s">
        <v>6118</v>
      </c>
      <c r="D186" s="370" t="s">
        <v>6282</v>
      </c>
      <c r="E186" s="370">
        <v>2000</v>
      </c>
      <c r="F186" s="371" t="s">
        <v>6283</v>
      </c>
      <c r="G186" s="370" t="s">
        <v>6082</v>
      </c>
      <c r="H186" s="371" t="s">
        <v>6083</v>
      </c>
      <c r="I186" s="375"/>
      <c r="J186" s="375"/>
      <c r="K186" s="375"/>
      <c r="L186" s="375"/>
      <c r="M186" s="375"/>
      <c r="N186" s="375"/>
      <c r="O186" s="375"/>
      <c r="P186" s="375"/>
      <c r="Q186" s="375"/>
      <c r="R186" s="375"/>
      <c r="S186" s="375"/>
      <c r="T186" s="375"/>
      <c r="U186" s="375"/>
      <c r="V186" s="375"/>
      <c r="W186" s="375"/>
      <c r="X186" s="375"/>
      <c r="Y186" s="375">
        <v>2000</v>
      </c>
      <c r="Z186" s="375"/>
      <c r="AA186" s="375"/>
      <c r="AB186" s="370"/>
      <c r="AC186" s="375"/>
      <c r="AD186" s="375"/>
      <c r="AE186" s="375"/>
      <c r="AF186" s="375"/>
      <c r="AG186" s="375"/>
      <c r="AH186" s="375"/>
      <c r="AI186" s="375"/>
      <c r="AJ186" s="375"/>
      <c r="AK186" s="375"/>
      <c r="AL186" s="375"/>
      <c r="AM186" s="375"/>
      <c r="AN186" s="375"/>
      <c r="AO186" s="375"/>
      <c r="AP186" s="375"/>
      <c r="AQ186" s="390" t="s">
        <v>6280</v>
      </c>
    </row>
    <row r="187" s="363" customFormat="1" ht="18" customHeight="1" spans="1:43">
      <c r="A187" s="368">
        <v>45926</v>
      </c>
      <c r="B187" s="369">
        <v>1000032516</v>
      </c>
      <c r="C187" s="370" t="s">
        <v>6118</v>
      </c>
      <c r="D187" s="370" t="s">
        <v>6282</v>
      </c>
      <c r="E187" s="370">
        <v>1800</v>
      </c>
      <c r="F187" s="371" t="s">
        <v>6285</v>
      </c>
      <c r="G187" s="370" t="s">
        <v>6277</v>
      </c>
      <c r="H187" s="371" t="s">
        <v>6083</v>
      </c>
      <c r="I187" s="375"/>
      <c r="J187" s="375"/>
      <c r="K187" s="375"/>
      <c r="L187" s="375"/>
      <c r="M187" s="375"/>
      <c r="N187" s="375"/>
      <c r="O187" s="375"/>
      <c r="P187" s="375"/>
      <c r="Q187" s="375"/>
      <c r="R187" s="375"/>
      <c r="S187" s="375"/>
      <c r="T187" s="375"/>
      <c r="U187" s="375"/>
      <c r="V187" s="375"/>
      <c r="W187" s="375"/>
      <c r="X187" s="375"/>
      <c r="Y187" s="375"/>
      <c r="Z187" s="375">
        <v>1800</v>
      </c>
      <c r="AA187" s="375"/>
      <c r="AB187" s="370"/>
      <c r="AC187" s="375"/>
      <c r="AD187" s="375"/>
      <c r="AE187" s="375"/>
      <c r="AF187" s="375"/>
      <c r="AG187" s="375"/>
      <c r="AH187" s="375"/>
      <c r="AI187" s="375"/>
      <c r="AJ187" s="375"/>
      <c r="AK187" s="375"/>
      <c r="AL187" s="375"/>
      <c r="AM187" s="375"/>
      <c r="AN187" s="375"/>
      <c r="AO187" s="375"/>
      <c r="AP187" s="375"/>
      <c r="AQ187" s="390" t="s">
        <v>6280</v>
      </c>
    </row>
    <row r="188" s="363" customFormat="1" ht="18" customHeight="1" spans="1:43">
      <c r="A188" s="368">
        <v>45926</v>
      </c>
      <c r="B188" s="369">
        <v>1000032518</v>
      </c>
      <c r="C188" s="370" t="s">
        <v>6118</v>
      </c>
      <c r="D188" s="370" t="s">
        <v>3272</v>
      </c>
      <c r="E188" s="370">
        <v>2500</v>
      </c>
      <c r="F188" s="371" t="s">
        <v>6331</v>
      </c>
      <c r="G188" s="370" t="s">
        <v>6082</v>
      </c>
      <c r="H188" s="371" t="s">
        <v>6083</v>
      </c>
      <c r="I188" s="375"/>
      <c r="J188" s="375"/>
      <c r="K188" s="375"/>
      <c r="L188" s="375"/>
      <c r="M188" s="375"/>
      <c r="N188" s="375"/>
      <c r="O188" s="375"/>
      <c r="P188" s="375"/>
      <c r="Q188" s="375"/>
      <c r="R188" s="375"/>
      <c r="S188" s="375"/>
      <c r="T188" s="375"/>
      <c r="U188" s="375"/>
      <c r="V188" s="375">
        <v>2500</v>
      </c>
      <c r="W188" s="375"/>
      <c r="X188" s="375"/>
      <c r="Y188" s="375"/>
      <c r="Z188" s="375"/>
      <c r="AA188" s="375"/>
      <c r="AB188" s="370"/>
      <c r="AC188" s="375"/>
      <c r="AD188" s="375"/>
      <c r="AE188" s="375"/>
      <c r="AF188" s="375"/>
      <c r="AG188" s="375"/>
      <c r="AH188" s="375"/>
      <c r="AI188" s="375"/>
      <c r="AJ188" s="375"/>
      <c r="AK188" s="375"/>
      <c r="AL188" s="375"/>
      <c r="AM188" s="375"/>
      <c r="AN188" s="375"/>
      <c r="AO188" s="375"/>
      <c r="AP188" s="375"/>
      <c r="AQ188" s="390" t="s">
        <v>6280</v>
      </c>
    </row>
    <row r="189" s="363" customFormat="1" ht="18" customHeight="1" spans="1:43">
      <c r="A189" s="368">
        <v>45926</v>
      </c>
      <c r="B189" s="369">
        <v>1000032529</v>
      </c>
      <c r="C189" s="370" t="s">
        <v>6118</v>
      </c>
      <c r="D189" s="370" t="s">
        <v>3165</v>
      </c>
      <c r="E189" s="370">
        <v>250000</v>
      </c>
      <c r="F189" s="371" t="s">
        <v>6087</v>
      </c>
      <c r="G189" s="370" t="s">
        <v>6088</v>
      </c>
      <c r="H189" s="371" t="s">
        <v>6083</v>
      </c>
      <c r="I189" s="375"/>
      <c r="J189" s="375"/>
      <c r="K189" s="375"/>
      <c r="L189" s="375"/>
      <c r="M189" s="375">
        <v>250000</v>
      </c>
      <c r="N189" s="375"/>
      <c r="O189" s="375"/>
      <c r="P189" s="375"/>
      <c r="Q189" s="375"/>
      <c r="R189" s="375"/>
      <c r="S189" s="375"/>
      <c r="T189" s="375"/>
      <c r="U189" s="375"/>
      <c r="V189" s="375"/>
      <c r="W189" s="375"/>
      <c r="X189" s="375"/>
      <c r="Y189" s="375"/>
      <c r="Z189" s="375"/>
      <c r="AA189" s="375"/>
      <c r="AB189" s="370"/>
      <c r="AC189" s="375"/>
      <c r="AD189" s="375"/>
      <c r="AE189" s="375"/>
      <c r="AF189" s="375"/>
      <c r="AG189" s="375"/>
      <c r="AH189" s="375"/>
      <c r="AI189" s="375"/>
      <c r="AJ189" s="375"/>
      <c r="AK189" s="375"/>
      <c r="AL189" s="375"/>
      <c r="AM189" s="375"/>
      <c r="AN189" s="375"/>
      <c r="AO189" s="375"/>
      <c r="AP189" s="375"/>
      <c r="AQ189" s="390" t="s">
        <v>6287</v>
      </c>
    </row>
    <row r="190" s="363" customFormat="1" ht="18" customHeight="1" spans="1:43">
      <c r="A190" s="368">
        <v>45926</v>
      </c>
      <c r="B190" s="369">
        <v>1000032530</v>
      </c>
      <c r="C190" s="370" t="s">
        <v>6118</v>
      </c>
      <c r="D190" s="370" t="s">
        <v>3165</v>
      </c>
      <c r="E190" s="370">
        <v>250000</v>
      </c>
      <c r="F190" s="371" t="s">
        <v>6279</v>
      </c>
      <c r="G190" s="370" t="s">
        <v>6092</v>
      </c>
      <c r="H190" s="371" t="s">
        <v>6156</v>
      </c>
      <c r="I190" s="375"/>
      <c r="J190" s="375"/>
      <c r="K190" s="375"/>
      <c r="L190" s="375"/>
      <c r="M190" s="375"/>
      <c r="N190" s="375"/>
      <c r="O190" s="375">
        <v>250000</v>
      </c>
      <c r="P190" s="375"/>
      <c r="Q190" s="375"/>
      <c r="R190" s="375"/>
      <c r="S190" s="375"/>
      <c r="T190" s="375"/>
      <c r="U190" s="375"/>
      <c r="V190" s="375"/>
      <c r="W190" s="375"/>
      <c r="X190" s="375"/>
      <c r="Y190" s="375"/>
      <c r="Z190" s="375"/>
      <c r="AA190" s="375"/>
      <c r="AB190" s="370"/>
      <c r="AC190" s="375"/>
      <c r="AD190" s="375"/>
      <c r="AE190" s="375"/>
      <c r="AF190" s="375"/>
      <c r="AG190" s="375"/>
      <c r="AH190" s="375"/>
      <c r="AI190" s="375"/>
      <c r="AJ190" s="375"/>
      <c r="AK190" s="375"/>
      <c r="AL190" s="375"/>
      <c r="AM190" s="375"/>
      <c r="AN190" s="375"/>
      <c r="AO190" s="375"/>
      <c r="AP190" s="375"/>
      <c r="AQ190" s="390" t="s">
        <v>6418</v>
      </c>
    </row>
    <row r="191" s="363" customFormat="1" ht="18" customHeight="1" spans="1:43">
      <c r="A191" s="368">
        <v>45926</v>
      </c>
      <c r="B191" s="369">
        <v>1000032531</v>
      </c>
      <c r="C191" s="370" t="s">
        <v>6118</v>
      </c>
      <c r="D191" s="370" t="s">
        <v>3165</v>
      </c>
      <c r="E191" s="370">
        <v>3000</v>
      </c>
      <c r="F191" s="371" t="s">
        <v>6291</v>
      </c>
      <c r="G191" s="370" t="s">
        <v>6088</v>
      </c>
      <c r="H191" s="371" t="s">
        <v>6083</v>
      </c>
      <c r="I191" s="375"/>
      <c r="J191" s="375"/>
      <c r="K191" s="375"/>
      <c r="L191" s="375"/>
      <c r="M191" s="375"/>
      <c r="N191" s="375"/>
      <c r="O191" s="375"/>
      <c r="P191" s="375"/>
      <c r="Q191" s="375"/>
      <c r="R191" s="375"/>
      <c r="S191" s="375"/>
      <c r="T191" s="375"/>
      <c r="U191" s="375"/>
      <c r="V191" s="375"/>
      <c r="W191" s="375"/>
      <c r="X191" s="375"/>
      <c r="Y191" s="375"/>
      <c r="Z191" s="375"/>
      <c r="AA191" s="375">
        <v>3000</v>
      </c>
      <c r="AB191" s="370"/>
      <c r="AC191" s="375"/>
      <c r="AD191" s="375"/>
      <c r="AE191" s="375"/>
      <c r="AF191" s="375"/>
      <c r="AG191" s="375"/>
      <c r="AH191" s="375"/>
      <c r="AI191" s="375"/>
      <c r="AJ191" s="375"/>
      <c r="AK191" s="375"/>
      <c r="AL191" s="375"/>
      <c r="AM191" s="375"/>
      <c r="AN191" s="375"/>
      <c r="AO191" s="375"/>
      <c r="AP191" s="375"/>
      <c r="AQ191" s="390" t="s">
        <v>6289</v>
      </c>
    </row>
    <row r="192" s="363" customFormat="1" ht="18" customHeight="1" spans="1:43">
      <c r="A192" s="368">
        <v>45926</v>
      </c>
      <c r="B192" s="369">
        <v>1000032533</v>
      </c>
      <c r="C192" s="370" t="s">
        <v>6118</v>
      </c>
      <c r="D192" s="370" t="s">
        <v>3206</v>
      </c>
      <c r="E192" s="370">
        <v>2500</v>
      </c>
      <c r="F192" s="371" t="s">
        <v>6306</v>
      </c>
      <c r="G192" s="370" t="s">
        <v>6088</v>
      </c>
      <c r="H192" s="371" t="s">
        <v>6083</v>
      </c>
      <c r="I192" s="375"/>
      <c r="J192" s="375"/>
      <c r="K192" s="375"/>
      <c r="L192" s="375"/>
      <c r="M192" s="375"/>
      <c r="N192" s="375"/>
      <c r="O192" s="375"/>
      <c r="P192" s="375"/>
      <c r="Q192" s="375"/>
      <c r="R192" s="375"/>
      <c r="S192" s="375"/>
      <c r="T192" s="375"/>
      <c r="U192" s="375"/>
      <c r="V192" s="375"/>
      <c r="W192" s="375"/>
      <c r="X192" s="375">
        <v>2500</v>
      </c>
      <c r="Y192" s="375"/>
      <c r="Z192" s="375"/>
      <c r="AA192" s="375"/>
      <c r="AB192" s="370"/>
      <c r="AC192" s="375"/>
      <c r="AD192" s="375"/>
      <c r="AE192" s="375"/>
      <c r="AF192" s="375"/>
      <c r="AG192" s="375"/>
      <c r="AH192" s="375"/>
      <c r="AI192" s="375"/>
      <c r="AJ192" s="375"/>
      <c r="AK192" s="375"/>
      <c r="AL192" s="375"/>
      <c r="AM192" s="375"/>
      <c r="AN192" s="375"/>
      <c r="AO192" s="375"/>
      <c r="AP192" s="375"/>
      <c r="AQ192" s="390" t="s">
        <v>6289</v>
      </c>
    </row>
    <row r="193" s="363" customFormat="1" ht="18" customHeight="1" spans="1:43">
      <c r="A193" s="368">
        <v>45926</v>
      </c>
      <c r="B193" s="369">
        <v>1000032535</v>
      </c>
      <c r="C193" s="370" t="s">
        <v>6118</v>
      </c>
      <c r="D193" s="370" t="s">
        <v>3328</v>
      </c>
      <c r="E193" s="370">
        <v>100</v>
      </c>
      <c r="F193" s="371" t="s">
        <v>6335</v>
      </c>
      <c r="G193" s="370" t="s">
        <v>6088</v>
      </c>
      <c r="H193" s="371" t="s">
        <v>6083</v>
      </c>
      <c r="I193" s="375"/>
      <c r="J193" s="375"/>
      <c r="K193" s="375"/>
      <c r="L193" s="375"/>
      <c r="M193" s="375"/>
      <c r="N193" s="375"/>
      <c r="O193" s="375"/>
      <c r="P193" s="375"/>
      <c r="Q193" s="375"/>
      <c r="R193" s="375"/>
      <c r="S193" s="375"/>
      <c r="T193" s="375"/>
      <c r="U193" s="375"/>
      <c r="V193" s="375"/>
      <c r="W193" s="375"/>
      <c r="X193" s="375"/>
      <c r="Y193" s="375"/>
      <c r="Z193" s="375"/>
      <c r="AA193" s="375"/>
      <c r="AB193" s="370"/>
      <c r="AC193" s="375"/>
      <c r="AD193" s="375"/>
      <c r="AE193" s="375"/>
      <c r="AF193" s="375"/>
      <c r="AG193" s="375"/>
      <c r="AH193" s="375"/>
      <c r="AI193" s="375"/>
      <c r="AJ193" s="375"/>
      <c r="AK193" s="375"/>
      <c r="AL193" s="375">
        <v>100</v>
      </c>
      <c r="AM193" s="375"/>
      <c r="AN193" s="375"/>
      <c r="AO193" s="375"/>
      <c r="AP193" s="375"/>
      <c r="AQ193" s="390" t="s">
        <v>6289</v>
      </c>
    </row>
    <row r="194" s="363" customFormat="1" ht="18" customHeight="1" spans="1:43">
      <c r="A194" s="368">
        <v>45930</v>
      </c>
      <c r="B194" s="369" t="s">
        <v>6494</v>
      </c>
      <c r="C194" s="370" t="s">
        <v>6129</v>
      </c>
      <c r="D194" s="370" t="s">
        <v>6320</v>
      </c>
      <c r="E194" s="370">
        <v>2820</v>
      </c>
      <c r="F194" s="371" t="s">
        <v>6321</v>
      </c>
      <c r="G194" s="370" t="s">
        <v>6082</v>
      </c>
      <c r="H194" s="371" t="s">
        <v>6083</v>
      </c>
      <c r="I194" s="375"/>
      <c r="J194" s="375"/>
      <c r="K194" s="375"/>
      <c r="L194" s="375"/>
      <c r="M194" s="375"/>
      <c r="N194" s="375"/>
      <c r="O194" s="375"/>
      <c r="P194" s="375"/>
      <c r="Q194" s="375"/>
      <c r="R194" s="375"/>
      <c r="S194" s="375"/>
      <c r="T194" s="375"/>
      <c r="U194" s="375"/>
      <c r="V194" s="375"/>
      <c r="W194" s="375"/>
      <c r="X194" s="375"/>
      <c r="Y194" s="375"/>
      <c r="Z194" s="375"/>
      <c r="AA194" s="375"/>
      <c r="AB194" s="375">
        <v>2820</v>
      </c>
      <c r="AC194" s="370"/>
      <c r="AD194" s="375"/>
      <c r="AE194" s="375"/>
      <c r="AF194" s="375"/>
      <c r="AG194" s="375"/>
      <c r="AH194" s="375"/>
      <c r="AI194" s="375"/>
      <c r="AJ194" s="375"/>
      <c r="AK194" s="375"/>
      <c r="AL194" s="375"/>
      <c r="AM194" s="375"/>
      <c r="AN194" s="375"/>
      <c r="AO194" s="375"/>
      <c r="AP194" s="375"/>
      <c r="AQ194" s="390" t="s">
        <v>6495</v>
      </c>
    </row>
    <row r="195" s="363" customFormat="1" ht="18" customHeight="1" spans="1:43">
      <c r="A195" s="368">
        <v>45926</v>
      </c>
      <c r="B195" s="369" t="s">
        <v>6496</v>
      </c>
      <c r="C195" s="371" t="s">
        <v>6181</v>
      </c>
      <c r="D195" s="370" t="s">
        <v>6338</v>
      </c>
      <c r="E195" s="370">
        <v>12500</v>
      </c>
      <c r="F195" s="371" t="s">
        <v>6173</v>
      </c>
      <c r="G195" s="370" t="s">
        <v>6092</v>
      </c>
      <c r="H195" s="371"/>
      <c r="I195" s="375"/>
      <c r="J195" s="375"/>
      <c r="K195" s="375"/>
      <c r="L195" s="375"/>
      <c r="M195" s="375"/>
      <c r="N195" s="375"/>
      <c r="O195" s="375"/>
      <c r="P195" s="375"/>
      <c r="Q195" s="375"/>
      <c r="R195" s="375"/>
      <c r="S195" s="375"/>
      <c r="T195" s="375"/>
      <c r="U195" s="375"/>
      <c r="V195" s="375"/>
      <c r="W195" s="375"/>
      <c r="X195" s="375"/>
      <c r="Y195" s="375"/>
      <c r="Z195" s="375"/>
      <c r="AA195" s="375"/>
      <c r="AB195" s="375"/>
      <c r="AC195" s="370"/>
      <c r="AD195" s="375"/>
      <c r="AE195" s="375">
        <v>12500</v>
      </c>
      <c r="AF195" s="375"/>
      <c r="AG195" s="375"/>
      <c r="AH195" s="375"/>
      <c r="AI195" s="375"/>
      <c r="AJ195" s="375"/>
      <c r="AK195" s="375"/>
      <c r="AL195" s="375"/>
      <c r="AM195" s="375"/>
      <c r="AN195" s="375"/>
      <c r="AO195" s="375"/>
      <c r="AP195" s="375"/>
      <c r="AQ195" s="397" t="s">
        <v>6497</v>
      </c>
    </row>
    <row r="196" s="363" customFormat="1" ht="18" customHeight="1" spans="1:43">
      <c r="A196" s="368">
        <v>45939</v>
      </c>
      <c r="B196" s="369">
        <v>1000032764</v>
      </c>
      <c r="C196" s="370" t="s">
        <v>6118</v>
      </c>
      <c r="D196" s="370" t="s">
        <v>3198</v>
      </c>
      <c r="E196" s="370">
        <v>300000</v>
      </c>
      <c r="F196" s="371" t="s">
        <v>6081</v>
      </c>
      <c r="G196" s="370" t="s">
        <v>6082</v>
      </c>
      <c r="H196" s="371" t="s">
        <v>6083</v>
      </c>
      <c r="I196" s="375">
        <v>300000</v>
      </c>
      <c r="J196" s="375"/>
      <c r="K196" s="375"/>
      <c r="L196" s="375"/>
      <c r="M196" s="375"/>
      <c r="N196" s="375"/>
      <c r="O196" s="375"/>
      <c r="P196" s="375"/>
      <c r="Q196" s="375"/>
      <c r="R196" s="375"/>
      <c r="S196" s="375"/>
      <c r="T196" s="375"/>
      <c r="U196" s="375"/>
      <c r="V196" s="375"/>
      <c r="W196" s="375"/>
      <c r="X196" s="375"/>
      <c r="Y196" s="375"/>
      <c r="Z196" s="375"/>
      <c r="AA196" s="375"/>
      <c r="AB196" s="375"/>
      <c r="AC196" s="370"/>
      <c r="AD196" s="375"/>
      <c r="AE196" s="375"/>
      <c r="AF196" s="375"/>
      <c r="AG196" s="375"/>
      <c r="AH196" s="375"/>
      <c r="AI196" s="375"/>
      <c r="AJ196" s="375"/>
      <c r="AK196" s="375"/>
      <c r="AL196" s="375"/>
      <c r="AM196" s="375"/>
      <c r="AN196" s="375"/>
      <c r="AO196" s="375"/>
      <c r="AP196" s="375"/>
      <c r="AQ196" s="390" t="s">
        <v>6274</v>
      </c>
    </row>
    <row r="197" s="363" customFormat="1" ht="18" customHeight="1" spans="1:43">
      <c r="A197" s="368">
        <v>45939</v>
      </c>
      <c r="B197" s="369">
        <v>1000032765</v>
      </c>
      <c r="C197" s="370" t="s">
        <v>6118</v>
      </c>
      <c r="D197" s="370" t="s">
        <v>3198</v>
      </c>
      <c r="E197" s="370">
        <v>20000</v>
      </c>
      <c r="F197" s="371" t="s">
        <v>6276</v>
      </c>
      <c r="G197" s="370" t="s">
        <v>6277</v>
      </c>
      <c r="H197" s="371" t="s">
        <v>6083</v>
      </c>
      <c r="I197" s="375"/>
      <c r="J197" s="375">
        <v>20000</v>
      </c>
      <c r="K197" s="375"/>
      <c r="L197" s="375"/>
      <c r="M197" s="375"/>
      <c r="N197" s="375"/>
      <c r="O197" s="375"/>
      <c r="P197" s="375"/>
      <c r="Q197" s="375"/>
      <c r="R197" s="375"/>
      <c r="S197" s="375"/>
      <c r="T197" s="375"/>
      <c r="U197" s="375"/>
      <c r="V197" s="375"/>
      <c r="W197" s="375"/>
      <c r="X197" s="375"/>
      <c r="Y197" s="375"/>
      <c r="Z197" s="375"/>
      <c r="AA197" s="375"/>
      <c r="AB197" s="375"/>
      <c r="AC197" s="370"/>
      <c r="AD197" s="375"/>
      <c r="AE197" s="375"/>
      <c r="AF197" s="375"/>
      <c r="AG197" s="375"/>
      <c r="AH197" s="375"/>
      <c r="AI197" s="375"/>
      <c r="AJ197" s="375"/>
      <c r="AK197" s="375"/>
      <c r="AL197" s="375"/>
      <c r="AM197" s="375"/>
      <c r="AN197" s="375"/>
      <c r="AO197" s="375"/>
      <c r="AP197" s="375"/>
      <c r="AQ197" s="390" t="s">
        <v>6274</v>
      </c>
    </row>
    <row r="198" s="363" customFormat="1" ht="18" customHeight="1" spans="1:43">
      <c r="A198" s="368">
        <v>45939</v>
      </c>
      <c r="B198" s="369">
        <v>1000032766</v>
      </c>
      <c r="C198" s="370" t="s">
        <v>6118</v>
      </c>
      <c r="D198" s="370" t="s">
        <v>3198</v>
      </c>
      <c r="E198" s="370">
        <v>300000</v>
      </c>
      <c r="F198" s="371" t="s">
        <v>6295</v>
      </c>
      <c r="G198" s="370" t="s">
        <v>6277</v>
      </c>
      <c r="H198" s="371" t="s">
        <v>6156</v>
      </c>
      <c r="I198" s="375"/>
      <c r="J198" s="375"/>
      <c r="K198" s="375"/>
      <c r="L198" s="375"/>
      <c r="M198" s="375"/>
      <c r="N198" s="375">
        <v>300000</v>
      </c>
      <c r="O198" s="375"/>
      <c r="P198" s="375"/>
      <c r="Q198" s="375"/>
      <c r="R198" s="375"/>
      <c r="S198" s="375"/>
      <c r="T198" s="375"/>
      <c r="U198" s="375"/>
      <c r="V198" s="375"/>
      <c r="W198" s="375"/>
      <c r="X198" s="375"/>
      <c r="Y198" s="375"/>
      <c r="Z198" s="375"/>
      <c r="AA198" s="375"/>
      <c r="AB198" s="375"/>
      <c r="AC198" s="370"/>
      <c r="AD198" s="375"/>
      <c r="AE198" s="375"/>
      <c r="AF198" s="375"/>
      <c r="AG198" s="375"/>
      <c r="AH198" s="375"/>
      <c r="AI198" s="375"/>
      <c r="AJ198" s="375"/>
      <c r="AK198" s="375"/>
      <c r="AL198" s="375"/>
      <c r="AM198" s="375"/>
      <c r="AN198" s="375"/>
      <c r="AO198" s="375"/>
      <c r="AP198" s="375"/>
      <c r="AQ198" s="390" t="s">
        <v>6412</v>
      </c>
    </row>
    <row r="199" s="363" customFormat="1" ht="18" customHeight="1" spans="1:43">
      <c r="A199" s="368">
        <v>45939</v>
      </c>
      <c r="B199" s="369">
        <v>1000032767</v>
      </c>
      <c r="C199" s="370" t="s">
        <v>6118</v>
      </c>
      <c r="D199" s="370" t="s">
        <v>6282</v>
      </c>
      <c r="E199" s="370">
        <v>2000</v>
      </c>
      <c r="F199" s="371" t="s">
        <v>6283</v>
      </c>
      <c r="G199" s="370" t="s">
        <v>6082</v>
      </c>
      <c r="H199" s="371" t="s">
        <v>6083</v>
      </c>
      <c r="I199" s="375"/>
      <c r="J199" s="375"/>
      <c r="K199" s="375"/>
      <c r="L199" s="375"/>
      <c r="M199" s="375"/>
      <c r="N199" s="375"/>
      <c r="O199" s="375"/>
      <c r="P199" s="375"/>
      <c r="Q199" s="375"/>
      <c r="R199" s="375"/>
      <c r="S199" s="375"/>
      <c r="T199" s="375"/>
      <c r="U199" s="375"/>
      <c r="V199" s="375"/>
      <c r="W199" s="375"/>
      <c r="X199" s="375"/>
      <c r="Y199" s="375">
        <v>2000</v>
      </c>
      <c r="Z199" s="375"/>
      <c r="AA199" s="375"/>
      <c r="AB199" s="375"/>
      <c r="AC199" s="370"/>
      <c r="AD199" s="375"/>
      <c r="AE199" s="375"/>
      <c r="AF199" s="375"/>
      <c r="AG199" s="375"/>
      <c r="AH199" s="375"/>
      <c r="AI199" s="375"/>
      <c r="AJ199" s="375"/>
      <c r="AK199" s="375"/>
      <c r="AL199" s="375"/>
      <c r="AM199" s="375"/>
      <c r="AN199" s="375"/>
      <c r="AO199" s="375"/>
      <c r="AP199" s="375"/>
      <c r="AQ199" s="390" t="s">
        <v>6280</v>
      </c>
    </row>
    <row r="200" s="363" customFormat="1" ht="18" customHeight="1" spans="1:43">
      <c r="A200" s="368">
        <v>45939</v>
      </c>
      <c r="B200" s="369">
        <v>1000032768</v>
      </c>
      <c r="C200" s="370" t="s">
        <v>6118</v>
      </c>
      <c r="D200" s="370" t="s">
        <v>3272</v>
      </c>
      <c r="E200" s="370">
        <v>500</v>
      </c>
      <c r="F200" s="371" t="s">
        <v>6331</v>
      </c>
      <c r="G200" s="370" t="s">
        <v>6082</v>
      </c>
      <c r="H200" s="371" t="s">
        <v>6083</v>
      </c>
      <c r="I200" s="375"/>
      <c r="J200" s="375"/>
      <c r="K200" s="375"/>
      <c r="L200" s="375"/>
      <c r="M200" s="375"/>
      <c r="N200" s="375"/>
      <c r="O200" s="375"/>
      <c r="P200" s="375"/>
      <c r="Q200" s="375"/>
      <c r="R200" s="375"/>
      <c r="S200" s="375"/>
      <c r="T200" s="375"/>
      <c r="U200" s="375"/>
      <c r="V200" s="375"/>
      <c r="W200" s="375"/>
      <c r="X200" s="375"/>
      <c r="Y200" s="375"/>
      <c r="Z200" s="375"/>
      <c r="AA200" s="375"/>
      <c r="AB200" s="375"/>
      <c r="AC200" s="370"/>
      <c r="AD200" s="375"/>
      <c r="AE200" s="375"/>
      <c r="AF200" s="375"/>
      <c r="AG200" s="375"/>
      <c r="AH200" s="375"/>
      <c r="AI200" s="375"/>
      <c r="AJ200" s="375"/>
      <c r="AK200" s="375"/>
      <c r="AL200" s="375"/>
      <c r="AM200" s="375"/>
      <c r="AN200" s="375"/>
      <c r="AO200" s="375"/>
      <c r="AP200" s="375"/>
      <c r="AQ200" s="390" t="s">
        <v>6280</v>
      </c>
    </row>
    <row r="201" s="363" customFormat="1" ht="18" customHeight="1" spans="1:43">
      <c r="A201" s="368">
        <v>45939</v>
      </c>
      <c r="B201" s="369">
        <v>1000032774</v>
      </c>
      <c r="C201" s="370" t="s">
        <v>6118</v>
      </c>
      <c r="D201" s="370" t="s">
        <v>3165</v>
      </c>
      <c r="E201" s="370">
        <v>100000</v>
      </c>
      <c r="F201" s="371" t="s">
        <v>6087</v>
      </c>
      <c r="G201" s="370" t="s">
        <v>6088</v>
      </c>
      <c r="H201" s="371" t="s">
        <v>6083</v>
      </c>
      <c r="I201" s="375"/>
      <c r="J201" s="375"/>
      <c r="K201" s="375"/>
      <c r="L201" s="375"/>
      <c r="M201" s="375">
        <v>100000</v>
      </c>
      <c r="N201" s="375"/>
      <c r="O201" s="375"/>
      <c r="P201" s="375"/>
      <c r="Q201" s="375"/>
      <c r="R201" s="375"/>
      <c r="S201" s="375"/>
      <c r="T201" s="375"/>
      <c r="U201" s="375"/>
      <c r="V201" s="375"/>
      <c r="W201" s="375"/>
      <c r="X201" s="375"/>
      <c r="Y201" s="375"/>
      <c r="Z201" s="375"/>
      <c r="AA201" s="375"/>
      <c r="AB201" s="375"/>
      <c r="AC201" s="370"/>
      <c r="AD201" s="375"/>
      <c r="AE201" s="375"/>
      <c r="AF201" s="375"/>
      <c r="AG201" s="375"/>
      <c r="AH201" s="375"/>
      <c r="AI201" s="375"/>
      <c r="AJ201" s="375"/>
      <c r="AK201" s="375"/>
      <c r="AL201" s="375"/>
      <c r="AM201" s="375"/>
      <c r="AN201" s="375"/>
      <c r="AO201" s="375"/>
      <c r="AP201" s="375"/>
      <c r="AQ201" s="390" t="s">
        <v>6287</v>
      </c>
    </row>
    <row r="202" s="363" customFormat="1" ht="18" customHeight="1" spans="1:43">
      <c r="A202" s="368">
        <v>45939</v>
      </c>
      <c r="B202" s="369">
        <v>1000032775</v>
      </c>
      <c r="C202" s="370" t="s">
        <v>6118</v>
      </c>
      <c r="D202" s="370" t="s">
        <v>3165</v>
      </c>
      <c r="E202" s="370">
        <v>250000</v>
      </c>
      <c r="F202" s="371" t="s">
        <v>6279</v>
      </c>
      <c r="G202" s="370" t="s">
        <v>6092</v>
      </c>
      <c r="H202" s="371" t="s">
        <v>6156</v>
      </c>
      <c r="I202" s="375"/>
      <c r="J202" s="375"/>
      <c r="K202" s="375"/>
      <c r="L202" s="375"/>
      <c r="M202" s="375"/>
      <c r="N202" s="375"/>
      <c r="O202" s="375">
        <v>250000</v>
      </c>
      <c r="P202" s="375"/>
      <c r="Q202" s="375"/>
      <c r="R202" s="375"/>
      <c r="S202" s="375"/>
      <c r="T202" s="375"/>
      <c r="U202" s="375"/>
      <c r="V202" s="375"/>
      <c r="W202" s="375"/>
      <c r="X202" s="375"/>
      <c r="Y202" s="375"/>
      <c r="Z202" s="375"/>
      <c r="AA202" s="375"/>
      <c r="AB202" s="375"/>
      <c r="AC202" s="370"/>
      <c r="AD202" s="375"/>
      <c r="AE202" s="375"/>
      <c r="AF202" s="375"/>
      <c r="AG202" s="375"/>
      <c r="AH202" s="375"/>
      <c r="AI202" s="375"/>
      <c r="AJ202" s="375"/>
      <c r="AK202" s="375"/>
      <c r="AL202" s="375"/>
      <c r="AM202" s="375"/>
      <c r="AN202" s="375"/>
      <c r="AO202" s="375"/>
      <c r="AP202" s="375"/>
      <c r="AQ202" s="390" t="s">
        <v>6418</v>
      </c>
    </row>
    <row r="203" s="363" customFormat="1" ht="18" customHeight="1" spans="1:43">
      <c r="A203" s="368">
        <v>45939</v>
      </c>
      <c r="B203" s="369">
        <v>1000032776</v>
      </c>
      <c r="C203" s="370" t="s">
        <v>6118</v>
      </c>
      <c r="D203" s="370" t="s">
        <v>3165</v>
      </c>
      <c r="E203" s="370">
        <v>2500</v>
      </c>
      <c r="F203" s="371" t="s">
        <v>6291</v>
      </c>
      <c r="G203" s="370" t="s">
        <v>6088</v>
      </c>
      <c r="H203" s="371" t="s">
        <v>6083</v>
      </c>
      <c r="I203" s="375"/>
      <c r="J203" s="375"/>
      <c r="K203" s="375"/>
      <c r="L203" s="375"/>
      <c r="M203" s="375"/>
      <c r="N203" s="375"/>
      <c r="O203" s="375"/>
      <c r="P203" s="375"/>
      <c r="Q203" s="375"/>
      <c r="R203" s="375"/>
      <c r="S203" s="375"/>
      <c r="T203" s="375"/>
      <c r="U203" s="375"/>
      <c r="V203" s="375"/>
      <c r="W203" s="375"/>
      <c r="X203" s="375"/>
      <c r="Y203" s="375"/>
      <c r="Z203" s="375"/>
      <c r="AA203" s="375">
        <v>2500</v>
      </c>
      <c r="AB203" s="375"/>
      <c r="AC203" s="370"/>
      <c r="AD203" s="375"/>
      <c r="AE203" s="375"/>
      <c r="AF203" s="375"/>
      <c r="AG203" s="375"/>
      <c r="AH203" s="375"/>
      <c r="AI203" s="375"/>
      <c r="AJ203" s="375"/>
      <c r="AK203" s="375"/>
      <c r="AL203" s="375"/>
      <c r="AM203" s="375"/>
      <c r="AN203" s="375"/>
      <c r="AO203" s="375"/>
      <c r="AP203" s="375"/>
      <c r="AQ203" s="390" t="s">
        <v>6289</v>
      </c>
    </row>
    <row r="204" s="363" customFormat="1" ht="18" customHeight="1" spans="1:43">
      <c r="A204" s="368">
        <v>45939</v>
      </c>
      <c r="B204" s="369">
        <v>1000032777</v>
      </c>
      <c r="C204" s="370" t="s">
        <v>6118</v>
      </c>
      <c r="D204" s="370" t="s">
        <v>3206</v>
      </c>
      <c r="E204" s="370">
        <v>3500</v>
      </c>
      <c r="F204" s="371" t="s">
        <v>6306</v>
      </c>
      <c r="G204" s="370" t="s">
        <v>6088</v>
      </c>
      <c r="H204" s="371" t="s">
        <v>6083</v>
      </c>
      <c r="I204" s="375"/>
      <c r="J204" s="375"/>
      <c r="K204" s="375"/>
      <c r="L204" s="375"/>
      <c r="M204" s="375"/>
      <c r="N204" s="375"/>
      <c r="O204" s="375"/>
      <c r="P204" s="375"/>
      <c r="Q204" s="375"/>
      <c r="R204" s="375"/>
      <c r="S204" s="375"/>
      <c r="T204" s="375"/>
      <c r="U204" s="375"/>
      <c r="V204" s="375"/>
      <c r="W204" s="375"/>
      <c r="X204" s="375">
        <v>3500</v>
      </c>
      <c r="Y204" s="375"/>
      <c r="Z204" s="375"/>
      <c r="AA204" s="375"/>
      <c r="AB204" s="375"/>
      <c r="AC204" s="370"/>
      <c r="AD204" s="375"/>
      <c r="AE204" s="375"/>
      <c r="AF204" s="375"/>
      <c r="AG204" s="375"/>
      <c r="AH204" s="375"/>
      <c r="AI204" s="375"/>
      <c r="AJ204" s="375"/>
      <c r="AK204" s="375"/>
      <c r="AL204" s="375"/>
      <c r="AM204" s="375"/>
      <c r="AN204" s="375"/>
      <c r="AO204" s="375"/>
      <c r="AP204" s="375"/>
      <c r="AQ204" s="390" t="s">
        <v>6289</v>
      </c>
    </row>
    <row r="205" s="363" customFormat="1" ht="18" customHeight="1" spans="1:43">
      <c r="A205" s="368">
        <v>45939</v>
      </c>
      <c r="B205" s="369">
        <v>1000032778</v>
      </c>
      <c r="C205" s="370" t="s">
        <v>6118</v>
      </c>
      <c r="D205" s="370" t="s">
        <v>3328</v>
      </c>
      <c r="E205" s="370">
        <v>120</v>
      </c>
      <c r="F205" s="371" t="s">
        <v>6335</v>
      </c>
      <c r="G205" s="370" t="s">
        <v>6088</v>
      </c>
      <c r="H205" s="371" t="s">
        <v>6083</v>
      </c>
      <c r="I205" s="375"/>
      <c r="J205" s="375"/>
      <c r="K205" s="375"/>
      <c r="L205" s="375"/>
      <c r="M205" s="375"/>
      <c r="N205" s="375"/>
      <c r="O205" s="375"/>
      <c r="P205" s="375"/>
      <c r="Q205" s="375"/>
      <c r="R205" s="375"/>
      <c r="S205" s="375"/>
      <c r="T205" s="375"/>
      <c r="U205" s="375"/>
      <c r="V205" s="375"/>
      <c r="W205" s="375"/>
      <c r="X205" s="375"/>
      <c r="Y205" s="375"/>
      <c r="Z205" s="375"/>
      <c r="AA205" s="375"/>
      <c r="AB205" s="375"/>
      <c r="AC205" s="370"/>
      <c r="AD205" s="375"/>
      <c r="AE205" s="375"/>
      <c r="AF205" s="375"/>
      <c r="AG205" s="375"/>
      <c r="AH205" s="375"/>
      <c r="AI205" s="375"/>
      <c r="AJ205" s="375"/>
      <c r="AK205" s="375"/>
      <c r="AL205" s="375">
        <v>120</v>
      </c>
      <c r="AM205" s="375"/>
      <c r="AN205" s="375"/>
      <c r="AO205" s="375"/>
      <c r="AP205" s="375"/>
      <c r="AQ205" s="390" t="s">
        <v>6289</v>
      </c>
    </row>
    <row r="206" s="363" customFormat="1" ht="18" customHeight="1" spans="1:43">
      <c r="A206" s="368">
        <v>45943</v>
      </c>
      <c r="B206" s="369" t="s">
        <v>6498</v>
      </c>
      <c r="C206" s="370" t="s">
        <v>6198</v>
      </c>
      <c r="D206" s="370" t="s">
        <v>3198</v>
      </c>
      <c r="E206" s="370">
        <v>30000</v>
      </c>
      <c r="F206" s="371" t="s">
        <v>6276</v>
      </c>
      <c r="G206" s="370" t="s">
        <v>6277</v>
      </c>
      <c r="H206" s="371" t="s">
        <v>6083</v>
      </c>
      <c r="I206" s="375"/>
      <c r="J206" s="375">
        <v>30000</v>
      </c>
      <c r="K206" s="375"/>
      <c r="L206" s="375"/>
      <c r="M206" s="375"/>
      <c r="N206" s="375"/>
      <c r="O206" s="375"/>
      <c r="P206" s="375"/>
      <c r="Q206" s="375"/>
      <c r="R206" s="375"/>
      <c r="S206" s="375"/>
      <c r="T206" s="375"/>
      <c r="U206" s="375"/>
      <c r="V206" s="375"/>
      <c r="W206" s="375"/>
      <c r="X206" s="375"/>
      <c r="Y206" s="375"/>
      <c r="Z206" s="375"/>
      <c r="AA206" s="375"/>
      <c r="AB206" s="375"/>
      <c r="AC206" s="370"/>
      <c r="AD206" s="375"/>
      <c r="AE206" s="375"/>
      <c r="AF206" s="375"/>
      <c r="AG206" s="375"/>
      <c r="AH206" s="375"/>
      <c r="AI206" s="375"/>
      <c r="AJ206" s="375"/>
      <c r="AK206" s="375"/>
      <c r="AL206" s="375"/>
      <c r="AM206" s="375"/>
      <c r="AN206" s="375"/>
      <c r="AO206" s="375"/>
      <c r="AP206" s="375"/>
      <c r="AQ206" s="390" t="s">
        <v>6274</v>
      </c>
    </row>
    <row r="207" s="363" customFormat="1" ht="18" customHeight="1" spans="1:43">
      <c r="A207" s="368">
        <v>45943</v>
      </c>
      <c r="B207" s="369" t="s">
        <v>6499</v>
      </c>
      <c r="C207" s="370" t="s">
        <v>6198</v>
      </c>
      <c r="D207" s="370" t="s">
        <v>3272</v>
      </c>
      <c r="E207" s="370">
        <v>1300</v>
      </c>
      <c r="F207" s="371" t="s">
        <v>6299</v>
      </c>
      <c r="G207" s="370" t="s">
        <v>6277</v>
      </c>
      <c r="H207" s="371" t="s">
        <v>6083</v>
      </c>
      <c r="I207" s="375"/>
      <c r="J207" s="375"/>
      <c r="K207" s="375"/>
      <c r="L207" s="375"/>
      <c r="M207" s="375"/>
      <c r="N207" s="375"/>
      <c r="O207" s="375"/>
      <c r="P207" s="375"/>
      <c r="Q207" s="375"/>
      <c r="R207" s="375"/>
      <c r="S207" s="375"/>
      <c r="T207" s="375"/>
      <c r="U207" s="375"/>
      <c r="V207" s="375"/>
      <c r="W207" s="375">
        <v>1300</v>
      </c>
      <c r="X207" s="375"/>
      <c r="Y207" s="375"/>
      <c r="Z207" s="375"/>
      <c r="AA207" s="375"/>
      <c r="AB207" s="375"/>
      <c r="AC207" s="370"/>
      <c r="AD207" s="375"/>
      <c r="AE207" s="375"/>
      <c r="AF207" s="375"/>
      <c r="AG207" s="375"/>
      <c r="AH207" s="375"/>
      <c r="AI207" s="375"/>
      <c r="AJ207" s="375"/>
      <c r="AK207" s="375"/>
      <c r="AL207" s="375"/>
      <c r="AM207" s="375"/>
      <c r="AN207" s="375"/>
      <c r="AO207" s="375"/>
      <c r="AP207" s="375"/>
      <c r="AQ207" s="390" t="s">
        <v>6280</v>
      </c>
    </row>
    <row r="208" s="363" customFormat="1" ht="18" customHeight="1" spans="1:43">
      <c r="A208" s="368">
        <v>45943</v>
      </c>
      <c r="B208" s="369" t="s">
        <v>6500</v>
      </c>
      <c r="C208" s="370" t="s">
        <v>6198</v>
      </c>
      <c r="D208" s="370" t="s">
        <v>3165</v>
      </c>
      <c r="E208" s="370">
        <v>100000</v>
      </c>
      <c r="F208" s="371" t="s">
        <v>6087</v>
      </c>
      <c r="G208" s="370" t="s">
        <v>6088</v>
      </c>
      <c r="H208" s="371" t="s">
        <v>6083</v>
      </c>
      <c r="I208" s="375"/>
      <c r="J208" s="375"/>
      <c r="K208" s="375"/>
      <c r="L208" s="375"/>
      <c r="M208" s="375">
        <v>100000</v>
      </c>
      <c r="N208" s="375"/>
      <c r="O208" s="375"/>
      <c r="P208" s="375"/>
      <c r="Q208" s="375"/>
      <c r="R208" s="375"/>
      <c r="S208" s="375"/>
      <c r="T208" s="375"/>
      <c r="U208" s="375"/>
      <c r="V208" s="375"/>
      <c r="W208" s="375"/>
      <c r="X208" s="375"/>
      <c r="Y208" s="375"/>
      <c r="Z208" s="375"/>
      <c r="AA208" s="375"/>
      <c r="AB208" s="375"/>
      <c r="AC208" s="370"/>
      <c r="AD208" s="375"/>
      <c r="AE208" s="375"/>
      <c r="AF208" s="375"/>
      <c r="AG208" s="375"/>
      <c r="AH208" s="375"/>
      <c r="AI208" s="375"/>
      <c r="AJ208" s="375"/>
      <c r="AK208" s="375"/>
      <c r="AL208" s="375"/>
      <c r="AM208" s="375"/>
      <c r="AN208" s="375"/>
      <c r="AO208" s="375"/>
      <c r="AP208" s="375"/>
      <c r="AQ208" s="390" t="s">
        <v>6287</v>
      </c>
    </row>
    <row r="209" s="363" customFormat="1" ht="18" customHeight="1" spans="1:43">
      <c r="A209" s="368">
        <v>45943</v>
      </c>
      <c r="B209" s="369" t="s">
        <v>6501</v>
      </c>
      <c r="C209" s="370" t="s">
        <v>6198</v>
      </c>
      <c r="D209" s="370" t="s">
        <v>3206</v>
      </c>
      <c r="E209" s="370">
        <v>4500</v>
      </c>
      <c r="F209" s="371" t="s">
        <v>6306</v>
      </c>
      <c r="G209" s="370" t="s">
        <v>6088</v>
      </c>
      <c r="H209" s="371" t="s">
        <v>6083</v>
      </c>
      <c r="I209" s="375"/>
      <c r="J209" s="375"/>
      <c r="K209" s="375"/>
      <c r="L209" s="375"/>
      <c r="M209" s="375"/>
      <c r="N209" s="375"/>
      <c r="O209" s="375"/>
      <c r="P209" s="375"/>
      <c r="Q209" s="375"/>
      <c r="R209" s="375"/>
      <c r="S209" s="375"/>
      <c r="T209" s="375"/>
      <c r="U209" s="375"/>
      <c r="V209" s="375"/>
      <c r="W209" s="375"/>
      <c r="X209" s="375">
        <v>4500</v>
      </c>
      <c r="Y209" s="375"/>
      <c r="Z209" s="375"/>
      <c r="AA209" s="375"/>
      <c r="AB209" s="375"/>
      <c r="AC209" s="370"/>
      <c r="AD209" s="375"/>
      <c r="AE209" s="375"/>
      <c r="AF209" s="375"/>
      <c r="AG209" s="375"/>
      <c r="AH209" s="375"/>
      <c r="AI209" s="375"/>
      <c r="AJ209" s="375"/>
      <c r="AK209" s="375"/>
      <c r="AL209" s="375"/>
      <c r="AM209" s="375"/>
      <c r="AN209" s="375"/>
      <c r="AO209" s="375"/>
      <c r="AP209" s="375"/>
      <c r="AQ209" s="390" t="s">
        <v>6289</v>
      </c>
    </row>
    <row r="210" s="363" customFormat="1" ht="18" customHeight="1" spans="1:43">
      <c r="A210" s="368">
        <v>45943</v>
      </c>
      <c r="B210" s="369" t="s">
        <v>6502</v>
      </c>
      <c r="C210" s="371" t="s">
        <v>6142</v>
      </c>
      <c r="D210" s="370">
        <v>77731</v>
      </c>
      <c r="E210" s="370">
        <v>10000</v>
      </c>
      <c r="F210" s="371" t="s">
        <v>6308</v>
      </c>
      <c r="G210" s="370" t="s">
        <v>6207</v>
      </c>
      <c r="H210" s="371" t="s">
        <v>68</v>
      </c>
      <c r="I210" s="375"/>
      <c r="J210" s="375"/>
      <c r="K210" s="375"/>
      <c r="L210" s="375"/>
      <c r="M210" s="375"/>
      <c r="N210" s="375"/>
      <c r="O210" s="375"/>
      <c r="P210" s="375"/>
      <c r="Q210" s="375"/>
      <c r="R210" s="375"/>
      <c r="S210" s="375"/>
      <c r="T210" s="375"/>
      <c r="U210" s="375"/>
      <c r="V210" s="375"/>
      <c r="W210" s="375"/>
      <c r="X210" s="375"/>
      <c r="Y210" s="375"/>
      <c r="Z210" s="375"/>
      <c r="AA210" s="375"/>
      <c r="AB210" s="370"/>
      <c r="AC210" s="375"/>
      <c r="AD210" s="375"/>
      <c r="AE210" s="375"/>
      <c r="AF210" s="375"/>
      <c r="AG210" s="375"/>
      <c r="AH210" s="375"/>
      <c r="AI210" s="375"/>
      <c r="AJ210" s="375"/>
      <c r="AK210" s="375"/>
      <c r="AL210" s="375"/>
      <c r="AM210" s="375"/>
      <c r="AN210" s="375">
        <v>10000</v>
      </c>
      <c r="AO210" s="375"/>
      <c r="AP210" s="375"/>
      <c r="AQ210" s="390" t="s">
        <v>6503</v>
      </c>
    </row>
    <row r="211" s="363" customFormat="1" ht="18" customHeight="1" spans="1:43">
      <c r="A211" s="368">
        <v>45943</v>
      </c>
      <c r="B211" s="369" t="s">
        <v>6504</v>
      </c>
      <c r="C211" s="371" t="s">
        <v>6142</v>
      </c>
      <c r="D211" s="370">
        <v>77731</v>
      </c>
      <c r="E211" s="370">
        <v>5000</v>
      </c>
      <c r="F211" s="371" t="s">
        <v>6311</v>
      </c>
      <c r="G211" s="370" t="s">
        <v>6088</v>
      </c>
      <c r="H211" s="371" t="s">
        <v>6083</v>
      </c>
      <c r="I211" s="375"/>
      <c r="J211" s="375"/>
      <c r="K211" s="375"/>
      <c r="L211" s="375"/>
      <c r="M211" s="375"/>
      <c r="N211" s="375"/>
      <c r="O211" s="375"/>
      <c r="P211" s="375"/>
      <c r="Q211" s="375"/>
      <c r="R211" s="375"/>
      <c r="S211" s="375"/>
      <c r="T211" s="375"/>
      <c r="U211" s="375"/>
      <c r="V211" s="375"/>
      <c r="W211" s="375"/>
      <c r="X211" s="375"/>
      <c r="Y211" s="375"/>
      <c r="Z211" s="375"/>
      <c r="AA211" s="375"/>
      <c r="AB211" s="370"/>
      <c r="AC211" s="375"/>
      <c r="AD211" s="375"/>
      <c r="AE211" s="375"/>
      <c r="AF211" s="375"/>
      <c r="AG211" s="375"/>
      <c r="AH211" s="375"/>
      <c r="AI211" s="375"/>
      <c r="AJ211" s="375"/>
      <c r="AK211" s="375"/>
      <c r="AL211" s="375"/>
      <c r="AM211" s="375"/>
      <c r="AN211" s="375"/>
      <c r="AO211" s="375">
        <v>5000</v>
      </c>
      <c r="AP211" s="375"/>
      <c r="AQ211" s="390" t="s">
        <v>6503</v>
      </c>
    </row>
    <row r="212" s="363" customFormat="1" ht="18" customHeight="1" spans="1:43">
      <c r="A212" s="368">
        <v>45943</v>
      </c>
      <c r="B212" s="369" t="s">
        <v>6505</v>
      </c>
      <c r="C212" s="371" t="s">
        <v>6142</v>
      </c>
      <c r="D212" s="370">
        <v>77731</v>
      </c>
      <c r="E212" s="370">
        <v>5000</v>
      </c>
      <c r="F212" s="371" t="s">
        <v>6313</v>
      </c>
      <c r="G212" s="370" t="s">
        <v>6207</v>
      </c>
      <c r="H212" s="371" t="s">
        <v>68</v>
      </c>
      <c r="I212" s="375"/>
      <c r="J212" s="375"/>
      <c r="K212" s="375"/>
      <c r="L212" s="375"/>
      <c r="M212" s="375"/>
      <c r="N212" s="375"/>
      <c r="O212" s="375"/>
      <c r="P212" s="375"/>
      <c r="Q212" s="375"/>
      <c r="R212" s="375"/>
      <c r="S212" s="375"/>
      <c r="T212" s="375"/>
      <c r="U212" s="375"/>
      <c r="V212" s="375"/>
      <c r="W212" s="375"/>
      <c r="X212" s="375"/>
      <c r="Y212" s="375"/>
      <c r="Z212" s="375"/>
      <c r="AA212" s="375"/>
      <c r="AB212" s="370"/>
      <c r="AC212" s="375"/>
      <c r="AD212" s="375"/>
      <c r="AE212" s="375"/>
      <c r="AF212" s="375"/>
      <c r="AG212" s="375"/>
      <c r="AH212" s="375"/>
      <c r="AI212" s="375"/>
      <c r="AJ212" s="375"/>
      <c r="AK212" s="375"/>
      <c r="AL212" s="375"/>
      <c r="AM212" s="375"/>
      <c r="AN212" s="375"/>
      <c r="AO212" s="375"/>
      <c r="AP212" s="375">
        <v>5000</v>
      </c>
      <c r="AQ212" s="390" t="s">
        <v>6503</v>
      </c>
    </row>
    <row r="213" s="364" customFormat="1" ht="19" customHeight="1" spans="1:43">
      <c r="A213" s="391">
        <v>45960</v>
      </c>
      <c r="B213" s="392" t="s">
        <v>6506</v>
      </c>
      <c r="C213" s="393" t="s">
        <v>6129</v>
      </c>
      <c r="D213" s="393" t="s">
        <v>6320</v>
      </c>
      <c r="E213" s="393">
        <v>3720</v>
      </c>
      <c r="F213" s="394" t="s">
        <v>6321</v>
      </c>
      <c r="G213" s="393" t="s">
        <v>6082</v>
      </c>
      <c r="H213" s="394" t="s">
        <v>6083</v>
      </c>
      <c r="I213" s="395"/>
      <c r="J213" s="395"/>
      <c r="K213" s="395"/>
      <c r="L213" s="395"/>
      <c r="M213" s="395"/>
      <c r="N213" s="395"/>
      <c r="O213" s="395"/>
      <c r="P213" s="395"/>
      <c r="Q213" s="395"/>
      <c r="R213" s="395"/>
      <c r="S213" s="395"/>
      <c r="T213" s="395"/>
      <c r="U213" s="395"/>
      <c r="V213" s="395"/>
      <c r="W213" s="395"/>
      <c r="X213" s="395"/>
      <c r="Y213" s="395"/>
      <c r="Z213" s="395"/>
      <c r="AA213" s="395"/>
      <c r="AB213" s="395">
        <v>3720</v>
      </c>
      <c r="AC213" s="393"/>
      <c r="AD213" s="395"/>
      <c r="AE213" s="395"/>
      <c r="AF213" s="395"/>
      <c r="AG213" s="395"/>
      <c r="AH213" s="395"/>
      <c r="AI213" s="395"/>
      <c r="AJ213" s="395"/>
      <c r="AK213" s="395"/>
      <c r="AL213" s="395"/>
      <c r="AM213" s="395"/>
      <c r="AN213" s="395"/>
      <c r="AO213" s="395"/>
      <c r="AP213" s="395"/>
      <c r="AQ213" s="396" t="s">
        <v>6507</v>
      </c>
    </row>
    <row r="214" s="363" customFormat="1" ht="18" customHeight="1" spans="1:43">
      <c r="A214" s="368">
        <v>45951</v>
      </c>
      <c r="B214" s="369" t="s">
        <v>6508</v>
      </c>
      <c r="C214" s="371" t="s">
        <v>6142</v>
      </c>
      <c r="D214" s="370">
        <v>77731</v>
      </c>
      <c r="E214" s="370">
        <v>10000</v>
      </c>
      <c r="F214" s="371" t="s">
        <v>6308</v>
      </c>
      <c r="G214" s="370" t="s">
        <v>6207</v>
      </c>
      <c r="H214" s="371" t="s">
        <v>68</v>
      </c>
      <c r="I214" s="375"/>
      <c r="J214" s="375"/>
      <c r="K214" s="375"/>
      <c r="L214" s="375"/>
      <c r="M214" s="375"/>
      <c r="N214" s="375"/>
      <c r="O214" s="375"/>
      <c r="P214" s="375"/>
      <c r="Q214" s="375"/>
      <c r="R214" s="375"/>
      <c r="S214" s="375"/>
      <c r="T214" s="375"/>
      <c r="U214" s="375"/>
      <c r="V214" s="375"/>
      <c r="W214" s="375"/>
      <c r="X214" s="375"/>
      <c r="Y214" s="375"/>
      <c r="Z214" s="375"/>
      <c r="AA214" s="375"/>
      <c r="AB214" s="370"/>
      <c r="AC214" s="375"/>
      <c r="AD214" s="375"/>
      <c r="AE214" s="375"/>
      <c r="AF214" s="375"/>
      <c r="AG214" s="375"/>
      <c r="AH214" s="375"/>
      <c r="AI214" s="375"/>
      <c r="AJ214" s="375"/>
      <c r="AK214" s="375"/>
      <c r="AL214" s="375"/>
      <c r="AM214" s="375"/>
      <c r="AN214" s="375">
        <v>10000</v>
      </c>
      <c r="AO214" s="375"/>
      <c r="AP214" s="375"/>
      <c r="AQ214" s="390" t="s">
        <v>6509</v>
      </c>
    </row>
    <row r="215" s="363" customFormat="1" ht="18" customHeight="1" spans="1:43">
      <c r="A215" s="368">
        <v>45951</v>
      </c>
      <c r="B215" s="369" t="s">
        <v>6510</v>
      </c>
      <c r="C215" s="371" t="s">
        <v>6142</v>
      </c>
      <c r="D215" s="370">
        <v>77731</v>
      </c>
      <c r="E215" s="370">
        <v>5000</v>
      </c>
      <c r="F215" s="371" t="s">
        <v>6311</v>
      </c>
      <c r="G215" s="370" t="s">
        <v>6088</v>
      </c>
      <c r="H215" s="371" t="s">
        <v>6083</v>
      </c>
      <c r="I215" s="375"/>
      <c r="J215" s="375"/>
      <c r="K215" s="375"/>
      <c r="L215" s="375"/>
      <c r="M215" s="375"/>
      <c r="N215" s="375"/>
      <c r="O215" s="375"/>
      <c r="P215" s="375"/>
      <c r="Q215" s="375"/>
      <c r="R215" s="375"/>
      <c r="S215" s="375"/>
      <c r="T215" s="375"/>
      <c r="U215" s="375"/>
      <c r="V215" s="375"/>
      <c r="W215" s="375"/>
      <c r="X215" s="375"/>
      <c r="Y215" s="375"/>
      <c r="Z215" s="375"/>
      <c r="AA215" s="375"/>
      <c r="AB215" s="370"/>
      <c r="AC215" s="375"/>
      <c r="AD215" s="375"/>
      <c r="AE215" s="375"/>
      <c r="AF215" s="375"/>
      <c r="AG215" s="375"/>
      <c r="AH215" s="375"/>
      <c r="AI215" s="375"/>
      <c r="AJ215" s="375"/>
      <c r="AK215" s="375"/>
      <c r="AL215" s="375"/>
      <c r="AM215" s="375"/>
      <c r="AN215" s="375"/>
      <c r="AO215" s="375">
        <v>5000</v>
      </c>
      <c r="AP215" s="375"/>
      <c r="AQ215" s="390" t="s">
        <v>6509</v>
      </c>
    </row>
    <row r="216" s="363" customFormat="1" ht="18" customHeight="1" spans="1:43">
      <c r="A216" s="368">
        <v>45951</v>
      </c>
      <c r="B216" s="369" t="s">
        <v>6511</v>
      </c>
      <c r="C216" s="371" t="s">
        <v>6142</v>
      </c>
      <c r="D216" s="370">
        <v>77731</v>
      </c>
      <c r="E216" s="370">
        <v>5000</v>
      </c>
      <c r="F216" s="371" t="s">
        <v>6313</v>
      </c>
      <c r="G216" s="370" t="s">
        <v>6207</v>
      </c>
      <c r="H216" s="371" t="s">
        <v>68</v>
      </c>
      <c r="I216" s="375"/>
      <c r="J216" s="375"/>
      <c r="K216" s="375"/>
      <c r="L216" s="375"/>
      <c r="M216" s="375"/>
      <c r="N216" s="375"/>
      <c r="O216" s="375"/>
      <c r="P216" s="375"/>
      <c r="Q216" s="375"/>
      <c r="R216" s="375"/>
      <c r="S216" s="375"/>
      <c r="T216" s="375"/>
      <c r="U216" s="375"/>
      <c r="V216" s="375"/>
      <c r="W216" s="375"/>
      <c r="X216" s="375"/>
      <c r="Y216" s="375"/>
      <c r="Z216" s="375"/>
      <c r="AA216" s="375"/>
      <c r="AB216" s="370"/>
      <c r="AC216" s="375"/>
      <c r="AD216" s="375"/>
      <c r="AE216" s="375"/>
      <c r="AF216" s="375"/>
      <c r="AG216" s="375"/>
      <c r="AH216" s="375"/>
      <c r="AI216" s="375"/>
      <c r="AJ216" s="375"/>
      <c r="AK216" s="375"/>
      <c r="AL216" s="375"/>
      <c r="AM216" s="375"/>
      <c r="AN216" s="375"/>
      <c r="AO216" s="375"/>
      <c r="AP216" s="375">
        <v>5000</v>
      </c>
      <c r="AQ216" s="390" t="s">
        <v>6509</v>
      </c>
    </row>
    <row r="217" s="363" customFormat="1" ht="18" customHeight="1" spans="1:43">
      <c r="A217" s="368">
        <v>45951</v>
      </c>
      <c r="B217" s="369" t="s">
        <v>6512</v>
      </c>
      <c r="C217" s="371" t="s">
        <v>6142</v>
      </c>
      <c r="D217" s="370">
        <v>77785</v>
      </c>
      <c r="E217" s="370">
        <v>1000</v>
      </c>
      <c r="F217" s="371" t="s">
        <v>6130</v>
      </c>
      <c r="G217" s="370" t="s">
        <v>6207</v>
      </c>
      <c r="H217" s="371" t="s">
        <v>68</v>
      </c>
      <c r="I217" s="375"/>
      <c r="J217" s="375"/>
      <c r="K217" s="375"/>
      <c r="L217" s="375"/>
      <c r="M217" s="375"/>
      <c r="N217" s="375"/>
      <c r="O217" s="375"/>
      <c r="P217" s="375"/>
      <c r="Q217" s="375"/>
      <c r="R217" s="375"/>
      <c r="S217" s="375"/>
      <c r="T217" s="375"/>
      <c r="U217" s="375"/>
      <c r="V217" s="375"/>
      <c r="W217" s="375"/>
      <c r="X217" s="375"/>
      <c r="Y217" s="375"/>
      <c r="Z217" s="375"/>
      <c r="AA217" s="375"/>
      <c r="AB217" s="370"/>
      <c r="AC217" s="375"/>
      <c r="AD217" s="375"/>
      <c r="AE217" s="375"/>
      <c r="AF217" s="375"/>
      <c r="AG217" s="375">
        <v>1000</v>
      </c>
      <c r="AH217" s="375"/>
      <c r="AI217" s="375"/>
      <c r="AJ217" s="375"/>
      <c r="AK217" s="375"/>
      <c r="AL217" s="375"/>
      <c r="AM217" s="375"/>
      <c r="AN217" s="375"/>
      <c r="AO217" s="375"/>
      <c r="AP217" s="375"/>
      <c r="AQ217" s="390" t="s">
        <v>6513</v>
      </c>
    </row>
    <row r="218" s="363" customFormat="1" ht="18" customHeight="1" spans="1:43">
      <c r="A218" s="368">
        <v>45953</v>
      </c>
      <c r="B218" s="369">
        <v>1000033303</v>
      </c>
      <c r="C218" s="371" t="s">
        <v>6118</v>
      </c>
      <c r="D218" s="370" t="s">
        <v>3198</v>
      </c>
      <c r="E218" s="370">
        <v>500000</v>
      </c>
      <c r="F218" s="371" t="s">
        <v>6081</v>
      </c>
      <c r="G218" s="370" t="s">
        <v>6082</v>
      </c>
      <c r="H218" s="371" t="s">
        <v>6083</v>
      </c>
      <c r="I218" s="375">
        <v>500000</v>
      </c>
      <c r="J218" s="375"/>
      <c r="K218" s="375"/>
      <c r="L218" s="375"/>
      <c r="M218" s="375"/>
      <c r="N218" s="375"/>
      <c r="O218" s="375"/>
      <c r="P218" s="375"/>
      <c r="Q218" s="375"/>
      <c r="R218" s="375"/>
      <c r="S218" s="375"/>
      <c r="T218" s="375"/>
      <c r="U218" s="375"/>
      <c r="V218" s="375"/>
      <c r="W218" s="375"/>
      <c r="X218" s="375"/>
      <c r="Y218" s="375"/>
      <c r="Z218" s="375"/>
      <c r="AA218" s="375"/>
      <c r="AB218" s="370"/>
      <c r="AC218" s="375"/>
      <c r="AD218" s="375"/>
      <c r="AE218" s="375"/>
      <c r="AF218" s="375"/>
      <c r="AG218" s="375"/>
      <c r="AH218" s="375"/>
      <c r="AI218" s="375"/>
      <c r="AJ218" s="375"/>
      <c r="AK218" s="375"/>
      <c r="AL218" s="375"/>
      <c r="AM218" s="375"/>
      <c r="AN218" s="375"/>
      <c r="AO218" s="375"/>
      <c r="AP218" s="375"/>
      <c r="AQ218" s="390" t="s">
        <v>6274</v>
      </c>
    </row>
    <row r="219" s="363" customFormat="1" ht="18" customHeight="1" spans="1:43">
      <c r="A219" s="368">
        <v>45953</v>
      </c>
      <c r="B219" s="369">
        <v>1000033304</v>
      </c>
      <c r="C219" s="371" t="s">
        <v>6118</v>
      </c>
      <c r="D219" s="370" t="s">
        <v>3198</v>
      </c>
      <c r="E219" s="370">
        <v>20000</v>
      </c>
      <c r="F219" s="371" t="s">
        <v>6276</v>
      </c>
      <c r="G219" s="370" t="s">
        <v>6277</v>
      </c>
      <c r="H219" s="371" t="s">
        <v>6083</v>
      </c>
      <c r="I219" s="375"/>
      <c r="J219" s="375">
        <v>20000</v>
      </c>
      <c r="K219" s="375"/>
      <c r="L219" s="375"/>
      <c r="M219" s="375"/>
      <c r="N219" s="375"/>
      <c r="O219" s="375"/>
      <c r="P219" s="375"/>
      <c r="Q219" s="375"/>
      <c r="R219" s="375"/>
      <c r="S219" s="375"/>
      <c r="T219" s="375"/>
      <c r="U219" s="375"/>
      <c r="V219" s="375"/>
      <c r="W219" s="375"/>
      <c r="X219" s="375"/>
      <c r="Y219" s="375"/>
      <c r="Z219" s="375"/>
      <c r="AA219" s="375"/>
      <c r="AB219" s="370"/>
      <c r="AC219" s="375"/>
      <c r="AD219" s="375"/>
      <c r="AE219" s="375"/>
      <c r="AF219" s="375"/>
      <c r="AG219" s="375"/>
      <c r="AH219" s="375"/>
      <c r="AI219" s="375"/>
      <c r="AJ219" s="375"/>
      <c r="AK219" s="375"/>
      <c r="AL219" s="375"/>
      <c r="AM219" s="375"/>
      <c r="AN219" s="375"/>
      <c r="AO219" s="375"/>
      <c r="AP219" s="375"/>
      <c r="AQ219" s="390" t="s">
        <v>6274</v>
      </c>
    </row>
    <row r="220" s="363" customFormat="1" ht="18" customHeight="1" spans="1:43">
      <c r="A220" s="368">
        <v>45953</v>
      </c>
      <c r="B220" s="369">
        <v>1000033305</v>
      </c>
      <c r="C220" s="371" t="s">
        <v>6118</v>
      </c>
      <c r="D220" s="370" t="s">
        <v>3198</v>
      </c>
      <c r="E220" s="370">
        <v>600000</v>
      </c>
      <c r="F220" s="371" t="s">
        <v>6295</v>
      </c>
      <c r="G220" s="370" t="s">
        <v>6277</v>
      </c>
      <c r="H220" s="371" t="s">
        <v>6156</v>
      </c>
      <c r="I220" s="375"/>
      <c r="J220" s="375"/>
      <c r="K220" s="375"/>
      <c r="L220" s="375"/>
      <c r="M220" s="375"/>
      <c r="N220" s="375">
        <v>600000</v>
      </c>
      <c r="O220" s="375"/>
      <c r="P220" s="375"/>
      <c r="Q220" s="375"/>
      <c r="R220" s="375"/>
      <c r="S220" s="375"/>
      <c r="T220" s="375"/>
      <c r="U220" s="375"/>
      <c r="V220" s="375"/>
      <c r="W220" s="375"/>
      <c r="X220" s="375"/>
      <c r="Y220" s="375"/>
      <c r="Z220" s="375"/>
      <c r="AA220" s="375"/>
      <c r="AB220" s="370"/>
      <c r="AC220" s="375"/>
      <c r="AD220" s="375"/>
      <c r="AE220" s="375"/>
      <c r="AF220" s="375"/>
      <c r="AG220" s="375"/>
      <c r="AH220" s="375"/>
      <c r="AI220" s="375"/>
      <c r="AJ220" s="375"/>
      <c r="AK220" s="375"/>
      <c r="AL220" s="375"/>
      <c r="AM220" s="375"/>
      <c r="AN220" s="375"/>
      <c r="AO220" s="375"/>
      <c r="AP220" s="375"/>
      <c r="AQ220" s="390" t="s">
        <v>6412</v>
      </c>
    </row>
    <row r="221" s="363" customFormat="1" ht="18" customHeight="1" spans="1:43">
      <c r="A221" s="368">
        <v>45953</v>
      </c>
      <c r="B221" s="369">
        <v>1000033306</v>
      </c>
      <c r="C221" s="371" t="s">
        <v>6118</v>
      </c>
      <c r="D221" s="370" t="s">
        <v>6282</v>
      </c>
      <c r="E221" s="370">
        <v>2000</v>
      </c>
      <c r="F221" s="371" t="s">
        <v>6283</v>
      </c>
      <c r="G221" s="370" t="s">
        <v>6082</v>
      </c>
      <c r="H221" s="371" t="s">
        <v>6083</v>
      </c>
      <c r="I221" s="375"/>
      <c r="J221" s="375"/>
      <c r="K221" s="375"/>
      <c r="L221" s="375"/>
      <c r="M221" s="375"/>
      <c r="N221" s="375"/>
      <c r="O221" s="375"/>
      <c r="P221" s="375"/>
      <c r="Q221" s="375"/>
      <c r="R221" s="375"/>
      <c r="S221" s="375"/>
      <c r="T221" s="375"/>
      <c r="U221" s="375"/>
      <c r="V221" s="375"/>
      <c r="W221" s="375"/>
      <c r="X221" s="375"/>
      <c r="Y221" s="375">
        <v>2000</v>
      </c>
      <c r="Z221" s="375"/>
      <c r="AA221" s="375"/>
      <c r="AB221" s="370"/>
      <c r="AC221" s="375"/>
      <c r="AD221" s="375"/>
      <c r="AE221" s="375"/>
      <c r="AF221" s="375"/>
      <c r="AG221" s="375"/>
      <c r="AH221" s="375"/>
      <c r="AI221" s="375"/>
      <c r="AJ221" s="375"/>
      <c r="AK221" s="375"/>
      <c r="AL221" s="375"/>
      <c r="AM221" s="375"/>
      <c r="AN221" s="375"/>
      <c r="AO221" s="375"/>
      <c r="AP221" s="375"/>
      <c r="AQ221" s="390" t="s">
        <v>6280</v>
      </c>
    </row>
    <row r="222" s="363" customFormat="1" ht="18" customHeight="1" spans="1:43">
      <c r="A222" s="368">
        <v>45953</v>
      </c>
      <c r="B222" s="369">
        <v>1000033307</v>
      </c>
      <c r="C222" s="371" t="s">
        <v>6118</v>
      </c>
      <c r="D222" s="370" t="s">
        <v>3272</v>
      </c>
      <c r="E222" s="370">
        <v>1000</v>
      </c>
      <c r="F222" s="371" t="s">
        <v>6331</v>
      </c>
      <c r="G222" s="370" t="s">
        <v>6082</v>
      </c>
      <c r="H222" s="371" t="s">
        <v>6083</v>
      </c>
      <c r="I222" s="375"/>
      <c r="J222" s="375"/>
      <c r="K222" s="375"/>
      <c r="L222" s="375"/>
      <c r="M222" s="375"/>
      <c r="N222" s="375"/>
      <c r="O222" s="375"/>
      <c r="P222" s="375"/>
      <c r="Q222" s="375"/>
      <c r="R222" s="375"/>
      <c r="S222" s="375"/>
      <c r="T222" s="375"/>
      <c r="U222" s="375"/>
      <c r="V222" s="375">
        <v>1000</v>
      </c>
      <c r="W222" s="375"/>
      <c r="X222" s="375"/>
      <c r="Y222" s="375"/>
      <c r="Z222" s="375"/>
      <c r="AA222" s="375"/>
      <c r="AB222" s="370"/>
      <c r="AC222" s="375"/>
      <c r="AD222" s="375"/>
      <c r="AE222" s="375"/>
      <c r="AF222" s="375"/>
      <c r="AG222" s="375"/>
      <c r="AH222" s="375"/>
      <c r="AI222" s="375"/>
      <c r="AJ222" s="375"/>
      <c r="AK222" s="375"/>
      <c r="AL222" s="375"/>
      <c r="AM222" s="375"/>
      <c r="AN222" s="375"/>
      <c r="AO222" s="375"/>
      <c r="AP222" s="375"/>
      <c r="AQ222" s="390" t="s">
        <v>6280</v>
      </c>
    </row>
    <row r="223" s="363" customFormat="1" ht="18" customHeight="1" spans="1:43">
      <c r="A223" s="368">
        <v>45953</v>
      </c>
      <c r="B223" s="369">
        <v>1000033311</v>
      </c>
      <c r="C223" s="371" t="s">
        <v>6118</v>
      </c>
      <c r="D223" s="370" t="s">
        <v>3165</v>
      </c>
      <c r="E223" s="370">
        <v>50000</v>
      </c>
      <c r="F223" s="371" t="s">
        <v>6087</v>
      </c>
      <c r="G223" s="370" t="s">
        <v>6088</v>
      </c>
      <c r="H223" s="371" t="s">
        <v>6083</v>
      </c>
      <c r="I223" s="375"/>
      <c r="J223" s="375"/>
      <c r="K223" s="375"/>
      <c r="L223" s="375"/>
      <c r="M223" s="375">
        <v>50000</v>
      </c>
      <c r="N223" s="375"/>
      <c r="O223" s="375"/>
      <c r="P223" s="375"/>
      <c r="Q223" s="375"/>
      <c r="R223" s="375"/>
      <c r="S223" s="375"/>
      <c r="T223" s="375"/>
      <c r="U223" s="375"/>
      <c r="V223" s="375"/>
      <c r="W223" s="375"/>
      <c r="X223" s="375"/>
      <c r="Y223" s="375"/>
      <c r="Z223" s="375"/>
      <c r="AA223" s="375"/>
      <c r="AB223" s="370"/>
      <c r="AC223" s="375"/>
      <c r="AD223" s="375"/>
      <c r="AE223" s="375"/>
      <c r="AF223" s="375"/>
      <c r="AG223" s="375"/>
      <c r="AH223" s="375"/>
      <c r="AI223" s="375"/>
      <c r="AJ223" s="375"/>
      <c r="AK223" s="375"/>
      <c r="AL223" s="375"/>
      <c r="AM223" s="375"/>
      <c r="AN223" s="375"/>
      <c r="AO223" s="375"/>
      <c r="AP223" s="375"/>
      <c r="AQ223" s="390" t="s">
        <v>6287</v>
      </c>
    </row>
    <row r="224" s="363" customFormat="1" ht="18" customHeight="1" spans="1:43">
      <c r="A224" s="368">
        <v>45953</v>
      </c>
      <c r="B224" s="369">
        <v>1000033312</v>
      </c>
      <c r="C224" s="371" t="s">
        <v>6118</v>
      </c>
      <c r="D224" s="370" t="s">
        <v>3206</v>
      </c>
      <c r="E224" s="370">
        <v>2500</v>
      </c>
      <c r="F224" s="371" t="s">
        <v>6306</v>
      </c>
      <c r="G224" s="370" t="s">
        <v>6088</v>
      </c>
      <c r="H224" s="371" t="s">
        <v>6083</v>
      </c>
      <c r="I224" s="375"/>
      <c r="J224" s="375"/>
      <c r="K224" s="375"/>
      <c r="L224" s="375"/>
      <c r="M224" s="375"/>
      <c r="N224" s="375"/>
      <c r="O224" s="375"/>
      <c r="P224" s="375"/>
      <c r="Q224" s="375"/>
      <c r="R224" s="375"/>
      <c r="S224" s="375"/>
      <c r="T224" s="375"/>
      <c r="U224" s="375"/>
      <c r="V224" s="375"/>
      <c r="W224" s="375"/>
      <c r="X224" s="375">
        <v>2500</v>
      </c>
      <c r="Y224" s="375"/>
      <c r="Z224" s="375"/>
      <c r="AA224" s="375"/>
      <c r="AB224" s="370"/>
      <c r="AC224" s="375"/>
      <c r="AD224" s="375"/>
      <c r="AE224" s="375"/>
      <c r="AF224" s="375"/>
      <c r="AG224" s="375"/>
      <c r="AH224" s="375"/>
      <c r="AI224" s="375"/>
      <c r="AJ224" s="375"/>
      <c r="AK224" s="375"/>
      <c r="AL224" s="375"/>
      <c r="AM224" s="375"/>
      <c r="AN224" s="375"/>
      <c r="AO224" s="375"/>
      <c r="AP224" s="375"/>
      <c r="AQ224" s="390" t="s">
        <v>6289</v>
      </c>
    </row>
    <row r="225" s="363" customFormat="1" ht="18" customHeight="1" spans="1:43">
      <c r="A225" s="368">
        <v>45953</v>
      </c>
      <c r="B225" s="369" t="s">
        <v>6514</v>
      </c>
      <c r="C225" s="371" t="s">
        <v>6234</v>
      </c>
      <c r="D225" s="370">
        <v>77785</v>
      </c>
      <c r="E225" s="370">
        <v>9464</v>
      </c>
      <c r="F225" s="371" t="s">
        <v>6515</v>
      </c>
      <c r="G225" s="370" t="s">
        <v>6082</v>
      </c>
      <c r="H225" s="371" t="s">
        <v>68</v>
      </c>
      <c r="I225" s="375"/>
      <c r="J225" s="375"/>
      <c r="K225" s="375"/>
      <c r="L225" s="375"/>
      <c r="M225" s="375"/>
      <c r="N225" s="375"/>
      <c r="O225" s="375"/>
      <c r="P225" s="375"/>
      <c r="Q225" s="375"/>
      <c r="R225" s="375"/>
      <c r="S225" s="375"/>
      <c r="T225" s="375"/>
      <c r="U225" s="375"/>
      <c r="V225" s="375"/>
      <c r="W225" s="375"/>
      <c r="X225" s="375"/>
      <c r="Y225" s="375"/>
      <c r="Z225" s="375"/>
      <c r="AA225" s="375"/>
      <c r="AB225" s="370"/>
      <c r="AC225" s="375"/>
      <c r="AD225" s="375"/>
      <c r="AE225" s="375"/>
      <c r="AF225" s="375"/>
      <c r="AG225" s="375">
        <v>9464</v>
      </c>
      <c r="AH225" s="375"/>
      <c r="AI225" s="375"/>
      <c r="AJ225" s="375"/>
      <c r="AK225" s="375"/>
      <c r="AL225" s="375"/>
      <c r="AM225" s="375"/>
      <c r="AN225" s="375"/>
      <c r="AO225" s="375"/>
      <c r="AP225" s="375"/>
      <c r="AQ225" s="390" t="s">
        <v>6516</v>
      </c>
    </row>
    <row r="226" s="363" customFormat="1" ht="18" customHeight="1" spans="1:43">
      <c r="A226" s="368">
        <v>45953</v>
      </c>
      <c r="B226" s="369" t="s">
        <v>6514</v>
      </c>
      <c r="C226" s="371" t="s">
        <v>6234</v>
      </c>
      <c r="D226" s="370" t="s">
        <v>6517</v>
      </c>
      <c r="E226" s="370">
        <v>1183</v>
      </c>
      <c r="F226" s="371" t="s">
        <v>6321</v>
      </c>
      <c r="G226" s="370" t="s">
        <v>6082</v>
      </c>
      <c r="H226" s="371" t="s">
        <v>68</v>
      </c>
      <c r="I226" s="375"/>
      <c r="J226" s="375"/>
      <c r="K226" s="375"/>
      <c r="L226" s="375"/>
      <c r="M226" s="375"/>
      <c r="N226" s="375"/>
      <c r="O226" s="375"/>
      <c r="P226" s="375"/>
      <c r="Q226" s="375"/>
      <c r="R226" s="375"/>
      <c r="S226" s="375"/>
      <c r="T226" s="375"/>
      <c r="U226" s="375"/>
      <c r="V226" s="375"/>
      <c r="W226" s="375"/>
      <c r="X226" s="375"/>
      <c r="Y226" s="375"/>
      <c r="Z226" s="375"/>
      <c r="AA226" s="375"/>
      <c r="AB226" s="370"/>
      <c r="AC226" s="375"/>
      <c r="AD226" s="375"/>
      <c r="AE226" s="375"/>
      <c r="AF226" s="375">
        <v>1183</v>
      </c>
      <c r="AG226" s="375"/>
      <c r="AH226" s="375"/>
      <c r="AI226" s="375"/>
      <c r="AJ226" s="375"/>
      <c r="AK226" s="375"/>
      <c r="AL226" s="375"/>
      <c r="AM226" s="375"/>
      <c r="AN226" s="375"/>
      <c r="AO226" s="375"/>
      <c r="AP226" s="375"/>
      <c r="AQ226" s="390" t="s">
        <v>6516</v>
      </c>
    </row>
    <row r="227" s="363" customFormat="1" ht="18" customHeight="1" spans="1:43">
      <c r="A227" s="368">
        <v>45954</v>
      </c>
      <c r="B227" s="369" t="s">
        <v>6518</v>
      </c>
      <c r="C227" s="371" t="s">
        <v>6234</v>
      </c>
      <c r="D227" s="370">
        <v>77731</v>
      </c>
      <c r="E227" s="370">
        <v>13848</v>
      </c>
      <c r="F227" s="371" t="s">
        <v>6308</v>
      </c>
      <c r="G227" s="370" t="s">
        <v>6207</v>
      </c>
      <c r="H227" s="371" t="s">
        <v>68</v>
      </c>
      <c r="I227" s="375"/>
      <c r="J227" s="375"/>
      <c r="K227" s="375"/>
      <c r="L227" s="375"/>
      <c r="M227" s="375"/>
      <c r="N227" s="375"/>
      <c r="O227" s="375"/>
      <c r="P227" s="375"/>
      <c r="Q227" s="375"/>
      <c r="R227" s="375"/>
      <c r="S227" s="375"/>
      <c r="T227" s="375"/>
      <c r="U227" s="375"/>
      <c r="V227" s="375"/>
      <c r="W227" s="375"/>
      <c r="X227" s="375"/>
      <c r="Y227" s="375"/>
      <c r="Z227" s="375"/>
      <c r="AA227" s="375"/>
      <c r="AB227" s="370"/>
      <c r="AC227" s="375"/>
      <c r="AD227" s="375"/>
      <c r="AE227" s="375"/>
      <c r="AF227" s="375"/>
      <c r="AG227" s="375"/>
      <c r="AH227" s="375"/>
      <c r="AI227" s="375"/>
      <c r="AJ227" s="375"/>
      <c r="AK227" s="375"/>
      <c r="AL227" s="375"/>
      <c r="AM227" s="375"/>
      <c r="AN227" s="375">
        <v>13848</v>
      </c>
      <c r="AO227" s="375"/>
      <c r="AP227" s="375"/>
      <c r="AQ227" s="390" t="s">
        <v>6519</v>
      </c>
    </row>
    <row r="228" s="363" customFormat="1" ht="18" customHeight="1" spans="1:43">
      <c r="A228" s="368">
        <v>45954</v>
      </c>
      <c r="B228" s="369" t="s">
        <v>6518</v>
      </c>
      <c r="C228" s="371" t="s">
        <v>6234</v>
      </c>
      <c r="D228" s="370">
        <v>77731</v>
      </c>
      <c r="E228" s="370">
        <v>13848</v>
      </c>
      <c r="F228" s="371" t="s">
        <v>6311</v>
      </c>
      <c r="G228" s="370" t="s">
        <v>6088</v>
      </c>
      <c r="H228" s="371" t="s">
        <v>68</v>
      </c>
      <c r="I228" s="375"/>
      <c r="J228" s="375"/>
      <c r="K228" s="375"/>
      <c r="L228" s="375"/>
      <c r="M228" s="375"/>
      <c r="N228" s="375"/>
      <c r="O228" s="375"/>
      <c r="P228" s="375"/>
      <c r="Q228" s="375"/>
      <c r="R228" s="375"/>
      <c r="S228" s="375"/>
      <c r="T228" s="375"/>
      <c r="U228" s="375"/>
      <c r="V228" s="375"/>
      <c r="W228" s="375"/>
      <c r="X228" s="375"/>
      <c r="Y228" s="375"/>
      <c r="Z228" s="375"/>
      <c r="AA228" s="375"/>
      <c r="AB228" s="370"/>
      <c r="AC228" s="375"/>
      <c r="AD228" s="375"/>
      <c r="AE228" s="375"/>
      <c r="AF228" s="375"/>
      <c r="AG228" s="375"/>
      <c r="AH228" s="375"/>
      <c r="AI228" s="375"/>
      <c r="AJ228" s="375"/>
      <c r="AK228" s="375"/>
      <c r="AL228" s="375"/>
      <c r="AM228" s="375"/>
      <c r="AN228" s="375"/>
      <c r="AO228" s="375">
        <v>13848</v>
      </c>
      <c r="AP228" s="375"/>
      <c r="AQ228" s="390" t="s">
        <v>6519</v>
      </c>
    </row>
    <row r="229" s="363" customFormat="1" ht="18" customHeight="1" spans="1:43">
      <c r="A229" s="368">
        <v>45954</v>
      </c>
      <c r="B229" s="369" t="s">
        <v>6518</v>
      </c>
      <c r="C229" s="371" t="s">
        <v>6234</v>
      </c>
      <c r="D229" s="370">
        <v>77731</v>
      </c>
      <c r="E229" s="370">
        <v>13848</v>
      </c>
      <c r="F229" s="371" t="s">
        <v>6313</v>
      </c>
      <c r="G229" s="370" t="s">
        <v>6207</v>
      </c>
      <c r="H229" s="371" t="s">
        <v>68</v>
      </c>
      <c r="I229" s="375"/>
      <c r="J229" s="375"/>
      <c r="K229" s="375"/>
      <c r="L229" s="375"/>
      <c r="M229" s="375"/>
      <c r="N229" s="375"/>
      <c r="O229" s="375"/>
      <c r="P229" s="375"/>
      <c r="Q229" s="375"/>
      <c r="R229" s="375"/>
      <c r="S229" s="375"/>
      <c r="T229" s="375"/>
      <c r="U229" s="375"/>
      <c r="V229" s="375"/>
      <c r="W229" s="375"/>
      <c r="X229" s="375"/>
      <c r="Y229" s="375"/>
      <c r="Z229" s="375"/>
      <c r="AA229" s="375"/>
      <c r="AB229" s="370"/>
      <c r="AC229" s="375"/>
      <c r="AD229" s="375"/>
      <c r="AE229" s="375"/>
      <c r="AF229" s="375"/>
      <c r="AG229" s="375"/>
      <c r="AH229" s="375"/>
      <c r="AI229" s="375"/>
      <c r="AJ229" s="375"/>
      <c r="AK229" s="375"/>
      <c r="AL229" s="375"/>
      <c r="AM229" s="375"/>
      <c r="AN229" s="375"/>
      <c r="AO229" s="375"/>
      <c r="AP229" s="375">
        <v>13848</v>
      </c>
      <c r="AQ229" s="390" t="s">
        <v>6519</v>
      </c>
    </row>
    <row r="230" s="363" customFormat="1" ht="18" customHeight="1" spans="1:43">
      <c r="A230" s="368">
        <v>45954</v>
      </c>
      <c r="B230" s="369" t="s">
        <v>6520</v>
      </c>
      <c r="C230" s="371" t="s">
        <v>6234</v>
      </c>
      <c r="D230" s="370">
        <v>77731</v>
      </c>
      <c r="E230" s="370">
        <v>27696</v>
      </c>
      <c r="F230" s="371" t="s">
        <v>6326</v>
      </c>
      <c r="G230" s="370" t="s">
        <v>6088</v>
      </c>
      <c r="H230" s="371" t="s">
        <v>68</v>
      </c>
      <c r="I230" s="375"/>
      <c r="J230" s="375"/>
      <c r="K230" s="375">
        <v>27696</v>
      </c>
      <c r="L230" s="375"/>
      <c r="M230" s="375"/>
      <c r="N230" s="375"/>
      <c r="O230" s="375"/>
      <c r="P230" s="375"/>
      <c r="Q230" s="375"/>
      <c r="R230" s="375"/>
      <c r="S230" s="375"/>
      <c r="T230" s="375"/>
      <c r="U230" s="375"/>
      <c r="V230" s="375"/>
      <c r="W230" s="375"/>
      <c r="X230" s="375"/>
      <c r="Y230" s="375"/>
      <c r="Z230" s="375"/>
      <c r="AA230" s="375"/>
      <c r="AB230" s="370"/>
      <c r="AC230" s="375"/>
      <c r="AD230" s="375"/>
      <c r="AE230" s="375"/>
      <c r="AF230" s="375"/>
      <c r="AG230" s="375"/>
      <c r="AH230" s="375"/>
      <c r="AI230" s="375"/>
      <c r="AJ230" s="375"/>
      <c r="AK230" s="375"/>
      <c r="AL230" s="375"/>
      <c r="AM230" s="375"/>
      <c r="AN230" s="375"/>
      <c r="AO230" s="375"/>
      <c r="AP230" s="375"/>
      <c r="AQ230" s="390" t="s">
        <v>6521</v>
      </c>
    </row>
    <row r="231" s="363" customFormat="1" ht="18" customHeight="1" spans="1:43">
      <c r="A231" s="368">
        <v>45960</v>
      </c>
      <c r="B231" s="369" t="s">
        <v>6522</v>
      </c>
      <c r="C231" s="371" t="s">
        <v>6129</v>
      </c>
      <c r="D231" s="370" t="s">
        <v>6320</v>
      </c>
      <c r="E231" s="370">
        <v>15780</v>
      </c>
      <c r="F231" s="371" t="s">
        <v>6321</v>
      </c>
      <c r="G231" s="370" t="s">
        <v>6082</v>
      </c>
      <c r="H231" s="371" t="s">
        <v>6083</v>
      </c>
      <c r="I231" s="375"/>
      <c r="J231" s="375"/>
      <c r="K231" s="375"/>
      <c r="L231" s="375"/>
      <c r="M231" s="375"/>
      <c r="N231" s="375"/>
      <c r="O231" s="375"/>
      <c r="P231" s="375"/>
      <c r="Q231" s="375"/>
      <c r="R231" s="375"/>
      <c r="S231" s="375"/>
      <c r="T231" s="375"/>
      <c r="U231" s="375"/>
      <c r="V231" s="375"/>
      <c r="W231" s="375"/>
      <c r="X231" s="375"/>
      <c r="Y231" s="375"/>
      <c r="Z231" s="375"/>
      <c r="AA231" s="375"/>
      <c r="AB231" s="370">
        <v>15780</v>
      </c>
      <c r="AC231" s="375"/>
      <c r="AD231" s="375"/>
      <c r="AE231" s="375"/>
      <c r="AF231" s="375"/>
      <c r="AG231" s="375"/>
      <c r="AH231" s="375"/>
      <c r="AI231" s="375"/>
      <c r="AJ231" s="375"/>
      <c r="AK231" s="375"/>
      <c r="AL231" s="375"/>
      <c r="AM231" s="375"/>
      <c r="AN231" s="375"/>
      <c r="AO231" s="375"/>
      <c r="AP231" s="375"/>
      <c r="AQ231" s="390" t="s">
        <v>6507</v>
      </c>
    </row>
    <row r="232" s="363" customFormat="1" ht="18" customHeight="1" spans="1:43">
      <c r="A232" s="368">
        <v>45960</v>
      </c>
      <c r="B232" s="369">
        <v>1000033547</v>
      </c>
      <c r="C232" s="371" t="s">
        <v>6118</v>
      </c>
      <c r="D232" s="370" t="s">
        <v>3198</v>
      </c>
      <c r="E232" s="370">
        <v>500000</v>
      </c>
      <c r="F232" s="371" t="s">
        <v>6081</v>
      </c>
      <c r="G232" s="370" t="s">
        <v>6082</v>
      </c>
      <c r="H232" s="371" t="s">
        <v>6083</v>
      </c>
      <c r="I232" s="375">
        <v>500000</v>
      </c>
      <c r="J232" s="375"/>
      <c r="K232" s="375"/>
      <c r="L232" s="375"/>
      <c r="M232" s="375"/>
      <c r="N232" s="375"/>
      <c r="O232" s="375"/>
      <c r="P232" s="375"/>
      <c r="Q232" s="375"/>
      <c r="R232" s="375"/>
      <c r="S232" s="375"/>
      <c r="T232" s="375"/>
      <c r="U232" s="375"/>
      <c r="V232" s="375"/>
      <c r="W232" s="375"/>
      <c r="X232" s="375"/>
      <c r="Y232" s="375"/>
      <c r="Z232" s="375"/>
      <c r="AA232" s="375"/>
      <c r="AB232" s="370"/>
      <c r="AC232" s="375"/>
      <c r="AD232" s="375"/>
      <c r="AE232" s="375"/>
      <c r="AF232" s="375"/>
      <c r="AG232" s="375"/>
      <c r="AH232" s="375"/>
      <c r="AI232" s="375"/>
      <c r="AJ232" s="375"/>
      <c r="AK232" s="375"/>
      <c r="AL232" s="375"/>
      <c r="AM232" s="375"/>
      <c r="AN232" s="375"/>
      <c r="AO232" s="375"/>
      <c r="AP232" s="375"/>
      <c r="AQ232" s="390" t="s">
        <v>6274</v>
      </c>
    </row>
    <row r="233" s="363" customFormat="1" ht="18" customHeight="1" spans="1:43">
      <c r="A233" s="368">
        <v>45960</v>
      </c>
      <c r="B233" s="369">
        <v>1000033548</v>
      </c>
      <c r="C233" s="371" t="s">
        <v>6118</v>
      </c>
      <c r="D233" s="370" t="s">
        <v>3198</v>
      </c>
      <c r="E233" s="370">
        <v>20000</v>
      </c>
      <c r="F233" s="371" t="s">
        <v>6276</v>
      </c>
      <c r="G233" s="370" t="s">
        <v>6277</v>
      </c>
      <c r="H233" s="371" t="s">
        <v>6083</v>
      </c>
      <c r="I233" s="375"/>
      <c r="J233" s="375"/>
      <c r="K233" s="375"/>
      <c r="L233" s="375"/>
      <c r="M233" s="375"/>
      <c r="N233" s="375"/>
      <c r="O233" s="375"/>
      <c r="P233" s="375"/>
      <c r="Q233" s="375"/>
      <c r="R233" s="375"/>
      <c r="S233" s="375"/>
      <c r="T233" s="375"/>
      <c r="U233" s="375"/>
      <c r="V233" s="375"/>
      <c r="W233" s="375"/>
      <c r="X233" s="375"/>
      <c r="Y233" s="375"/>
      <c r="Z233" s="375"/>
      <c r="AA233" s="375"/>
      <c r="AB233" s="370"/>
      <c r="AC233" s="375"/>
      <c r="AD233" s="375"/>
      <c r="AE233" s="375"/>
      <c r="AF233" s="375"/>
      <c r="AG233" s="375"/>
      <c r="AH233" s="375"/>
      <c r="AI233" s="375"/>
      <c r="AJ233" s="375"/>
      <c r="AK233" s="375"/>
      <c r="AL233" s="375"/>
      <c r="AM233" s="375"/>
      <c r="AN233" s="375"/>
      <c r="AO233" s="375"/>
      <c r="AP233" s="375"/>
      <c r="AQ233" s="390" t="s">
        <v>6274</v>
      </c>
    </row>
    <row r="234" s="363" customFormat="1" ht="18" customHeight="1" spans="1:43">
      <c r="A234" s="368">
        <v>45960</v>
      </c>
      <c r="B234" s="369">
        <v>1000033549</v>
      </c>
      <c r="C234" s="371" t="s">
        <v>6118</v>
      </c>
      <c r="D234" s="370" t="s">
        <v>3198</v>
      </c>
      <c r="E234" s="370">
        <v>600000</v>
      </c>
      <c r="F234" s="371" t="s">
        <v>6295</v>
      </c>
      <c r="G234" s="370" t="s">
        <v>6277</v>
      </c>
      <c r="H234" s="371" t="s">
        <v>6156</v>
      </c>
      <c r="I234" s="375"/>
      <c r="J234" s="375">
        <v>20000</v>
      </c>
      <c r="K234" s="375"/>
      <c r="L234" s="375"/>
      <c r="M234" s="375"/>
      <c r="N234" s="375">
        <v>600000</v>
      </c>
      <c r="O234" s="375"/>
      <c r="P234" s="375"/>
      <c r="Q234" s="375"/>
      <c r="R234" s="375"/>
      <c r="S234" s="375"/>
      <c r="T234" s="375"/>
      <c r="U234" s="375"/>
      <c r="V234" s="375"/>
      <c r="W234" s="375"/>
      <c r="X234" s="375"/>
      <c r="Y234" s="375"/>
      <c r="Z234" s="375"/>
      <c r="AA234" s="375"/>
      <c r="AB234" s="370"/>
      <c r="AC234" s="375"/>
      <c r="AD234" s="375"/>
      <c r="AE234" s="375"/>
      <c r="AF234" s="375"/>
      <c r="AG234" s="375"/>
      <c r="AH234" s="375"/>
      <c r="AI234" s="375"/>
      <c r="AJ234" s="375"/>
      <c r="AK234" s="375"/>
      <c r="AL234" s="375"/>
      <c r="AM234" s="375"/>
      <c r="AN234" s="375"/>
      <c r="AO234" s="375"/>
      <c r="AP234" s="375"/>
      <c r="AQ234" s="390" t="s">
        <v>6412</v>
      </c>
    </row>
    <row r="235" s="363" customFormat="1" ht="18" customHeight="1" spans="1:43">
      <c r="A235" s="368">
        <v>45960</v>
      </c>
      <c r="B235" s="369">
        <v>1000033550</v>
      </c>
      <c r="C235" s="371" t="s">
        <v>6118</v>
      </c>
      <c r="D235" s="370" t="s">
        <v>6282</v>
      </c>
      <c r="E235" s="370">
        <v>2000</v>
      </c>
      <c r="F235" s="371" t="s">
        <v>6283</v>
      </c>
      <c r="G235" s="370" t="s">
        <v>6082</v>
      </c>
      <c r="H235" s="371" t="s">
        <v>6083</v>
      </c>
      <c r="I235" s="375"/>
      <c r="J235" s="375"/>
      <c r="K235" s="375"/>
      <c r="L235" s="375"/>
      <c r="M235" s="375"/>
      <c r="N235" s="375"/>
      <c r="O235" s="375"/>
      <c r="P235" s="375"/>
      <c r="Q235" s="375"/>
      <c r="R235" s="375"/>
      <c r="S235" s="375"/>
      <c r="T235" s="375"/>
      <c r="U235" s="375"/>
      <c r="V235" s="375"/>
      <c r="W235" s="375"/>
      <c r="X235" s="375"/>
      <c r="Y235" s="375">
        <v>2000</v>
      </c>
      <c r="Z235" s="375"/>
      <c r="AA235" s="375"/>
      <c r="AB235" s="370"/>
      <c r="AC235" s="375"/>
      <c r="AD235" s="375"/>
      <c r="AE235" s="375"/>
      <c r="AF235" s="375"/>
      <c r="AG235" s="375"/>
      <c r="AH235" s="375"/>
      <c r="AI235" s="375"/>
      <c r="AJ235" s="375"/>
      <c r="AK235" s="375"/>
      <c r="AL235" s="375"/>
      <c r="AM235" s="375"/>
      <c r="AN235" s="375"/>
      <c r="AO235" s="375"/>
      <c r="AP235" s="375"/>
      <c r="AQ235" s="390" t="s">
        <v>6280</v>
      </c>
    </row>
    <row r="236" s="363" customFormat="1" ht="18" customHeight="1" spans="1:43">
      <c r="A236" s="368">
        <v>45960</v>
      </c>
      <c r="B236" s="369">
        <v>1000033551</v>
      </c>
      <c r="C236" s="371" t="s">
        <v>6118</v>
      </c>
      <c r="D236" s="370" t="s">
        <v>6282</v>
      </c>
      <c r="E236" s="370">
        <v>500</v>
      </c>
      <c r="F236" s="371" t="s">
        <v>6285</v>
      </c>
      <c r="G236" s="370" t="s">
        <v>6277</v>
      </c>
      <c r="H236" s="371" t="s">
        <v>6083</v>
      </c>
      <c r="I236" s="375"/>
      <c r="J236" s="375"/>
      <c r="K236" s="375"/>
      <c r="L236" s="375"/>
      <c r="M236" s="375"/>
      <c r="N236" s="375"/>
      <c r="O236" s="375"/>
      <c r="P236" s="375"/>
      <c r="Q236" s="375"/>
      <c r="R236" s="375"/>
      <c r="S236" s="375"/>
      <c r="T236" s="375"/>
      <c r="U236" s="375"/>
      <c r="V236" s="375"/>
      <c r="W236" s="375"/>
      <c r="X236" s="375"/>
      <c r="Y236" s="375"/>
      <c r="Z236" s="375">
        <v>500</v>
      </c>
      <c r="AA236" s="375"/>
      <c r="AB236" s="370"/>
      <c r="AC236" s="375"/>
      <c r="AD236" s="375"/>
      <c r="AE236" s="375"/>
      <c r="AF236" s="375"/>
      <c r="AG236" s="375"/>
      <c r="AH236" s="375"/>
      <c r="AI236" s="375"/>
      <c r="AJ236" s="375"/>
      <c r="AK236" s="375"/>
      <c r="AL236" s="375"/>
      <c r="AM236" s="375"/>
      <c r="AN236" s="375"/>
      <c r="AO236" s="375"/>
      <c r="AP236" s="375"/>
      <c r="AQ236" s="390" t="s">
        <v>6280</v>
      </c>
    </row>
    <row r="237" s="363" customFormat="1" ht="18" customHeight="1" spans="1:43">
      <c r="A237" s="368">
        <v>45960</v>
      </c>
      <c r="B237" s="369">
        <v>1000033552</v>
      </c>
      <c r="C237" s="371" t="s">
        <v>6118</v>
      </c>
      <c r="D237" s="370" t="s">
        <v>3272</v>
      </c>
      <c r="E237" s="370">
        <v>500</v>
      </c>
      <c r="F237" s="371" t="s">
        <v>6331</v>
      </c>
      <c r="G237" s="370" t="s">
        <v>6082</v>
      </c>
      <c r="H237" s="371" t="s">
        <v>6083</v>
      </c>
      <c r="I237" s="375"/>
      <c r="J237" s="375"/>
      <c r="K237" s="375"/>
      <c r="L237" s="375"/>
      <c r="M237" s="375"/>
      <c r="N237" s="375"/>
      <c r="O237" s="375"/>
      <c r="P237" s="375"/>
      <c r="Q237" s="375"/>
      <c r="R237" s="375"/>
      <c r="S237" s="375"/>
      <c r="T237" s="375"/>
      <c r="U237" s="375"/>
      <c r="V237" s="375">
        <v>500</v>
      </c>
      <c r="W237" s="375"/>
      <c r="X237" s="375"/>
      <c r="Y237" s="375"/>
      <c r="Z237" s="375"/>
      <c r="AA237" s="375"/>
      <c r="AB237" s="370"/>
      <c r="AC237" s="375"/>
      <c r="AD237" s="375"/>
      <c r="AE237" s="375"/>
      <c r="AF237" s="375"/>
      <c r="AG237" s="375"/>
      <c r="AH237" s="375"/>
      <c r="AI237" s="375"/>
      <c r="AJ237" s="375"/>
      <c r="AK237" s="375"/>
      <c r="AL237" s="375"/>
      <c r="AM237" s="375"/>
      <c r="AN237" s="375"/>
      <c r="AO237" s="375"/>
      <c r="AP237" s="375"/>
      <c r="AQ237" s="390" t="s">
        <v>6280</v>
      </c>
    </row>
    <row r="238" s="363" customFormat="1" ht="18" customHeight="1" spans="1:43">
      <c r="A238" s="368">
        <v>45960</v>
      </c>
      <c r="B238" s="369">
        <v>1000033557</v>
      </c>
      <c r="C238" s="371" t="s">
        <v>6118</v>
      </c>
      <c r="D238" s="370" t="s">
        <v>3206</v>
      </c>
      <c r="E238" s="370">
        <v>3000</v>
      </c>
      <c r="F238" s="371" t="s">
        <v>6306</v>
      </c>
      <c r="G238" s="370" t="s">
        <v>6088</v>
      </c>
      <c r="H238" s="371" t="s">
        <v>6083</v>
      </c>
      <c r="I238" s="375"/>
      <c r="J238" s="375"/>
      <c r="K238" s="375"/>
      <c r="L238" s="375"/>
      <c r="M238" s="375"/>
      <c r="N238" s="375"/>
      <c r="O238" s="375"/>
      <c r="P238" s="375"/>
      <c r="Q238" s="375"/>
      <c r="R238" s="375"/>
      <c r="S238" s="375"/>
      <c r="T238" s="375"/>
      <c r="U238" s="375"/>
      <c r="V238" s="375"/>
      <c r="W238" s="375"/>
      <c r="X238" s="375">
        <v>3000</v>
      </c>
      <c r="Y238" s="375"/>
      <c r="Z238" s="375"/>
      <c r="AA238" s="375"/>
      <c r="AB238" s="370"/>
      <c r="AC238" s="375"/>
      <c r="AD238" s="375"/>
      <c r="AE238" s="375"/>
      <c r="AF238" s="375"/>
      <c r="AG238" s="375"/>
      <c r="AH238" s="375"/>
      <c r="AI238" s="375"/>
      <c r="AJ238" s="375"/>
      <c r="AK238" s="375"/>
      <c r="AL238" s="375"/>
      <c r="AM238" s="375"/>
      <c r="AN238" s="375"/>
      <c r="AO238" s="375"/>
      <c r="AP238" s="375"/>
      <c r="AQ238" s="390" t="s">
        <v>6289</v>
      </c>
    </row>
    <row r="239" s="363" customFormat="1" ht="18" customHeight="1" spans="1:43">
      <c r="A239" s="368">
        <v>45964</v>
      </c>
      <c r="B239" s="369" t="s">
        <v>6523</v>
      </c>
      <c r="C239" s="371" t="s">
        <v>6118</v>
      </c>
      <c r="D239" s="370" t="s">
        <v>3206</v>
      </c>
      <c r="E239" s="370">
        <v>3000</v>
      </c>
      <c r="F239" s="371" t="s">
        <v>6306</v>
      </c>
      <c r="G239" s="370" t="s">
        <v>6088</v>
      </c>
      <c r="H239" s="371" t="s">
        <v>6083</v>
      </c>
      <c r="I239" s="375"/>
      <c r="J239" s="375"/>
      <c r="K239" s="375"/>
      <c r="L239" s="375"/>
      <c r="M239" s="375"/>
      <c r="N239" s="375"/>
      <c r="O239" s="375"/>
      <c r="P239" s="375"/>
      <c r="Q239" s="375"/>
      <c r="R239" s="375"/>
      <c r="S239" s="375"/>
      <c r="T239" s="375"/>
      <c r="U239" s="375"/>
      <c r="V239" s="375"/>
      <c r="W239" s="375"/>
      <c r="X239" s="375">
        <v>3000</v>
      </c>
      <c r="Y239" s="375"/>
      <c r="Z239" s="375"/>
      <c r="AA239" s="375"/>
      <c r="AB239" s="370"/>
      <c r="AC239" s="375"/>
      <c r="AD239" s="375"/>
      <c r="AE239" s="375"/>
      <c r="AF239" s="375"/>
      <c r="AG239" s="375"/>
      <c r="AH239" s="375"/>
      <c r="AI239" s="375"/>
      <c r="AJ239" s="375"/>
      <c r="AK239" s="375"/>
      <c r="AL239" s="375"/>
      <c r="AM239" s="375"/>
      <c r="AN239" s="375"/>
      <c r="AO239" s="375"/>
      <c r="AP239" s="375"/>
      <c r="AQ239" s="390"/>
    </row>
    <row r="240" s="363" customFormat="1" ht="18" customHeight="1" spans="1:43">
      <c r="A240" s="368">
        <v>45964</v>
      </c>
      <c r="B240" s="369" t="s">
        <v>6524</v>
      </c>
      <c r="C240" s="371" t="s">
        <v>6118</v>
      </c>
      <c r="D240" s="370" t="s">
        <v>3165</v>
      </c>
      <c r="E240" s="370">
        <v>500</v>
      </c>
      <c r="F240" s="371" t="s">
        <v>6291</v>
      </c>
      <c r="G240" s="370" t="s">
        <v>6088</v>
      </c>
      <c r="H240" s="371" t="s">
        <v>6083</v>
      </c>
      <c r="I240" s="375"/>
      <c r="J240" s="375"/>
      <c r="K240" s="375"/>
      <c r="L240" s="375"/>
      <c r="M240" s="375"/>
      <c r="N240" s="375"/>
      <c r="O240" s="375"/>
      <c r="P240" s="375"/>
      <c r="Q240" s="375"/>
      <c r="R240" s="375"/>
      <c r="S240" s="375"/>
      <c r="T240" s="375"/>
      <c r="U240" s="375"/>
      <c r="V240" s="375"/>
      <c r="W240" s="375"/>
      <c r="X240" s="375"/>
      <c r="Y240" s="375"/>
      <c r="Z240" s="375"/>
      <c r="AA240" s="375">
        <v>500</v>
      </c>
      <c r="AB240" s="370"/>
      <c r="AC240" s="375"/>
      <c r="AD240" s="375"/>
      <c r="AE240" s="375"/>
      <c r="AF240" s="375"/>
      <c r="AG240" s="375"/>
      <c r="AH240" s="375"/>
      <c r="AI240" s="375"/>
      <c r="AJ240" s="375"/>
      <c r="AK240" s="375"/>
      <c r="AL240" s="375"/>
      <c r="AM240" s="375"/>
      <c r="AN240" s="375"/>
      <c r="AO240" s="375"/>
      <c r="AP240" s="375"/>
      <c r="AQ240" s="390"/>
    </row>
    <row r="241" s="363" customFormat="1" ht="18" customHeight="1" spans="1:43">
      <c r="A241" s="368">
        <v>45965</v>
      </c>
      <c r="B241" s="369" t="s">
        <v>6525</v>
      </c>
      <c r="C241" s="371" t="s">
        <v>6129</v>
      </c>
      <c r="D241" s="370" t="s">
        <v>6320</v>
      </c>
      <c r="E241" s="370">
        <v>21660</v>
      </c>
      <c r="F241" s="371" t="s">
        <v>6321</v>
      </c>
      <c r="G241" s="370" t="s">
        <v>6082</v>
      </c>
      <c r="H241" s="371" t="s">
        <v>6083</v>
      </c>
      <c r="I241" s="375"/>
      <c r="J241" s="375"/>
      <c r="K241" s="375"/>
      <c r="L241" s="375"/>
      <c r="M241" s="375"/>
      <c r="N241" s="375"/>
      <c r="O241" s="375"/>
      <c r="P241" s="375"/>
      <c r="Q241" s="375"/>
      <c r="R241" s="375"/>
      <c r="S241" s="375"/>
      <c r="T241" s="375"/>
      <c r="U241" s="375"/>
      <c r="V241" s="375"/>
      <c r="W241" s="375"/>
      <c r="X241" s="375"/>
      <c r="Y241" s="375"/>
      <c r="Z241" s="375"/>
      <c r="AA241" s="375"/>
      <c r="AB241" s="370">
        <v>21660</v>
      </c>
      <c r="AC241" s="375"/>
      <c r="AD241" s="375"/>
      <c r="AE241" s="375"/>
      <c r="AF241" s="375"/>
      <c r="AG241" s="375"/>
      <c r="AH241" s="375"/>
      <c r="AI241" s="375"/>
      <c r="AJ241" s="375"/>
      <c r="AK241" s="375"/>
      <c r="AL241" s="375"/>
      <c r="AM241" s="375"/>
      <c r="AN241" s="375"/>
      <c r="AO241" s="375"/>
      <c r="AP241" s="375"/>
      <c r="AQ241" s="390" t="s">
        <v>6507</v>
      </c>
    </row>
    <row r="242" s="363" customFormat="1" ht="18" customHeight="1" spans="1:43">
      <c r="A242" s="368">
        <v>45968</v>
      </c>
      <c r="B242" s="369" t="s">
        <v>6526</v>
      </c>
      <c r="C242" s="371" t="s">
        <v>6181</v>
      </c>
      <c r="D242" s="370" t="s">
        <v>6338</v>
      </c>
      <c r="E242" s="370">
        <v>43100</v>
      </c>
      <c r="F242" s="371" t="s">
        <v>6107</v>
      </c>
      <c r="G242" s="370" t="s">
        <v>6339</v>
      </c>
      <c r="H242" s="371" t="s">
        <v>68</v>
      </c>
      <c r="I242" s="375"/>
      <c r="J242" s="375"/>
      <c r="K242" s="375"/>
      <c r="L242" s="375"/>
      <c r="M242" s="375"/>
      <c r="N242" s="375"/>
      <c r="O242" s="375"/>
      <c r="P242" s="375"/>
      <c r="Q242" s="375"/>
      <c r="R242" s="375"/>
      <c r="S242" s="375"/>
      <c r="T242" s="375"/>
      <c r="U242" s="375"/>
      <c r="V242" s="375"/>
      <c r="W242" s="375"/>
      <c r="X242" s="375"/>
      <c r="Y242" s="375"/>
      <c r="Z242" s="375"/>
      <c r="AA242" s="375"/>
      <c r="AB242" s="370"/>
      <c r="AC242" s="375"/>
      <c r="AD242" s="375">
        <v>43100</v>
      </c>
      <c r="AE242" s="375"/>
      <c r="AF242" s="375"/>
      <c r="AG242" s="375"/>
      <c r="AH242" s="375"/>
      <c r="AI242" s="375"/>
      <c r="AJ242" s="375"/>
      <c r="AK242" s="375"/>
      <c r="AL242" s="375"/>
      <c r="AM242" s="375"/>
      <c r="AN242" s="375"/>
      <c r="AO242" s="375"/>
      <c r="AP242" s="375"/>
      <c r="AQ242" s="390" t="s">
        <v>6527</v>
      </c>
    </row>
    <row r="243" s="363" customFormat="1" ht="18" customHeight="1" spans="1:43">
      <c r="A243" s="368">
        <v>45968</v>
      </c>
      <c r="B243" s="369" t="s">
        <v>6528</v>
      </c>
      <c r="C243" s="371" t="s">
        <v>6181</v>
      </c>
      <c r="D243" s="370" t="s">
        <v>6338</v>
      </c>
      <c r="E243" s="370">
        <v>34100</v>
      </c>
      <c r="F243" s="371" t="s">
        <v>6173</v>
      </c>
      <c r="G243" s="370" t="s">
        <v>6339</v>
      </c>
      <c r="H243" s="371" t="s">
        <v>68</v>
      </c>
      <c r="I243" s="375"/>
      <c r="J243" s="375"/>
      <c r="K243" s="375"/>
      <c r="L243" s="375"/>
      <c r="M243" s="375"/>
      <c r="N243" s="375"/>
      <c r="O243" s="375"/>
      <c r="P243" s="375"/>
      <c r="Q243" s="375"/>
      <c r="R243" s="375"/>
      <c r="S243" s="375"/>
      <c r="T243" s="375"/>
      <c r="U243" s="375"/>
      <c r="V243" s="375"/>
      <c r="W243" s="375"/>
      <c r="X243" s="375"/>
      <c r="Y243" s="375"/>
      <c r="Z243" s="375"/>
      <c r="AA243" s="375"/>
      <c r="AB243" s="370"/>
      <c r="AC243" s="375"/>
      <c r="AD243" s="375"/>
      <c r="AE243" s="375">
        <v>34100</v>
      </c>
      <c r="AF243" s="375"/>
      <c r="AG243" s="375"/>
      <c r="AH243" s="375"/>
      <c r="AI243" s="375"/>
      <c r="AJ243" s="375"/>
      <c r="AK243" s="375"/>
      <c r="AL243" s="375"/>
      <c r="AM243" s="375"/>
      <c r="AN243" s="375"/>
      <c r="AO243" s="375"/>
      <c r="AP243" s="375"/>
      <c r="AQ243" s="390" t="s">
        <v>6529</v>
      </c>
    </row>
    <row r="244" s="363" customFormat="1" ht="18" customHeight="1" spans="1:43">
      <c r="A244" s="368">
        <v>45968</v>
      </c>
      <c r="B244" s="369" t="s">
        <v>6530</v>
      </c>
      <c r="C244" s="371" t="s">
        <v>6181</v>
      </c>
      <c r="D244" s="370" t="s">
        <v>6338</v>
      </c>
      <c r="E244" s="370">
        <v>1524</v>
      </c>
      <c r="F244" s="371" t="s">
        <v>6321</v>
      </c>
      <c r="G244" s="370" t="s">
        <v>6339</v>
      </c>
      <c r="H244" s="371" t="s">
        <v>68</v>
      </c>
      <c r="I244" s="375"/>
      <c r="J244" s="375"/>
      <c r="K244" s="375"/>
      <c r="L244" s="375"/>
      <c r="M244" s="375"/>
      <c r="N244" s="375"/>
      <c r="O244" s="375"/>
      <c r="P244" s="375"/>
      <c r="Q244" s="375"/>
      <c r="R244" s="375"/>
      <c r="S244" s="375"/>
      <c r="T244" s="375"/>
      <c r="U244" s="375"/>
      <c r="V244" s="375"/>
      <c r="W244" s="375"/>
      <c r="X244" s="375"/>
      <c r="Y244" s="375"/>
      <c r="Z244" s="375"/>
      <c r="AA244" s="375"/>
      <c r="AB244" s="370"/>
      <c r="AC244" s="375"/>
      <c r="AD244" s="375"/>
      <c r="AE244" s="375"/>
      <c r="AF244" s="375">
        <v>1524</v>
      </c>
      <c r="AG244" s="375"/>
      <c r="AH244" s="375"/>
      <c r="AI244" s="375"/>
      <c r="AJ244" s="375"/>
      <c r="AK244" s="375"/>
      <c r="AL244" s="375"/>
      <c r="AM244" s="375"/>
      <c r="AN244" s="375"/>
      <c r="AO244" s="375"/>
      <c r="AP244" s="375"/>
      <c r="AQ244" s="390" t="s">
        <v>6531</v>
      </c>
    </row>
    <row r="245" s="363" customFormat="1" ht="18" customHeight="1" spans="1:43">
      <c r="A245" s="368">
        <v>45981</v>
      </c>
      <c r="B245" s="369">
        <v>1000034303</v>
      </c>
      <c r="C245" s="371" t="s">
        <v>6118</v>
      </c>
      <c r="D245" s="370" t="s">
        <v>3198</v>
      </c>
      <c r="E245" s="370">
        <v>100000</v>
      </c>
      <c r="F245" s="371" t="s">
        <v>6081</v>
      </c>
      <c r="G245" s="370" t="s">
        <v>6082</v>
      </c>
      <c r="H245" s="371" t="s">
        <v>6083</v>
      </c>
      <c r="I245" s="375">
        <v>100000</v>
      </c>
      <c r="J245" s="375"/>
      <c r="K245" s="375"/>
      <c r="L245" s="375"/>
      <c r="M245" s="375"/>
      <c r="N245" s="375"/>
      <c r="O245" s="375"/>
      <c r="P245" s="375"/>
      <c r="Q245" s="375"/>
      <c r="R245" s="375"/>
      <c r="S245" s="375"/>
      <c r="T245" s="375"/>
      <c r="U245" s="375"/>
      <c r="V245" s="375"/>
      <c r="W245" s="375"/>
      <c r="X245" s="375"/>
      <c r="Y245" s="375"/>
      <c r="Z245" s="375"/>
      <c r="AA245" s="375"/>
      <c r="AB245" s="370"/>
      <c r="AC245" s="375"/>
      <c r="AD245" s="375"/>
      <c r="AE245" s="375"/>
      <c r="AF245" s="375"/>
      <c r="AG245" s="375"/>
      <c r="AH245" s="375"/>
      <c r="AI245" s="375"/>
      <c r="AJ245" s="375"/>
      <c r="AK245" s="375"/>
      <c r="AL245" s="375"/>
      <c r="AM245" s="375"/>
      <c r="AN245" s="375"/>
      <c r="AO245" s="375"/>
      <c r="AP245" s="375"/>
      <c r="AQ245" s="390"/>
    </row>
    <row r="246" s="363" customFormat="1" ht="18" customHeight="1" spans="1:43">
      <c r="A246" s="368">
        <v>45981</v>
      </c>
      <c r="B246" s="369">
        <v>1000034304</v>
      </c>
      <c r="C246" s="371" t="s">
        <v>6118</v>
      </c>
      <c r="D246" s="370" t="s">
        <v>3198</v>
      </c>
      <c r="E246" s="370">
        <v>20000</v>
      </c>
      <c r="F246" s="371" t="s">
        <v>6276</v>
      </c>
      <c r="G246" s="370" t="s">
        <v>6277</v>
      </c>
      <c r="H246" s="371" t="s">
        <v>6083</v>
      </c>
      <c r="I246" s="375"/>
      <c r="J246" s="375">
        <v>20000</v>
      </c>
      <c r="K246" s="375"/>
      <c r="L246" s="375"/>
      <c r="M246" s="375"/>
      <c r="N246" s="375"/>
      <c r="O246" s="375"/>
      <c r="P246" s="375"/>
      <c r="Q246" s="375"/>
      <c r="R246" s="375"/>
      <c r="S246" s="375"/>
      <c r="T246" s="375"/>
      <c r="U246" s="375"/>
      <c r="V246" s="375"/>
      <c r="W246" s="375"/>
      <c r="X246" s="375"/>
      <c r="Y246" s="375"/>
      <c r="Z246" s="375"/>
      <c r="AA246" s="375"/>
      <c r="AB246" s="370"/>
      <c r="AC246" s="375"/>
      <c r="AD246" s="375"/>
      <c r="AE246" s="375"/>
      <c r="AF246" s="375"/>
      <c r="AG246" s="375"/>
      <c r="AH246" s="375"/>
      <c r="AI246" s="375"/>
      <c r="AJ246" s="375"/>
      <c r="AK246" s="375"/>
      <c r="AL246" s="375"/>
      <c r="AM246" s="375"/>
      <c r="AN246" s="375"/>
      <c r="AO246" s="375"/>
      <c r="AP246" s="375"/>
      <c r="AQ246" s="390"/>
    </row>
    <row r="247" s="363" customFormat="1" ht="18" customHeight="1" spans="1:43">
      <c r="A247" s="368">
        <v>45981</v>
      </c>
      <c r="B247" s="369">
        <v>1000034305</v>
      </c>
      <c r="C247" s="371" t="s">
        <v>6118</v>
      </c>
      <c r="D247" s="370" t="s">
        <v>3198</v>
      </c>
      <c r="E247" s="370">
        <v>150000</v>
      </c>
      <c r="F247" s="371" t="s">
        <v>6295</v>
      </c>
      <c r="G247" s="370" t="s">
        <v>6277</v>
      </c>
      <c r="H247" s="371" t="s">
        <v>6156</v>
      </c>
      <c r="I247" s="375"/>
      <c r="J247" s="375"/>
      <c r="K247" s="375"/>
      <c r="L247" s="375"/>
      <c r="M247" s="375"/>
      <c r="N247" s="375">
        <v>150000</v>
      </c>
      <c r="O247" s="375"/>
      <c r="P247" s="375"/>
      <c r="Q247" s="375"/>
      <c r="R247" s="375"/>
      <c r="S247" s="375"/>
      <c r="T247" s="375"/>
      <c r="U247" s="375"/>
      <c r="V247" s="375"/>
      <c r="W247" s="375"/>
      <c r="X247" s="375"/>
      <c r="Y247" s="375"/>
      <c r="Z247" s="375"/>
      <c r="AA247" s="375"/>
      <c r="AB247" s="370"/>
      <c r="AC247" s="375"/>
      <c r="AD247" s="375"/>
      <c r="AE247" s="375"/>
      <c r="AF247" s="375"/>
      <c r="AG247" s="375"/>
      <c r="AH247" s="375"/>
      <c r="AI247" s="375"/>
      <c r="AJ247" s="375"/>
      <c r="AK247" s="375"/>
      <c r="AL247" s="375"/>
      <c r="AM247" s="375"/>
      <c r="AN247" s="375"/>
      <c r="AO247" s="375"/>
      <c r="AP247" s="375"/>
      <c r="AQ247" s="390"/>
    </row>
    <row r="248" s="363" customFormat="1" ht="18" customHeight="1" spans="1:43">
      <c r="A248" s="368">
        <v>45981</v>
      </c>
      <c r="B248" s="369">
        <v>1000034306</v>
      </c>
      <c r="C248" s="371" t="s">
        <v>6118</v>
      </c>
      <c r="D248" s="370" t="s">
        <v>6282</v>
      </c>
      <c r="E248" s="370">
        <v>7000</v>
      </c>
      <c r="F248" s="371" t="s">
        <v>6283</v>
      </c>
      <c r="G248" s="370" t="s">
        <v>6082</v>
      </c>
      <c r="H248" s="371" t="s">
        <v>6083</v>
      </c>
      <c r="I248" s="375"/>
      <c r="J248" s="375"/>
      <c r="K248" s="375"/>
      <c r="L248" s="375"/>
      <c r="M248" s="375"/>
      <c r="N248" s="375"/>
      <c r="O248" s="375"/>
      <c r="P248" s="375"/>
      <c r="Q248" s="375"/>
      <c r="R248" s="375"/>
      <c r="S248" s="375"/>
      <c r="T248" s="375"/>
      <c r="U248" s="375"/>
      <c r="V248" s="375"/>
      <c r="W248" s="375"/>
      <c r="X248" s="375"/>
      <c r="Y248" s="375">
        <v>7000</v>
      </c>
      <c r="Z248" s="375"/>
      <c r="AA248" s="375"/>
      <c r="AB248" s="370"/>
      <c r="AC248" s="375"/>
      <c r="AD248" s="375"/>
      <c r="AE248" s="375"/>
      <c r="AF248" s="375"/>
      <c r="AG248" s="375"/>
      <c r="AH248" s="375"/>
      <c r="AI248" s="375"/>
      <c r="AJ248" s="375"/>
      <c r="AK248" s="375"/>
      <c r="AL248" s="375"/>
      <c r="AM248" s="375"/>
      <c r="AN248" s="375"/>
      <c r="AO248" s="375"/>
      <c r="AP248" s="375"/>
      <c r="AQ248" s="390"/>
    </row>
    <row r="249" s="363" customFormat="1" ht="18" customHeight="1" spans="1:43">
      <c r="A249" s="368">
        <v>45981</v>
      </c>
      <c r="B249" s="369">
        <v>1000034307</v>
      </c>
      <c r="C249" s="371" t="s">
        <v>6118</v>
      </c>
      <c r="D249" s="370" t="s">
        <v>6282</v>
      </c>
      <c r="E249" s="370">
        <v>500</v>
      </c>
      <c r="F249" s="371" t="s">
        <v>6285</v>
      </c>
      <c r="G249" s="370" t="s">
        <v>6277</v>
      </c>
      <c r="H249" s="371" t="s">
        <v>6083</v>
      </c>
      <c r="I249" s="375"/>
      <c r="J249" s="375"/>
      <c r="K249" s="375"/>
      <c r="L249" s="375"/>
      <c r="M249" s="375"/>
      <c r="N249" s="375"/>
      <c r="O249" s="375"/>
      <c r="P249" s="375"/>
      <c r="Q249" s="375"/>
      <c r="R249" s="375"/>
      <c r="S249" s="375"/>
      <c r="T249" s="375"/>
      <c r="U249" s="375"/>
      <c r="V249" s="375"/>
      <c r="W249" s="375"/>
      <c r="X249" s="375"/>
      <c r="Y249" s="375"/>
      <c r="Z249" s="375">
        <v>500</v>
      </c>
      <c r="AA249" s="375"/>
      <c r="AB249" s="370"/>
      <c r="AC249" s="375"/>
      <c r="AD249" s="375"/>
      <c r="AE249" s="375"/>
      <c r="AF249" s="375"/>
      <c r="AG249" s="375"/>
      <c r="AH249" s="375"/>
      <c r="AI249" s="375"/>
      <c r="AJ249" s="375"/>
      <c r="AK249" s="375"/>
      <c r="AL249" s="375"/>
      <c r="AM249" s="375"/>
      <c r="AN249" s="375"/>
      <c r="AO249" s="375"/>
      <c r="AP249" s="375"/>
      <c r="AQ249" s="390"/>
    </row>
    <row r="250" s="363" customFormat="1" ht="18" customHeight="1" spans="1:43">
      <c r="A250" s="368">
        <v>45981</v>
      </c>
      <c r="B250" s="369">
        <v>1000034308</v>
      </c>
      <c r="C250" s="371" t="s">
        <v>6118</v>
      </c>
      <c r="D250" s="370" t="s">
        <v>3272</v>
      </c>
      <c r="E250" s="370">
        <v>500</v>
      </c>
      <c r="F250" s="371" t="s">
        <v>6331</v>
      </c>
      <c r="G250" s="370" t="s">
        <v>6082</v>
      </c>
      <c r="H250" s="371" t="s">
        <v>6083</v>
      </c>
      <c r="I250" s="375"/>
      <c r="J250" s="375"/>
      <c r="K250" s="375"/>
      <c r="L250" s="375"/>
      <c r="M250" s="375"/>
      <c r="N250" s="375"/>
      <c r="O250" s="375"/>
      <c r="P250" s="375"/>
      <c r="Q250" s="375"/>
      <c r="R250" s="375"/>
      <c r="S250" s="375"/>
      <c r="T250" s="375"/>
      <c r="U250" s="375"/>
      <c r="V250" s="375">
        <v>500</v>
      </c>
      <c r="W250" s="375"/>
      <c r="X250" s="375"/>
      <c r="Y250" s="375"/>
      <c r="Z250" s="375"/>
      <c r="AA250" s="375"/>
      <c r="AB250" s="370"/>
      <c r="AC250" s="375"/>
      <c r="AD250" s="375"/>
      <c r="AE250" s="375"/>
      <c r="AF250" s="375"/>
      <c r="AG250" s="375"/>
      <c r="AH250" s="375"/>
      <c r="AI250" s="375"/>
      <c r="AJ250" s="375"/>
      <c r="AK250" s="375"/>
      <c r="AL250" s="375"/>
      <c r="AM250" s="375"/>
      <c r="AN250" s="375"/>
      <c r="AO250" s="375"/>
      <c r="AP250" s="375"/>
      <c r="AQ250" s="390"/>
    </row>
    <row r="251" s="363" customFormat="1" ht="18" customHeight="1" spans="1:43">
      <c r="A251" s="368">
        <v>45981</v>
      </c>
      <c r="B251" s="369">
        <v>1000034314</v>
      </c>
      <c r="C251" s="371" t="s">
        <v>6118</v>
      </c>
      <c r="D251" s="370" t="s">
        <v>3165</v>
      </c>
      <c r="E251" s="370">
        <v>100000</v>
      </c>
      <c r="F251" s="371" t="s">
        <v>6087</v>
      </c>
      <c r="G251" s="370" t="s">
        <v>6088</v>
      </c>
      <c r="H251" s="371" t="s">
        <v>6083</v>
      </c>
      <c r="I251" s="375"/>
      <c r="J251" s="375"/>
      <c r="K251" s="375"/>
      <c r="L251" s="375"/>
      <c r="M251" s="375">
        <v>100000</v>
      </c>
      <c r="N251" s="375"/>
      <c r="O251" s="375"/>
      <c r="P251" s="375"/>
      <c r="Q251" s="375"/>
      <c r="R251" s="375"/>
      <c r="S251" s="375"/>
      <c r="T251" s="375"/>
      <c r="U251" s="375"/>
      <c r="V251" s="375"/>
      <c r="W251" s="375"/>
      <c r="X251" s="375"/>
      <c r="Y251" s="375"/>
      <c r="Z251" s="375"/>
      <c r="AA251" s="375"/>
      <c r="AB251" s="370"/>
      <c r="AC251" s="375"/>
      <c r="AD251" s="375"/>
      <c r="AE251" s="375"/>
      <c r="AF251" s="375"/>
      <c r="AG251" s="375"/>
      <c r="AH251" s="375"/>
      <c r="AI251" s="375"/>
      <c r="AJ251" s="375"/>
      <c r="AK251" s="375"/>
      <c r="AL251" s="375"/>
      <c r="AM251" s="375"/>
      <c r="AN251" s="375"/>
      <c r="AO251" s="375"/>
      <c r="AP251" s="375"/>
      <c r="AQ251" s="390"/>
    </row>
    <row r="252" s="363" customFormat="1" ht="18" customHeight="1" spans="1:43">
      <c r="A252" s="368">
        <v>45981</v>
      </c>
      <c r="B252" s="369">
        <v>1000034315</v>
      </c>
      <c r="C252" s="371" t="s">
        <v>6118</v>
      </c>
      <c r="D252" s="370" t="s">
        <v>3328</v>
      </c>
      <c r="E252" s="370">
        <v>300</v>
      </c>
      <c r="F252" s="371" t="s">
        <v>6335</v>
      </c>
      <c r="G252" s="370" t="s">
        <v>6088</v>
      </c>
      <c r="H252" s="371" t="s">
        <v>6083</v>
      </c>
      <c r="I252" s="375"/>
      <c r="J252" s="375"/>
      <c r="K252" s="375"/>
      <c r="L252" s="375"/>
      <c r="M252" s="375"/>
      <c r="N252" s="375"/>
      <c r="O252" s="375"/>
      <c r="P252" s="375"/>
      <c r="Q252" s="375"/>
      <c r="R252" s="375"/>
      <c r="S252" s="375"/>
      <c r="T252" s="375"/>
      <c r="U252" s="375"/>
      <c r="V252" s="375"/>
      <c r="W252" s="375"/>
      <c r="X252" s="375"/>
      <c r="Y252" s="375"/>
      <c r="Z252" s="375"/>
      <c r="AA252" s="375"/>
      <c r="AB252" s="370"/>
      <c r="AC252" s="375"/>
      <c r="AD252" s="375"/>
      <c r="AE252" s="375"/>
      <c r="AF252" s="375"/>
      <c r="AG252" s="375"/>
      <c r="AH252" s="375"/>
      <c r="AI252" s="375"/>
      <c r="AJ252" s="375"/>
      <c r="AK252" s="375"/>
      <c r="AL252" s="375">
        <v>300</v>
      </c>
      <c r="AM252" s="375"/>
      <c r="AN252" s="375"/>
      <c r="AO252" s="375"/>
      <c r="AP252" s="375"/>
      <c r="AQ252" s="390"/>
    </row>
    <row r="253" s="363" customFormat="1" ht="18" customHeight="1" spans="1:43">
      <c r="A253" s="368">
        <v>45981</v>
      </c>
      <c r="B253" s="369">
        <v>1000034316</v>
      </c>
      <c r="C253" s="371" t="s">
        <v>6118</v>
      </c>
      <c r="D253" s="370" t="s">
        <v>3206</v>
      </c>
      <c r="E253" s="370">
        <v>2500</v>
      </c>
      <c r="F253" s="371" t="s">
        <v>6306</v>
      </c>
      <c r="G253" s="370" t="s">
        <v>6088</v>
      </c>
      <c r="H253" s="371" t="s">
        <v>6083</v>
      </c>
      <c r="I253" s="375"/>
      <c r="J253" s="375"/>
      <c r="K253" s="375"/>
      <c r="L253" s="375"/>
      <c r="M253" s="375"/>
      <c r="N253" s="375"/>
      <c r="O253" s="375"/>
      <c r="P253" s="375"/>
      <c r="Q253" s="375"/>
      <c r="R253" s="375"/>
      <c r="S253" s="375"/>
      <c r="T253" s="375"/>
      <c r="U253" s="375"/>
      <c r="V253" s="375"/>
      <c r="W253" s="375"/>
      <c r="X253" s="375">
        <v>2500</v>
      </c>
      <c r="Y253" s="375"/>
      <c r="Z253" s="375"/>
      <c r="AA253" s="375"/>
      <c r="AB253" s="370"/>
      <c r="AC253" s="375"/>
      <c r="AD253" s="375"/>
      <c r="AE253" s="375"/>
      <c r="AF253" s="375"/>
      <c r="AG253" s="375"/>
      <c r="AH253" s="375"/>
      <c r="AI253" s="375"/>
      <c r="AJ253" s="375"/>
      <c r="AK253" s="375"/>
      <c r="AL253" s="375"/>
      <c r="AM253" s="375"/>
      <c r="AN253" s="375"/>
      <c r="AO253" s="375"/>
      <c r="AP253" s="375"/>
      <c r="AQ253" s="390"/>
    </row>
    <row r="254" s="363" customFormat="1" ht="18" customHeight="1" spans="1:43">
      <c r="A254" s="368">
        <v>45981</v>
      </c>
      <c r="B254" s="369">
        <v>1000034317</v>
      </c>
      <c r="C254" s="371" t="s">
        <v>6118</v>
      </c>
      <c r="D254" s="370" t="s">
        <v>3165</v>
      </c>
      <c r="E254" s="370">
        <v>1000</v>
      </c>
      <c r="F254" s="371" t="s">
        <v>6291</v>
      </c>
      <c r="G254" s="370" t="s">
        <v>6088</v>
      </c>
      <c r="H254" s="371" t="s">
        <v>6083</v>
      </c>
      <c r="I254" s="375"/>
      <c r="J254" s="375"/>
      <c r="K254" s="375"/>
      <c r="L254" s="375"/>
      <c r="M254" s="375"/>
      <c r="N254" s="375"/>
      <c r="O254" s="375"/>
      <c r="P254" s="375"/>
      <c r="Q254" s="375"/>
      <c r="R254" s="375"/>
      <c r="S254" s="375"/>
      <c r="T254" s="375"/>
      <c r="U254" s="375"/>
      <c r="V254" s="375"/>
      <c r="W254" s="375"/>
      <c r="X254" s="375"/>
      <c r="Y254" s="375"/>
      <c r="Z254" s="375"/>
      <c r="AA254" s="375">
        <v>1000</v>
      </c>
      <c r="AB254" s="370"/>
      <c r="AC254" s="375"/>
      <c r="AD254" s="375"/>
      <c r="AE254" s="375"/>
      <c r="AF254" s="375"/>
      <c r="AG254" s="375"/>
      <c r="AH254" s="375"/>
      <c r="AI254" s="375"/>
      <c r="AJ254" s="375"/>
      <c r="AK254" s="375"/>
      <c r="AL254" s="375"/>
      <c r="AM254" s="375"/>
      <c r="AN254" s="375"/>
      <c r="AO254" s="375"/>
      <c r="AP254" s="375"/>
      <c r="AQ254" s="390"/>
    </row>
    <row r="255" s="363" customFormat="1" ht="18" customHeight="1" spans="1:43">
      <c r="A255" s="368">
        <v>45980</v>
      </c>
      <c r="B255" s="369" t="s">
        <v>6532</v>
      </c>
      <c r="C255" s="371" t="s">
        <v>6148</v>
      </c>
      <c r="D255" s="370" t="s">
        <v>6149</v>
      </c>
      <c r="E255" s="370">
        <v>64800</v>
      </c>
      <c r="F255" s="371" t="s">
        <v>6190</v>
      </c>
      <c r="G255" s="370" t="s">
        <v>6088</v>
      </c>
      <c r="H255" s="371" t="s">
        <v>68</v>
      </c>
      <c r="I255" s="375"/>
      <c r="J255" s="375"/>
      <c r="K255" s="375"/>
      <c r="L255" s="375"/>
      <c r="M255" s="375"/>
      <c r="N255" s="375"/>
      <c r="O255" s="375"/>
      <c r="P255" s="375"/>
      <c r="Q255" s="375"/>
      <c r="R255" s="375"/>
      <c r="S255" s="375"/>
      <c r="T255" s="375">
        <v>64800</v>
      </c>
      <c r="U255" s="375"/>
      <c r="V255" s="375"/>
      <c r="W255" s="375"/>
      <c r="X255" s="375"/>
      <c r="Y255" s="375"/>
      <c r="Z255" s="375"/>
      <c r="AA255" s="375"/>
      <c r="AB255" s="370"/>
      <c r="AC255" s="375"/>
      <c r="AD255" s="375"/>
      <c r="AE255" s="375"/>
      <c r="AF255" s="375"/>
      <c r="AG255" s="375"/>
      <c r="AH255" s="375"/>
      <c r="AI255" s="375"/>
      <c r="AJ255" s="375"/>
      <c r="AK255" s="375"/>
      <c r="AL255" s="375"/>
      <c r="AM255" s="375"/>
      <c r="AN255" s="375"/>
      <c r="AO255" s="375"/>
      <c r="AP255" s="375"/>
      <c r="AQ255" s="390"/>
    </row>
    <row r="256" s="363" customFormat="1" ht="18" customHeight="1" spans="1:43">
      <c r="A256" s="368">
        <v>45980</v>
      </c>
      <c r="B256" s="369" t="s">
        <v>6533</v>
      </c>
      <c r="C256" s="371" t="s">
        <v>6148</v>
      </c>
      <c r="D256" s="370" t="s">
        <v>6149</v>
      </c>
      <c r="E256" s="370">
        <v>12960</v>
      </c>
      <c r="F256" s="371" t="s">
        <v>6194</v>
      </c>
      <c r="G256" s="370" t="s">
        <v>6088</v>
      </c>
      <c r="H256" s="371" t="s">
        <v>68</v>
      </c>
      <c r="I256" s="375"/>
      <c r="J256" s="375"/>
      <c r="K256" s="375"/>
      <c r="L256" s="375"/>
      <c r="M256" s="375"/>
      <c r="N256" s="375"/>
      <c r="O256" s="375"/>
      <c r="P256" s="375"/>
      <c r="Q256" s="375"/>
      <c r="R256" s="375"/>
      <c r="S256" s="375"/>
      <c r="T256" s="375"/>
      <c r="U256" s="375">
        <v>12960</v>
      </c>
      <c r="V256" s="375"/>
      <c r="W256" s="375"/>
      <c r="X256" s="375"/>
      <c r="Y256" s="375"/>
      <c r="Z256" s="375"/>
      <c r="AA256" s="375"/>
      <c r="AB256" s="370"/>
      <c r="AC256" s="375"/>
      <c r="AD256" s="375"/>
      <c r="AE256" s="375"/>
      <c r="AF256" s="375"/>
      <c r="AG256" s="375"/>
      <c r="AH256" s="375"/>
      <c r="AI256" s="375"/>
      <c r="AJ256" s="375"/>
      <c r="AK256" s="375"/>
      <c r="AL256" s="375"/>
      <c r="AM256" s="375"/>
      <c r="AN256" s="375"/>
      <c r="AO256" s="375"/>
      <c r="AP256" s="375"/>
      <c r="AQ256" s="390"/>
    </row>
    <row r="257" s="363" customFormat="1" ht="18" customHeight="1" spans="1:43">
      <c r="A257" s="368">
        <v>45980</v>
      </c>
      <c r="B257" s="369" t="s">
        <v>6534</v>
      </c>
      <c r="C257" s="371" t="s">
        <v>6148</v>
      </c>
      <c r="D257" s="370" t="s">
        <v>6149</v>
      </c>
      <c r="E257" s="370">
        <v>194400</v>
      </c>
      <c r="F257" s="371" t="s">
        <v>6404</v>
      </c>
      <c r="G257" s="370" t="s">
        <v>6088</v>
      </c>
      <c r="H257" s="371" t="s">
        <v>68</v>
      </c>
      <c r="I257" s="375"/>
      <c r="J257" s="375"/>
      <c r="K257" s="375"/>
      <c r="L257" s="375"/>
      <c r="M257" s="375"/>
      <c r="N257" s="375"/>
      <c r="O257" s="375"/>
      <c r="P257" s="375"/>
      <c r="Q257" s="375"/>
      <c r="R257" s="375">
        <v>194400</v>
      </c>
      <c r="S257" s="375">
        <v>194400</v>
      </c>
      <c r="T257" s="375"/>
      <c r="U257" s="375"/>
      <c r="V257" s="375"/>
      <c r="W257" s="375"/>
      <c r="X257" s="375"/>
      <c r="Y257" s="375"/>
      <c r="Z257" s="375"/>
      <c r="AA257" s="375"/>
      <c r="AB257" s="370"/>
      <c r="AC257" s="375"/>
      <c r="AD257" s="375"/>
      <c r="AE257" s="375"/>
      <c r="AF257" s="375"/>
      <c r="AG257" s="375"/>
      <c r="AH257" s="375"/>
      <c r="AI257" s="375"/>
      <c r="AJ257" s="375"/>
      <c r="AK257" s="375"/>
      <c r="AL257" s="375"/>
      <c r="AM257" s="375"/>
      <c r="AN257" s="375"/>
      <c r="AO257" s="375"/>
      <c r="AP257" s="375"/>
      <c r="AQ257" s="390"/>
    </row>
    <row r="258" s="363" customFormat="1" ht="19" customHeight="1" spans="1:43">
      <c r="A258" s="368">
        <v>45993</v>
      </c>
      <c r="B258" s="369">
        <v>1000034636</v>
      </c>
      <c r="C258" s="370" t="s">
        <v>6118</v>
      </c>
      <c r="D258" s="370" t="s">
        <v>3198</v>
      </c>
      <c r="E258" s="370">
        <v>200000</v>
      </c>
      <c r="F258" s="371" t="s">
        <v>6081</v>
      </c>
      <c r="G258" s="370" t="s">
        <v>6082</v>
      </c>
      <c r="H258" s="371" t="s">
        <v>6083</v>
      </c>
      <c r="I258" s="375">
        <v>200000</v>
      </c>
      <c r="J258" s="375"/>
      <c r="K258" s="375"/>
      <c r="L258" s="375"/>
      <c r="M258" s="375"/>
      <c r="N258" s="375"/>
      <c r="O258" s="375"/>
      <c r="P258" s="375"/>
      <c r="Q258" s="375"/>
      <c r="R258" s="375"/>
      <c r="S258" s="375"/>
      <c r="T258" s="375"/>
      <c r="U258" s="375"/>
      <c r="V258" s="375"/>
      <c r="W258" s="375"/>
      <c r="X258" s="375"/>
      <c r="Y258" s="375"/>
      <c r="Z258" s="375"/>
      <c r="AA258" s="375"/>
      <c r="AB258" s="375"/>
      <c r="AC258" s="370"/>
      <c r="AD258" s="375"/>
      <c r="AE258" s="375"/>
      <c r="AF258" s="375"/>
      <c r="AG258" s="375"/>
      <c r="AH258" s="375"/>
      <c r="AI258" s="375"/>
      <c r="AJ258" s="375"/>
      <c r="AK258" s="375"/>
      <c r="AL258" s="375"/>
      <c r="AM258" s="375"/>
      <c r="AN258" s="375"/>
      <c r="AO258" s="375"/>
      <c r="AP258" s="375"/>
      <c r="AQ258" s="390" t="s">
        <v>6274</v>
      </c>
    </row>
    <row r="259" s="363" customFormat="1" ht="19" customHeight="1" spans="1:43">
      <c r="A259" s="368">
        <v>45993</v>
      </c>
      <c r="B259" s="369">
        <v>1000034637</v>
      </c>
      <c r="C259" s="370" t="s">
        <v>6118</v>
      </c>
      <c r="D259" s="370" t="s">
        <v>3198</v>
      </c>
      <c r="E259" s="370">
        <v>20000</v>
      </c>
      <c r="F259" s="371" t="s">
        <v>6276</v>
      </c>
      <c r="G259" s="370" t="s">
        <v>6277</v>
      </c>
      <c r="H259" s="371" t="s">
        <v>6083</v>
      </c>
      <c r="I259" s="375"/>
      <c r="J259" s="375">
        <v>20000</v>
      </c>
      <c r="K259" s="375"/>
      <c r="L259" s="375"/>
      <c r="M259" s="375"/>
      <c r="N259" s="375"/>
      <c r="O259" s="375"/>
      <c r="P259" s="375"/>
      <c r="Q259" s="375"/>
      <c r="R259" s="375"/>
      <c r="S259" s="375"/>
      <c r="T259" s="375"/>
      <c r="U259" s="375"/>
      <c r="V259" s="375"/>
      <c r="W259" s="375"/>
      <c r="X259" s="375"/>
      <c r="Y259" s="375"/>
      <c r="Z259" s="375"/>
      <c r="AA259" s="375"/>
      <c r="AB259" s="375"/>
      <c r="AC259" s="370"/>
      <c r="AD259" s="375"/>
      <c r="AE259" s="375"/>
      <c r="AF259" s="375"/>
      <c r="AG259" s="375"/>
      <c r="AH259" s="375"/>
      <c r="AI259" s="375"/>
      <c r="AJ259" s="375"/>
      <c r="AK259" s="375"/>
      <c r="AL259" s="375"/>
      <c r="AM259" s="375"/>
      <c r="AN259" s="375"/>
      <c r="AO259" s="375"/>
      <c r="AP259" s="375"/>
      <c r="AQ259" s="390" t="s">
        <v>6274</v>
      </c>
    </row>
    <row r="260" s="363" customFormat="1" ht="19" customHeight="1" spans="1:43">
      <c r="A260" s="368">
        <v>45993</v>
      </c>
      <c r="B260" s="369">
        <v>1000034638</v>
      </c>
      <c r="C260" s="370" t="s">
        <v>6118</v>
      </c>
      <c r="D260" s="370" t="s">
        <v>3198</v>
      </c>
      <c r="E260" s="370">
        <v>300000</v>
      </c>
      <c r="F260" s="371" t="s">
        <v>6295</v>
      </c>
      <c r="G260" s="370" t="s">
        <v>6277</v>
      </c>
      <c r="H260" s="371" t="s">
        <v>6156</v>
      </c>
      <c r="I260" s="375"/>
      <c r="J260" s="375"/>
      <c r="K260" s="375"/>
      <c r="L260" s="375"/>
      <c r="M260" s="375"/>
      <c r="N260" s="375">
        <v>300000</v>
      </c>
      <c r="O260" s="375"/>
      <c r="P260" s="375"/>
      <c r="Q260" s="375"/>
      <c r="R260" s="375"/>
      <c r="S260" s="375"/>
      <c r="T260" s="375"/>
      <c r="U260" s="375"/>
      <c r="V260" s="375"/>
      <c r="W260" s="375"/>
      <c r="X260" s="375"/>
      <c r="Y260" s="375"/>
      <c r="Z260" s="375"/>
      <c r="AA260" s="375"/>
      <c r="AB260" s="375"/>
      <c r="AC260" s="370"/>
      <c r="AD260" s="375"/>
      <c r="AE260" s="375"/>
      <c r="AF260" s="375"/>
      <c r="AG260" s="375"/>
      <c r="AH260" s="375"/>
      <c r="AI260" s="375"/>
      <c r="AJ260" s="375"/>
      <c r="AK260" s="375"/>
      <c r="AL260" s="375"/>
      <c r="AM260" s="375"/>
      <c r="AN260" s="375"/>
      <c r="AO260" s="375"/>
      <c r="AP260" s="375"/>
      <c r="AQ260" s="390" t="s">
        <v>6412</v>
      </c>
    </row>
    <row r="261" s="363" customFormat="1" ht="19" customHeight="1" spans="1:43">
      <c r="A261" s="368">
        <v>45993</v>
      </c>
      <c r="B261" s="369">
        <v>1000034639</v>
      </c>
      <c r="C261" s="370" t="s">
        <v>6118</v>
      </c>
      <c r="D261" s="370" t="s">
        <v>6282</v>
      </c>
      <c r="E261" s="370">
        <v>3500</v>
      </c>
      <c r="F261" s="371" t="s">
        <v>6283</v>
      </c>
      <c r="G261" s="370" t="s">
        <v>6082</v>
      </c>
      <c r="H261" s="371" t="s">
        <v>6083</v>
      </c>
      <c r="I261" s="375"/>
      <c r="J261" s="375"/>
      <c r="K261" s="375"/>
      <c r="L261" s="375"/>
      <c r="M261" s="375"/>
      <c r="N261" s="375"/>
      <c r="O261" s="375"/>
      <c r="P261" s="375"/>
      <c r="Q261" s="375"/>
      <c r="R261" s="375"/>
      <c r="S261" s="375"/>
      <c r="T261" s="375"/>
      <c r="U261" s="375"/>
      <c r="V261" s="375"/>
      <c r="W261" s="375"/>
      <c r="X261" s="375"/>
      <c r="Y261" s="375">
        <v>3500</v>
      </c>
      <c r="Z261" s="375"/>
      <c r="AA261" s="375"/>
      <c r="AB261" s="375"/>
      <c r="AC261" s="370"/>
      <c r="AD261" s="375"/>
      <c r="AE261" s="375"/>
      <c r="AF261" s="375"/>
      <c r="AG261" s="375"/>
      <c r="AH261" s="375"/>
      <c r="AI261" s="375"/>
      <c r="AJ261" s="375"/>
      <c r="AK261" s="375"/>
      <c r="AL261" s="375"/>
      <c r="AM261" s="375"/>
      <c r="AN261" s="375"/>
      <c r="AO261" s="375"/>
      <c r="AP261" s="375"/>
      <c r="AQ261" s="390" t="s">
        <v>6280</v>
      </c>
    </row>
    <row r="262" s="363" customFormat="1" ht="19" customHeight="1" spans="1:43">
      <c r="A262" s="368">
        <v>45993</v>
      </c>
      <c r="B262" s="369">
        <v>1000034640</v>
      </c>
      <c r="C262" s="370" t="s">
        <v>6118</v>
      </c>
      <c r="D262" s="370" t="s">
        <v>3272</v>
      </c>
      <c r="E262" s="370">
        <v>3000</v>
      </c>
      <c r="F262" s="371" t="s">
        <v>6331</v>
      </c>
      <c r="G262" s="370" t="s">
        <v>6082</v>
      </c>
      <c r="H262" s="371" t="s">
        <v>6083</v>
      </c>
      <c r="I262" s="375"/>
      <c r="J262" s="375"/>
      <c r="K262" s="375"/>
      <c r="L262" s="375"/>
      <c r="M262" s="375"/>
      <c r="N262" s="375"/>
      <c r="O262" s="375"/>
      <c r="P262" s="375"/>
      <c r="Q262" s="375"/>
      <c r="R262" s="375"/>
      <c r="S262" s="375"/>
      <c r="T262" s="375"/>
      <c r="U262" s="375"/>
      <c r="V262" s="375">
        <v>3000</v>
      </c>
      <c r="W262" s="375"/>
      <c r="X262" s="375"/>
      <c r="Y262" s="375"/>
      <c r="Z262" s="375"/>
      <c r="AA262" s="375"/>
      <c r="AB262" s="375"/>
      <c r="AC262" s="370"/>
      <c r="AD262" s="375"/>
      <c r="AE262" s="375"/>
      <c r="AF262" s="375"/>
      <c r="AG262" s="375"/>
      <c r="AH262" s="375"/>
      <c r="AI262" s="375"/>
      <c r="AJ262" s="375"/>
      <c r="AK262" s="375"/>
      <c r="AL262" s="375"/>
      <c r="AM262" s="375"/>
      <c r="AN262" s="375"/>
      <c r="AO262" s="375"/>
      <c r="AP262" s="375"/>
      <c r="AQ262" s="390" t="s">
        <v>6280</v>
      </c>
    </row>
    <row r="263" s="363" customFormat="1" ht="19" customHeight="1" spans="1:43">
      <c r="A263" s="368">
        <v>45993</v>
      </c>
      <c r="B263" s="369">
        <v>1000034646</v>
      </c>
      <c r="C263" s="370" t="s">
        <v>6118</v>
      </c>
      <c r="D263" s="370" t="s">
        <v>3165</v>
      </c>
      <c r="E263" s="370">
        <v>150000</v>
      </c>
      <c r="F263" s="371" t="s">
        <v>6087</v>
      </c>
      <c r="G263" s="370" t="s">
        <v>6088</v>
      </c>
      <c r="H263" s="371" t="s">
        <v>6083</v>
      </c>
      <c r="I263" s="375"/>
      <c r="J263" s="375"/>
      <c r="K263" s="375"/>
      <c r="L263" s="375"/>
      <c r="M263" s="375">
        <v>150000</v>
      </c>
      <c r="N263" s="375"/>
      <c r="O263" s="375"/>
      <c r="P263" s="375"/>
      <c r="Q263" s="375"/>
      <c r="R263" s="375"/>
      <c r="S263" s="375"/>
      <c r="T263" s="375"/>
      <c r="U263" s="375"/>
      <c r="V263" s="375"/>
      <c r="W263" s="375"/>
      <c r="X263" s="375"/>
      <c r="Y263" s="375"/>
      <c r="Z263" s="375"/>
      <c r="AA263" s="375"/>
      <c r="AB263" s="375"/>
      <c r="AC263" s="370"/>
      <c r="AD263" s="375"/>
      <c r="AE263" s="375"/>
      <c r="AF263" s="375"/>
      <c r="AG263" s="375"/>
      <c r="AH263" s="375"/>
      <c r="AI263" s="375"/>
      <c r="AJ263" s="375"/>
      <c r="AK263" s="375"/>
      <c r="AL263" s="375"/>
      <c r="AM263" s="375"/>
      <c r="AN263" s="375"/>
      <c r="AO263" s="375"/>
      <c r="AP263" s="375"/>
      <c r="AQ263" s="390" t="s">
        <v>6287</v>
      </c>
    </row>
    <row r="264" s="363" customFormat="1" ht="19" customHeight="1" spans="1:43">
      <c r="A264" s="368">
        <v>45993</v>
      </c>
      <c r="B264" s="369">
        <v>1000034647</v>
      </c>
      <c r="C264" s="370" t="s">
        <v>6118</v>
      </c>
      <c r="D264" s="370" t="s">
        <v>3165</v>
      </c>
      <c r="E264" s="370">
        <v>150000</v>
      </c>
      <c r="F264" s="371" t="s">
        <v>6279</v>
      </c>
      <c r="G264" s="370" t="s">
        <v>6092</v>
      </c>
      <c r="H264" s="371" t="s">
        <v>6156</v>
      </c>
      <c r="I264" s="375"/>
      <c r="J264" s="375"/>
      <c r="K264" s="375"/>
      <c r="L264" s="375"/>
      <c r="M264" s="375"/>
      <c r="N264" s="375"/>
      <c r="O264" s="375">
        <v>150000</v>
      </c>
      <c r="P264" s="375"/>
      <c r="Q264" s="375"/>
      <c r="R264" s="375"/>
      <c r="S264" s="375"/>
      <c r="T264" s="375"/>
      <c r="U264" s="375"/>
      <c r="V264" s="375"/>
      <c r="W264" s="375"/>
      <c r="X264" s="375"/>
      <c r="Y264" s="375"/>
      <c r="Z264" s="375"/>
      <c r="AA264" s="375"/>
      <c r="AB264" s="375"/>
      <c r="AC264" s="370"/>
      <c r="AD264" s="375"/>
      <c r="AE264" s="375"/>
      <c r="AF264" s="375"/>
      <c r="AG264" s="375"/>
      <c r="AH264" s="375"/>
      <c r="AI264" s="375"/>
      <c r="AJ264" s="375"/>
      <c r="AK264" s="375"/>
      <c r="AL264" s="375"/>
      <c r="AM264" s="375"/>
      <c r="AN264" s="375"/>
      <c r="AO264" s="375"/>
      <c r="AP264" s="375"/>
      <c r="AQ264" s="390" t="s">
        <v>6418</v>
      </c>
    </row>
    <row r="265" s="363" customFormat="1" ht="19" customHeight="1" spans="1:43">
      <c r="A265" s="368">
        <v>45993</v>
      </c>
      <c r="B265" s="369">
        <v>1000034648</v>
      </c>
      <c r="C265" s="370" t="s">
        <v>6118</v>
      </c>
      <c r="D265" s="370" t="s">
        <v>3206</v>
      </c>
      <c r="E265" s="370">
        <v>5000</v>
      </c>
      <c r="F265" s="371" t="s">
        <v>6306</v>
      </c>
      <c r="G265" s="370" t="s">
        <v>6088</v>
      </c>
      <c r="H265" s="371" t="s">
        <v>6083</v>
      </c>
      <c r="I265" s="375"/>
      <c r="J265" s="375"/>
      <c r="K265" s="375"/>
      <c r="L265" s="375"/>
      <c r="M265" s="375"/>
      <c r="N265" s="375"/>
      <c r="O265" s="375"/>
      <c r="P265" s="375"/>
      <c r="Q265" s="375"/>
      <c r="R265" s="375"/>
      <c r="S265" s="375"/>
      <c r="T265" s="375"/>
      <c r="U265" s="375"/>
      <c r="V265" s="375"/>
      <c r="W265" s="375"/>
      <c r="X265" s="375">
        <v>5000</v>
      </c>
      <c r="Y265" s="375"/>
      <c r="Z265" s="375"/>
      <c r="AA265" s="375"/>
      <c r="AB265" s="375"/>
      <c r="AC265" s="370"/>
      <c r="AD265" s="375"/>
      <c r="AE265" s="375"/>
      <c r="AF265" s="375"/>
      <c r="AG265" s="375"/>
      <c r="AH265" s="375"/>
      <c r="AI265" s="375"/>
      <c r="AJ265" s="375"/>
      <c r="AK265" s="375"/>
      <c r="AL265" s="375"/>
      <c r="AM265" s="375"/>
      <c r="AN265" s="375"/>
      <c r="AO265" s="375"/>
      <c r="AP265" s="375"/>
      <c r="AQ265" s="390" t="s">
        <v>6289</v>
      </c>
    </row>
    <row r="266" s="363" customFormat="1" ht="19" customHeight="1" spans="1:43">
      <c r="A266" s="368">
        <v>45993</v>
      </c>
      <c r="B266" s="369">
        <v>1000034649</v>
      </c>
      <c r="C266" s="370" t="s">
        <v>6118</v>
      </c>
      <c r="D266" s="370" t="s">
        <v>3165</v>
      </c>
      <c r="E266" s="370">
        <v>1500</v>
      </c>
      <c r="F266" s="371" t="s">
        <v>6291</v>
      </c>
      <c r="G266" s="370" t="s">
        <v>6088</v>
      </c>
      <c r="H266" s="371" t="s">
        <v>6083</v>
      </c>
      <c r="I266" s="375"/>
      <c r="J266" s="375"/>
      <c r="K266" s="375"/>
      <c r="L266" s="375"/>
      <c r="M266" s="375"/>
      <c r="N266" s="375"/>
      <c r="O266" s="375"/>
      <c r="P266" s="375"/>
      <c r="Q266" s="375"/>
      <c r="R266" s="375"/>
      <c r="S266" s="375"/>
      <c r="T266" s="375"/>
      <c r="U266" s="375"/>
      <c r="V266" s="375"/>
      <c r="W266" s="375"/>
      <c r="X266" s="375"/>
      <c r="Y266" s="375"/>
      <c r="Z266" s="375"/>
      <c r="AA266" s="375">
        <v>1500</v>
      </c>
      <c r="AB266" s="375"/>
      <c r="AC266" s="370"/>
      <c r="AD266" s="375"/>
      <c r="AE266" s="375"/>
      <c r="AF266" s="375"/>
      <c r="AG266" s="375"/>
      <c r="AH266" s="375"/>
      <c r="AI266" s="375"/>
      <c r="AJ266" s="375"/>
      <c r="AK266" s="375"/>
      <c r="AL266" s="375"/>
      <c r="AM266" s="375"/>
      <c r="AN266" s="375"/>
      <c r="AO266" s="375"/>
      <c r="AP266" s="375"/>
      <c r="AQ266" s="390" t="s">
        <v>6289</v>
      </c>
    </row>
    <row r="267" s="363" customFormat="1" ht="19" customHeight="1" spans="1:43">
      <c r="A267" s="368">
        <v>45996</v>
      </c>
      <c r="B267" s="369" t="s">
        <v>6535</v>
      </c>
      <c r="C267" s="370" t="s">
        <v>6142</v>
      </c>
      <c r="D267" s="370">
        <v>77785</v>
      </c>
      <c r="E267" s="370">
        <v>2934</v>
      </c>
      <c r="F267" s="371" t="s">
        <v>6515</v>
      </c>
      <c r="G267" s="370" t="s">
        <v>6088</v>
      </c>
      <c r="H267" s="371" t="s">
        <v>6156</v>
      </c>
      <c r="I267" s="375"/>
      <c r="J267" s="375"/>
      <c r="K267" s="375"/>
      <c r="L267" s="375"/>
      <c r="M267" s="375"/>
      <c r="N267" s="375"/>
      <c r="O267" s="375"/>
      <c r="P267" s="375"/>
      <c r="Q267" s="375"/>
      <c r="R267" s="375"/>
      <c r="S267" s="375"/>
      <c r="T267" s="375"/>
      <c r="U267" s="375"/>
      <c r="V267" s="375"/>
      <c r="W267" s="375"/>
      <c r="X267" s="375"/>
      <c r="Y267" s="375"/>
      <c r="Z267" s="375"/>
      <c r="AA267" s="375"/>
      <c r="AB267" s="375"/>
      <c r="AC267" s="370"/>
      <c r="AD267" s="375"/>
      <c r="AE267" s="375"/>
      <c r="AF267" s="375"/>
      <c r="AG267" s="375">
        <v>2934</v>
      </c>
      <c r="AH267" s="375"/>
      <c r="AI267" s="375"/>
      <c r="AJ267" s="375"/>
      <c r="AK267" s="375"/>
      <c r="AL267" s="375"/>
      <c r="AM267" s="375"/>
      <c r="AN267" s="375"/>
      <c r="AO267" s="375"/>
      <c r="AP267" s="375"/>
      <c r="AQ267" s="390" t="s">
        <v>6536</v>
      </c>
    </row>
    <row r="268" s="363" customFormat="1" ht="19" customHeight="1" spans="1:43">
      <c r="A268" s="368">
        <v>45996</v>
      </c>
      <c r="B268" s="369" t="s">
        <v>6537</v>
      </c>
      <c r="C268" s="370" t="s">
        <v>6142</v>
      </c>
      <c r="D268" s="370">
        <v>77731</v>
      </c>
      <c r="E268" s="370">
        <v>10000</v>
      </c>
      <c r="F268" s="371" t="s">
        <v>6308</v>
      </c>
      <c r="G268" s="370" t="s">
        <v>6207</v>
      </c>
      <c r="H268" s="371" t="s">
        <v>68</v>
      </c>
      <c r="I268" s="375"/>
      <c r="J268" s="375"/>
      <c r="K268" s="375"/>
      <c r="L268" s="375"/>
      <c r="M268" s="375"/>
      <c r="N268" s="375"/>
      <c r="O268" s="375"/>
      <c r="P268" s="375"/>
      <c r="Q268" s="375"/>
      <c r="R268" s="375"/>
      <c r="S268" s="375"/>
      <c r="T268" s="375"/>
      <c r="U268" s="375"/>
      <c r="V268" s="375"/>
      <c r="W268" s="375"/>
      <c r="X268" s="375"/>
      <c r="Y268" s="375"/>
      <c r="Z268" s="375"/>
      <c r="AA268" s="375"/>
      <c r="AB268" s="375"/>
      <c r="AC268" s="370"/>
      <c r="AD268" s="375"/>
      <c r="AE268" s="375"/>
      <c r="AF268" s="375"/>
      <c r="AG268" s="375"/>
      <c r="AH268" s="375"/>
      <c r="AI268" s="375"/>
      <c r="AJ268" s="375"/>
      <c r="AK268" s="375"/>
      <c r="AL268" s="375"/>
      <c r="AM268" s="375"/>
      <c r="AN268" s="375">
        <v>10000</v>
      </c>
      <c r="AO268" s="375"/>
      <c r="AP268" s="375"/>
      <c r="AQ268" s="390" t="s">
        <v>6538</v>
      </c>
    </row>
    <row r="269" s="363" customFormat="1" ht="19" customHeight="1" spans="1:43">
      <c r="A269" s="368">
        <v>45996</v>
      </c>
      <c r="B269" s="369" t="s">
        <v>6539</v>
      </c>
      <c r="C269" s="370" t="s">
        <v>6142</v>
      </c>
      <c r="D269" s="370">
        <v>77731</v>
      </c>
      <c r="E269" s="370">
        <v>7212</v>
      </c>
      <c r="F269" s="371" t="s">
        <v>6311</v>
      </c>
      <c r="G269" s="370" t="s">
        <v>6088</v>
      </c>
      <c r="H269" s="371" t="s">
        <v>6156</v>
      </c>
      <c r="I269" s="375"/>
      <c r="J269" s="375"/>
      <c r="K269" s="375"/>
      <c r="L269" s="375"/>
      <c r="M269" s="375"/>
      <c r="N269" s="375"/>
      <c r="O269" s="375"/>
      <c r="P269" s="375"/>
      <c r="Q269" s="375"/>
      <c r="R269" s="375"/>
      <c r="S269" s="375"/>
      <c r="T269" s="375"/>
      <c r="U269" s="375"/>
      <c r="V269" s="375"/>
      <c r="W269" s="375"/>
      <c r="X269" s="375"/>
      <c r="Y269" s="375"/>
      <c r="Z269" s="375"/>
      <c r="AA269" s="375"/>
      <c r="AB269" s="375"/>
      <c r="AC269" s="370"/>
      <c r="AD269" s="375"/>
      <c r="AE269" s="375"/>
      <c r="AF269" s="375"/>
      <c r="AG269" s="375"/>
      <c r="AH269" s="375"/>
      <c r="AI269" s="375"/>
      <c r="AJ269" s="375"/>
      <c r="AK269" s="375"/>
      <c r="AL269" s="375"/>
      <c r="AM269" s="375"/>
      <c r="AN269" s="375"/>
      <c r="AO269" s="375">
        <v>7212</v>
      </c>
      <c r="AP269" s="375"/>
      <c r="AQ269" s="390" t="s">
        <v>6538</v>
      </c>
    </row>
    <row r="270" s="363" customFormat="1" ht="19" customHeight="1" spans="1:43">
      <c r="A270" s="368">
        <v>45996</v>
      </c>
      <c r="B270" s="369" t="s">
        <v>6540</v>
      </c>
      <c r="C270" s="370" t="s">
        <v>6142</v>
      </c>
      <c r="D270" s="370">
        <v>77731</v>
      </c>
      <c r="E270" s="370">
        <v>7212</v>
      </c>
      <c r="F270" s="371" t="s">
        <v>6313</v>
      </c>
      <c r="G270" s="370" t="s">
        <v>6207</v>
      </c>
      <c r="H270" s="371" t="s">
        <v>68</v>
      </c>
      <c r="I270" s="375"/>
      <c r="J270" s="375"/>
      <c r="K270" s="375"/>
      <c r="L270" s="375"/>
      <c r="M270" s="375"/>
      <c r="N270" s="375"/>
      <c r="O270" s="375"/>
      <c r="P270" s="375"/>
      <c r="Q270" s="375"/>
      <c r="R270" s="375"/>
      <c r="S270" s="375"/>
      <c r="T270" s="375"/>
      <c r="U270" s="375"/>
      <c r="V270" s="375"/>
      <c r="W270" s="375"/>
      <c r="X270" s="375"/>
      <c r="Y270" s="375"/>
      <c r="Z270" s="375"/>
      <c r="AA270" s="375"/>
      <c r="AB270" s="375"/>
      <c r="AC270" s="370"/>
      <c r="AD270" s="375"/>
      <c r="AE270" s="375"/>
      <c r="AF270" s="375"/>
      <c r="AG270" s="375"/>
      <c r="AH270" s="375"/>
      <c r="AI270" s="375"/>
      <c r="AJ270" s="375"/>
      <c r="AK270" s="375"/>
      <c r="AL270" s="375"/>
      <c r="AM270" s="375"/>
      <c r="AN270" s="375"/>
      <c r="AO270" s="375"/>
      <c r="AP270" s="375">
        <v>7212</v>
      </c>
      <c r="AQ270" s="390" t="s">
        <v>6538</v>
      </c>
    </row>
    <row r="271" s="363" customFormat="1" ht="19" customHeight="1" spans="1:43">
      <c r="A271" s="368">
        <v>46006</v>
      </c>
      <c r="B271" s="369">
        <v>1000034954</v>
      </c>
      <c r="C271" s="370" t="s">
        <v>6118</v>
      </c>
      <c r="D271" s="370" t="s">
        <v>6282</v>
      </c>
      <c r="E271" s="370">
        <v>1000</v>
      </c>
      <c r="F271" s="371" t="s">
        <v>6283</v>
      </c>
      <c r="G271" s="370" t="s">
        <v>6082</v>
      </c>
      <c r="H271" s="371" t="s">
        <v>6083</v>
      </c>
      <c r="I271" s="375"/>
      <c r="J271" s="375"/>
      <c r="K271" s="375"/>
      <c r="L271" s="375"/>
      <c r="M271" s="375"/>
      <c r="N271" s="375"/>
      <c r="O271" s="375"/>
      <c r="P271" s="375"/>
      <c r="Q271" s="375"/>
      <c r="R271" s="375"/>
      <c r="S271" s="375"/>
      <c r="T271" s="375"/>
      <c r="U271" s="375"/>
      <c r="V271" s="375"/>
      <c r="W271" s="375"/>
      <c r="X271" s="375"/>
      <c r="Y271" s="375">
        <v>1000</v>
      </c>
      <c r="Z271" s="375"/>
      <c r="AA271" s="375"/>
      <c r="AB271" s="375"/>
      <c r="AC271" s="370"/>
      <c r="AD271" s="375"/>
      <c r="AE271" s="375"/>
      <c r="AF271" s="375"/>
      <c r="AG271" s="375"/>
      <c r="AH271" s="375"/>
      <c r="AI271" s="375"/>
      <c r="AJ271" s="375"/>
      <c r="AK271" s="375"/>
      <c r="AL271" s="375"/>
      <c r="AM271" s="375"/>
      <c r="AN271" s="375"/>
      <c r="AO271" s="375"/>
      <c r="AP271" s="375"/>
      <c r="AQ271" s="390" t="s">
        <v>6280</v>
      </c>
    </row>
    <row r="272" s="363" customFormat="1" ht="19" customHeight="1" spans="1:43">
      <c r="A272" s="368">
        <v>46006</v>
      </c>
      <c r="B272" s="369">
        <v>1000034957</v>
      </c>
      <c r="C272" s="370" t="s">
        <v>6118</v>
      </c>
      <c r="D272" s="370" t="s">
        <v>3165</v>
      </c>
      <c r="E272" s="370">
        <v>80000</v>
      </c>
      <c r="F272" s="371" t="s">
        <v>6087</v>
      </c>
      <c r="G272" s="370" t="s">
        <v>6088</v>
      </c>
      <c r="H272" s="371" t="s">
        <v>6083</v>
      </c>
      <c r="I272" s="375"/>
      <c r="J272" s="375"/>
      <c r="K272" s="375"/>
      <c r="L272" s="375"/>
      <c r="M272" s="375">
        <v>80000</v>
      </c>
      <c r="N272" s="375"/>
      <c r="O272" s="375"/>
      <c r="P272" s="375"/>
      <c r="Q272" s="375"/>
      <c r="R272" s="375"/>
      <c r="S272" s="375"/>
      <c r="T272" s="375"/>
      <c r="U272" s="375"/>
      <c r="V272" s="375"/>
      <c r="W272" s="375"/>
      <c r="X272" s="375"/>
      <c r="Y272" s="375"/>
      <c r="Z272" s="375"/>
      <c r="AA272" s="375"/>
      <c r="AB272" s="375"/>
      <c r="AC272" s="370"/>
      <c r="AD272" s="375"/>
      <c r="AE272" s="375"/>
      <c r="AF272" s="375"/>
      <c r="AG272" s="375"/>
      <c r="AH272" s="375"/>
      <c r="AI272" s="375"/>
      <c r="AJ272" s="375"/>
      <c r="AK272" s="375"/>
      <c r="AL272" s="375"/>
      <c r="AM272" s="375"/>
      <c r="AN272" s="375"/>
      <c r="AO272" s="375"/>
      <c r="AP272" s="375"/>
      <c r="AQ272" s="390" t="s">
        <v>6287</v>
      </c>
    </row>
    <row r="273" s="363" customFormat="1" ht="19" customHeight="1" spans="1:43">
      <c r="A273" s="368">
        <v>46006</v>
      </c>
      <c r="B273" s="369">
        <v>1000034958</v>
      </c>
      <c r="C273" s="370" t="s">
        <v>6118</v>
      </c>
      <c r="D273" s="370" t="s">
        <v>3165</v>
      </c>
      <c r="E273" s="370">
        <v>80000</v>
      </c>
      <c r="F273" s="371" t="s">
        <v>6279</v>
      </c>
      <c r="G273" s="370" t="s">
        <v>6092</v>
      </c>
      <c r="H273" s="371" t="s">
        <v>6156</v>
      </c>
      <c r="I273" s="375"/>
      <c r="J273" s="375"/>
      <c r="K273" s="375"/>
      <c r="L273" s="375"/>
      <c r="M273" s="375"/>
      <c r="N273" s="375"/>
      <c r="O273" s="375">
        <v>80000</v>
      </c>
      <c r="P273" s="375"/>
      <c r="Q273" s="375"/>
      <c r="R273" s="375"/>
      <c r="S273" s="375"/>
      <c r="T273" s="375"/>
      <c r="U273" s="375"/>
      <c r="V273" s="375"/>
      <c r="W273" s="375"/>
      <c r="X273" s="375"/>
      <c r="Y273" s="375"/>
      <c r="Z273" s="375"/>
      <c r="AA273" s="375"/>
      <c r="AB273" s="375"/>
      <c r="AC273" s="370"/>
      <c r="AD273" s="375"/>
      <c r="AE273" s="375"/>
      <c r="AF273" s="375"/>
      <c r="AG273" s="375"/>
      <c r="AH273" s="375"/>
      <c r="AI273" s="375"/>
      <c r="AJ273" s="375"/>
      <c r="AK273" s="375"/>
      <c r="AL273" s="375"/>
      <c r="AM273" s="375"/>
      <c r="AN273" s="375"/>
      <c r="AO273" s="375"/>
      <c r="AP273" s="375"/>
      <c r="AQ273" s="390" t="s">
        <v>6418</v>
      </c>
    </row>
    <row r="274" s="363" customFormat="1" ht="19" customHeight="1" spans="1:43">
      <c r="A274" s="368">
        <v>46006</v>
      </c>
      <c r="B274" s="369">
        <v>1000034959</v>
      </c>
      <c r="C274" s="370" t="s">
        <v>6118</v>
      </c>
      <c r="D274" s="370" t="s">
        <v>3206</v>
      </c>
      <c r="E274" s="370">
        <v>2500</v>
      </c>
      <c r="F274" s="371" t="s">
        <v>6306</v>
      </c>
      <c r="G274" s="370" t="s">
        <v>6088</v>
      </c>
      <c r="H274" s="371" t="s">
        <v>6083</v>
      </c>
      <c r="I274" s="375"/>
      <c r="J274" s="375"/>
      <c r="K274" s="375"/>
      <c r="L274" s="375"/>
      <c r="M274" s="375"/>
      <c r="N274" s="375"/>
      <c r="O274" s="375"/>
      <c r="P274" s="375"/>
      <c r="Q274" s="375"/>
      <c r="R274" s="375"/>
      <c r="S274" s="375"/>
      <c r="T274" s="375"/>
      <c r="U274" s="375"/>
      <c r="V274" s="375"/>
      <c r="W274" s="375"/>
      <c r="X274" s="375">
        <v>2500</v>
      </c>
      <c r="Y274" s="375"/>
      <c r="Z274" s="375"/>
      <c r="AA274" s="375"/>
      <c r="AB274" s="375"/>
      <c r="AC274" s="370"/>
      <c r="AD274" s="375"/>
      <c r="AE274" s="375"/>
      <c r="AF274" s="375"/>
      <c r="AG274" s="375"/>
      <c r="AH274" s="375"/>
      <c r="AI274" s="375"/>
      <c r="AJ274" s="375"/>
      <c r="AK274" s="375"/>
      <c r="AL274" s="375"/>
      <c r="AM274" s="375"/>
      <c r="AN274" s="375"/>
      <c r="AO274" s="375"/>
      <c r="AP274" s="375"/>
      <c r="AQ274" s="390" t="s">
        <v>6289</v>
      </c>
    </row>
    <row r="275" s="363" customFormat="1" ht="19" customHeight="1" spans="1:43">
      <c r="A275" s="368">
        <v>46006</v>
      </c>
      <c r="B275" s="369">
        <v>1000034960</v>
      </c>
      <c r="C275" s="370" t="s">
        <v>6118</v>
      </c>
      <c r="D275" s="370" t="s">
        <v>3165</v>
      </c>
      <c r="E275" s="370">
        <v>2000</v>
      </c>
      <c r="F275" s="371" t="s">
        <v>6291</v>
      </c>
      <c r="G275" s="370" t="s">
        <v>6088</v>
      </c>
      <c r="H275" s="371" t="s">
        <v>6083</v>
      </c>
      <c r="I275" s="375"/>
      <c r="J275" s="375"/>
      <c r="K275" s="375"/>
      <c r="L275" s="375"/>
      <c r="M275" s="375"/>
      <c r="N275" s="375"/>
      <c r="O275" s="375"/>
      <c r="P275" s="375"/>
      <c r="Q275" s="375"/>
      <c r="R275" s="375"/>
      <c r="S275" s="375"/>
      <c r="T275" s="375"/>
      <c r="U275" s="375"/>
      <c r="V275" s="375"/>
      <c r="W275" s="375"/>
      <c r="X275" s="375"/>
      <c r="Y275" s="375"/>
      <c r="Z275" s="375"/>
      <c r="AA275" s="375">
        <v>2000</v>
      </c>
      <c r="AB275" s="375"/>
      <c r="AC275" s="370"/>
      <c r="AD275" s="375"/>
      <c r="AE275" s="375"/>
      <c r="AF275" s="375"/>
      <c r="AG275" s="375"/>
      <c r="AH275" s="375"/>
      <c r="AI275" s="375"/>
      <c r="AJ275" s="375"/>
      <c r="AK275" s="375"/>
      <c r="AL275" s="375"/>
      <c r="AM275" s="375"/>
      <c r="AN275" s="375"/>
      <c r="AO275" s="375"/>
      <c r="AP275" s="375"/>
      <c r="AQ275" s="390" t="s">
        <v>6289</v>
      </c>
    </row>
    <row r="276" s="363" customFormat="1" ht="19" customHeight="1" spans="1:43">
      <c r="A276" s="368">
        <v>46008</v>
      </c>
      <c r="B276" s="369" t="s">
        <v>6541</v>
      </c>
      <c r="C276" s="370" t="s">
        <v>6181</v>
      </c>
      <c r="D276" s="370" t="s">
        <v>6338</v>
      </c>
      <c r="E276" s="370">
        <v>10000</v>
      </c>
      <c r="F276" s="371" t="s">
        <v>6173</v>
      </c>
      <c r="G276" s="370" t="s">
        <v>6339</v>
      </c>
      <c r="H276" s="371" t="s">
        <v>6207</v>
      </c>
      <c r="I276" s="375"/>
      <c r="J276" s="375"/>
      <c r="K276" s="375"/>
      <c r="L276" s="375"/>
      <c r="M276" s="375"/>
      <c r="N276" s="375"/>
      <c r="O276" s="375"/>
      <c r="P276" s="375"/>
      <c r="Q276" s="375"/>
      <c r="R276" s="375"/>
      <c r="S276" s="375"/>
      <c r="T276" s="375"/>
      <c r="U276" s="375"/>
      <c r="V276" s="375"/>
      <c r="W276" s="375"/>
      <c r="X276" s="375"/>
      <c r="Y276" s="375"/>
      <c r="Z276" s="375"/>
      <c r="AA276" s="375"/>
      <c r="AB276" s="375"/>
      <c r="AC276" s="370"/>
      <c r="AD276" s="375"/>
      <c r="AE276" s="375"/>
      <c r="AF276" s="375"/>
      <c r="AG276" s="375"/>
      <c r="AH276" s="375"/>
      <c r="AI276" s="375"/>
      <c r="AJ276" s="375"/>
      <c r="AK276" s="375"/>
      <c r="AL276" s="375"/>
      <c r="AM276" s="375"/>
      <c r="AN276" s="375"/>
      <c r="AO276" s="375"/>
      <c r="AP276" s="375"/>
      <c r="AQ276" s="390" t="s">
        <v>6542</v>
      </c>
    </row>
    <row r="277" s="363" customFormat="1" ht="19" customHeight="1" spans="1:43">
      <c r="A277" s="368">
        <v>46008</v>
      </c>
      <c r="B277" s="369" t="s">
        <v>6543</v>
      </c>
      <c r="C277" s="370" t="s">
        <v>6181</v>
      </c>
      <c r="D277" s="370" t="s">
        <v>6338</v>
      </c>
      <c r="E277" s="370">
        <v>500</v>
      </c>
      <c r="F277" s="371" t="s">
        <v>6321</v>
      </c>
      <c r="G277" s="370" t="s">
        <v>6339</v>
      </c>
      <c r="H277" s="371" t="s">
        <v>6207</v>
      </c>
      <c r="I277" s="375"/>
      <c r="J277" s="375"/>
      <c r="K277" s="375"/>
      <c r="L277" s="375"/>
      <c r="M277" s="375"/>
      <c r="N277" s="375"/>
      <c r="O277" s="375"/>
      <c r="P277" s="375"/>
      <c r="Q277" s="375"/>
      <c r="R277" s="375"/>
      <c r="S277" s="375"/>
      <c r="T277" s="375"/>
      <c r="U277" s="375"/>
      <c r="V277" s="375"/>
      <c r="W277" s="375"/>
      <c r="X277" s="375"/>
      <c r="Y277" s="375"/>
      <c r="Z277" s="375"/>
      <c r="AA277" s="375"/>
      <c r="AB277" s="375"/>
      <c r="AC277" s="370"/>
      <c r="AD277" s="375"/>
      <c r="AE277" s="375"/>
      <c r="AF277" s="375"/>
      <c r="AG277" s="375"/>
      <c r="AH277" s="375"/>
      <c r="AI277" s="375"/>
      <c r="AJ277" s="375"/>
      <c r="AK277" s="375"/>
      <c r="AL277" s="375"/>
      <c r="AM277" s="375"/>
      <c r="AN277" s="375"/>
      <c r="AO277" s="375"/>
      <c r="AP277" s="375"/>
      <c r="AQ277" s="390" t="s">
        <v>6544</v>
      </c>
    </row>
    <row r="278" s="363" customFormat="1" ht="19" customHeight="1" spans="1:43">
      <c r="A278" s="368">
        <v>46009</v>
      </c>
      <c r="B278" s="369" t="s">
        <v>6545</v>
      </c>
      <c r="C278" s="370" t="s">
        <v>6129</v>
      </c>
      <c r="D278" s="370" t="s">
        <v>6320</v>
      </c>
      <c r="E278" s="370">
        <v>6120</v>
      </c>
      <c r="F278" s="371" t="s">
        <v>6321</v>
      </c>
      <c r="G278" s="370" t="s">
        <v>6082</v>
      </c>
      <c r="H278" s="371" t="s">
        <v>6083</v>
      </c>
      <c r="I278" s="375"/>
      <c r="J278" s="375"/>
      <c r="K278" s="375"/>
      <c r="L278" s="375"/>
      <c r="M278" s="375"/>
      <c r="N278" s="375"/>
      <c r="O278" s="375"/>
      <c r="P278" s="375"/>
      <c r="Q278" s="375"/>
      <c r="R278" s="375"/>
      <c r="S278" s="375"/>
      <c r="T278" s="375"/>
      <c r="U278" s="375"/>
      <c r="V278" s="375"/>
      <c r="W278" s="375"/>
      <c r="X278" s="375"/>
      <c r="Y278" s="375"/>
      <c r="Z278" s="375"/>
      <c r="AA278" s="375"/>
      <c r="AB278" s="375">
        <v>6120</v>
      </c>
      <c r="AC278" s="370"/>
      <c r="AD278" s="375"/>
      <c r="AE278" s="375"/>
      <c r="AF278" s="375"/>
      <c r="AG278" s="375"/>
      <c r="AH278" s="375"/>
      <c r="AI278" s="375"/>
      <c r="AJ278" s="375"/>
      <c r="AK278" s="375"/>
      <c r="AL278" s="375"/>
      <c r="AM278" s="375"/>
      <c r="AN278" s="375"/>
      <c r="AO278" s="375"/>
      <c r="AP278" s="375"/>
      <c r="AQ278" s="390" t="s">
        <v>6546</v>
      </c>
    </row>
    <row r="279" s="363" customFormat="1" ht="19" customHeight="1" spans="1:43">
      <c r="A279" s="368">
        <v>46022</v>
      </c>
      <c r="B279" s="369">
        <v>1000035545</v>
      </c>
      <c r="C279" s="370" t="s">
        <v>6118</v>
      </c>
      <c r="D279" s="370" t="s">
        <v>3198</v>
      </c>
      <c r="E279" s="370">
        <v>300000</v>
      </c>
      <c r="F279" s="371" t="s">
        <v>6081</v>
      </c>
      <c r="G279" s="370" t="s">
        <v>6082</v>
      </c>
      <c r="H279" s="371" t="s">
        <v>6083</v>
      </c>
      <c r="I279" s="370">
        <v>300000</v>
      </c>
      <c r="J279" s="375"/>
      <c r="K279" s="375"/>
      <c r="L279" s="375"/>
      <c r="M279" s="375"/>
      <c r="N279" s="375"/>
      <c r="O279" s="375"/>
      <c r="P279" s="375"/>
      <c r="Q279" s="375"/>
      <c r="R279" s="375"/>
      <c r="S279" s="375"/>
      <c r="T279" s="375"/>
      <c r="U279" s="375"/>
      <c r="V279" s="375"/>
      <c r="W279" s="375"/>
      <c r="X279" s="375"/>
      <c r="Y279" s="375"/>
      <c r="Z279" s="375"/>
      <c r="AA279" s="375"/>
      <c r="AB279" s="375"/>
      <c r="AC279" s="370"/>
      <c r="AD279" s="375"/>
      <c r="AE279" s="375"/>
      <c r="AF279" s="375"/>
      <c r="AG279" s="375"/>
      <c r="AH279" s="375"/>
      <c r="AI279" s="375"/>
      <c r="AJ279" s="375"/>
      <c r="AK279" s="375"/>
      <c r="AL279" s="375"/>
      <c r="AM279" s="375"/>
      <c r="AN279" s="375"/>
      <c r="AO279" s="375"/>
      <c r="AP279" s="375"/>
      <c r="AQ279" s="390"/>
    </row>
    <row r="280" s="363" customFormat="1" ht="19" customHeight="1" spans="1:43">
      <c r="A280" s="368">
        <v>46022</v>
      </c>
      <c r="B280" s="369">
        <v>1000035546</v>
      </c>
      <c r="C280" s="370" t="s">
        <v>6118</v>
      </c>
      <c r="D280" s="370" t="s">
        <v>3198</v>
      </c>
      <c r="E280" s="370">
        <v>20000</v>
      </c>
      <c r="F280" s="371" t="s">
        <v>6276</v>
      </c>
      <c r="G280" s="370" t="s">
        <v>6277</v>
      </c>
      <c r="H280" s="371" t="s">
        <v>6083</v>
      </c>
      <c r="I280" s="375"/>
      <c r="J280" s="370">
        <v>20000</v>
      </c>
      <c r="K280" s="375"/>
      <c r="L280" s="375"/>
      <c r="M280" s="375"/>
      <c r="N280" s="375"/>
      <c r="O280" s="375"/>
      <c r="P280" s="375"/>
      <c r="Q280" s="375"/>
      <c r="R280" s="375"/>
      <c r="S280" s="375"/>
      <c r="T280" s="375"/>
      <c r="U280" s="375"/>
      <c r="V280" s="375"/>
      <c r="W280" s="375"/>
      <c r="X280" s="375"/>
      <c r="Y280" s="375"/>
      <c r="Z280" s="375"/>
      <c r="AA280" s="375"/>
      <c r="AB280" s="375"/>
      <c r="AC280" s="370"/>
      <c r="AD280" s="375"/>
      <c r="AE280" s="375"/>
      <c r="AF280" s="375"/>
      <c r="AG280" s="375"/>
      <c r="AH280" s="375"/>
      <c r="AI280" s="375"/>
      <c r="AJ280" s="375"/>
      <c r="AK280" s="375"/>
      <c r="AL280" s="375"/>
      <c r="AM280" s="375"/>
      <c r="AN280" s="375"/>
      <c r="AO280" s="375"/>
      <c r="AP280" s="375"/>
      <c r="AQ280" s="390"/>
    </row>
    <row r="281" s="363" customFormat="1" ht="19" customHeight="1" spans="1:43">
      <c r="A281" s="368">
        <v>46022</v>
      </c>
      <c r="B281" s="369">
        <v>1000035547</v>
      </c>
      <c r="C281" s="370" t="s">
        <v>6118</v>
      </c>
      <c r="D281" s="370" t="s">
        <v>3198</v>
      </c>
      <c r="E281" s="370">
        <v>350000</v>
      </c>
      <c r="F281" s="371" t="s">
        <v>6295</v>
      </c>
      <c r="G281" s="370" t="s">
        <v>6277</v>
      </c>
      <c r="H281" s="371" t="s">
        <v>6156</v>
      </c>
      <c r="I281" s="375"/>
      <c r="J281" s="375"/>
      <c r="K281" s="375"/>
      <c r="L281" s="375"/>
      <c r="M281" s="375"/>
      <c r="N281" s="370">
        <v>350000</v>
      </c>
      <c r="O281" s="375"/>
      <c r="P281" s="375"/>
      <c r="Q281" s="375"/>
      <c r="R281" s="375"/>
      <c r="S281" s="375"/>
      <c r="T281" s="375"/>
      <c r="U281" s="375"/>
      <c r="V281" s="375"/>
      <c r="W281" s="375"/>
      <c r="X281" s="375"/>
      <c r="Y281" s="375"/>
      <c r="Z281" s="375"/>
      <c r="AA281" s="375"/>
      <c r="AB281" s="375"/>
      <c r="AC281" s="370"/>
      <c r="AD281" s="375"/>
      <c r="AE281" s="375"/>
      <c r="AF281" s="375"/>
      <c r="AG281" s="375"/>
      <c r="AH281" s="375"/>
      <c r="AI281" s="375"/>
      <c r="AJ281" s="375"/>
      <c r="AK281" s="375"/>
      <c r="AL281" s="375"/>
      <c r="AM281" s="375"/>
      <c r="AN281" s="375"/>
      <c r="AO281" s="375"/>
      <c r="AP281" s="375"/>
      <c r="AQ281" s="390"/>
    </row>
    <row r="282" s="363" customFormat="1" ht="19" customHeight="1" spans="1:43">
      <c r="A282" s="368">
        <v>46022</v>
      </c>
      <c r="B282" s="369">
        <v>1000035548</v>
      </c>
      <c r="C282" s="370" t="s">
        <v>6118</v>
      </c>
      <c r="D282" s="370" t="s">
        <v>6396</v>
      </c>
      <c r="E282" s="370">
        <v>200</v>
      </c>
      <c r="F282" s="371" t="s">
        <v>6397</v>
      </c>
      <c r="G282" s="370" t="s">
        <v>6277</v>
      </c>
      <c r="H282" s="371" t="s">
        <v>6083</v>
      </c>
      <c r="I282" s="375"/>
      <c r="J282" s="375"/>
      <c r="K282" s="375"/>
      <c r="L282" s="375"/>
      <c r="M282" s="375"/>
      <c r="N282" s="375"/>
      <c r="O282" s="375"/>
      <c r="P282" s="375"/>
      <c r="Q282" s="375"/>
      <c r="R282" s="375"/>
      <c r="S282" s="375"/>
      <c r="T282" s="375"/>
      <c r="U282" s="375"/>
      <c r="V282" s="375"/>
      <c r="W282" s="375"/>
      <c r="X282" s="375"/>
      <c r="Y282" s="375"/>
      <c r="Z282" s="375"/>
      <c r="AA282" s="375"/>
      <c r="AB282" s="375"/>
      <c r="AC282" s="370"/>
      <c r="AD282" s="375"/>
      <c r="AE282" s="375"/>
      <c r="AF282" s="375"/>
      <c r="AG282" s="375"/>
      <c r="AH282" s="375"/>
      <c r="AI282" s="375"/>
      <c r="AJ282" s="375"/>
      <c r="AK282" s="370">
        <v>200</v>
      </c>
      <c r="AL282" s="375"/>
      <c r="AM282" s="375"/>
      <c r="AN282" s="375"/>
      <c r="AO282" s="375"/>
      <c r="AP282" s="375"/>
      <c r="AQ282" s="390"/>
    </row>
    <row r="283" s="363" customFormat="1" ht="19" customHeight="1" spans="1:43">
      <c r="A283" s="368">
        <v>46022</v>
      </c>
      <c r="B283" s="369">
        <v>1000035549</v>
      </c>
      <c r="C283" s="370" t="s">
        <v>6118</v>
      </c>
      <c r="D283" s="370" t="s">
        <v>6282</v>
      </c>
      <c r="E283" s="370">
        <v>4500</v>
      </c>
      <c r="F283" s="371" t="s">
        <v>6283</v>
      </c>
      <c r="G283" s="370" t="s">
        <v>6082</v>
      </c>
      <c r="H283" s="371" t="s">
        <v>6083</v>
      </c>
      <c r="I283" s="375"/>
      <c r="J283" s="375"/>
      <c r="K283" s="375"/>
      <c r="L283" s="375"/>
      <c r="M283" s="375"/>
      <c r="N283" s="375"/>
      <c r="O283" s="375"/>
      <c r="P283" s="375"/>
      <c r="Q283" s="375"/>
      <c r="R283" s="375"/>
      <c r="S283" s="375"/>
      <c r="T283" s="375"/>
      <c r="U283" s="375"/>
      <c r="V283" s="375"/>
      <c r="W283" s="375"/>
      <c r="X283" s="375"/>
      <c r="Y283" s="370">
        <v>4500</v>
      </c>
      <c r="Z283" s="375"/>
      <c r="AA283" s="375"/>
      <c r="AB283" s="375"/>
      <c r="AC283" s="370"/>
      <c r="AD283" s="375"/>
      <c r="AE283" s="375"/>
      <c r="AF283" s="375"/>
      <c r="AG283" s="375"/>
      <c r="AH283" s="375"/>
      <c r="AI283" s="375"/>
      <c r="AJ283" s="375"/>
      <c r="AK283" s="375"/>
      <c r="AL283" s="375"/>
      <c r="AM283" s="375"/>
      <c r="AN283" s="375"/>
      <c r="AO283" s="375"/>
      <c r="AP283" s="375"/>
      <c r="AQ283" s="390"/>
    </row>
    <row r="284" s="363" customFormat="1" ht="19" customHeight="1" spans="1:43">
      <c r="A284" s="368">
        <v>46022</v>
      </c>
      <c r="B284" s="369">
        <v>1000035550</v>
      </c>
      <c r="C284" s="370" t="s">
        <v>6118</v>
      </c>
      <c r="D284" s="370" t="s">
        <v>3272</v>
      </c>
      <c r="E284" s="370">
        <v>500</v>
      </c>
      <c r="F284" s="371" t="s">
        <v>6331</v>
      </c>
      <c r="G284" s="370" t="s">
        <v>6082</v>
      </c>
      <c r="H284" s="371" t="s">
        <v>6083</v>
      </c>
      <c r="I284" s="375"/>
      <c r="J284" s="375"/>
      <c r="K284" s="375"/>
      <c r="L284" s="375"/>
      <c r="M284" s="375"/>
      <c r="N284" s="375"/>
      <c r="O284" s="375"/>
      <c r="P284" s="375"/>
      <c r="Q284" s="375"/>
      <c r="R284" s="375"/>
      <c r="S284" s="375"/>
      <c r="T284" s="375"/>
      <c r="U284" s="375"/>
      <c r="V284" s="370">
        <v>500</v>
      </c>
      <c r="W284" s="375"/>
      <c r="X284" s="375"/>
      <c r="Y284" s="375"/>
      <c r="Z284" s="375"/>
      <c r="AA284" s="375"/>
      <c r="AB284" s="375"/>
      <c r="AC284" s="370"/>
      <c r="AD284" s="375"/>
      <c r="AE284" s="375"/>
      <c r="AF284" s="375"/>
      <c r="AG284" s="375"/>
      <c r="AH284" s="375"/>
      <c r="AI284" s="375"/>
      <c r="AJ284" s="375"/>
      <c r="AK284" s="375"/>
      <c r="AL284" s="375"/>
      <c r="AM284" s="375"/>
      <c r="AN284" s="375"/>
      <c r="AO284" s="375"/>
      <c r="AP284" s="375"/>
      <c r="AQ284" s="390"/>
    </row>
    <row r="285" s="363" customFormat="1" ht="19" customHeight="1" spans="1:43">
      <c r="A285" s="368">
        <v>46022</v>
      </c>
      <c r="B285" s="369">
        <v>1000035551</v>
      </c>
      <c r="C285" s="370" t="s">
        <v>6118</v>
      </c>
      <c r="D285" s="370" t="s">
        <v>3272</v>
      </c>
      <c r="E285" s="370">
        <v>500</v>
      </c>
      <c r="F285" s="371" t="s">
        <v>6299</v>
      </c>
      <c r="G285" s="370" t="s">
        <v>6277</v>
      </c>
      <c r="H285" s="371" t="s">
        <v>6083</v>
      </c>
      <c r="I285" s="375"/>
      <c r="J285" s="375"/>
      <c r="K285" s="375"/>
      <c r="L285" s="375"/>
      <c r="M285" s="375"/>
      <c r="N285" s="375"/>
      <c r="O285" s="375"/>
      <c r="P285" s="375"/>
      <c r="Q285" s="375"/>
      <c r="R285" s="375"/>
      <c r="S285" s="375"/>
      <c r="T285" s="375"/>
      <c r="U285" s="375"/>
      <c r="V285" s="375"/>
      <c r="W285" s="370">
        <v>500</v>
      </c>
      <c r="X285" s="375"/>
      <c r="Y285" s="375"/>
      <c r="Z285" s="370"/>
      <c r="AA285" s="375"/>
      <c r="AB285" s="375"/>
      <c r="AC285" s="370"/>
      <c r="AD285" s="375"/>
      <c r="AE285" s="375"/>
      <c r="AF285" s="375"/>
      <c r="AG285" s="375"/>
      <c r="AH285" s="375"/>
      <c r="AI285" s="375"/>
      <c r="AJ285" s="375"/>
      <c r="AK285" s="375"/>
      <c r="AL285" s="375"/>
      <c r="AM285" s="375"/>
      <c r="AN285" s="375"/>
      <c r="AO285" s="375"/>
      <c r="AP285" s="375"/>
      <c r="AQ285" s="390"/>
    </row>
    <row r="286" s="363" customFormat="1" ht="19" customHeight="1" spans="1:43">
      <c r="A286" s="368">
        <v>46022</v>
      </c>
      <c r="B286" s="369">
        <v>1000035557</v>
      </c>
      <c r="C286" s="370" t="s">
        <v>6118</v>
      </c>
      <c r="D286" s="370" t="s">
        <v>3165</v>
      </c>
      <c r="E286" s="370">
        <v>50000</v>
      </c>
      <c r="F286" s="371" t="s">
        <v>6087</v>
      </c>
      <c r="G286" s="370" t="s">
        <v>6088</v>
      </c>
      <c r="H286" s="371" t="s">
        <v>6083</v>
      </c>
      <c r="I286" s="375"/>
      <c r="J286" s="375"/>
      <c r="K286" s="375"/>
      <c r="L286" s="375"/>
      <c r="M286" s="370">
        <v>50000</v>
      </c>
      <c r="N286" s="375"/>
      <c r="O286" s="375"/>
      <c r="P286" s="375"/>
      <c r="Q286" s="375"/>
      <c r="R286" s="375"/>
      <c r="S286" s="375"/>
      <c r="T286" s="375"/>
      <c r="U286" s="375"/>
      <c r="V286" s="375"/>
      <c r="W286" s="375"/>
      <c r="X286" s="375"/>
      <c r="Y286" s="375"/>
      <c r="Z286" s="375"/>
      <c r="AA286" s="375"/>
      <c r="AB286" s="375"/>
      <c r="AC286" s="370"/>
      <c r="AD286" s="375"/>
      <c r="AE286" s="375"/>
      <c r="AF286" s="375"/>
      <c r="AG286" s="375"/>
      <c r="AH286" s="375"/>
      <c r="AI286" s="375"/>
      <c r="AJ286" s="375"/>
      <c r="AK286" s="375"/>
      <c r="AL286" s="375"/>
      <c r="AM286" s="375"/>
      <c r="AN286" s="375"/>
      <c r="AO286" s="375"/>
      <c r="AP286" s="375"/>
      <c r="AQ286" s="390"/>
    </row>
    <row r="287" s="363" customFormat="1" ht="19" customHeight="1" spans="1:43">
      <c r="A287" s="368">
        <v>46022</v>
      </c>
      <c r="B287" s="369">
        <v>1000035558</v>
      </c>
      <c r="C287" s="370" t="s">
        <v>6118</v>
      </c>
      <c r="D287" s="370" t="s">
        <v>3206</v>
      </c>
      <c r="E287" s="370">
        <v>3500</v>
      </c>
      <c r="F287" s="371" t="s">
        <v>6306</v>
      </c>
      <c r="G287" s="370" t="s">
        <v>6088</v>
      </c>
      <c r="H287" s="371" t="s">
        <v>6083</v>
      </c>
      <c r="I287" s="375"/>
      <c r="J287" s="375"/>
      <c r="K287" s="375"/>
      <c r="L287" s="375"/>
      <c r="M287" s="375"/>
      <c r="N287" s="375"/>
      <c r="O287" s="375"/>
      <c r="P287" s="375"/>
      <c r="Q287" s="375"/>
      <c r="R287" s="375"/>
      <c r="S287" s="375"/>
      <c r="T287" s="375"/>
      <c r="U287" s="375"/>
      <c r="V287" s="375"/>
      <c r="W287" s="375"/>
      <c r="X287" s="370">
        <v>3500</v>
      </c>
      <c r="Y287" s="375"/>
      <c r="Z287" s="375"/>
      <c r="AA287" s="375"/>
      <c r="AB287" s="375"/>
      <c r="AC287" s="370"/>
      <c r="AD287" s="375"/>
      <c r="AE287" s="375"/>
      <c r="AF287" s="375"/>
      <c r="AG287" s="375"/>
      <c r="AH287" s="375"/>
      <c r="AI287" s="375"/>
      <c r="AJ287" s="375"/>
      <c r="AK287" s="375"/>
      <c r="AL287" s="375"/>
      <c r="AM287" s="375"/>
      <c r="AN287" s="375"/>
      <c r="AO287" s="375"/>
      <c r="AP287" s="375"/>
      <c r="AQ287" s="390"/>
    </row>
    <row r="288" s="363" customFormat="1" ht="19" customHeight="1" spans="1:43">
      <c r="A288" s="368">
        <v>46029</v>
      </c>
      <c r="B288" s="369" t="s">
        <v>6547</v>
      </c>
      <c r="C288" s="370" t="s">
        <v>6118</v>
      </c>
      <c r="D288" s="370" t="s">
        <v>3165</v>
      </c>
      <c r="E288" s="370">
        <v>50000</v>
      </c>
      <c r="F288" s="371" t="s">
        <v>6279</v>
      </c>
      <c r="G288" s="370" t="s">
        <v>6092</v>
      </c>
      <c r="H288" s="371" t="s">
        <v>6156</v>
      </c>
      <c r="I288" s="375"/>
      <c r="J288" s="375"/>
      <c r="K288" s="375"/>
      <c r="L288" s="375"/>
      <c r="M288" s="375"/>
      <c r="N288" s="375"/>
      <c r="O288" s="375">
        <v>50000</v>
      </c>
      <c r="P288" s="375"/>
      <c r="Q288" s="375"/>
      <c r="R288" s="375"/>
      <c r="S288" s="375"/>
      <c r="T288" s="375"/>
      <c r="U288" s="375"/>
      <c r="V288" s="375"/>
      <c r="W288" s="375"/>
      <c r="X288" s="370"/>
      <c r="Y288" s="375"/>
      <c r="Z288" s="375"/>
      <c r="AA288" s="375"/>
      <c r="AB288" s="375"/>
      <c r="AC288" s="370"/>
      <c r="AD288" s="375"/>
      <c r="AE288" s="375"/>
      <c r="AF288" s="375"/>
      <c r="AG288" s="375"/>
      <c r="AH288" s="375"/>
      <c r="AI288" s="375"/>
      <c r="AJ288" s="375"/>
      <c r="AK288" s="375"/>
      <c r="AL288" s="375"/>
      <c r="AM288" s="375"/>
      <c r="AN288" s="375"/>
      <c r="AO288" s="375"/>
      <c r="AP288" s="375"/>
      <c r="AQ288" s="390"/>
    </row>
    <row r="289" s="363" customFormat="1" ht="19" customHeight="1" spans="1:43">
      <c r="A289" s="368">
        <v>46029</v>
      </c>
      <c r="B289" s="369" t="s">
        <v>6548</v>
      </c>
      <c r="C289" s="370" t="s">
        <v>6118</v>
      </c>
      <c r="D289" s="370" t="s">
        <v>3328</v>
      </c>
      <c r="E289" s="370">
        <v>200</v>
      </c>
      <c r="F289" s="371" t="s">
        <v>6335</v>
      </c>
      <c r="G289" s="370" t="s">
        <v>6088</v>
      </c>
      <c r="H289" s="371" t="s">
        <v>6083</v>
      </c>
      <c r="I289" s="375"/>
      <c r="J289" s="375"/>
      <c r="K289" s="375"/>
      <c r="L289" s="375"/>
      <c r="M289" s="375"/>
      <c r="N289" s="375"/>
      <c r="O289" s="375"/>
      <c r="P289" s="375"/>
      <c r="Q289" s="375"/>
      <c r="R289" s="375"/>
      <c r="S289" s="375"/>
      <c r="T289" s="375"/>
      <c r="U289" s="375"/>
      <c r="V289" s="375"/>
      <c r="W289" s="375"/>
      <c r="X289" s="370"/>
      <c r="Y289" s="375"/>
      <c r="Z289" s="375"/>
      <c r="AA289" s="375"/>
      <c r="AB289" s="375"/>
      <c r="AC289" s="370"/>
      <c r="AD289" s="375"/>
      <c r="AE289" s="375"/>
      <c r="AF289" s="375"/>
      <c r="AG289" s="375"/>
      <c r="AH289" s="375"/>
      <c r="AI289" s="375"/>
      <c r="AJ289" s="375"/>
      <c r="AK289" s="375"/>
      <c r="AL289" s="375">
        <v>200</v>
      </c>
      <c r="AM289" s="375"/>
      <c r="AN289" s="375"/>
      <c r="AO289" s="375"/>
      <c r="AP289" s="375"/>
      <c r="AQ289" s="390"/>
    </row>
    <row r="290" s="363" customFormat="1" ht="19" customHeight="1" spans="1:43">
      <c r="A290" s="368">
        <v>46029</v>
      </c>
      <c r="B290" s="369" t="s">
        <v>6549</v>
      </c>
      <c r="C290" s="370" t="s">
        <v>6118</v>
      </c>
      <c r="D290" s="370" t="s">
        <v>3206</v>
      </c>
      <c r="E290" s="370">
        <v>2000</v>
      </c>
      <c r="F290" s="371" t="s">
        <v>6306</v>
      </c>
      <c r="G290" s="370" t="s">
        <v>6088</v>
      </c>
      <c r="H290" s="371" t="s">
        <v>6083</v>
      </c>
      <c r="I290" s="375"/>
      <c r="J290" s="375"/>
      <c r="K290" s="375"/>
      <c r="L290" s="375"/>
      <c r="M290" s="375"/>
      <c r="N290" s="375"/>
      <c r="O290" s="375"/>
      <c r="P290" s="375"/>
      <c r="Q290" s="375"/>
      <c r="R290" s="375"/>
      <c r="S290" s="375"/>
      <c r="T290" s="375"/>
      <c r="U290" s="375"/>
      <c r="V290" s="375"/>
      <c r="W290" s="375"/>
      <c r="X290" s="370">
        <v>2000</v>
      </c>
      <c r="Y290" s="375"/>
      <c r="Z290" s="375"/>
      <c r="AA290" s="375"/>
      <c r="AB290" s="375"/>
      <c r="AC290" s="370"/>
      <c r="AD290" s="375"/>
      <c r="AE290" s="375"/>
      <c r="AF290" s="375"/>
      <c r="AG290" s="375"/>
      <c r="AH290" s="375"/>
      <c r="AI290" s="375"/>
      <c r="AJ290" s="375"/>
      <c r="AK290" s="375"/>
      <c r="AL290" s="375"/>
      <c r="AM290" s="375"/>
      <c r="AN290" s="375"/>
      <c r="AO290" s="375"/>
      <c r="AP290" s="375"/>
      <c r="AQ290" s="390"/>
    </row>
    <row r="291" s="363" customFormat="1" ht="19" customHeight="1" spans="1:43">
      <c r="A291" s="368">
        <v>46029</v>
      </c>
      <c r="B291" s="369" t="s">
        <v>6550</v>
      </c>
      <c r="C291" s="370" t="s">
        <v>6118</v>
      </c>
      <c r="D291" s="370" t="s">
        <v>3165</v>
      </c>
      <c r="E291" s="370">
        <v>500</v>
      </c>
      <c r="F291" s="371" t="s">
        <v>6291</v>
      </c>
      <c r="G291" s="370" t="s">
        <v>6088</v>
      </c>
      <c r="H291" s="371" t="s">
        <v>6083</v>
      </c>
      <c r="I291" s="375"/>
      <c r="J291" s="375"/>
      <c r="K291" s="375"/>
      <c r="L291" s="375"/>
      <c r="M291" s="375"/>
      <c r="N291" s="375"/>
      <c r="O291" s="375"/>
      <c r="P291" s="375"/>
      <c r="Q291" s="375"/>
      <c r="R291" s="375"/>
      <c r="S291" s="375"/>
      <c r="T291" s="375"/>
      <c r="U291" s="375"/>
      <c r="V291" s="375"/>
      <c r="W291" s="375"/>
      <c r="X291" s="370"/>
      <c r="Y291" s="375"/>
      <c r="Z291" s="375"/>
      <c r="AA291" s="375">
        <v>500</v>
      </c>
      <c r="AB291" s="375"/>
      <c r="AC291" s="370"/>
      <c r="AD291" s="375"/>
      <c r="AE291" s="375"/>
      <c r="AF291" s="375"/>
      <c r="AG291" s="375"/>
      <c r="AH291" s="375"/>
      <c r="AI291" s="375"/>
      <c r="AJ291" s="375"/>
      <c r="AK291" s="375"/>
      <c r="AL291" s="375"/>
      <c r="AM291" s="375"/>
      <c r="AN291" s="375"/>
      <c r="AO291" s="375"/>
      <c r="AP291" s="375"/>
      <c r="AQ291" s="390"/>
    </row>
    <row r="292" s="364" customFormat="1" ht="19" customHeight="1" spans="1:43">
      <c r="A292" s="391">
        <v>46044</v>
      </c>
      <c r="B292" s="392"/>
      <c r="C292" s="393" t="s">
        <v>6118</v>
      </c>
      <c r="D292" s="393" t="s">
        <v>3198</v>
      </c>
      <c r="E292" s="393">
        <v>150000</v>
      </c>
      <c r="F292" s="394" t="s">
        <v>6081</v>
      </c>
      <c r="G292" s="393" t="s">
        <v>6082</v>
      </c>
      <c r="H292" s="394" t="s">
        <v>6083</v>
      </c>
      <c r="I292" s="395">
        <v>150000</v>
      </c>
      <c r="J292" s="395"/>
      <c r="K292" s="395"/>
      <c r="L292" s="395"/>
      <c r="M292" s="395"/>
      <c r="N292" s="395"/>
      <c r="O292" s="395"/>
      <c r="P292" s="395"/>
      <c r="Q292" s="395"/>
      <c r="R292" s="395"/>
      <c r="S292" s="395"/>
      <c r="T292" s="395"/>
      <c r="U292" s="395"/>
      <c r="V292" s="395"/>
      <c r="W292" s="395"/>
      <c r="X292" s="395"/>
      <c r="Y292" s="395"/>
      <c r="Z292" s="395"/>
      <c r="AA292" s="393"/>
      <c r="AB292" s="395"/>
      <c r="AC292" s="393"/>
      <c r="AD292" s="395"/>
      <c r="AE292" s="395"/>
      <c r="AF292" s="395"/>
      <c r="AG292" s="395"/>
      <c r="AH292" s="395"/>
      <c r="AI292" s="395"/>
      <c r="AJ292" s="395"/>
      <c r="AK292" s="395"/>
      <c r="AL292" s="395"/>
      <c r="AM292" s="395"/>
      <c r="AN292" s="395"/>
      <c r="AO292" s="395"/>
      <c r="AP292" s="395"/>
      <c r="AQ292" s="396" t="s">
        <v>6274</v>
      </c>
    </row>
    <row r="293" s="364" customFormat="1" ht="19" customHeight="1" spans="1:43">
      <c r="A293" s="391">
        <v>46044</v>
      </c>
      <c r="B293" s="392"/>
      <c r="C293" s="393" t="s">
        <v>6118</v>
      </c>
      <c r="D293" s="393" t="s">
        <v>3198</v>
      </c>
      <c r="E293" s="393">
        <v>200000</v>
      </c>
      <c r="F293" s="394" t="s">
        <v>6295</v>
      </c>
      <c r="G293" s="393" t="s">
        <v>6277</v>
      </c>
      <c r="H293" s="394" t="s">
        <v>6156</v>
      </c>
      <c r="I293" s="395"/>
      <c r="J293" s="395"/>
      <c r="K293" s="395"/>
      <c r="L293" s="395"/>
      <c r="M293" s="395"/>
      <c r="N293" s="395">
        <v>200000</v>
      </c>
      <c r="O293" s="395"/>
      <c r="P293" s="395"/>
      <c r="Q293" s="395"/>
      <c r="R293" s="395"/>
      <c r="S293" s="395"/>
      <c r="T293" s="395"/>
      <c r="U293" s="395"/>
      <c r="V293" s="395"/>
      <c r="W293" s="395"/>
      <c r="X293" s="395"/>
      <c r="Y293" s="395"/>
      <c r="Z293" s="395"/>
      <c r="AA293" s="393"/>
      <c r="AB293" s="395"/>
      <c r="AC293" s="393"/>
      <c r="AD293" s="395"/>
      <c r="AE293" s="395"/>
      <c r="AF293" s="395"/>
      <c r="AG293" s="395"/>
      <c r="AH293" s="395"/>
      <c r="AI293" s="395"/>
      <c r="AJ293" s="395"/>
      <c r="AK293" s="395"/>
      <c r="AL293" s="395"/>
      <c r="AM293" s="395"/>
      <c r="AN293" s="395"/>
      <c r="AO293" s="395"/>
      <c r="AP293" s="395"/>
      <c r="AQ293" s="396" t="s">
        <v>6412</v>
      </c>
    </row>
    <row r="294" s="364" customFormat="1" ht="19" customHeight="1" spans="1:43">
      <c r="A294" s="391">
        <v>46044</v>
      </c>
      <c r="B294" s="392"/>
      <c r="C294" s="393" t="s">
        <v>6118</v>
      </c>
      <c r="D294" s="393" t="s">
        <v>6282</v>
      </c>
      <c r="E294" s="393">
        <v>3000</v>
      </c>
      <c r="F294" s="394" t="s">
        <v>6283</v>
      </c>
      <c r="G294" s="393" t="s">
        <v>6082</v>
      </c>
      <c r="H294" s="394" t="s">
        <v>6083</v>
      </c>
      <c r="I294" s="395"/>
      <c r="J294" s="395"/>
      <c r="K294" s="395"/>
      <c r="L294" s="395"/>
      <c r="M294" s="395"/>
      <c r="N294" s="395"/>
      <c r="O294" s="395"/>
      <c r="P294" s="395"/>
      <c r="Q294" s="395"/>
      <c r="R294" s="395"/>
      <c r="S294" s="395"/>
      <c r="T294" s="395"/>
      <c r="U294" s="395"/>
      <c r="V294" s="395"/>
      <c r="W294" s="395"/>
      <c r="X294" s="395"/>
      <c r="Y294" s="395">
        <v>3000</v>
      </c>
      <c r="Z294" s="395"/>
      <c r="AA294" s="393"/>
      <c r="AB294" s="395"/>
      <c r="AC294" s="393"/>
      <c r="AD294" s="395"/>
      <c r="AE294" s="395"/>
      <c r="AF294" s="395"/>
      <c r="AG294" s="395"/>
      <c r="AH294" s="395"/>
      <c r="AI294" s="395"/>
      <c r="AJ294" s="395"/>
      <c r="AK294" s="395"/>
      <c r="AL294" s="395"/>
      <c r="AM294" s="395"/>
      <c r="AN294" s="395"/>
      <c r="AO294" s="395"/>
      <c r="AP294" s="395"/>
      <c r="AQ294" s="396" t="s">
        <v>6280</v>
      </c>
    </row>
    <row r="295" s="364" customFormat="1" ht="19" customHeight="1" spans="1:43">
      <c r="A295" s="391">
        <v>46044</v>
      </c>
      <c r="B295" s="392"/>
      <c r="C295" s="393" t="s">
        <v>6118</v>
      </c>
      <c r="D295" s="393" t="s">
        <v>3165</v>
      </c>
      <c r="E295" s="393">
        <v>100000</v>
      </c>
      <c r="F295" s="394" t="s">
        <v>6087</v>
      </c>
      <c r="G295" s="393" t="s">
        <v>6088</v>
      </c>
      <c r="H295" s="394" t="s">
        <v>6083</v>
      </c>
      <c r="I295" s="395"/>
      <c r="J295" s="395"/>
      <c r="K295" s="395"/>
      <c r="L295" s="395"/>
      <c r="M295" s="395">
        <v>100000</v>
      </c>
      <c r="N295" s="395"/>
      <c r="O295" s="395"/>
      <c r="P295" s="395"/>
      <c r="Q295" s="395"/>
      <c r="R295" s="395"/>
      <c r="S295" s="395"/>
      <c r="T295" s="395"/>
      <c r="U295" s="395"/>
      <c r="V295" s="395"/>
      <c r="W295" s="395"/>
      <c r="X295" s="395"/>
      <c r="Y295" s="395"/>
      <c r="Z295" s="395"/>
      <c r="AA295" s="393"/>
      <c r="AB295" s="395"/>
      <c r="AC295" s="393"/>
      <c r="AD295" s="395"/>
      <c r="AE295" s="395"/>
      <c r="AF295" s="395"/>
      <c r="AG295" s="395"/>
      <c r="AH295" s="395"/>
      <c r="AI295" s="395"/>
      <c r="AJ295" s="395"/>
      <c r="AK295" s="395"/>
      <c r="AL295" s="395"/>
      <c r="AM295" s="395"/>
      <c r="AN295" s="395"/>
      <c r="AO295" s="395"/>
      <c r="AP295" s="395"/>
      <c r="AQ295" s="396" t="s">
        <v>6287</v>
      </c>
    </row>
    <row r="296" s="364" customFormat="1" ht="19" customHeight="1" spans="1:43">
      <c r="A296" s="391">
        <v>46044</v>
      </c>
      <c r="B296" s="392"/>
      <c r="C296" s="393" t="s">
        <v>6118</v>
      </c>
      <c r="D296" s="393" t="s">
        <v>3165</v>
      </c>
      <c r="E296" s="393">
        <v>100000</v>
      </c>
      <c r="F296" s="394" t="s">
        <v>6279</v>
      </c>
      <c r="G296" s="393" t="s">
        <v>6092</v>
      </c>
      <c r="H296" s="394" t="s">
        <v>6156</v>
      </c>
      <c r="I296" s="395"/>
      <c r="J296" s="395"/>
      <c r="K296" s="395"/>
      <c r="L296" s="395"/>
      <c r="M296" s="395"/>
      <c r="N296" s="395"/>
      <c r="O296" s="395">
        <v>100000</v>
      </c>
      <c r="P296" s="395"/>
      <c r="Q296" s="395"/>
      <c r="R296" s="395"/>
      <c r="S296" s="395"/>
      <c r="T296" s="395"/>
      <c r="U296" s="395"/>
      <c r="V296" s="395"/>
      <c r="W296" s="395"/>
      <c r="X296" s="395"/>
      <c r="Y296" s="395"/>
      <c r="Z296" s="395"/>
      <c r="AA296" s="393"/>
      <c r="AB296" s="395"/>
      <c r="AC296" s="393"/>
      <c r="AD296" s="395"/>
      <c r="AE296" s="395"/>
      <c r="AF296" s="395"/>
      <c r="AG296" s="395"/>
      <c r="AH296" s="395"/>
      <c r="AI296" s="395"/>
      <c r="AJ296" s="395"/>
      <c r="AK296" s="395"/>
      <c r="AL296" s="395"/>
      <c r="AM296" s="395"/>
      <c r="AN296" s="395"/>
      <c r="AO296" s="395"/>
      <c r="AP296" s="395"/>
      <c r="AQ296" s="396" t="s">
        <v>6418</v>
      </c>
    </row>
    <row r="297" s="364" customFormat="1" ht="19" customHeight="1" spans="1:43">
      <c r="A297" s="391">
        <v>46044</v>
      </c>
      <c r="B297" s="392"/>
      <c r="C297" s="393" t="s">
        <v>6118</v>
      </c>
      <c r="D297" s="393" t="s">
        <v>3206</v>
      </c>
      <c r="E297" s="393">
        <v>1000</v>
      </c>
      <c r="F297" s="394" t="s">
        <v>6306</v>
      </c>
      <c r="G297" s="393" t="s">
        <v>6088</v>
      </c>
      <c r="H297" s="394" t="s">
        <v>6083</v>
      </c>
      <c r="I297" s="395"/>
      <c r="J297" s="395"/>
      <c r="K297" s="395"/>
      <c r="L297" s="395"/>
      <c r="M297" s="395"/>
      <c r="N297" s="395"/>
      <c r="O297" s="395"/>
      <c r="P297" s="395"/>
      <c r="Q297" s="395"/>
      <c r="R297" s="395"/>
      <c r="S297" s="395"/>
      <c r="T297" s="395"/>
      <c r="U297" s="395"/>
      <c r="V297" s="395"/>
      <c r="W297" s="395"/>
      <c r="X297" s="395">
        <v>1000</v>
      </c>
      <c r="Y297" s="395"/>
      <c r="Z297" s="395"/>
      <c r="AA297" s="395"/>
      <c r="AB297" s="395"/>
      <c r="AC297" s="393"/>
      <c r="AD297" s="395"/>
      <c r="AE297" s="395"/>
      <c r="AF297" s="395"/>
      <c r="AG297" s="395"/>
      <c r="AH297" s="395"/>
      <c r="AI297" s="395"/>
      <c r="AJ297" s="395"/>
      <c r="AK297" s="395"/>
      <c r="AL297" s="395"/>
      <c r="AM297" s="395"/>
      <c r="AN297" s="395"/>
      <c r="AO297" s="395"/>
      <c r="AP297" s="395"/>
      <c r="AQ297" s="396" t="s">
        <v>6289</v>
      </c>
    </row>
    <row r="298" s="364" customFormat="1" ht="19" customHeight="1" spans="1:43">
      <c r="A298" s="391"/>
      <c r="B298" s="392"/>
      <c r="C298" s="393"/>
      <c r="D298" s="393"/>
      <c r="E298" s="393"/>
      <c r="F298" s="394"/>
      <c r="G298" s="393"/>
      <c r="H298" s="394"/>
      <c r="I298" s="395"/>
      <c r="J298" s="395"/>
      <c r="K298" s="395"/>
      <c r="L298" s="395"/>
      <c r="M298" s="395"/>
      <c r="N298" s="395"/>
      <c r="O298" s="395"/>
      <c r="P298" s="395"/>
      <c r="Q298" s="395"/>
      <c r="R298" s="395"/>
      <c r="S298" s="395"/>
      <c r="T298" s="395"/>
      <c r="U298" s="395"/>
      <c r="V298" s="395"/>
      <c r="W298" s="395"/>
      <c r="X298" s="395"/>
      <c r="Y298" s="395"/>
      <c r="Z298" s="395"/>
      <c r="AA298" s="395"/>
      <c r="AB298" s="395"/>
      <c r="AC298" s="393"/>
      <c r="AD298" s="395"/>
      <c r="AE298" s="395"/>
      <c r="AF298" s="395"/>
      <c r="AG298" s="395"/>
      <c r="AH298" s="395"/>
      <c r="AI298" s="395"/>
      <c r="AJ298" s="395"/>
      <c r="AK298" s="395"/>
      <c r="AL298" s="395"/>
      <c r="AM298" s="395"/>
      <c r="AN298" s="395"/>
      <c r="AO298" s="395"/>
      <c r="AP298" s="395"/>
      <c r="AQ298" s="396"/>
    </row>
    <row r="299" s="364" customFormat="1" ht="19" customHeight="1" spans="1:43">
      <c r="A299" s="391"/>
      <c r="B299" s="392"/>
      <c r="C299" s="393"/>
      <c r="D299" s="393"/>
      <c r="E299" s="393"/>
      <c r="F299" s="394"/>
      <c r="G299" s="393"/>
      <c r="H299" s="394"/>
      <c r="I299" s="395"/>
      <c r="J299" s="395"/>
      <c r="K299" s="395"/>
      <c r="L299" s="395"/>
      <c r="M299" s="395"/>
      <c r="N299" s="395"/>
      <c r="O299" s="395"/>
      <c r="P299" s="395"/>
      <c r="Q299" s="395"/>
      <c r="R299" s="395"/>
      <c r="S299" s="395"/>
      <c r="T299" s="395"/>
      <c r="U299" s="395"/>
      <c r="V299" s="395"/>
      <c r="W299" s="395"/>
      <c r="X299" s="395"/>
      <c r="Y299" s="395"/>
      <c r="Z299" s="395"/>
      <c r="AA299" s="395"/>
      <c r="AB299" s="395"/>
      <c r="AC299" s="393"/>
      <c r="AD299" s="395"/>
      <c r="AE299" s="395"/>
      <c r="AF299" s="395"/>
      <c r="AG299" s="395"/>
      <c r="AH299" s="395"/>
      <c r="AI299" s="395"/>
      <c r="AJ299" s="395"/>
      <c r="AK299" s="395"/>
      <c r="AL299" s="395"/>
      <c r="AM299" s="395"/>
      <c r="AN299" s="395"/>
      <c r="AO299" s="395"/>
      <c r="AP299" s="395"/>
      <c r="AQ299" s="396"/>
    </row>
    <row r="300" s="363" customFormat="1" ht="18" customHeight="1" spans="1:43">
      <c r="A300" s="368"/>
      <c r="B300" s="369"/>
      <c r="C300" s="370"/>
      <c r="D300" s="370"/>
      <c r="E300" s="370"/>
      <c r="F300" s="371"/>
      <c r="G300" s="370"/>
      <c r="H300" s="371"/>
      <c r="I300" s="375"/>
      <c r="J300" s="375"/>
      <c r="K300" s="375"/>
      <c r="L300" s="375"/>
      <c r="M300" s="375"/>
      <c r="N300" s="375"/>
      <c r="O300" s="375"/>
      <c r="P300" s="375"/>
      <c r="Q300" s="375"/>
      <c r="R300" s="375"/>
      <c r="S300" s="375"/>
      <c r="T300" s="375"/>
      <c r="U300" s="375"/>
      <c r="V300" s="375"/>
      <c r="W300" s="375"/>
      <c r="X300" s="375"/>
      <c r="Y300" s="375"/>
      <c r="Z300" s="375"/>
      <c r="AA300" s="375"/>
      <c r="AB300" s="375"/>
      <c r="AC300" s="375"/>
      <c r="AD300" s="375"/>
      <c r="AE300" s="375"/>
      <c r="AF300" s="375"/>
      <c r="AG300" s="375"/>
      <c r="AH300" s="375"/>
      <c r="AI300" s="375"/>
      <c r="AJ300" s="375"/>
      <c r="AK300" s="375"/>
      <c r="AL300" s="375"/>
      <c r="AM300" s="375"/>
      <c r="AN300" s="375"/>
      <c r="AO300" s="375"/>
      <c r="AP300" s="375"/>
      <c r="AQ300" s="390"/>
    </row>
    <row r="301" s="363" customFormat="1" ht="18" customHeight="1" spans="1:43">
      <c r="A301" s="368"/>
      <c r="B301" s="369"/>
      <c r="C301" s="370"/>
      <c r="D301" s="370"/>
      <c r="E301" s="370"/>
      <c r="F301" s="371"/>
      <c r="G301" s="370"/>
      <c r="H301" s="371"/>
      <c r="I301" s="375"/>
      <c r="J301" s="375"/>
      <c r="K301" s="375"/>
      <c r="L301" s="375"/>
      <c r="M301" s="375"/>
      <c r="N301" s="375"/>
      <c r="O301" s="375"/>
      <c r="P301" s="375"/>
      <c r="Q301" s="375"/>
      <c r="R301" s="375"/>
      <c r="S301" s="375"/>
      <c r="T301" s="375"/>
      <c r="U301" s="375"/>
      <c r="V301" s="375"/>
      <c r="W301" s="375"/>
      <c r="X301" s="375"/>
      <c r="Y301" s="375"/>
      <c r="Z301" s="375"/>
      <c r="AA301" s="375"/>
      <c r="AB301" s="375"/>
      <c r="AC301" s="375"/>
      <c r="AD301" s="375"/>
      <c r="AE301" s="375"/>
      <c r="AF301" s="375"/>
      <c r="AG301" s="375"/>
      <c r="AH301" s="375"/>
      <c r="AI301" s="375"/>
      <c r="AJ301" s="375"/>
      <c r="AK301" s="375"/>
      <c r="AL301" s="375"/>
      <c r="AM301" s="375"/>
      <c r="AN301" s="375"/>
      <c r="AO301" s="375"/>
      <c r="AP301" s="375"/>
      <c r="AQ301" s="390"/>
    </row>
    <row r="302" s="363" customFormat="1" ht="18" customHeight="1" spans="1:43">
      <c r="A302" s="368"/>
      <c r="B302" s="369"/>
      <c r="C302" s="370"/>
      <c r="D302" s="370">
        <v>77803</v>
      </c>
      <c r="E302" s="370">
        <v>1000</v>
      </c>
      <c r="F302" s="371"/>
      <c r="G302" s="370"/>
      <c r="H302" s="371"/>
      <c r="I302" s="375"/>
      <c r="J302" s="375"/>
      <c r="K302" s="375"/>
      <c r="L302" s="375"/>
      <c r="M302" s="375"/>
      <c r="N302" s="375"/>
      <c r="O302" s="375"/>
      <c r="P302" s="375">
        <v>380000</v>
      </c>
      <c r="Q302" s="375">
        <v>138154</v>
      </c>
      <c r="R302" s="375"/>
      <c r="S302" s="375">
        <v>70650</v>
      </c>
      <c r="T302" s="375">
        <v>11450</v>
      </c>
      <c r="U302" s="375">
        <v>6630</v>
      </c>
      <c r="V302" s="375"/>
      <c r="W302" s="375"/>
      <c r="X302" s="375"/>
      <c r="Y302" s="375"/>
      <c r="Z302" s="375"/>
      <c r="AA302" s="375"/>
      <c r="AB302" s="375"/>
      <c r="AC302" s="375"/>
      <c r="AD302" s="375"/>
      <c r="AE302" s="375"/>
      <c r="AF302" s="375">
        <v>1000</v>
      </c>
      <c r="AG302" s="375"/>
      <c r="AH302" s="375"/>
      <c r="AI302" s="375"/>
      <c r="AJ302" s="375"/>
      <c r="AK302" s="375"/>
      <c r="AL302" s="375"/>
      <c r="AM302" s="375"/>
      <c r="AN302" s="375"/>
      <c r="AO302" s="375"/>
      <c r="AP302" s="375"/>
      <c r="AQ302" s="390"/>
    </row>
    <row r="303" spans="1:43">
      <c r="A303" s="398"/>
      <c r="B303" s="370"/>
      <c r="C303" s="399"/>
      <c r="D303" s="399"/>
      <c r="E303" s="399"/>
      <c r="F303" s="400"/>
      <c r="G303" s="400"/>
      <c r="H303" s="400"/>
      <c r="I303" s="402"/>
      <c r="J303" s="402"/>
      <c r="K303" s="402"/>
      <c r="L303" s="402"/>
      <c r="M303" s="402"/>
      <c r="N303" s="402"/>
      <c r="O303" s="402"/>
      <c r="P303" s="402"/>
      <c r="Q303" s="402"/>
      <c r="R303" s="402"/>
      <c r="S303" s="402"/>
      <c r="T303" s="402"/>
      <c r="U303" s="402"/>
      <c r="V303" s="402"/>
      <c r="W303" s="402"/>
      <c r="X303" s="402"/>
      <c r="Y303" s="402"/>
      <c r="Z303" s="402"/>
      <c r="AA303" s="402"/>
      <c r="AB303" s="404"/>
      <c r="AC303" s="404"/>
      <c r="AD303" s="404"/>
      <c r="AE303" s="404"/>
      <c r="AF303" s="404"/>
      <c r="AG303" s="404"/>
      <c r="AH303" s="404"/>
      <c r="AI303" s="404"/>
      <c r="AJ303" s="404"/>
      <c r="AK303" s="404"/>
      <c r="AL303" s="404"/>
      <c r="AM303" s="404"/>
      <c r="AN303" s="404"/>
      <c r="AO303" s="404"/>
      <c r="AP303" s="402"/>
      <c r="AQ303" s="416"/>
    </row>
    <row r="304" spans="1:43">
      <c r="A304" s="401"/>
      <c r="B304" s="402"/>
      <c r="C304" s="402"/>
      <c r="D304" s="403"/>
      <c r="E304" s="403"/>
      <c r="F304" s="404"/>
      <c r="G304" s="403"/>
      <c r="H304" s="404"/>
      <c r="I304" s="402"/>
      <c r="J304" s="402"/>
      <c r="K304" s="402"/>
      <c r="L304" s="402"/>
      <c r="M304" s="402"/>
      <c r="N304" s="402"/>
      <c r="O304" s="402"/>
      <c r="P304" s="402"/>
      <c r="Q304" s="402"/>
      <c r="R304" s="402"/>
      <c r="S304" s="402"/>
      <c r="T304" s="402"/>
      <c r="U304" s="402"/>
      <c r="V304" s="402"/>
      <c r="W304" s="402"/>
      <c r="X304" s="402"/>
      <c r="Y304" s="402"/>
      <c r="Z304" s="402"/>
      <c r="AA304" s="402"/>
      <c r="AB304" s="404"/>
      <c r="AC304" s="404"/>
      <c r="AD304" s="404"/>
      <c r="AE304" s="404"/>
      <c r="AF304" s="404"/>
      <c r="AG304" s="404"/>
      <c r="AH304" s="404"/>
      <c r="AI304" s="404"/>
      <c r="AJ304" s="404"/>
      <c r="AK304" s="404"/>
      <c r="AL304" s="404"/>
      <c r="AM304" s="404"/>
      <c r="AN304" s="404"/>
      <c r="AO304" s="404"/>
      <c r="AP304" s="402"/>
      <c r="AQ304" s="416"/>
    </row>
    <row r="305" spans="1:43">
      <c r="A305" s="405" t="s">
        <v>6239</v>
      </c>
      <c r="B305" s="406"/>
      <c r="C305" s="406"/>
      <c r="D305" s="406"/>
      <c r="E305" s="406"/>
      <c r="F305" s="406"/>
      <c r="G305" s="407"/>
      <c r="H305" s="406"/>
      <c r="I305" s="413">
        <f>SUM(I3:I304)</f>
        <v>4200000</v>
      </c>
      <c r="J305" s="413">
        <f t="shared" ref="I305:AR305" si="0">SUM(J3:J304)</f>
        <v>360000</v>
      </c>
      <c r="K305" s="413">
        <f t="shared" si="0"/>
        <v>93512</v>
      </c>
      <c r="L305" s="413">
        <f t="shared" si="0"/>
        <v>24000</v>
      </c>
      <c r="M305" s="413">
        <f t="shared" si="0"/>
        <v>1710000</v>
      </c>
      <c r="N305" s="413">
        <f t="shared" si="0"/>
        <v>5420000</v>
      </c>
      <c r="O305" s="413">
        <f t="shared" si="0"/>
        <v>1860000</v>
      </c>
      <c r="P305" s="413">
        <f t="shared" si="0"/>
        <v>380000</v>
      </c>
      <c r="Q305" s="413">
        <f t="shared" si="0"/>
        <v>138154</v>
      </c>
      <c r="R305" s="413">
        <f t="shared" si="0"/>
        <v>643850</v>
      </c>
      <c r="S305" s="413">
        <f t="shared" si="0"/>
        <v>594450</v>
      </c>
      <c r="T305" s="413">
        <f t="shared" si="0"/>
        <v>186050</v>
      </c>
      <c r="U305" s="413">
        <f t="shared" si="0"/>
        <v>41550</v>
      </c>
      <c r="V305" s="413">
        <f t="shared" si="0"/>
        <v>12100</v>
      </c>
      <c r="W305" s="413">
        <f t="shared" si="0"/>
        <v>5199</v>
      </c>
      <c r="X305" s="413">
        <f t="shared" si="0"/>
        <v>56900</v>
      </c>
      <c r="Y305" s="413">
        <f t="shared" si="0"/>
        <v>52800</v>
      </c>
      <c r="Z305" s="413">
        <f t="shared" si="0"/>
        <v>6900</v>
      </c>
      <c r="AA305" s="413">
        <f t="shared" si="0"/>
        <v>25100</v>
      </c>
      <c r="AB305" s="413">
        <f t="shared" si="0"/>
        <v>128609</v>
      </c>
      <c r="AC305" s="413">
        <f t="shared" si="0"/>
        <v>1250</v>
      </c>
      <c r="AD305" s="413">
        <f t="shared" si="0"/>
        <v>86420</v>
      </c>
      <c r="AE305" s="413">
        <f t="shared" si="0"/>
        <v>89920</v>
      </c>
      <c r="AF305" s="413">
        <f t="shared" si="0"/>
        <v>6005</v>
      </c>
      <c r="AG305" s="413">
        <f t="shared" si="0"/>
        <v>66430</v>
      </c>
      <c r="AH305" s="413">
        <f t="shared" si="0"/>
        <v>300</v>
      </c>
      <c r="AI305" s="413">
        <f t="shared" si="0"/>
        <v>300</v>
      </c>
      <c r="AJ305" s="413">
        <f t="shared" si="0"/>
        <v>300</v>
      </c>
      <c r="AK305" s="413">
        <f t="shared" si="0"/>
        <v>500</v>
      </c>
      <c r="AL305" s="413">
        <f t="shared" si="0"/>
        <v>1220</v>
      </c>
      <c r="AM305" s="413">
        <f t="shared" si="0"/>
        <v>476</v>
      </c>
      <c r="AN305" s="413">
        <f t="shared" si="0"/>
        <v>129388</v>
      </c>
      <c r="AO305" s="413">
        <f t="shared" si="0"/>
        <v>100540</v>
      </c>
      <c r="AP305" s="413">
        <f t="shared" si="0"/>
        <v>100540</v>
      </c>
      <c r="AQ305" s="417"/>
    </row>
    <row r="306" spans="1:43">
      <c r="A306" s="408"/>
      <c r="B306" s="409"/>
      <c r="C306" s="409"/>
      <c r="D306" s="409"/>
      <c r="E306" s="409"/>
      <c r="F306" s="409"/>
      <c r="G306" s="410"/>
      <c r="H306" s="409"/>
      <c r="I306" s="414"/>
      <c r="J306" s="414"/>
      <c r="K306" s="414"/>
      <c r="L306" s="414"/>
      <c r="M306" s="414"/>
      <c r="N306" s="414"/>
      <c r="O306" s="414"/>
      <c r="P306" s="414"/>
      <c r="Q306" s="414"/>
      <c r="R306" s="414"/>
      <c r="S306" s="414"/>
      <c r="T306" s="414"/>
      <c r="U306" s="414"/>
      <c r="V306" s="414"/>
      <c r="W306" s="414"/>
      <c r="X306" s="414"/>
      <c r="Y306" s="414"/>
      <c r="Z306" s="414"/>
      <c r="AA306" s="414"/>
      <c r="AB306" s="414"/>
      <c r="AC306" s="414"/>
      <c r="AD306" s="414"/>
      <c r="AE306" s="414"/>
      <c r="AF306" s="414"/>
      <c r="AG306" s="414"/>
      <c r="AH306" s="414"/>
      <c r="AI306" s="414"/>
      <c r="AJ306" s="414"/>
      <c r="AK306" s="414"/>
      <c r="AL306" s="414"/>
      <c r="AM306" s="414"/>
      <c r="AN306" s="414"/>
      <c r="AO306" s="414"/>
      <c r="AP306" s="414"/>
      <c r="AQ306" s="418"/>
    </row>
    <row r="307" spans="1:43">
      <c r="A307" s="405" t="s">
        <v>6240</v>
      </c>
      <c r="B307" s="406"/>
      <c r="C307" s="406"/>
      <c r="D307" s="406"/>
      <c r="E307" s="406"/>
      <c r="F307" s="406"/>
      <c r="G307" s="407"/>
      <c r="H307" s="406"/>
      <c r="I307" s="413">
        <f>'77711'!AM1234</f>
        <v>4018161</v>
      </c>
      <c r="J307" s="413">
        <f>'77711'!AP1234</f>
        <v>309481</v>
      </c>
      <c r="K307" s="413">
        <f>'77711'!AN1234</f>
        <v>226416</v>
      </c>
      <c r="L307" s="413">
        <f>'77711'!AO1234</f>
        <v>24000</v>
      </c>
      <c r="M307" s="413">
        <f>'77711'!AQ1234</f>
        <v>1571194</v>
      </c>
      <c r="N307" s="413">
        <f>'77711'!AR1234</f>
        <v>4801858</v>
      </c>
      <c r="O307" s="413">
        <f>'77711'!AS1234</f>
        <v>1731652</v>
      </c>
      <c r="P307" s="413">
        <f>'77711'!AY1234</f>
        <v>415648.583333333</v>
      </c>
      <c r="Q307" s="413">
        <f>'77711'!BB1234</f>
        <v>142658</v>
      </c>
      <c r="R307" s="413">
        <f>'77711'!BC1234</f>
        <v>822450</v>
      </c>
      <c r="S307" s="413">
        <f>'77711'!BD1234</f>
        <v>822450</v>
      </c>
      <c r="T307" s="413">
        <f>'77711'!BE1234</f>
        <v>265250</v>
      </c>
      <c r="U307" s="413">
        <f>'77711'!BF1234</f>
        <v>57390</v>
      </c>
      <c r="V307" s="413">
        <f>'77711'!BG1234</f>
        <v>12613</v>
      </c>
      <c r="W307" s="413">
        <f>'77711'!BH1234</f>
        <v>4912</v>
      </c>
      <c r="X307" s="413">
        <f>'77711'!BI1234</f>
        <v>62176</v>
      </c>
      <c r="Y307" s="413">
        <f>'77711'!BJ1234</f>
        <v>56506</v>
      </c>
      <c r="Z307" s="413">
        <f>'77711'!BK1234</f>
        <v>6591</v>
      </c>
      <c r="AA307" s="413">
        <f>'77711'!BL1234</f>
        <v>24050</v>
      </c>
      <c r="AB307" s="413">
        <f>'77711'!BM1234</f>
        <v>120789</v>
      </c>
      <c r="AC307" s="413">
        <f>'77711'!BO1234</f>
        <v>58574</v>
      </c>
      <c r="AD307" s="413">
        <f>'77711'!BQ1234</f>
        <v>89306</v>
      </c>
      <c r="AE307" s="413">
        <f>'77711'!BR1234</f>
        <v>93956</v>
      </c>
      <c r="AF307" s="413">
        <f>'77711'!BS1234</f>
        <v>5148.24</v>
      </c>
      <c r="AG307" s="413">
        <f>'77711'!BU1234</f>
        <v>180194</v>
      </c>
      <c r="AH307" s="413">
        <f>'77711'!CD1234</f>
        <v>0</v>
      </c>
      <c r="AI307" s="413">
        <f>'77711'!CB1234</f>
        <v>12</v>
      </c>
      <c r="AJ307" s="413">
        <f>'77711'!CC1234</f>
        <v>300</v>
      </c>
      <c r="AK307" s="413">
        <f>'77711'!CE1234</f>
        <v>441</v>
      </c>
      <c r="AL307" s="413">
        <f>'77711'!CF1234</f>
        <v>1108</v>
      </c>
      <c r="AM307" s="413">
        <f>'77711'!BZ1234+'77711'!BY1234</f>
        <v>446</v>
      </c>
      <c r="AN307" s="413">
        <f>'77711'!CH1234</f>
        <v>230132</v>
      </c>
      <c r="AO307" s="413">
        <f>'77711'!CI1234</f>
        <v>230132</v>
      </c>
      <c r="AP307" s="413">
        <f>'77711'!CJ1234</f>
        <v>230132</v>
      </c>
      <c r="AQ307" s="417"/>
    </row>
    <row r="308" spans="1:43">
      <c r="A308" s="411"/>
      <c r="B308" s="411"/>
      <c r="C308" s="411"/>
      <c r="D308" s="411"/>
      <c r="E308" s="411"/>
      <c r="F308" s="412"/>
      <c r="G308" s="412"/>
      <c r="H308" s="412"/>
      <c r="I308" s="414"/>
      <c r="J308" s="414"/>
      <c r="K308" s="414"/>
      <c r="L308" s="414"/>
      <c r="M308" s="414"/>
      <c r="N308" s="414"/>
      <c r="O308" s="414"/>
      <c r="P308" s="414"/>
      <c r="Q308" s="414"/>
      <c r="R308" s="414"/>
      <c r="S308" s="414"/>
      <c r="T308" s="414"/>
      <c r="U308" s="414"/>
      <c r="V308" s="414"/>
      <c r="W308" s="414"/>
      <c r="X308" s="414"/>
      <c r="Y308" s="414"/>
      <c r="Z308" s="414"/>
      <c r="AA308" s="414"/>
      <c r="AB308" s="414"/>
      <c r="AC308" s="414"/>
      <c r="AD308" s="414"/>
      <c r="AE308" s="414"/>
      <c r="AF308" s="414"/>
      <c r="AG308" s="414"/>
      <c r="AH308" s="414"/>
      <c r="AI308" s="414"/>
      <c r="AJ308" s="414"/>
      <c r="AK308" s="414"/>
      <c r="AL308" s="414"/>
      <c r="AM308" s="414"/>
      <c r="AN308" s="414"/>
      <c r="AO308" s="414"/>
      <c r="AP308" s="414"/>
      <c r="AQ308" s="418"/>
    </row>
    <row r="309" spans="1:43">
      <c r="A309" s="408" t="s">
        <v>33</v>
      </c>
      <c r="B309" s="409"/>
      <c r="C309" s="409"/>
      <c r="D309" s="409"/>
      <c r="E309" s="409"/>
      <c r="F309" s="409"/>
      <c r="G309" s="410"/>
      <c r="H309" s="409"/>
      <c r="I309" s="415">
        <f t="shared" ref="I309:AR309" si="1">I305-I307</f>
        <v>181839</v>
      </c>
      <c r="J309" s="415">
        <f t="shared" si="1"/>
        <v>50519</v>
      </c>
      <c r="K309" s="415">
        <f t="shared" si="1"/>
        <v>-132904</v>
      </c>
      <c r="L309" s="415">
        <f t="shared" si="1"/>
        <v>0</v>
      </c>
      <c r="M309" s="415">
        <f t="shared" si="1"/>
        <v>138806</v>
      </c>
      <c r="N309" s="415">
        <f t="shared" si="1"/>
        <v>618142</v>
      </c>
      <c r="O309" s="415">
        <f t="shared" si="1"/>
        <v>128348</v>
      </c>
      <c r="P309" s="415">
        <f t="shared" si="1"/>
        <v>-35648.5833333331</v>
      </c>
      <c r="Q309" s="415">
        <f t="shared" si="1"/>
        <v>-4504</v>
      </c>
      <c r="R309" s="415">
        <f t="shared" si="1"/>
        <v>-178600</v>
      </c>
      <c r="S309" s="415">
        <f t="shared" si="1"/>
        <v>-228000</v>
      </c>
      <c r="T309" s="415">
        <f t="shared" si="1"/>
        <v>-79200</v>
      </c>
      <c r="U309" s="415">
        <f t="shared" si="1"/>
        <v>-15840</v>
      </c>
      <c r="V309" s="415">
        <f t="shared" si="1"/>
        <v>-513</v>
      </c>
      <c r="W309" s="415">
        <f t="shared" si="1"/>
        <v>287</v>
      </c>
      <c r="X309" s="415">
        <f t="shared" si="1"/>
        <v>-5276</v>
      </c>
      <c r="Y309" s="415">
        <f t="shared" si="1"/>
        <v>-3706</v>
      </c>
      <c r="Z309" s="415">
        <f t="shared" si="1"/>
        <v>309</v>
      </c>
      <c r="AA309" s="415">
        <f t="shared" si="1"/>
        <v>1050</v>
      </c>
      <c r="AB309" s="415">
        <f t="shared" si="1"/>
        <v>7820</v>
      </c>
      <c r="AC309" s="415">
        <f t="shared" si="1"/>
        <v>-57324</v>
      </c>
      <c r="AD309" s="415">
        <f t="shared" si="1"/>
        <v>-2886</v>
      </c>
      <c r="AE309" s="415">
        <f t="shared" si="1"/>
        <v>-4036</v>
      </c>
      <c r="AF309" s="415">
        <f t="shared" si="1"/>
        <v>856.76</v>
      </c>
      <c r="AG309" s="415">
        <f t="shared" si="1"/>
        <v>-113764</v>
      </c>
      <c r="AH309" s="415">
        <f t="shared" si="1"/>
        <v>300</v>
      </c>
      <c r="AI309" s="415">
        <f t="shared" si="1"/>
        <v>288</v>
      </c>
      <c r="AJ309" s="415">
        <f t="shared" si="1"/>
        <v>0</v>
      </c>
      <c r="AK309" s="415">
        <f t="shared" si="1"/>
        <v>59</v>
      </c>
      <c r="AL309" s="415">
        <f t="shared" si="1"/>
        <v>112</v>
      </c>
      <c r="AM309" s="415">
        <f t="shared" si="1"/>
        <v>30</v>
      </c>
      <c r="AN309" s="415">
        <f t="shared" si="1"/>
        <v>-100744</v>
      </c>
      <c r="AO309" s="415">
        <f t="shared" si="1"/>
        <v>-129592</v>
      </c>
      <c r="AP309" s="415">
        <f t="shared" si="1"/>
        <v>-129592</v>
      </c>
      <c r="AQ309" s="375"/>
    </row>
    <row r="310" spans="11:17">
      <c r="K310" s="365" t="s">
        <v>6432</v>
      </c>
      <c r="P310" s="365" t="s">
        <v>6432</v>
      </c>
      <c r="Q310" s="365" t="s">
        <v>6432</v>
      </c>
    </row>
  </sheetData>
  <autoFilter xmlns:etc="http://www.wps.cn/officeDocument/2017/etCustomData" ref="A2:AQ297" etc:filterBottomFollowUsedRange="0">
    <extLst/>
  </autoFilter>
  <mergeCells count="5">
    <mergeCell ref="A1:H1"/>
    <mergeCell ref="A305:H305"/>
    <mergeCell ref="A306:H306"/>
    <mergeCell ref="A307:H307"/>
    <mergeCell ref="A309:H309"/>
  </mergeCells>
  <conditionalFormatting sqref="G309">
    <cfRule type="cellIs" dxfId="0" priority="1" operator="lessThan">
      <formula>0</formula>
    </cfRule>
  </conditionalFormatting>
  <conditionalFormatting sqref="W309:X309">
    <cfRule type="cellIs" dxfId="0" priority="6" operator="lessThan">
      <formula>0</formula>
    </cfRule>
  </conditionalFormatting>
  <conditionalFormatting sqref="Y309:Z309">
    <cfRule type="cellIs" dxfId="0" priority="5" operator="lessThan">
      <formula>0</formula>
    </cfRule>
  </conditionalFormatting>
  <conditionalFormatting sqref="AA309">
    <cfRule type="cellIs" dxfId="0" priority="4" operator="lessThan">
      <formula>0</formula>
    </cfRule>
  </conditionalFormatting>
  <conditionalFormatting sqref="AH309:AI309">
    <cfRule type="cellIs" dxfId="0" priority="2" operator="lessThan">
      <formula>0</formula>
    </cfRule>
  </conditionalFormatting>
  <conditionalFormatting sqref="A309:F309 H309:V309 AB309:AG309 AJ309:AQ309">
    <cfRule type="cellIs" dxfId="0" priority="9" operator="lessThan">
      <formula>0</formula>
    </cfRule>
  </conditionalFormatting>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M88"/>
  <sheetViews>
    <sheetView showGridLines="0" zoomScale="70" zoomScaleNormal="70" workbookViewId="0">
      <pane xSplit="5" ySplit="6" topLeftCell="X7" activePane="bottomRight" state="frozen"/>
      <selection/>
      <selection pane="topRight"/>
      <selection pane="bottomLeft"/>
      <selection pane="bottomRight" activeCell="B14" sqref="B14"/>
    </sheetView>
  </sheetViews>
  <sheetFormatPr defaultColWidth="8.85833333333333" defaultRowHeight="14.25"/>
  <cols>
    <col min="1" max="1" width="10.7166666666667" style="293" customWidth="1"/>
    <col min="2" max="2" width="17.9166666666667" style="293" customWidth="1"/>
    <col min="3" max="3" width="15.65" style="293" customWidth="1"/>
    <col min="4" max="5" width="9.00833333333333" style="293" customWidth="1"/>
    <col min="6" max="26" width="15.0833333333333" style="293" customWidth="1"/>
    <col min="27" max="28" width="17.2666666666667" style="293" customWidth="1"/>
    <col min="29" max="29" width="13.0916666666667" style="293" customWidth="1"/>
    <col min="30" max="30" width="14.325" style="293" customWidth="1"/>
    <col min="31" max="32" width="17.2666666666667" style="293" customWidth="1"/>
    <col min="33" max="33" width="22.75" style="293" customWidth="1"/>
    <col min="34" max="34" width="8.85833333333333" style="293"/>
    <col min="35" max="35" width="10.15" style="293" customWidth="1"/>
    <col min="36" max="36" width="7.3" style="293" customWidth="1"/>
    <col min="37" max="37" width="9.48333333333333" style="293" customWidth="1"/>
    <col min="38" max="16384" width="8.85833333333333" style="293"/>
  </cols>
  <sheetData>
    <row r="1" s="292" customFormat="1" ht="21" customHeight="1" spans="1:39">
      <c r="A1" s="296"/>
      <c r="B1" s="297" t="s">
        <v>6551</v>
      </c>
      <c r="C1" s="297"/>
      <c r="D1" s="297"/>
      <c r="E1" s="298"/>
      <c r="F1" s="298" t="s">
        <v>6552</v>
      </c>
      <c r="G1" s="298" t="s">
        <v>6552</v>
      </c>
      <c r="H1" s="298" t="s">
        <v>6553</v>
      </c>
      <c r="I1" s="298" t="s">
        <v>6554</v>
      </c>
      <c r="J1" s="298" t="s">
        <v>6555</v>
      </c>
      <c r="K1" s="298" t="s">
        <v>6556</v>
      </c>
      <c r="L1" s="298" t="s">
        <v>6557</v>
      </c>
      <c r="M1" s="298" t="s">
        <v>6557</v>
      </c>
      <c r="N1" s="298" t="s">
        <v>6558</v>
      </c>
      <c r="O1" s="298" t="s">
        <v>6559</v>
      </c>
      <c r="P1" s="298" t="s">
        <v>6560</v>
      </c>
      <c r="Q1" s="298" t="s">
        <v>6561</v>
      </c>
      <c r="R1" s="298" t="s">
        <v>6561</v>
      </c>
      <c r="S1" s="298" t="s">
        <v>6562</v>
      </c>
      <c r="T1" s="298" t="s">
        <v>6563</v>
      </c>
      <c r="U1" s="298" t="s">
        <v>6563</v>
      </c>
      <c r="V1" s="298" t="s">
        <v>6564</v>
      </c>
      <c r="W1" s="298" t="s">
        <v>6565</v>
      </c>
      <c r="X1" s="298" t="s">
        <v>6565</v>
      </c>
      <c r="Y1" s="298" t="s">
        <v>6566</v>
      </c>
      <c r="Z1" s="298" t="s">
        <v>6566</v>
      </c>
      <c r="AA1" s="326"/>
      <c r="AB1" s="326"/>
      <c r="AC1" s="326"/>
      <c r="AD1" s="326"/>
      <c r="AE1" s="326"/>
      <c r="AF1" s="326"/>
      <c r="AG1" s="335"/>
      <c r="AM1" s="296"/>
    </row>
    <row r="2" s="292" customFormat="1" ht="21" customHeight="1" spans="1:39">
      <c r="A2" s="296"/>
      <c r="B2" s="297" t="s">
        <v>6567</v>
      </c>
      <c r="C2" s="297"/>
      <c r="D2" s="297"/>
      <c r="E2" s="298"/>
      <c r="F2" s="299">
        <v>45708</v>
      </c>
      <c r="G2" s="299">
        <v>45708</v>
      </c>
      <c r="H2" s="299">
        <v>45755</v>
      </c>
      <c r="I2" s="299">
        <v>45791</v>
      </c>
      <c r="J2" s="299">
        <v>45800</v>
      </c>
      <c r="K2" s="299">
        <v>45819</v>
      </c>
      <c r="L2" s="299">
        <v>45828</v>
      </c>
      <c r="M2" s="299">
        <v>45828</v>
      </c>
      <c r="N2" s="299">
        <v>45852</v>
      </c>
      <c r="O2" s="299">
        <v>45887</v>
      </c>
      <c r="P2" s="299">
        <v>45896</v>
      </c>
      <c r="Q2" s="299">
        <v>45904</v>
      </c>
      <c r="R2" s="299">
        <v>45904</v>
      </c>
      <c r="S2" s="299">
        <v>45929</v>
      </c>
      <c r="T2" s="299">
        <v>45950</v>
      </c>
      <c r="U2" s="299">
        <v>45950</v>
      </c>
      <c r="V2" s="299">
        <v>45959</v>
      </c>
      <c r="W2" s="299">
        <v>45988</v>
      </c>
      <c r="X2" s="299">
        <v>45988</v>
      </c>
      <c r="Y2" s="299">
        <v>46010</v>
      </c>
      <c r="Z2" s="299">
        <v>46010</v>
      </c>
      <c r="AA2" s="327"/>
      <c r="AB2" s="327"/>
      <c r="AC2" s="327"/>
      <c r="AD2" s="327"/>
      <c r="AE2" s="327"/>
      <c r="AF2" s="327"/>
      <c r="AG2" s="335"/>
      <c r="AM2" s="296"/>
    </row>
    <row r="3" s="292" customFormat="1" ht="21" customHeight="1" spans="1:39">
      <c r="A3" s="296"/>
      <c r="B3" s="297" t="s">
        <v>6568</v>
      </c>
      <c r="C3" s="297"/>
      <c r="D3" s="297"/>
      <c r="E3" s="298"/>
      <c r="F3" s="299">
        <v>45757</v>
      </c>
      <c r="G3" s="299">
        <v>45757</v>
      </c>
      <c r="H3" s="299">
        <v>45797</v>
      </c>
      <c r="I3" s="299">
        <v>45838</v>
      </c>
      <c r="J3" s="299">
        <v>45845</v>
      </c>
      <c r="K3" s="299">
        <v>45856</v>
      </c>
      <c r="L3" s="299">
        <v>45877</v>
      </c>
      <c r="M3" s="299">
        <v>45877</v>
      </c>
      <c r="N3" s="299">
        <v>45891</v>
      </c>
      <c r="O3" s="299">
        <v>45925</v>
      </c>
      <c r="P3" s="299">
        <v>45930</v>
      </c>
      <c r="Q3" s="299">
        <v>45945</v>
      </c>
      <c r="R3" s="299">
        <v>45945</v>
      </c>
      <c r="S3" s="299">
        <v>45966</v>
      </c>
      <c r="T3" s="299">
        <v>45991</v>
      </c>
      <c r="U3" s="299">
        <v>45991</v>
      </c>
      <c r="V3" s="299">
        <v>46001</v>
      </c>
      <c r="W3" s="299">
        <v>46032</v>
      </c>
      <c r="X3" s="299">
        <v>46032</v>
      </c>
      <c r="Y3" s="299">
        <v>46055</v>
      </c>
      <c r="Z3" s="299">
        <v>46055</v>
      </c>
      <c r="AA3" s="328" t="s">
        <v>6569</v>
      </c>
      <c r="AB3" s="328" t="s">
        <v>6570</v>
      </c>
      <c r="AC3" s="328"/>
      <c r="AD3" s="328"/>
      <c r="AE3" s="327"/>
      <c r="AF3" s="327"/>
      <c r="AG3" s="335"/>
      <c r="AM3" s="296"/>
    </row>
    <row r="4" s="293" customFormat="1" ht="30" spans="1:33">
      <c r="A4" s="300"/>
      <c r="B4" s="301" t="s">
        <v>6571</v>
      </c>
      <c r="C4" s="302" t="s">
        <v>6571</v>
      </c>
      <c r="D4" s="303" t="s">
        <v>6572</v>
      </c>
      <c r="E4" s="304" t="s">
        <v>6573</v>
      </c>
      <c r="F4" s="305" t="s">
        <v>6574</v>
      </c>
      <c r="G4" s="306" t="s">
        <v>6575</v>
      </c>
      <c r="H4" s="307" t="s">
        <v>6575</v>
      </c>
      <c r="I4" s="305" t="s">
        <v>6574</v>
      </c>
      <c r="J4" s="307" t="s">
        <v>6575</v>
      </c>
      <c r="K4" s="325" t="s">
        <v>6574</v>
      </c>
      <c r="L4" s="325" t="s">
        <v>6574</v>
      </c>
      <c r="M4" s="307" t="s">
        <v>6575</v>
      </c>
      <c r="N4" s="325" t="s">
        <v>6574</v>
      </c>
      <c r="O4" s="307" t="s">
        <v>6574</v>
      </c>
      <c r="P4" s="325" t="s">
        <v>6574</v>
      </c>
      <c r="Q4" s="325" t="s">
        <v>6574</v>
      </c>
      <c r="R4" s="307" t="s">
        <v>6575</v>
      </c>
      <c r="S4" s="307" t="s">
        <v>6575</v>
      </c>
      <c r="T4" s="325" t="s">
        <v>6574</v>
      </c>
      <c r="U4" s="307" t="s">
        <v>6575</v>
      </c>
      <c r="V4" s="307" t="s">
        <v>6574</v>
      </c>
      <c r="W4" s="307" t="s">
        <v>6574</v>
      </c>
      <c r="X4" s="307" t="s">
        <v>6575</v>
      </c>
      <c r="Y4" s="307" t="s">
        <v>6574</v>
      </c>
      <c r="Z4" s="307" t="s">
        <v>6575</v>
      </c>
      <c r="AA4" s="325" t="s">
        <v>6576</v>
      </c>
      <c r="AB4" s="307" t="s">
        <v>6577</v>
      </c>
      <c r="AC4" s="329" t="s">
        <v>6578</v>
      </c>
      <c r="AD4" s="330" t="s">
        <v>6579</v>
      </c>
      <c r="AE4" s="307" t="s">
        <v>6580</v>
      </c>
      <c r="AF4" s="307" t="s">
        <v>6581</v>
      </c>
      <c r="AG4" s="314" t="s">
        <v>6582</v>
      </c>
    </row>
    <row r="5" s="293" customFormat="1" ht="36" customHeight="1" spans="1:37">
      <c r="A5" s="308"/>
      <c r="B5" s="309"/>
      <c r="C5" s="310" t="s">
        <v>6583</v>
      </c>
      <c r="D5" s="311"/>
      <c r="E5" s="311"/>
      <c r="F5" s="312">
        <v>800000</v>
      </c>
      <c r="G5" s="312">
        <v>300000</v>
      </c>
      <c r="H5" s="312">
        <v>300000</v>
      </c>
      <c r="I5" s="312">
        <v>700000</v>
      </c>
      <c r="J5" s="312">
        <v>300000</v>
      </c>
      <c r="K5" s="312">
        <v>400000</v>
      </c>
      <c r="L5" s="312">
        <v>300000</v>
      </c>
      <c r="M5" s="312">
        <v>300000</v>
      </c>
      <c r="N5" s="312">
        <v>300000</v>
      </c>
      <c r="O5" s="312">
        <v>300000</v>
      </c>
      <c r="P5" s="312">
        <v>400000</v>
      </c>
      <c r="Q5" s="312">
        <v>400000</v>
      </c>
      <c r="R5" s="312">
        <v>300000</v>
      </c>
      <c r="S5" s="312">
        <v>300000</v>
      </c>
      <c r="T5" s="312">
        <v>800000</v>
      </c>
      <c r="U5" s="312">
        <v>200000</v>
      </c>
      <c r="V5" s="312">
        <v>800000</v>
      </c>
      <c r="W5" s="312">
        <v>800000</v>
      </c>
      <c r="X5" s="312">
        <v>200000</v>
      </c>
      <c r="Y5" s="312">
        <v>500000</v>
      </c>
      <c r="Z5" s="312">
        <v>300000</v>
      </c>
      <c r="AA5" s="331">
        <f>F5+Q5+I5+K5+L5+N5+O5+P5+T5+V5+W5+Y5</f>
        <v>6500000</v>
      </c>
      <c r="AB5" s="312">
        <f>G5+R5+H5+J5+M5+S5+U5+X5+Z5</f>
        <v>2500000</v>
      </c>
      <c r="AC5" s="312">
        <f>'77711'!AK1234</f>
        <v>5696262</v>
      </c>
      <c r="AD5" s="312">
        <f>'77711'!AL1234</f>
        <v>2295377</v>
      </c>
      <c r="AE5" s="312">
        <f>AA5-AC5</f>
        <v>803738</v>
      </c>
      <c r="AF5" s="312">
        <f>AB5-AD5</f>
        <v>204623</v>
      </c>
      <c r="AG5" s="336" t="s">
        <v>6584</v>
      </c>
      <c r="AH5" s="337" t="s">
        <v>6585</v>
      </c>
      <c r="AI5" s="338" t="s">
        <v>6586</v>
      </c>
      <c r="AJ5" s="339" t="s">
        <v>6587</v>
      </c>
      <c r="AK5" s="340" t="s">
        <v>3122</v>
      </c>
    </row>
    <row r="6" s="293" customFormat="1" ht="15" customHeight="1" spans="1:37">
      <c r="A6" s="313" t="s">
        <v>6588</v>
      </c>
      <c r="B6" s="314" t="s">
        <v>6589</v>
      </c>
      <c r="C6" s="315"/>
      <c r="D6" s="316"/>
      <c r="E6" s="316"/>
      <c r="F6" s="316"/>
      <c r="G6" s="317"/>
      <c r="H6" s="317"/>
      <c r="I6" s="317"/>
      <c r="J6" s="317"/>
      <c r="K6" s="317"/>
      <c r="L6" s="317"/>
      <c r="M6" s="317"/>
      <c r="N6" s="317"/>
      <c r="O6" s="317"/>
      <c r="P6" s="317"/>
      <c r="Q6" s="317"/>
      <c r="R6" s="317"/>
      <c r="S6" s="317"/>
      <c r="T6" s="317"/>
      <c r="U6" s="317"/>
      <c r="V6" s="317"/>
      <c r="W6" s="317"/>
      <c r="X6" s="317"/>
      <c r="Y6" s="317"/>
      <c r="Z6" s="317"/>
      <c r="AA6" s="317"/>
      <c r="AB6" s="317"/>
      <c r="AC6" s="317"/>
      <c r="AD6" s="317"/>
      <c r="AE6" s="317"/>
      <c r="AF6" s="317"/>
      <c r="AG6" s="314"/>
      <c r="AH6" s="341"/>
      <c r="AI6" s="341"/>
      <c r="AJ6" s="341"/>
      <c r="AK6" s="341"/>
    </row>
    <row r="7" s="294" customFormat="1" ht="21" customHeight="1" spans="1:37">
      <c r="A7" s="318" t="s">
        <v>6590</v>
      </c>
      <c r="B7" s="319" t="s">
        <v>6591</v>
      </c>
      <c r="C7" s="312">
        <v>879850</v>
      </c>
      <c r="D7" s="320">
        <v>0.014520202020202</v>
      </c>
      <c r="E7" s="320">
        <v>0.0209034792368126</v>
      </c>
      <c r="F7" s="321">
        <v>107330</v>
      </c>
      <c r="G7" s="277"/>
      <c r="H7" s="312">
        <v>37620</v>
      </c>
      <c r="I7" s="312">
        <v>60990</v>
      </c>
      <c r="J7" s="312">
        <v>37630</v>
      </c>
      <c r="K7" s="312">
        <v>34840</v>
      </c>
      <c r="L7" s="321">
        <v>63770</v>
      </c>
      <c r="M7" s="277"/>
      <c r="N7" s="312">
        <v>26130</v>
      </c>
      <c r="O7" s="312">
        <v>26140</v>
      </c>
      <c r="P7" s="312">
        <v>34850</v>
      </c>
      <c r="Q7" s="321">
        <f>VLOOKUP(B7,[1]Summary!$B:$U,20,FALSE)</f>
        <v>72470</v>
      </c>
      <c r="R7" s="277"/>
      <c r="S7" s="312">
        <f>$R$5*$E7*6</f>
        <v>37626.2626262627</v>
      </c>
      <c r="T7" s="321">
        <v>94780</v>
      </c>
      <c r="U7" s="277"/>
      <c r="V7" s="312">
        <v>69700</v>
      </c>
      <c r="W7" s="321">
        <v>94780</v>
      </c>
      <c r="X7" s="277"/>
      <c r="Y7" s="332">
        <v>81190</v>
      </c>
      <c r="Z7" s="277"/>
      <c r="AA7" s="333">
        <f>SUM(F7:X7)</f>
        <v>798656.262626263</v>
      </c>
      <c r="AB7" s="334"/>
      <c r="AC7" s="312"/>
      <c r="AD7" s="312"/>
      <c r="AE7" s="312">
        <f>$AE$5*D7*6</f>
        <v>70022.6287878787</v>
      </c>
      <c r="AF7" s="312">
        <f>$AF$5*E7*6</f>
        <v>25663.9957912458</v>
      </c>
      <c r="AG7" s="342" t="s">
        <v>6592</v>
      </c>
      <c r="AH7" s="341" t="s">
        <v>6593</v>
      </c>
      <c r="AI7" s="341">
        <f>50000+7000+5000+5000+7000+3000+3000+40000+20000+20000+40000+15000+5000+8000</f>
        <v>228000</v>
      </c>
      <c r="AJ7" s="341">
        <f>1500+300+300+300</f>
        <v>2400</v>
      </c>
      <c r="AK7" s="343">
        <f>600+200</f>
        <v>800</v>
      </c>
    </row>
    <row r="8" s="294" customFormat="1" ht="21" customHeight="1" spans="1:37">
      <c r="A8" s="322"/>
      <c r="B8" s="319" t="s">
        <v>6594</v>
      </c>
      <c r="C8" s="312">
        <v>566290</v>
      </c>
      <c r="D8" s="320">
        <v>0.014520202020202</v>
      </c>
      <c r="E8" s="320"/>
      <c r="F8" s="321">
        <v>69700</v>
      </c>
      <c r="G8" s="277"/>
      <c r="H8" s="312">
        <v>0</v>
      </c>
      <c r="I8" s="312">
        <v>60990</v>
      </c>
      <c r="J8" s="312">
        <v>0</v>
      </c>
      <c r="K8" s="312">
        <v>34850</v>
      </c>
      <c r="L8" s="321">
        <v>26130</v>
      </c>
      <c r="M8" s="277"/>
      <c r="N8" s="312">
        <v>26140</v>
      </c>
      <c r="O8" s="312">
        <v>26130</v>
      </c>
      <c r="P8" s="312">
        <v>34850</v>
      </c>
      <c r="Q8" s="321">
        <f>VLOOKUP(B8,[1]Summary!$B:$U,20,FALSE)</f>
        <v>34850</v>
      </c>
      <c r="R8" s="277"/>
      <c r="S8" s="312">
        <f t="shared" ref="S8:S39" si="0">$R$5*$E8*6</f>
        <v>0</v>
      </c>
      <c r="T8" s="321">
        <v>69700</v>
      </c>
      <c r="U8" s="277"/>
      <c r="V8" s="312">
        <v>69700</v>
      </c>
      <c r="W8" s="321">
        <v>69690</v>
      </c>
      <c r="X8" s="277"/>
      <c r="Y8" s="332">
        <v>43560</v>
      </c>
      <c r="Z8" s="277"/>
      <c r="AA8" s="333">
        <f t="shared" ref="AA8:AA39" si="1">SUM(F8:X8)</f>
        <v>522730</v>
      </c>
      <c r="AB8" s="334"/>
      <c r="AC8" s="312"/>
      <c r="AD8" s="312"/>
      <c r="AE8" s="312">
        <f t="shared" ref="AE8:AE39" si="2">$AE$5*D8*6</f>
        <v>70022.6287878787</v>
      </c>
      <c r="AF8" s="312">
        <f t="shared" ref="AF8:AF39" si="3">$AF$5*E8*6</f>
        <v>0</v>
      </c>
      <c r="AG8" s="342" t="s">
        <v>6595</v>
      </c>
      <c r="AH8" s="344" t="s">
        <v>6596</v>
      </c>
      <c r="AI8" s="341">
        <f>'77711'!CK1234</f>
        <v>213830.24</v>
      </c>
      <c r="AJ8" s="341">
        <f>'77711'!CL1234</f>
        <v>2158</v>
      </c>
      <c r="AK8" s="341">
        <f>'77711'!CM1234</f>
        <v>446</v>
      </c>
    </row>
    <row r="9" s="294" customFormat="1" ht="21" customHeight="1" spans="1:37">
      <c r="A9" s="322"/>
      <c r="B9" s="319" t="s">
        <v>6597</v>
      </c>
      <c r="C9" s="312">
        <v>566290</v>
      </c>
      <c r="D9" s="320">
        <v>0.014520202020202</v>
      </c>
      <c r="E9" s="320"/>
      <c r="F9" s="321">
        <v>69700</v>
      </c>
      <c r="G9" s="277"/>
      <c r="H9" s="312">
        <v>0</v>
      </c>
      <c r="I9" s="312">
        <v>60990</v>
      </c>
      <c r="J9" s="312">
        <v>0</v>
      </c>
      <c r="K9" s="312">
        <v>34850</v>
      </c>
      <c r="L9" s="321">
        <v>26130</v>
      </c>
      <c r="M9" s="277"/>
      <c r="N9" s="312">
        <v>26140</v>
      </c>
      <c r="O9" s="312">
        <v>26130</v>
      </c>
      <c r="P9" s="312">
        <v>34850</v>
      </c>
      <c r="Q9" s="321">
        <f>VLOOKUP(B9,[1]Summary!$B:$U,20,FALSE)</f>
        <v>34850</v>
      </c>
      <c r="R9" s="277"/>
      <c r="S9" s="312">
        <f t="shared" si="0"/>
        <v>0</v>
      </c>
      <c r="T9" s="321">
        <v>69700</v>
      </c>
      <c r="U9" s="277"/>
      <c r="V9" s="312">
        <v>69700</v>
      </c>
      <c r="W9" s="321">
        <v>69690</v>
      </c>
      <c r="X9" s="277"/>
      <c r="Y9" s="332">
        <v>43560</v>
      </c>
      <c r="Z9" s="277"/>
      <c r="AA9" s="333">
        <f t="shared" si="1"/>
        <v>522730</v>
      </c>
      <c r="AB9" s="334"/>
      <c r="AC9" s="312"/>
      <c r="AD9" s="312"/>
      <c r="AE9" s="312">
        <f t="shared" si="2"/>
        <v>70022.6287878787</v>
      </c>
      <c r="AF9" s="312">
        <f t="shared" si="3"/>
        <v>0</v>
      </c>
      <c r="AG9" s="342" t="s">
        <v>6595</v>
      </c>
      <c r="AH9" s="344" t="s">
        <v>6598</v>
      </c>
      <c r="AI9" s="341">
        <f>AI7-AI8</f>
        <v>14169.76</v>
      </c>
      <c r="AJ9" s="341">
        <f>AJ7-AJ8</f>
        <v>242</v>
      </c>
      <c r="AK9" s="341">
        <f>AK7-AK8</f>
        <v>354</v>
      </c>
    </row>
    <row r="10" s="294" customFormat="1" ht="21" customHeight="1" spans="1:36">
      <c r="A10" s="322"/>
      <c r="B10" s="319" t="s">
        <v>6599</v>
      </c>
      <c r="C10" s="312">
        <v>566290</v>
      </c>
      <c r="D10" s="320">
        <v>0.014520202020202</v>
      </c>
      <c r="E10" s="320"/>
      <c r="F10" s="321">
        <v>69700</v>
      </c>
      <c r="G10" s="277"/>
      <c r="H10" s="312">
        <v>0</v>
      </c>
      <c r="I10" s="312">
        <v>60990</v>
      </c>
      <c r="J10" s="312">
        <v>0</v>
      </c>
      <c r="K10" s="312">
        <v>34850</v>
      </c>
      <c r="L10" s="321">
        <v>26130</v>
      </c>
      <c r="M10" s="277"/>
      <c r="N10" s="312">
        <v>26140</v>
      </c>
      <c r="O10" s="312">
        <v>26130</v>
      </c>
      <c r="P10" s="312">
        <v>34850</v>
      </c>
      <c r="Q10" s="321">
        <f>VLOOKUP(B10,[1]Summary!$B:$U,20,FALSE)</f>
        <v>34850</v>
      </c>
      <c r="R10" s="277"/>
      <c r="S10" s="312">
        <f t="shared" si="0"/>
        <v>0</v>
      </c>
      <c r="T10" s="321">
        <v>69700</v>
      </c>
      <c r="U10" s="277"/>
      <c r="V10" s="312">
        <v>69700</v>
      </c>
      <c r="W10" s="321">
        <v>69690</v>
      </c>
      <c r="X10" s="277"/>
      <c r="Y10" s="332">
        <v>43560</v>
      </c>
      <c r="Z10" s="277"/>
      <c r="AA10" s="333">
        <f t="shared" si="1"/>
        <v>522730</v>
      </c>
      <c r="AB10" s="334"/>
      <c r="AC10" s="312"/>
      <c r="AD10" s="312"/>
      <c r="AE10" s="312">
        <f t="shared" si="2"/>
        <v>70022.6287878787</v>
      </c>
      <c r="AF10" s="312">
        <f t="shared" si="3"/>
        <v>0</v>
      </c>
      <c r="AG10" s="342" t="s">
        <v>6595</v>
      </c>
      <c r="AH10" s="293"/>
      <c r="AI10" s="293"/>
      <c r="AJ10" s="293"/>
    </row>
    <row r="11" s="294" customFormat="1" ht="21" customHeight="1" spans="1:36">
      <c r="A11" s="322"/>
      <c r="B11" s="319" t="s">
        <v>6600</v>
      </c>
      <c r="C11" s="312">
        <v>879850</v>
      </c>
      <c r="D11" s="320">
        <v>0.014520202020202</v>
      </c>
      <c r="E11" s="320">
        <v>0.0209034792368126</v>
      </c>
      <c r="F11" s="321">
        <v>107330</v>
      </c>
      <c r="G11" s="277"/>
      <c r="H11" s="312">
        <v>37620</v>
      </c>
      <c r="I11" s="312">
        <v>60990</v>
      </c>
      <c r="J11" s="312">
        <v>37630</v>
      </c>
      <c r="K11" s="312">
        <v>34840</v>
      </c>
      <c r="L11" s="321">
        <v>63770</v>
      </c>
      <c r="M11" s="277"/>
      <c r="N11" s="312">
        <v>26130</v>
      </c>
      <c r="O11" s="312">
        <v>26140</v>
      </c>
      <c r="P11" s="312">
        <v>34850</v>
      </c>
      <c r="Q11" s="321">
        <f>VLOOKUP(B11,[1]Summary!$B:$U,20,FALSE)</f>
        <v>72470</v>
      </c>
      <c r="R11" s="277"/>
      <c r="S11" s="312">
        <f t="shared" si="0"/>
        <v>37626.2626262627</v>
      </c>
      <c r="T11" s="321">
        <v>94780</v>
      </c>
      <c r="U11" s="277"/>
      <c r="V11" s="312">
        <v>69700</v>
      </c>
      <c r="W11" s="321">
        <v>94780</v>
      </c>
      <c r="X11" s="277"/>
      <c r="Y11" s="332">
        <v>81190</v>
      </c>
      <c r="Z11" s="277"/>
      <c r="AA11" s="333">
        <f t="shared" si="1"/>
        <v>798656.262626263</v>
      </c>
      <c r="AB11" s="334"/>
      <c r="AC11" s="312"/>
      <c r="AD11" s="312"/>
      <c r="AE11" s="312">
        <f t="shared" si="2"/>
        <v>70022.6287878787</v>
      </c>
      <c r="AF11" s="312">
        <f t="shared" si="3"/>
        <v>25663.9957912458</v>
      </c>
      <c r="AG11" s="342" t="s">
        <v>6592</v>
      </c>
      <c r="AH11" s="293"/>
      <c r="AI11" s="293"/>
      <c r="AJ11" s="293"/>
    </row>
    <row r="12" s="294" customFormat="1" ht="21" customHeight="1" spans="1:36">
      <c r="A12" s="322"/>
      <c r="B12" s="319" t="s">
        <v>6601</v>
      </c>
      <c r="C12" s="312">
        <v>902410</v>
      </c>
      <c r="D12" s="320">
        <v>0.0150989057239057</v>
      </c>
      <c r="E12" s="320">
        <v>0.0209034792368126</v>
      </c>
      <c r="F12" s="321">
        <v>110110</v>
      </c>
      <c r="G12" s="277"/>
      <c r="H12" s="312">
        <v>37620</v>
      </c>
      <c r="I12" s="312">
        <v>63420</v>
      </c>
      <c r="J12" s="312">
        <v>37620</v>
      </c>
      <c r="K12" s="312">
        <v>36240</v>
      </c>
      <c r="L12" s="321">
        <v>64810</v>
      </c>
      <c r="M12" s="277"/>
      <c r="N12" s="312">
        <v>27170</v>
      </c>
      <c r="O12" s="312">
        <v>27180</v>
      </c>
      <c r="P12" s="312">
        <v>36240</v>
      </c>
      <c r="Q12" s="321">
        <f>VLOOKUP(B12,[1]Summary!$B:$U,20,FALSE)</f>
        <v>73860</v>
      </c>
      <c r="R12" s="277"/>
      <c r="S12" s="312">
        <f t="shared" si="0"/>
        <v>37626.2626262627</v>
      </c>
      <c r="T12" s="321">
        <v>97560</v>
      </c>
      <c r="U12" s="277"/>
      <c r="V12" s="312">
        <v>72470</v>
      </c>
      <c r="W12" s="321">
        <v>97560</v>
      </c>
      <c r="X12" s="277"/>
      <c r="Y12" s="332">
        <v>82920</v>
      </c>
      <c r="Z12" s="277"/>
      <c r="AA12" s="333">
        <f t="shared" si="1"/>
        <v>819486.262626263</v>
      </c>
      <c r="AB12" s="334"/>
      <c r="AC12" s="312"/>
      <c r="AD12" s="312"/>
      <c r="AE12" s="312">
        <f t="shared" si="2"/>
        <v>72813.3857323231</v>
      </c>
      <c r="AF12" s="312">
        <f t="shared" si="3"/>
        <v>25663.9957912458</v>
      </c>
      <c r="AG12" s="342" t="s">
        <v>6592</v>
      </c>
      <c r="AH12" s="293"/>
      <c r="AI12" s="293"/>
      <c r="AJ12" s="293"/>
    </row>
    <row r="13" s="294" customFormat="1" ht="21" customHeight="1" spans="1:36">
      <c r="A13" s="322"/>
      <c r="B13" s="319" t="s">
        <v>6602</v>
      </c>
      <c r="C13" s="312">
        <v>588860</v>
      </c>
      <c r="D13" s="320">
        <v>0.0150989057239057</v>
      </c>
      <c r="E13" s="320"/>
      <c r="F13" s="321">
        <v>72480</v>
      </c>
      <c r="G13" s="277"/>
      <c r="H13" s="312">
        <v>0</v>
      </c>
      <c r="I13" s="312">
        <v>63420</v>
      </c>
      <c r="J13" s="312">
        <v>0</v>
      </c>
      <c r="K13" s="312">
        <v>36230</v>
      </c>
      <c r="L13" s="321">
        <v>27180</v>
      </c>
      <c r="M13" s="277"/>
      <c r="N13" s="312">
        <v>27180</v>
      </c>
      <c r="O13" s="312">
        <v>27180</v>
      </c>
      <c r="P13" s="312">
        <v>36230</v>
      </c>
      <c r="Q13" s="321">
        <f>VLOOKUP(B13,[1]Summary!$B:$U,20,FALSE)</f>
        <v>36240</v>
      </c>
      <c r="R13" s="277"/>
      <c r="S13" s="312">
        <f t="shared" si="0"/>
        <v>0</v>
      </c>
      <c r="T13" s="321">
        <v>72480</v>
      </c>
      <c r="U13" s="277"/>
      <c r="V13" s="312">
        <v>72470</v>
      </c>
      <c r="W13" s="321">
        <v>72480</v>
      </c>
      <c r="X13" s="277"/>
      <c r="Y13" s="332">
        <v>45290</v>
      </c>
      <c r="Z13" s="277"/>
      <c r="AA13" s="333">
        <f t="shared" si="1"/>
        <v>543570</v>
      </c>
      <c r="AB13" s="334"/>
      <c r="AC13" s="312"/>
      <c r="AD13" s="312"/>
      <c r="AE13" s="312">
        <f t="shared" si="2"/>
        <v>72813.3857323231</v>
      </c>
      <c r="AF13" s="312">
        <f t="shared" si="3"/>
        <v>0</v>
      </c>
      <c r="AG13" s="342" t="s">
        <v>6595</v>
      </c>
      <c r="AH13" s="293"/>
      <c r="AI13" s="293"/>
      <c r="AJ13" s="293"/>
    </row>
    <row r="14" s="294" customFormat="1" ht="21" customHeight="1" spans="1:36">
      <c r="A14" s="322"/>
      <c r="B14" s="319" t="s">
        <v>6603</v>
      </c>
      <c r="C14" s="312">
        <v>588860</v>
      </c>
      <c r="D14" s="320">
        <v>0.0150989057239057</v>
      </c>
      <c r="E14" s="320"/>
      <c r="F14" s="321">
        <v>72480</v>
      </c>
      <c r="G14" s="277"/>
      <c r="H14" s="312">
        <v>0</v>
      </c>
      <c r="I14" s="312">
        <v>63420</v>
      </c>
      <c r="J14" s="312">
        <v>0</v>
      </c>
      <c r="K14" s="312">
        <v>36230</v>
      </c>
      <c r="L14" s="321">
        <v>27180</v>
      </c>
      <c r="M14" s="277"/>
      <c r="N14" s="312">
        <v>27180</v>
      </c>
      <c r="O14" s="312">
        <v>27180</v>
      </c>
      <c r="P14" s="312">
        <v>36230</v>
      </c>
      <c r="Q14" s="321">
        <f>VLOOKUP(B14,[1]Summary!$B:$U,20,FALSE)</f>
        <v>36240</v>
      </c>
      <c r="R14" s="277"/>
      <c r="S14" s="312">
        <f t="shared" si="0"/>
        <v>0</v>
      </c>
      <c r="T14" s="321">
        <v>72480</v>
      </c>
      <c r="U14" s="277"/>
      <c r="V14" s="312">
        <v>72470</v>
      </c>
      <c r="W14" s="321">
        <v>72480</v>
      </c>
      <c r="X14" s="277"/>
      <c r="Y14" s="332">
        <v>45290</v>
      </c>
      <c r="Z14" s="277"/>
      <c r="AA14" s="333">
        <f t="shared" si="1"/>
        <v>543570</v>
      </c>
      <c r="AB14" s="334"/>
      <c r="AC14" s="312"/>
      <c r="AD14" s="312"/>
      <c r="AE14" s="312">
        <f t="shared" si="2"/>
        <v>72813.3857323231</v>
      </c>
      <c r="AF14" s="312">
        <f t="shared" si="3"/>
        <v>0</v>
      </c>
      <c r="AG14" s="342" t="s">
        <v>6595</v>
      </c>
      <c r="AH14" s="293"/>
      <c r="AI14" s="293"/>
      <c r="AJ14" s="293"/>
    </row>
    <row r="15" s="294" customFormat="1" ht="21" customHeight="1" spans="1:36">
      <c r="A15" s="322"/>
      <c r="B15" s="319" t="s">
        <v>6604</v>
      </c>
      <c r="C15" s="312">
        <v>588860</v>
      </c>
      <c r="D15" s="320">
        <v>0.0150989057239057</v>
      </c>
      <c r="E15" s="320"/>
      <c r="F15" s="321">
        <v>72480</v>
      </c>
      <c r="G15" s="277"/>
      <c r="H15" s="312">
        <v>0</v>
      </c>
      <c r="I15" s="312">
        <v>63420</v>
      </c>
      <c r="J15" s="312">
        <v>0</v>
      </c>
      <c r="K15" s="312">
        <v>36230</v>
      </c>
      <c r="L15" s="321">
        <v>27180</v>
      </c>
      <c r="M15" s="277"/>
      <c r="N15" s="312">
        <v>27180</v>
      </c>
      <c r="O15" s="312">
        <v>27180</v>
      </c>
      <c r="P15" s="312">
        <v>36230</v>
      </c>
      <c r="Q15" s="321">
        <f>VLOOKUP(B15,[1]Summary!$B:$U,20,FALSE)</f>
        <v>36240</v>
      </c>
      <c r="R15" s="277"/>
      <c r="S15" s="312">
        <f t="shared" si="0"/>
        <v>0</v>
      </c>
      <c r="T15" s="321">
        <v>72480</v>
      </c>
      <c r="U15" s="277"/>
      <c r="V15" s="312">
        <v>72470</v>
      </c>
      <c r="W15" s="321">
        <v>72480</v>
      </c>
      <c r="X15" s="277"/>
      <c r="Y15" s="332">
        <v>45290</v>
      </c>
      <c r="Z15" s="277"/>
      <c r="AA15" s="333">
        <f t="shared" si="1"/>
        <v>543570</v>
      </c>
      <c r="AB15" s="334"/>
      <c r="AC15" s="312"/>
      <c r="AD15" s="312"/>
      <c r="AE15" s="312">
        <f t="shared" si="2"/>
        <v>72813.3857323231</v>
      </c>
      <c r="AF15" s="312">
        <f t="shared" si="3"/>
        <v>0</v>
      </c>
      <c r="AG15" s="342" t="s">
        <v>6595</v>
      </c>
      <c r="AH15" s="293"/>
      <c r="AI15" s="293"/>
      <c r="AJ15" s="293"/>
    </row>
    <row r="16" s="294" customFormat="1" ht="21" customHeight="1" spans="1:36">
      <c r="A16" s="322"/>
      <c r="B16" s="319" t="s">
        <v>6605</v>
      </c>
      <c r="C16" s="312">
        <v>469860</v>
      </c>
      <c r="D16" s="320">
        <v>0.0120475589225589</v>
      </c>
      <c r="E16" s="320"/>
      <c r="F16" s="321">
        <v>57830</v>
      </c>
      <c r="G16" s="277"/>
      <c r="H16" s="312">
        <v>0</v>
      </c>
      <c r="I16" s="312">
        <v>50600</v>
      </c>
      <c r="J16" s="312">
        <v>0</v>
      </c>
      <c r="K16" s="312">
        <v>28920</v>
      </c>
      <c r="L16" s="321">
        <v>21680</v>
      </c>
      <c r="M16" s="277"/>
      <c r="N16" s="312">
        <v>21690</v>
      </c>
      <c r="O16" s="312">
        <v>21680</v>
      </c>
      <c r="P16" s="312">
        <v>28920</v>
      </c>
      <c r="Q16" s="321">
        <f>VLOOKUP(B16,[1]Summary!$B:$U,20,FALSE)</f>
        <v>28910</v>
      </c>
      <c r="R16" s="277"/>
      <c r="S16" s="312">
        <f t="shared" si="0"/>
        <v>0</v>
      </c>
      <c r="T16" s="321">
        <v>57830</v>
      </c>
      <c r="U16" s="277"/>
      <c r="V16" s="312">
        <v>57830</v>
      </c>
      <c r="W16" s="321">
        <v>57830</v>
      </c>
      <c r="X16" s="277"/>
      <c r="Y16" s="332">
        <v>36140</v>
      </c>
      <c r="Z16" s="277"/>
      <c r="AA16" s="333">
        <f t="shared" si="1"/>
        <v>433720</v>
      </c>
      <c r="AB16" s="334"/>
      <c r="AC16" s="312"/>
      <c r="AD16" s="312"/>
      <c r="AE16" s="312">
        <f t="shared" si="2"/>
        <v>58098.4854797979</v>
      </c>
      <c r="AF16" s="312">
        <f t="shared" si="3"/>
        <v>0</v>
      </c>
      <c r="AG16" s="342" t="s">
        <v>6595</v>
      </c>
      <c r="AH16" s="293"/>
      <c r="AI16" s="293"/>
      <c r="AJ16" s="293"/>
    </row>
    <row r="17" s="294" customFormat="1" ht="21" customHeight="1" spans="1:36">
      <c r="A17" s="322"/>
      <c r="B17" s="319" t="s">
        <v>6606</v>
      </c>
      <c r="C17" s="312">
        <v>469860</v>
      </c>
      <c r="D17" s="320">
        <v>0.0120475589225589</v>
      </c>
      <c r="E17" s="320"/>
      <c r="F17" s="321">
        <v>57830</v>
      </c>
      <c r="G17" s="277"/>
      <c r="H17" s="312">
        <v>0</v>
      </c>
      <c r="I17" s="312">
        <v>50600</v>
      </c>
      <c r="J17" s="312">
        <v>0</v>
      </c>
      <c r="K17" s="312">
        <v>28920</v>
      </c>
      <c r="L17" s="321">
        <v>21680</v>
      </c>
      <c r="M17" s="277"/>
      <c r="N17" s="312">
        <v>21690</v>
      </c>
      <c r="O17" s="312">
        <v>21680</v>
      </c>
      <c r="P17" s="312">
        <v>28920</v>
      </c>
      <c r="Q17" s="321">
        <f>VLOOKUP(B17,[1]Summary!$B:$U,20,FALSE)</f>
        <v>28910</v>
      </c>
      <c r="R17" s="277"/>
      <c r="S17" s="312">
        <f t="shared" si="0"/>
        <v>0</v>
      </c>
      <c r="T17" s="321">
        <v>57830</v>
      </c>
      <c r="U17" s="277"/>
      <c r="V17" s="312">
        <v>57830</v>
      </c>
      <c r="W17" s="321">
        <v>57830</v>
      </c>
      <c r="X17" s="277"/>
      <c r="Y17" s="332">
        <v>36140</v>
      </c>
      <c r="Z17" s="277"/>
      <c r="AA17" s="333">
        <f t="shared" si="1"/>
        <v>433720</v>
      </c>
      <c r="AB17" s="334"/>
      <c r="AC17" s="312"/>
      <c r="AD17" s="312"/>
      <c r="AE17" s="312">
        <f t="shared" si="2"/>
        <v>58098.4854797979</v>
      </c>
      <c r="AF17" s="312">
        <f t="shared" si="3"/>
        <v>0</v>
      </c>
      <c r="AG17" s="342" t="s">
        <v>6595</v>
      </c>
      <c r="AH17" s="293"/>
      <c r="AI17" s="293"/>
      <c r="AJ17" s="293"/>
    </row>
    <row r="18" s="294" customFormat="1" ht="21" customHeight="1" spans="1:36">
      <c r="A18" s="322"/>
      <c r="B18" s="319" t="s">
        <v>6607</v>
      </c>
      <c r="C18" s="312">
        <v>832860</v>
      </c>
      <c r="D18" s="320">
        <v>0.0120475589225589</v>
      </c>
      <c r="E18" s="320">
        <v>0.0242003367003367</v>
      </c>
      <c r="F18" s="321">
        <v>101390</v>
      </c>
      <c r="G18" s="277"/>
      <c r="H18" s="312">
        <v>43560</v>
      </c>
      <c r="I18" s="312">
        <v>50600</v>
      </c>
      <c r="J18" s="312">
        <v>43560</v>
      </c>
      <c r="K18" s="312">
        <v>28920</v>
      </c>
      <c r="L18" s="321">
        <v>65250</v>
      </c>
      <c r="M18" s="277"/>
      <c r="N18" s="312">
        <v>21680</v>
      </c>
      <c r="O18" s="312">
        <v>21690</v>
      </c>
      <c r="P18" s="312">
        <v>28910</v>
      </c>
      <c r="Q18" s="321">
        <f>VLOOKUP(B18,[1]Summary!$B:$U,20,FALSE)</f>
        <v>72480</v>
      </c>
      <c r="R18" s="277"/>
      <c r="S18" s="312">
        <f t="shared" si="0"/>
        <v>43560.6060606061</v>
      </c>
      <c r="T18" s="321">
        <v>86860</v>
      </c>
      <c r="U18" s="277"/>
      <c r="V18" s="312">
        <v>57830</v>
      </c>
      <c r="W18" s="321">
        <v>86870</v>
      </c>
      <c r="X18" s="277"/>
      <c r="Y18" s="332">
        <v>79700</v>
      </c>
      <c r="Z18" s="277"/>
      <c r="AA18" s="333">
        <f t="shared" si="1"/>
        <v>753160.606060606</v>
      </c>
      <c r="AB18" s="334"/>
      <c r="AC18" s="312"/>
      <c r="AD18" s="312"/>
      <c r="AE18" s="312">
        <f t="shared" si="2"/>
        <v>58098.4854797979</v>
      </c>
      <c r="AF18" s="312">
        <f t="shared" si="3"/>
        <v>29711.672979798</v>
      </c>
      <c r="AG18" s="342" t="s">
        <v>6592</v>
      </c>
      <c r="AH18" s="293"/>
      <c r="AI18" s="293"/>
      <c r="AJ18" s="293"/>
    </row>
    <row r="19" s="294" customFormat="1" ht="21" customHeight="1" spans="1:36">
      <c r="A19" s="322"/>
      <c r="B19" s="319" t="s">
        <v>6608</v>
      </c>
      <c r="C19" s="312">
        <v>1968280</v>
      </c>
      <c r="D19" s="320">
        <v>0.0374579124579124</v>
      </c>
      <c r="E19" s="320">
        <v>0.0338278619528619</v>
      </c>
      <c r="F19" s="321">
        <v>240690</v>
      </c>
      <c r="G19" s="277"/>
      <c r="H19" s="312">
        <v>60890</v>
      </c>
      <c r="I19" s="312">
        <v>157330</v>
      </c>
      <c r="J19" s="312">
        <v>60890</v>
      </c>
      <c r="K19" s="312">
        <v>89900</v>
      </c>
      <c r="L19" s="321">
        <v>128310</v>
      </c>
      <c r="M19" s="277"/>
      <c r="N19" s="312">
        <v>67420</v>
      </c>
      <c r="O19" s="312">
        <v>67430</v>
      </c>
      <c r="P19" s="312">
        <v>89900</v>
      </c>
      <c r="Q19" s="321">
        <f>VLOOKUP(B19,[1]Summary!$B:$U,20,FALSE)</f>
        <v>150790</v>
      </c>
      <c r="R19" s="277"/>
      <c r="S19" s="312">
        <f t="shared" si="0"/>
        <v>60890.1515151514</v>
      </c>
      <c r="T19" s="321">
        <v>220390</v>
      </c>
      <c r="U19" s="277"/>
      <c r="V19" s="312">
        <v>179800</v>
      </c>
      <c r="W19" s="321">
        <v>220390</v>
      </c>
      <c r="X19" s="277"/>
      <c r="Y19" s="332">
        <v>173260</v>
      </c>
      <c r="Z19" s="277"/>
      <c r="AA19" s="333">
        <f t="shared" si="1"/>
        <v>1795020.15151515</v>
      </c>
      <c r="AB19" s="334"/>
      <c r="AC19" s="312"/>
      <c r="AD19" s="312"/>
      <c r="AE19" s="312">
        <f t="shared" si="2"/>
        <v>180638.085858586</v>
      </c>
      <c r="AF19" s="312">
        <f t="shared" si="3"/>
        <v>41531.7515782828</v>
      </c>
      <c r="AG19" s="342" t="s">
        <v>6592</v>
      </c>
      <c r="AH19" s="293"/>
      <c r="AI19" s="293"/>
      <c r="AJ19" s="293"/>
    </row>
    <row r="20" s="294" customFormat="1" ht="21" customHeight="1" spans="1:36">
      <c r="A20" s="322"/>
      <c r="B20" s="319" t="s">
        <v>6609</v>
      </c>
      <c r="C20" s="312">
        <v>1968280</v>
      </c>
      <c r="D20" s="320">
        <v>0.0374579124579124</v>
      </c>
      <c r="E20" s="320">
        <v>0.0338278619528619</v>
      </c>
      <c r="F20" s="321">
        <v>240690</v>
      </c>
      <c r="G20" s="277"/>
      <c r="H20" s="312">
        <v>60890</v>
      </c>
      <c r="I20" s="312">
        <v>157330</v>
      </c>
      <c r="J20" s="312">
        <v>60890</v>
      </c>
      <c r="K20" s="312">
        <v>89900</v>
      </c>
      <c r="L20" s="321">
        <v>128310</v>
      </c>
      <c r="M20" s="277"/>
      <c r="N20" s="312">
        <v>67420</v>
      </c>
      <c r="O20" s="312">
        <v>67430</v>
      </c>
      <c r="P20" s="312">
        <v>89900</v>
      </c>
      <c r="Q20" s="321">
        <f>VLOOKUP(B20,[1]Summary!$B:$U,20,FALSE)</f>
        <v>150790</v>
      </c>
      <c r="R20" s="277"/>
      <c r="S20" s="312">
        <f t="shared" si="0"/>
        <v>60890.1515151514</v>
      </c>
      <c r="T20" s="321">
        <v>220390</v>
      </c>
      <c r="U20" s="277"/>
      <c r="V20" s="312">
        <v>179800</v>
      </c>
      <c r="W20" s="321">
        <v>220390</v>
      </c>
      <c r="X20" s="277"/>
      <c r="Y20" s="332">
        <v>173260</v>
      </c>
      <c r="Z20" s="277"/>
      <c r="AA20" s="333">
        <f t="shared" si="1"/>
        <v>1795020.15151515</v>
      </c>
      <c r="AB20" s="334"/>
      <c r="AC20" s="312"/>
      <c r="AD20" s="312"/>
      <c r="AE20" s="312">
        <f t="shared" si="2"/>
        <v>180638.085858586</v>
      </c>
      <c r="AF20" s="312">
        <f t="shared" si="3"/>
        <v>41531.7515782828</v>
      </c>
      <c r="AG20" s="342" t="s">
        <v>6592</v>
      </c>
      <c r="AH20" s="293"/>
      <c r="AI20" s="293"/>
      <c r="AJ20" s="293"/>
    </row>
    <row r="21" s="294" customFormat="1" ht="21" customHeight="1" spans="1:36">
      <c r="A21" s="322"/>
      <c r="B21" s="319" t="s">
        <v>6610</v>
      </c>
      <c r="C21" s="312">
        <v>1968280</v>
      </c>
      <c r="D21" s="320">
        <v>0.0374579124579124</v>
      </c>
      <c r="E21" s="320">
        <v>0.0338278619528619</v>
      </c>
      <c r="F21" s="321">
        <v>240690</v>
      </c>
      <c r="G21" s="277"/>
      <c r="H21" s="312">
        <v>60890</v>
      </c>
      <c r="I21" s="312">
        <v>157330</v>
      </c>
      <c r="J21" s="312">
        <v>60890</v>
      </c>
      <c r="K21" s="312">
        <v>89900</v>
      </c>
      <c r="L21" s="321">
        <v>128310</v>
      </c>
      <c r="M21" s="277"/>
      <c r="N21" s="312">
        <v>67420</v>
      </c>
      <c r="O21" s="312">
        <v>67430</v>
      </c>
      <c r="P21" s="312">
        <v>89900</v>
      </c>
      <c r="Q21" s="321">
        <f>VLOOKUP(B21,[1]Summary!$B:$U,20,FALSE)</f>
        <v>150790</v>
      </c>
      <c r="R21" s="277"/>
      <c r="S21" s="312">
        <f t="shared" si="0"/>
        <v>60890.1515151514</v>
      </c>
      <c r="T21" s="321">
        <v>220390</v>
      </c>
      <c r="U21" s="277"/>
      <c r="V21" s="312">
        <v>179800</v>
      </c>
      <c r="W21" s="321">
        <v>220390</v>
      </c>
      <c r="X21" s="277"/>
      <c r="Y21" s="332">
        <v>173260</v>
      </c>
      <c r="Z21" s="277"/>
      <c r="AA21" s="333">
        <f t="shared" si="1"/>
        <v>1795020.15151515</v>
      </c>
      <c r="AB21" s="334"/>
      <c r="AC21" s="312"/>
      <c r="AD21" s="312"/>
      <c r="AE21" s="312">
        <f t="shared" si="2"/>
        <v>180638.085858586</v>
      </c>
      <c r="AF21" s="312">
        <f t="shared" si="3"/>
        <v>41531.7515782828</v>
      </c>
      <c r="AG21" s="342" t="s">
        <v>6592</v>
      </c>
      <c r="AH21" s="293"/>
      <c r="AI21" s="293"/>
      <c r="AJ21" s="293"/>
    </row>
    <row r="22" s="294" customFormat="1" ht="21" customHeight="1" spans="1:36">
      <c r="A22" s="322"/>
      <c r="B22" s="319" t="s">
        <v>6611</v>
      </c>
      <c r="C22" s="312">
        <v>1968280</v>
      </c>
      <c r="D22" s="320">
        <v>0.0374579124579124</v>
      </c>
      <c r="E22" s="320">
        <v>0.0338278619528619</v>
      </c>
      <c r="F22" s="321">
        <v>240690</v>
      </c>
      <c r="G22" s="277"/>
      <c r="H22" s="312">
        <v>60890</v>
      </c>
      <c r="I22" s="312">
        <v>157330</v>
      </c>
      <c r="J22" s="312">
        <v>60890</v>
      </c>
      <c r="K22" s="312">
        <v>89900</v>
      </c>
      <c r="L22" s="321">
        <v>128310</v>
      </c>
      <c r="M22" s="277"/>
      <c r="N22" s="312">
        <v>67420</v>
      </c>
      <c r="O22" s="312">
        <v>67430</v>
      </c>
      <c r="P22" s="312">
        <v>89900</v>
      </c>
      <c r="Q22" s="321">
        <f>VLOOKUP(B22,[1]Summary!$B:$U,20,FALSE)</f>
        <v>150790</v>
      </c>
      <c r="R22" s="277"/>
      <c r="S22" s="312">
        <f t="shared" si="0"/>
        <v>60890.1515151514</v>
      </c>
      <c r="T22" s="321">
        <v>220390</v>
      </c>
      <c r="U22" s="277"/>
      <c r="V22" s="312">
        <v>179800</v>
      </c>
      <c r="W22" s="321">
        <v>220390</v>
      </c>
      <c r="X22" s="277"/>
      <c r="Y22" s="332">
        <v>173260</v>
      </c>
      <c r="Z22" s="277"/>
      <c r="AA22" s="333">
        <f t="shared" si="1"/>
        <v>1795020.15151515</v>
      </c>
      <c r="AB22" s="334"/>
      <c r="AC22" s="312"/>
      <c r="AD22" s="312"/>
      <c r="AE22" s="312">
        <f t="shared" si="2"/>
        <v>180638.085858586</v>
      </c>
      <c r="AF22" s="312">
        <f t="shared" si="3"/>
        <v>41531.7515782828</v>
      </c>
      <c r="AG22" s="342" t="s">
        <v>6592</v>
      </c>
      <c r="AH22" s="293"/>
      <c r="AI22" s="293"/>
      <c r="AJ22" s="293"/>
    </row>
    <row r="23" s="294" customFormat="1" ht="21" customHeight="1" spans="1:36">
      <c r="A23" s="322"/>
      <c r="B23" s="319" t="s">
        <v>6612</v>
      </c>
      <c r="C23" s="312">
        <v>2068500</v>
      </c>
      <c r="D23" s="320">
        <v>0.0374579124579124</v>
      </c>
      <c r="E23" s="320">
        <v>0.0405092592592593</v>
      </c>
      <c r="F23" s="321">
        <v>252720</v>
      </c>
      <c r="G23" s="277"/>
      <c r="H23" s="312">
        <v>72920</v>
      </c>
      <c r="I23" s="312">
        <v>157320</v>
      </c>
      <c r="J23" s="312">
        <v>72920</v>
      </c>
      <c r="K23" s="312">
        <v>89900</v>
      </c>
      <c r="L23" s="321">
        <v>140340</v>
      </c>
      <c r="M23" s="277"/>
      <c r="N23" s="312">
        <v>67420</v>
      </c>
      <c r="O23" s="312">
        <v>67420</v>
      </c>
      <c r="P23" s="312">
        <v>89900</v>
      </c>
      <c r="Q23" s="321">
        <f>VLOOKUP(B23,[1]Summary!$B:$U,20,FALSE)</f>
        <v>162820</v>
      </c>
      <c r="R23" s="277"/>
      <c r="S23" s="312">
        <f t="shared" si="0"/>
        <v>72916.6666666667</v>
      </c>
      <c r="T23" s="321">
        <v>228400</v>
      </c>
      <c r="U23" s="277"/>
      <c r="V23" s="312">
        <v>179800</v>
      </c>
      <c r="W23" s="321">
        <v>228410</v>
      </c>
      <c r="X23" s="277"/>
      <c r="Y23" s="332">
        <v>185290</v>
      </c>
      <c r="Z23" s="277"/>
      <c r="AA23" s="333">
        <f t="shared" si="1"/>
        <v>1883206.66666667</v>
      </c>
      <c r="AB23" s="334"/>
      <c r="AC23" s="312"/>
      <c r="AD23" s="312"/>
      <c r="AE23" s="312">
        <f t="shared" si="2"/>
        <v>180638.085858586</v>
      </c>
      <c r="AF23" s="312">
        <f t="shared" si="3"/>
        <v>49734.7569444445</v>
      </c>
      <c r="AG23" s="342" t="s">
        <v>6592</v>
      </c>
      <c r="AH23" s="293"/>
      <c r="AI23" s="293"/>
      <c r="AJ23" s="293"/>
    </row>
    <row r="24" s="294" customFormat="1" ht="21" customHeight="1" spans="1:36">
      <c r="A24" s="322"/>
      <c r="B24" s="319" t="s">
        <v>6613</v>
      </c>
      <c r="C24" s="312">
        <v>2069300</v>
      </c>
      <c r="D24" s="320">
        <v>0.0374579124579124</v>
      </c>
      <c r="E24" s="320">
        <v>0.0405092592592593</v>
      </c>
      <c r="F24" s="321">
        <v>252720</v>
      </c>
      <c r="G24" s="277"/>
      <c r="H24" s="312">
        <v>73220</v>
      </c>
      <c r="I24" s="312">
        <v>157620</v>
      </c>
      <c r="J24" s="312">
        <v>72920</v>
      </c>
      <c r="K24" s="312">
        <v>89900</v>
      </c>
      <c r="L24" s="321">
        <v>140340</v>
      </c>
      <c r="M24" s="277"/>
      <c r="N24" s="312">
        <v>67420</v>
      </c>
      <c r="O24" s="312">
        <v>67420</v>
      </c>
      <c r="P24" s="312">
        <v>89900</v>
      </c>
      <c r="Q24" s="321">
        <f>VLOOKUP(B24,[1]Summary!$B:$U,20,FALSE)</f>
        <v>162820</v>
      </c>
      <c r="R24" s="277"/>
      <c r="S24" s="312">
        <f t="shared" si="0"/>
        <v>72916.6666666667</v>
      </c>
      <c r="T24" s="321">
        <v>228400</v>
      </c>
      <c r="U24" s="277"/>
      <c r="V24" s="312">
        <v>179800</v>
      </c>
      <c r="W24" s="321">
        <v>228610</v>
      </c>
      <c r="X24" s="277"/>
      <c r="Y24" s="332">
        <v>185290</v>
      </c>
      <c r="Z24" s="277"/>
      <c r="AA24" s="333">
        <f t="shared" si="1"/>
        <v>1884006.66666667</v>
      </c>
      <c r="AB24" s="334"/>
      <c r="AC24" s="312"/>
      <c r="AD24" s="312"/>
      <c r="AE24" s="312">
        <f t="shared" si="2"/>
        <v>180638.085858586</v>
      </c>
      <c r="AF24" s="312">
        <f t="shared" si="3"/>
        <v>49734.7569444445</v>
      </c>
      <c r="AG24" s="342" t="s">
        <v>6592</v>
      </c>
      <c r="AH24" s="293"/>
      <c r="AI24" s="293"/>
      <c r="AJ24" s="293"/>
    </row>
    <row r="25" s="294" customFormat="1" ht="21" customHeight="1" spans="1:36">
      <c r="A25" s="322"/>
      <c r="B25" s="323" t="s">
        <v>6614</v>
      </c>
      <c r="C25" s="312">
        <v>2070900</v>
      </c>
      <c r="D25" s="320">
        <v>0.0374579124579124</v>
      </c>
      <c r="E25" s="320">
        <v>0.0405092592592593</v>
      </c>
      <c r="F25" s="321">
        <v>254220</v>
      </c>
      <c r="G25" s="277"/>
      <c r="H25" s="312">
        <v>72920</v>
      </c>
      <c r="I25" s="312">
        <v>157320</v>
      </c>
      <c r="J25" s="312">
        <v>72920</v>
      </c>
      <c r="K25" s="312">
        <v>89900</v>
      </c>
      <c r="L25" s="321">
        <v>140340</v>
      </c>
      <c r="M25" s="277"/>
      <c r="N25" s="312">
        <v>67420</v>
      </c>
      <c r="O25" s="312">
        <v>67420</v>
      </c>
      <c r="P25" s="312">
        <v>89900</v>
      </c>
      <c r="Q25" s="321">
        <f>VLOOKUP(B25,[1]Summary!$B:$U,20,FALSE)</f>
        <v>162820</v>
      </c>
      <c r="R25" s="277"/>
      <c r="S25" s="312">
        <f t="shared" si="0"/>
        <v>72916.6666666667</v>
      </c>
      <c r="T25" s="321">
        <v>228400</v>
      </c>
      <c r="U25" s="277"/>
      <c r="V25" s="312">
        <v>180100</v>
      </c>
      <c r="W25" s="321">
        <v>228710</v>
      </c>
      <c r="X25" s="277"/>
      <c r="Y25" s="332">
        <v>185590</v>
      </c>
      <c r="Z25" s="277"/>
      <c r="AA25" s="333">
        <f t="shared" si="1"/>
        <v>1885306.66666667</v>
      </c>
      <c r="AB25" s="334"/>
      <c r="AC25" s="312"/>
      <c r="AD25" s="312"/>
      <c r="AE25" s="312">
        <f t="shared" si="2"/>
        <v>180638.085858586</v>
      </c>
      <c r="AF25" s="312">
        <f t="shared" si="3"/>
        <v>49734.7569444445</v>
      </c>
      <c r="AG25" s="342" t="s">
        <v>6615</v>
      </c>
      <c r="AH25" s="293"/>
      <c r="AI25" s="293"/>
      <c r="AJ25" s="293"/>
    </row>
    <row r="26" s="294" customFormat="1" ht="21" customHeight="1" spans="1:36">
      <c r="A26" s="322"/>
      <c r="B26" s="323" t="s">
        <v>6616</v>
      </c>
      <c r="C26" s="312">
        <v>2070900</v>
      </c>
      <c r="D26" s="320">
        <v>0.0374579124579124</v>
      </c>
      <c r="E26" s="320">
        <v>0.0405092592592593</v>
      </c>
      <c r="F26" s="321">
        <v>254220</v>
      </c>
      <c r="G26" s="277"/>
      <c r="H26" s="312">
        <v>72920</v>
      </c>
      <c r="I26" s="312">
        <v>157320</v>
      </c>
      <c r="J26" s="312">
        <v>72920</v>
      </c>
      <c r="K26" s="312">
        <v>89900</v>
      </c>
      <c r="L26" s="321">
        <v>140340</v>
      </c>
      <c r="M26" s="277"/>
      <c r="N26" s="312">
        <v>67420</v>
      </c>
      <c r="O26" s="312">
        <v>67420</v>
      </c>
      <c r="P26" s="312">
        <v>89900</v>
      </c>
      <c r="Q26" s="321">
        <f>VLOOKUP(B26,[1]Summary!$B:$U,20,FALSE)</f>
        <v>162820</v>
      </c>
      <c r="R26" s="277"/>
      <c r="S26" s="312">
        <f t="shared" si="0"/>
        <v>72916.6666666667</v>
      </c>
      <c r="T26" s="321">
        <v>228400</v>
      </c>
      <c r="U26" s="277"/>
      <c r="V26" s="312">
        <v>180100</v>
      </c>
      <c r="W26" s="321">
        <v>228710</v>
      </c>
      <c r="X26" s="277"/>
      <c r="Y26" s="332">
        <v>185590</v>
      </c>
      <c r="Z26" s="277"/>
      <c r="AA26" s="333">
        <f t="shared" si="1"/>
        <v>1885306.66666667</v>
      </c>
      <c r="AB26" s="334"/>
      <c r="AC26" s="312"/>
      <c r="AD26" s="312"/>
      <c r="AE26" s="312">
        <f t="shared" si="2"/>
        <v>180638.085858586</v>
      </c>
      <c r="AF26" s="312">
        <f t="shared" si="3"/>
        <v>49734.7569444445</v>
      </c>
      <c r="AG26" s="342" t="s">
        <v>6615</v>
      </c>
      <c r="AH26" s="293"/>
      <c r="AI26" s="293"/>
      <c r="AJ26" s="293"/>
    </row>
    <row r="27" s="294" customFormat="1" ht="21" customHeight="1" spans="1:36">
      <c r="A27" s="322"/>
      <c r="B27" s="319" t="s">
        <v>6617</v>
      </c>
      <c r="C27" s="312">
        <v>2227440</v>
      </c>
      <c r="D27" s="320">
        <v>0.041087962962963</v>
      </c>
      <c r="E27" s="320">
        <v>0.0416666666666667</v>
      </c>
      <c r="F27" s="321">
        <v>272230</v>
      </c>
      <c r="G27" s="277"/>
      <c r="H27" s="312">
        <v>75000</v>
      </c>
      <c r="I27" s="312">
        <v>172570</v>
      </c>
      <c r="J27" s="312">
        <v>75000</v>
      </c>
      <c r="K27" s="312">
        <v>98610</v>
      </c>
      <c r="L27" s="321">
        <v>148960</v>
      </c>
      <c r="M27" s="277"/>
      <c r="N27" s="312">
        <v>73950</v>
      </c>
      <c r="O27" s="312">
        <v>73960</v>
      </c>
      <c r="P27" s="312">
        <v>98610</v>
      </c>
      <c r="Q27" s="321">
        <f>VLOOKUP(B27,[1]Summary!$B:$U,20,FALSE)</f>
        <v>173610</v>
      </c>
      <c r="R27" s="277"/>
      <c r="S27" s="312">
        <f t="shared" si="0"/>
        <v>75000.0000000001</v>
      </c>
      <c r="T27" s="321">
        <v>247230</v>
      </c>
      <c r="U27" s="277"/>
      <c r="V27" s="312">
        <v>197220</v>
      </c>
      <c r="W27" s="321">
        <v>247220</v>
      </c>
      <c r="X27" s="277"/>
      <c r="Y27" s="332">
        <v>198270</v>
      </c>
      <c r="Z27" s="277"/>
      <c r="AA27" s="333">
        <f t="shared" si="1"/>
        <v>2029170</v>
      </c>
      <c r="AB27" s="334"/>
      <c r="AC27" s="312"/>
      <c r="AD27" s="312"/>
      <c r="AE27" s="312">
        <f t="shared" si="2"/>
        <v>198143.743055556</v>
      </c>
      <c r="AF27" s="312">
        <f t="shared" si="3"/>
        <v>51155.75</v>
      </c>
      <c r="AG27" s="342" t="s">
        <v>6592</v>
      </c>
      <c r="AH27" s="293"/>
      <c r="AI27" s="293"/>
      <c r="AJ27" s="293"/>
    </row>
    <row r="28" s="294" customFormat="1" ht="21" customHeight="1" spans="1:36">
      <c r="A28" s="322"/>
      <c r="B28" s="319" t="s">
        <v>6618</v>
      </c>
      <c r="C28" s="312">
        <v>2227440</v>
      </c>
      <c r="D28" s="320">
        <v>0.041087962962963</v>
      </c>
      <c r="E28" s="320">
        <v>0.0416666666666667</v>
      </c>
      <c r="F28" s="321">
        <v>272230</v>
      </c>
      <c r="G28" s="277"/>
      <c r="H28" s="312">
        <v>75000</v>
      </c>
      <c r="I28" s="312">
        <v>172570</v>
      </c>
      <c r="J28" s="312">
        <v>75000</v>
      </c>
      <c r="K28" s="312">
        <v>98610</v>
      </c>
      <c r="L28" s="321">
        <v>148960</v>
      </c>
      <c r="M28" s="277"/>
      <c r="N28" s="312">
        <v>73950</v>
      </c>
      <c r="O28" s="312">
        <v>73960</v>
      </c>
      <c r="P28" s="312">
        <v>98610</v>
      </c>
      <c r="Q28" s="321">
        <f>VLOOKUP(B28,[1]Summary!$B:$U,20,FALSE)</f>
        <v>173610</v>
      </c>
      <c r="R28" s="277"/>
      <c r="S28" s="312">
        <f t="shared" si="0"/>
        <v>75000.0000000001</v>
      </c>
      <c r="T28" s="321">
        <v>247230</v>
      </c>
      <c r="U28" s="277"/>
      <c r="V28" s="312">
        <v>197220</v>
      </c>
      <c r="W28" s="321">
        <v>247220</v>
      </c>
      <c r="X28" s="277"/>
      <c r="Y28" s="332">
        <v>198270</v>
      </c>
      <c r="Z28" s="277"/>
      <c r="AA28" s="333">
        <f t="shared" si="1"/>
        <v>2029170</v>
      </c>
      <c r="AB28" s="334"/>
      <c r="AC28" s="312"/>
      <c r="AD28" s="312"/>
      <c r="AE28" s="312">
        <f t="shared" si="2"/>
        <v>198143.743055556</v>
      </c>
      <c r="AF28" s="312">
        <f t="shared" si="3"/>
        <v>51155.75</v>
      </c>
      <c r="AG28" s="342" t="s">
        <v>6592</v>
      </c>
      <c r="AH28" s="293"/>
      <c r="AI28" s="293"/>
      <c r="AJ28" s="293"/>
    </row>
    <row r="29" s="294" customFormat="1" ht="21" customHeight="1" spans="1:36">
      <c r="A29" s="322"/>
      <c r="B29" s="319" t="s">
        <v>6619</v>
      </c>
      <c r="C29" s="312">
        <v>2227440</v>
      </c>
      <c r="D29" s="320">
        <v>0.041087962962963</v>
      </c>
      <c r="E29" s="320">
        <v>0.0416666666666667</v>
      </c>
      <c r="F29" s="321">
        <v>272230</v>
      </c>
      <c r="G29" s="277"/>
      <c r="H29" s="312">
        <v>75000</v>
      </c>
      <c r="I29" s="312">
        <v>172570</v>
      </c>
      <c r="J29" s="312">
        <v>75000</v>
      </c>
      <c r="K29" s="312">
        <v>98610</v>
      </c>
      <c r="L29" s="321">
        <v>148960</v>
      </c>
      <c r="M29" s="277"/>
      <c r="N29" s="312">
        <v>73950</v>
      </c>
      <c r="O29" s="312">
        <v>73960</v>
      </c>
      <c r="P29" s="312">
        <v>98610</v>
      </c>
      <c r="Q29" s="321">
        <f>VLOOKUP(B29,[1]Summary!$B:$U,20,FALSE)</f>
        <v>173610</v>
      </c>
      <c r="R29" s="277"/>
      <c r="S29" s="312">
        <f t="shared" si="0"/>
        <v>75000.0000000001</v>
      </c>
      <c r="T29" s="321">
        <v>247230</v>
      </c>
      <c r="U29" s="277"/>
      <c r="V29" s="312">
        <v>197220</v>
      </c>
      <c r="W29" s="321">
        <v>247220</v>
      </c>
      <c r="X29" s="277"/>
      <c r="Y29" s="332">
        <v>198270</v>
      </c>
      <c r="Z29" s="277"/>
      <c r="AA29" s="333">
        <f t="shared" si="1"/>
        <v>2029170</v>
      </c>
      <c r="AB29" s="334"/>
      <c r="AC29" s="312"/>
      <c r="AD29" s="312"/>
      <c r="AE29" s="312">
        <f t="shared" si="2"/>
        <v>198143.743055556</v>
      </c>
      <c r="AF29" s="312">
        <f t="shared" si="3"/>
        <v>51155.75</v>
      </c>
      <c r="AG29" s="342" t="s">
        <v>6592</v>
      </c>
      <c r="AH29" s="293"/>
      <c r="AI29" s="293"/>
      <c r="AJ29" s="293"/>
    </row>
    <row r="30" s="294" customFormat="1" ht="21" customHeight="1" spans="1:36">
      <c r="A30" s="322"/>
      <c r="B30" s="319" t="s">
        <v>6620</v>
      </c>
      <c r="C30" s="312">
        <v>2227440</v>
      </c>
      <c r="D30" s="320">
        <v>0.041087962962963</v>
      </c>
      <c r="E30" s="320">
        <v>0.0416666666666667</v>
      </c>
      <c r="F30" s="321">
        <v>272230</v>
      </c>
      <c r="G30" s="277"/>
      <c r="H30" s="312">
        <v>75000</v>
      </c>
      <c r="I30" s="312">
        <v>172570</v>
      </c>
      <c r="J30" s="312">
        <v>75000</v>
      </c>
      <c r="K30" s="312">
        <v>98610</v>
      </c>
      <c r="L30" s="321">
        <v>148960</v>
      </c>
      <c r="M30" s="277"/>
      <c r="N30" s="312">
        <v>73950</v>
      </c>
      <c r="O30" s="312">
        <v>73960</v>
      </c>
      <c r="P30" s="312">
        <v>98610</v>
      </c>
      <c r="Q30" s="321">
        <f>VLOOKUP(B30,[1]Summary!$B:$U,20,FALSE)</f>
        <v>173610</v>
      </c>
      <c r="R30" s="277"/>
      <c r="S30" s="312">
        <f t="shared" si="0"/>
        <v>75000.0000000001</v>
      </c>
      <c r="T30" s="321">
        <v>247230</v>
      </c>
      <c r="U30" s="277"/>
      <c r="V30" s="312">
        <v>197220</v>
      </c>
      <c r="W30" s="321">
        <v>247220</v>
      </c>
      <c r="X30" s="277"/>
      <c r="Y30" s="332">
        <v>198270</v>
      </c>
      <c r="Z30" s="277"/>
      <c r="AA30" s="333">
        <f t="shared" si="1"/>
        <v>2029170</v>
      </c>
      <c r="AB30" s="334"/>
      <c r="AC30" s="312"/>
      <c r="AD30" s="312"/>
      <c r="AE30" s="312">
        <f t="shared" si="2"/>
        <v>198143.743055556</v>
      </c>
      <c r="AF30" s="312">
        <f t="shared" si="3"/>
        <v>51155.75</v>
      </c>
      <c r="AG30" s="342" t="s">
        <v>6592</v>
      </c>
      <c r="AH30" s="293"/>
      <c r="AI30" s="293"/>
      <c r="AJ30" s="293"/>
    </row>
    <row r="31" s="294" customFormat="1" ht="21" customHeight="1" spans="1:36">
      <c r="A31" s="322"/>
      <c r="B31" s="324" t="s">
        <v>6621</v>
      </c>
      <c r="C31" s="312">
        <v>853430</v>
      </c>
      <c r="D31" s="320">
        <v>0.0104517396184063</v>
      </c>
      <c r="E31" s="320">
        <v>0.014520202020202</v>
      </c>
      <c r="F31" s="321">
        <v>126310</v>
      </c>
      <c r="G31" s="277"/>
      <c r="H31" s="312">
        <v>33140</v>
      </c>
      <c r="I31" s="312">
        <v>48890</v>
      </c>
      <c r="J31" s="312">
        <v>31140</v>
      </c>
      <c r="K31" s="312">
        <v>30080</v>
      </c>
      <c r="L31" s="321">
        <v>49950</v>
      </c>
      <c r="M31" s="277"/>
      <c r="N31" s="312">
        <v>21820</v>
      </c>
      <c r="O31" s="312">
        <v>22810</v>
      </c>
      <c r="P31" s="312">
        <v>25080</v>
      </c>
      <c r="Q31" s="321">
        <f>VLOOKUP(B31,[1]Summary!$B:$U,20,FALSE)</f>
        <v>71220</v>
      </c>
      <c r="R31" s="277"/>
      <c r="S31" s="312">
        <f t="shared" si="0"/>
        <v>26136.3636363636</v>
      </c>
      <c r="T31" s="321">
        <v>107590</v>
      </c>
      <c r="U31" s="277"/>
      <c r="V31" s="312">
        <v>65170</v>
      </c>
      <c r="W31" s="321">
        <v>72590</v>
      </c>
      <c r="X31" s="277"/>
      <c r="Y31" s="332">
        <v>65500</v>
      </c>
      <c r="Z31" s="277"/>
      <c r="AA31" s="333">
        <f t="shared" si="1"/>
        <v>731926.363636364</v>
      </c>
      <c r="AB31" s="334"/>
      <c r="AC31" s="312"/>
      <c r="AD31" s="312"/>
      <c r="AE31" s="312">
        <f t="shared" si="2"/>
        <v>50402.7617845119</v>
      </c>
      <c r="AF31" s="312">
        <f t="shared" si="3"/>
        <v>17827.0037878788</v>
      </c>
      <c r="AG31" s="342" t="s">
        <v>6622</v>
      </c>
      <c r="AH31" s="293"/>
      <c r="AI31" s="293"/>
      <c r="AJ31" s="293"/>
    </row>
    <row r="32" s="294" customFormat="1" ht="21" customHeight="1" spans="1:36">
      <c r="A32" s="322"/>
      <c r="B32" s="319" t="s">
        <v>6623</v>
      </c>
      <c r="C32" s="312">
        <v>625430</v>
      </c>
      <c r="D32" s="320">
        <v>0.0104517396184063</v>
      </c>
      <c r="E32" s="320">
        <v>0.014520202020202</v>
      </c>
      <c r="F32" s="321">
        <v>76310</v>
      </c>
      <c r="G32" s="277"/>
      <c r="H32" s="312">
        <v>26140</v>
      </c>
      <c r="I32" s="312">
        <v>43890</v>
      </c>
      <c r="J32" s="312">
        <v>26140</v>
      </c>
      <c r="K32" s="312">
        <v>25080</v>
      </c>
      <c r="L32" s="321">
        <v>44950</v>
      </c>
      <c r="M32" s="277"/>
      <c r="N32" s="312">
        <v>18820</v>
      </c>
      <c r="O32" s="312">
        <v>18810</v>
      </c>
      <c r="P32" s="312">
        <v>25080</v>
      </c>
      <c r="Q32" s="321">
        <f>VLOOKUP(B32,[1]Summary!$B:$U,20,FALSE)</f>
        <v>51220</v>
      </c>
      <c r="R32" s="277"/>
      <c r="S32" s="312">
        <f t="shared" si="0"/>
        <v>26136.3636363636</v>
      </c>
      <c r="T32" s="321">
        <v>67590</v>
      </c>
      <c r="U32" s="277"/>
      <c r="V32" s="312">
        <v>50170</v>
      </c>
      <c r="W32" s="321">
        <v>67590</v>
      </c>
      <c r="X32" s="277"/>
      <c r="Y32" s="332">
        <v>57500</v>
      </c>
      <c r="Z32" s="277"/>
      <c r="AA32" s="333">
        <f t="shared" si="1"/>
        <v>567926.363636364</v>
      </c>
      <c r="AB32" s="334"/>
      <c r="AC32" s="312"/>
      <c r="AD32" s="312"/>
      <c r="AE32" s="312">
        <f t="shared" si="2"/>
        <v>50402.7617845119</v>
      </c>
      <c r="AF32" s="312">
        <f t="shared" si="3"/>
        <v>17827.0037878788</v>
      </c>
      <c r="AG32" s="342" t="s">
        <v>6592</v>
      </c>
      <c r="AH32" s="293"/>
      <c r="AI32" s="293"/>
      <c r="AJ32" s="293"/>
    </row>
    <row r="33" s="294" customFormat="1" ht="21" customHeight="1" spans="1:36">
      <c r="A33" s="322"/>
      <c r="B33" s="319" t="s">
        <v>6624</v>
      </c>
      <c r="C33" s="312">
        <v>407620</v>
      </c>
      <c r="D33" s="320">
        <v>0.0104517396184063</v>
      </c>
      <c r="E33" s="320"/>
      <c r="F33" s="321">
        <v>50170</v>
      </c>
      <c r="G33" s="277"/>
      <c r="H33" s="312">
        <v>0</v>
      </c>
      <c r="I33" s="312">
        <v>43900</v>
      </c>
      <c r="J33" s="312">
        <v>0</v>
      </c>
      <c r="K33" s="312">
        <v>25080</v>
      </c>
      <c r="L33" s="321">
        <v>18820</v>
      </c>
      <c r="M33" s="277"/>
      <c r="N33" s="312">
        <v>18810</v>
      </c>
      <c r="O33" s="312">
        <v>18810</v>
      </c>
      <c r="P33" s="312">
        <v>25090</v>
      </c>
      <c r="Q33" s="321">
        <f>VLOOKUP(B33,[1]Summary!$B:$U,20,FALSE)</f>
        <v>25080</v>
      </c>
      <c r="R33" s="277"/>
      <c r="S33" s="312">
        <f t="shared" si="0"/>
        <v>0</v>
      </c>
      <c r="T33" s="321">
        <v>50170</v>
      </c>
      <c r="U33" s="277"/>
      <c r="V33" s="312">
        <v>50170</v>
      </c>
      <c r="W33" s="321">
        <v>50170</v>
      </c>
      <c r="X33" s="277"/>
      <c r="Y33" s="332">
        <v>31350</v>
      </c>
      <c r="Z33" s="277"/>
      <c r="AA33" s="333">
        <f t="shared" si="1"/>
        <v>376270</v>
      </c>
      <c r="AB33" s="334"/>
      <c r="AC33" s="312"/>
      <c r="AD33" s="312"/>
      <c r="AE33" s="312">
        <f t="shared" si="2"/>
        <v>50402.7617845119</v>
      </c>
      <c r="AF33" s="312">
        <f t="shared" si="3"/>
        <v>0</v>
      </c>
      <c r="AG33" s="342" t="s">
        <v>6625</v>
      </c>
      <c r="AH33" s="293"/>
      <c r="AI33" s="293"/>
      <c r="AJ33" s="293"/>
    </row>
    <row r="34" s="294" customFormat="1" ht="21" customHeight="1" spans="1:36">
      <c r="A34" s="322"/>
      <c r="B34" s="319" t="s">
        <v>6626</v>
      </c>
      <c r="C34" s="312">
        <v>424720</v>
      </c>
      <c r="D34" s="320">
        <v>0.0108901515151515</v>
      </c>
      <c r="E34" s="320"/>
      <c r="F34" s="321">
        <v>52280</v>
      </c>
      <c r="G34" s="277"/>
      <c r="H34" s="312">
        <v>0</v>
      </c>
      <c r="I34" s="312">
        <v>45740</v>
      </c>
      <c r="J34" s="312">
        <v>0</v>
      </c>
      <c r="K34" s="312">
        <v>26130</v>
      </c>
      <c r="L34" s="321">
        <v>19600</v>
      </c>
      <c r="M34" s="277"/>
      <c r="N34" s="312">
        <v>19610</v>
      </c>
      <c r="O34" s="312">
        <v>19600</v>
      </c>
      <c r="P34" s="312">
        <v>26140</v>
      </c>
      <c r="Q34" s="321">
        <f>VLOOKUP(B34,[1]Summary!$B:$U,20,FALSE)</f>
        <v>26130</v>
      </c>
      <c r="R34" s="277"/>
      <c r="S34" s="312">
        <f t="shared" si="0"/>
        <v>0</v>
      </c>
      <c r="T34" s="321">
        <v>52270</v>
      </c>
      <c r="U34" s="277"/>
      <c r="V34" s="312">
        <v>52280</v>
      </c>
      <c r="W34" s="321">
        <v>52270</v>
      </c>
      <c r="X34" s="277"/>
      <c r="Y34" s="332">
        <v>32670</v>
      </c>
      <c r="Z34" s="277"/>
      <c r="AA34" s="333">
        <f t="shared" si="1"/>
        <v>392050</v>
      </c>
      <c r="AB34" s="334"/>
      <c r="AC34" s="312"/>
      <c r="AD34" s="312"/>
      <c r="AE34" s="312">
        <f t="shared" si="2"/>
        <v>52516.971590909</v>
      </c>
      <c r="AF34" s="312">
        <f t="shared" si="3"/>
        <v>0</v>
      </c>
      <c r="AG34" s="342" t="s">
        <v>6625</v>
      </c>
      <c r="AH34" s="293"/>
      <c r="AI34" s="293"/>
      <c r="AJ34" s="293"/>
    </row>
    <row r="35" s="294" customFormat="1" ht="21" customHeight="1" spans="1:36">
      <c r="A35" s="322"/>
      <c r="B35" s="319" t="s">
        <v>6627</v>
      </c>
      <c r="C35" s="312">
        <v>289840</v>
      </c>
      <c r="D35" s="320">
        <v>0.00536616161616162</v>
      </c>
      <c r="E35" s="320">
        <v>0.00536616161616162</v>
      </c>
      <c r="F35" s="321">
        <v>35430</v>
      </c>
      <c r="G35" s="277"/>
      <c r="H35" s="312">
        <v>9660</v>
      </c>
      <c r="I35" s="312">
        <v>22540</v>
      </c>
      <c r="J35" s="312">
        <v>9660</v>
      </c>
      <c r="K35" s="312">
        <v>12880</v>
      </c>
      <c r="L35" s="321">
        <v>19330</v>
      </c>
      <c r="M35" s="277"/>
      <c r="N35" s="312">
        <v>9660</v>
      </c>
      <c r="O35" s="312">
        <v>9660</v>
      </c>
      <c r="P35" s="312">
        <v>12880</v>
      </c>
      <c r="Q35" s="321">
        <f>VLOOKUP(B35,[1]Summary!$B:$U,20,FALSE)</f>
        <v>22540</v>
      </c>
      <c r="R35" s="277"/>
      <c r="S35" s="312">
        <f t="shared" si="0"/>
        <v>9659.09090909092</v>
      </c>
      <c r="T35" s="321">
        <v>32210</v>
      </c>
      <c r="U35" s="277"/>
      <c r="V35" s="312">
        <v>25760</v>
      </c>
      <c r="W35" s="321">
        <v>32210</v>
      </c>
      <c r="X35" s="277"/>
      <c r="Y35" s="332">
        <v>25760</v>
      </c>
      <c r="Z35" s="277"/>
      <c r="AA35" s="333">
        <f t="shared" si="1"/>
        <v>264079.090909091</v>
      </c>
      <c r="AB35" s="334"/>
      <c r="AC35" s="312"/>
      <c r="AD35" s="312"/>
      <c r="AE35" s="312">
        <f t="shared" si="2"/>
        <v>25877.928030303</v>
      </c>
      <c r="AF35" s="312">
        <f t="shared" si="3"/>
        <v>6588.24053030304</v>
      </c>
      <c r="AG35" s="342" t="s">
        <v>6592</v>
      </c>
      <c r="AH35" s="293"/>
      <c r="AI35" s="293"/>
      <c r="AJ35" s="293"/>
    </row>
    <row r="36" s="294" customFormat="1" ht="21" customHeight="1" spans="1:36">
      <c r="A36" s="322"/>
      <c r="B36" s="319" t="s">
        <v>6628</v>
      </c>
      <c r="C36" s="312">
        <v>643320</v>
      </c>
      <c r="D36" s="320">
        <v>0.0108901515151515</v>
      </c>
      <c r="E36" s="320">
        <v>0.014520202020202</v>
      </c>
      <c r="F36" s="321">
        <v>78410</v>
      </c>
      <c r="G36" s="277"/>
      <c r="H36" s="312">
        <v>26440</v>
      </c>
      <c r="I36" s="312">
        <v>46040</v>
      </c>
      <c r="J36" s="312">
        <v>26140</v>
      </c>
      <c r="K36" s="312">
        <v>26130</v>
      </c>
      <c r="L36" s="321">
        <v>45740</v>
      </c>
      <c r="M36" s="277"/>
      <c r="N36" s="312">
        <v>19600</v>
      </c>
      <c r="O36" s="312">
        <v>19600</v>
      </c>
      <c r="P36" s="312">
        <v>26140</v>
      </c>
      <c r="Q36" s="321">
        <f>VLOOKUP(B36,[1]Summary!$B:$U,20,FALSE)</f>
        <v>52270</v>
      </c>
      <c r="R36" s="277"/>
      <c r="S36" s="312">
        <f t="shared" si="0"/>
        <v>26136.3636363636</v>
      </c>
      <c r="T36" s="321">
        <v>69700</v>
      </c>
      <c r="U36" s="277"/>
      <c r="V36" s="312">
        <v>52270</v>
      </c>
      <c r="W36" s="321">
        <v>69900</v>
      </c>
      <c r="X36" s="277"/>
      <c r="Y36" s="332">
        <v>58800</v>
      </c>
      <c r="Z36" s="277"/>
      <c r="AA36" s="333">
        <f t="shared" si="1"/>
        <v>584516.363636364</v>
      </c>
      <c r="AB36" s="334"/>
      <c r="AC36" s="312"/>
      <c r="AD36" s="312"/>
      <c r="AE36" s="312">
        <f t="shared" si="2"/>
        <v>52516.971590909</v>
      </c>
      <c r="AF36" s="312">
        <f t="shared" si="3"/>
        <v>17827.0037878788</v>
      </c>
      <c r="AG36" s="342" t="s">
        <v>6592</v>
      </c>
      <c r="AH36" s="293"/>
      <c r="AI36" s="293"/>
      <c r="AJ36" s="293"/>
    </row>
    <row r="37" s="294" customFormat="1" ht="21" customHeight="1" spans="1:36">
      <c r="A37" s="322"/>
      <c r="B37" s="319" t="s">
        <v>6629</v>
      </c>
      <c r="C37" s="312">
        <v>642520</v>
      </c>
      <c r="D37" s="320">
        <v>0.0108901515151515</v>
      </c>
      <c r="E37" s="320">
        <v>0.014520202020202</v>
      </c>
      <c r="F37" s="321">
        <v>78410</v>
      </c>
      <c r="G37" s="277"/>
      <c r="H37" s="312">
        <v>26140</v>
      </c>
      <c r="I37" s="312">
        <v>45740</v>
      </c>
      <c r="J37" s="312">
        <v>26140</v>
      </c>
      <c r="K37" s="312">
        <v>26130</v>
      </c>
      <c r="L37" s="321">
        <v>45740</v>
      </c>
      <c r="M37" s="277"/>
      <c r="N37" s="312">
        <v>19600</v>
      </c>
      <c r="O37" s="312">
        <v>19600</v>
      </c>
      <c r="P37" s="312">
        <v>26140</v>
      </c>
      <c r="Q37" s="321">
        <f>VLOOKUP(B37,[1]Summary!$B:$U,20,FALSE)</f>
        <v>52270</v>
      </c>
      <c r="R37" s="277"/>
      <c r="S37" s="312">
        <f t="shared" si="0"/>
        <v>26136.3636363636</v>
      </c>
      <c r="T37" s="321">
        <v>69700</v>
      </c>
      <c r="U37" s="277"/>
      <c r="V37" s="312">
        <v>52270</v>
      </c>
      <c r="W37" s="321">
        <v>69700</v>
      </c>
      <c r="X37" s="277"/>
      <c r="Y37" s="332">
        <v>58800</v>
      </c>
      <c r="Z37" s="277"/>
      <c r="AA37" s="333">
        <f t="shared" si="1"/>
        <v>583716.363636364</v>
      </c>
      <c r="AB37" s="334"/>
      <c r="AC37" s="312"/>
      <c r="AD37" s="312"/>
      <c r="AE37" s="312">
        <f t="shared" si="2"/>
        <v>52516.971590909</v>
      </c>
      <c r="AF37" s="312">
        <f t="shared" si="3"/>
        <v>17827.0037878788</v>
      </c>
      <c r="AG37" s="342" t="s">
        <v>6592</v>
      </c>
      <c r="AH37" s="293"/>
      <c r="AI37" s="293"/>
      <c r="AJ37" s="293"/>
    </row>
    <row r="38" s="294" customFormat="1" ht="21" customHeight="1" spans="1:36">
      <c r="A38" s="322"/>
      <c r="B38" s="319" t="s">
        <v>6630</v>
      </c>
      <c r="C38" s="312">
        <v>715120</v>
      </c>
      <c r="D38" s="320">
        <v>0.0108901515151515</v>
      </c>
      <c r="E38" s="320">
        <v>0.0193602693602694</v>
      </c>
      <c r="F38" s="321">
        <v>87130</v>
      </c>
      <c r="G38" s="277"/>
      <c r="H38" s="312">
        <v>34840</v>
      </c>
      <c r="I38" s="312">
        <v>45740</v>
      </c>
      <c r="J38" s="312">
        <v>34850</v>
      </c>
      <c r="K38" s="312">
        <v>26140</v>
      </c>
      <c r="L38" s="321">
        <v>54450</v>
      </c>
      <c r="M38" s="277"/>
      <c r="N38" s="312">
        <v>19600</v>
      </c>
      <c r="O38" s="312">
        <v>19600</v>
      </c>
      <c r="P38" s="312">
        <v>26140</v>
      </c>
      <c r="Q38" s="321">
        <f>VLOOKUP(B38,[1]Summary!$B:$U,20,FALSE)</f>
        <v>60980</v>
      </c>
      <c r="R38" s="277"/>
      <c r="S38" s="312">
        <f t="shared" si="0"/>
        <v>34848.4848484849</v>
      </c>
      <c r="T38" s="321">
        <v>75510</v>
      </c>
      <c r="U38" s="277"/>
      <c r="V38" s="312">
        <v>52270</v>
      </c>
      <c r="W38" s="321">
        <v>75510</v>
      </c>
      <c r="X38" s="277"/>
      <c r="Y38" s="332">
        <v>67510</v>
      </c>
      <c r="Z38" s="277"/>
      <c r="AA38" s="333">
        <f t="shared" si="1"/>
        <v>647608.484848485</v>
      </c>
      <c r="AB38" s="334"/>
      <c r="AC38" s="312"/>
      <c r="AD38" s="312"/>
      <c r="AE38" s="312">
        <f t="shared" si="2"/>
        <v>52516.971590909</v>
      </c>
      <c r="AF38" s="312">
        <f t="shared" si="3"/>
        <v>23769.3383838384</v>
      </c>
      <c r="AG38" s="342" t="s">
        <v>6592</v>
      </c>
      <c r="AH38" s="293"/>
      <c r="AI38" s="293"/>
      <c r="AJ38" s="293"/>
    </row>
    <row r="39" s="294" customFormat="1" ht="21" customHeight="1" spans="1:36">
      <c r="A39" s="322"/>
      <c r="B39" s="319" t="s">
        <v>6631</v>
      </c>
      <c r="C39" s="312">
        <v>715120</v>
      </c>
      <c r="D39" s="320">
        <v>0.0108901515151515</v>
      </c>
      <c r="E39" s="320">
        <v>0.0193602693602694</v>
      </c>
      <c r="F39" s="321">
        <v>87130</v>
      </c>
      <c r="G39" s="277"/>
      <c r="H39" s="312">
        <v>34840</v>
      </c>
      <c r="I39" s="312">
        <v>45740</v>
      </c>
      <c r="J39" s="312">
        <v>34850</v>
      </c>
      <c r="K39" s="312">
        <v>26140</v>
      </c>
      <c r="L39" s="321">
        <v>54450</v>
      </c>
      <c r="M39" s="277"/>
      <c r="N39" s="312">
        <v>19600</v>
      </c>
      <c r="O39" s="312">
        <v>19600</v>
      </c>
      <c r="P39" s="312">
        <v>26140</v>
      </c>
      <c r="Q39" s="321">
        <f>VLOOKUP(B39,[1]Summary!$B:$U,20,FALSE)</f>
        <v>60980</v>
      </c>
      <c r="R39" s="277"/>
      <c r="S39" s="312">
        <f t="shared" si="0"/>
        <v>34848.4848484849</v>
      </c>
      <c r="T39" s="321">
        <v>75510</v>
      </c>
      <c r="U39" s="277"/>
      <c r="V39" s="312">
        <v>52270</v>
      </c>
      <c r="W39" s="321">
        <v>75510</v>
      </c>
      <c r="X39" s="277"/>
      <c r="Y39" s="332">
        <v>67510</v>
      </c>
      <c r="Z39" s="277"/>
      <c r="AA39" s="333">
        <f t="shared" si="1"/>
        <v>647608.484848485</v>
      </c>
      <c r="AB39" s="334"/>
      <c r="AC39" s="312"/>
      <c r="AD39" s="312"/>
      <c r="AE39" s="312">
        <f t="shared" si="2"/>
        <v>52516.971590909</v>
      </c>
      <c r="AF39" s="312">
        <f t="shared" si="3"/>
        <v>23769.3383838384</v>
      </c>
      <c r="AG39" s="342" t="s">
        <v>6592</v>
      </c>
      <c r="AH39" s="293"/>
      <c r="AI39" s="293"/>
      <c r="AJ39" s="293"/>
    </row>
    <row r="40" s="294" customFormat="1" ht="21" customHeight="1" spans="1:36">
      <c r="A40" s="322"/>
      <c r="B40" s="319" t="s">
        <v>6632</v>
      </c>
      <c r="C40" s="312">
        <v>715120</v>
      </c>
      <c r="D40" s="320">
        <v>0.0108901515151515</v>
      </c>
      <c r="E40" s="320">
        <v>0.0193602693602694</v>
      </c>
      <c r="F40" s="321">
        <v>87130</v>
      </c>
      <c r="G40" s="277"/>
      <c r="H40" s="312">
        <v>34840</v>
      </c>
      <c r="I40" s="312">
        <v>45740</v>
      </c>
      <c r="J40" s="312">
        <v>34850</v>
      </c>
      <c r="K40" s="312">
        <v>26140</v>
      </c>
      <c r="L40" s="321">
        <v>54450</v>
      </c>
      <c r="M40" s="277"/>
      <c r="N40" s="312">
        <v>19600</v>
      </c>
      <c r="O40" s="312">
        <v>19600</v>
      </c>
      <c r="P40" s="312">
        <v>26140</v>
      </c>
      <c r="Q40" s="321">
        <f>VLOOKUP(B40,[1]Summary!$B:$U,20,FALSE)</f>
        <v>60980</v>
      </c>
      <c r="R40" s="277"/>
      <c r="S40" s="312">
        <f t="shared" ref="S40:S80" si="4">$R$5*$E40*6</f>
        <v>34848.4848484849</v>
      </c>
      <c r="T40" s="321">
        <v>75510</v>
      </c>
      <c r="U40" s="277"/>
      <c r="V40" s="312">
        <v>52270</v>
      </c>
      <c r="W40" s="321">
        <v>75510</v>
      </c>
      <c r="X40" s="277"/>
      <c r="Y40" s="332">
        <v>67510</v>
      </c>
      <c r="Z40" s="277"/>
      <c r="AA40" s="333">
        <f t="shared" ref="AA40:AA80" si="5">SUM(F40:X40)</f>
        <v>647608.484848485</v>
      </c>
      <c r="AB40" s="334"/>
      <c r="AC40" s="312"/>
      <c r="AD40" s="312"/>
      <c r="AE40" s="312">
        <f t="shared" ref="AE40:AE80" si="6">$AE$5*D40*6</f>
        <v>52516.971590909</v>
      </c>
      <c r="AF40" s="312">
        <f t="shared" ref="AF40:AF80" si="7">$AF$5*E40*6</f>
        <v>23769.3383838384</v>
      </c>
      <c r="AG40" s="342" t="s">
        <v>6592</v>
      </c>
      <c r="AH40" s="293"/>
      <c r="AI40" s="293"/>
      <c r="AJ40" s="293"/>
    </row>
    <row r="41" s="294" customFormat="1" ht="21" customHeight="1" spans="1:36">
      <c r="A41" s="322"/>
      <c r="B41" s="323" t="s">
        <v>6633</v>
      </c>
      <c r="C41" s="312">
        <v>729900</v>
      </c>
      <c r="D41" s="320">
        <v>0.0108901515151515</v>
      </c>
      <c r="E41" s="320">
        <v>0.020131874298541</v>
      </c>
      <c r="F41" s="321">
        <v>90020</v>
      </c>
      <c r="G41" s="277"/>
      <c r="H41" s="312">
        <v>36530</v>
      </c>
      <c r="I41" s="312">
        <v>46040</v>
      </c>
      <c r="J41" s="312">
        <v>36240</v>
      </c>
      <c r="K41" s="312">
        <v>26130</v>
      </c>
      <c r="L41" s="321">
        <v>55840</v>
      </c>
      <c r="M41" s="277"/>
      <c r="N41" s="312">
        <v>19610</v>
      </c>
      <c r="O41" s="312">
        <v>19600</v>
      </c>
      <c r="P41" s="312">
        <v>26140</v>
      </c>
      <c r="Q41" s="321">
        <f>VLOOKUP(B41,[1]Summary!$B:$U,20,FALSE)</f>
        <v>62370</v>
      </c>
      <c r="R41" s="277"/>
      <c r="S41" s="312">
        <f t="shared" si="4"/>
        <v>36237.3737373738</v>
      </c>
      <c r="T41" s="321">
        <v>76430</v>
      </c>
      <c r="U41" s="277"/>
      <c r="V41" s="312">
        <v>52570</v>
      </c>
      <c r="W41" s="321">
        <v>76930</v>
      </c>
      <c r="X41" s="277"/>
      <c r="Y41" s="332">
        <v>69210</v>
      </c>
      <c r="Z41" s="277"/>
      <c r="AA41" s="333">
        <f t="shared" si="5"/>
        <v>660687.373737374</v>
      </c>
      <c r="AB41" s="334"/>
      <c r="AC41" s="312"/>
      <c r="AD41" s="312"/>
      <c r="AE41" s="312">
        <f t="shared" si="6"/>
        <v>52516.971590909</v>
      </c>
      <c r="AF41" s="312">
        <f t="shared" si="7"/>
        <v>24716.6670875421</v>
      </c>
      <c r="AG41" s="342" t="s">
        <v>6615</v>
      </c>
      <c r="AH41" s="293"/>
      <c r="AI41" s="293"/>
      <c r="AJ41" s="293"/>
    </row>
    <row r="42" s="294" customFormat="1" ht="21" customHeight="1" spans="1:36">
      <c r="A42" s="322"/>
      <c r="B42" s="319" t="s">
        <v>6634</v>
      </c>
      <c r="C42" s="312">
        <v>424720</v>
      </c>
      <c r="D42" s="320">
        <v>0.0108901515151515</v>
      </c>
      <c r="E42" s="320"/>
      <c r="F42" s="321">
        <v>52280</v>
      </c>
      <c r="G42" s="277"/>
      <c r="H42" s="312">
        <v>0</v>
      </c>
      <c r="I42" s="312">
        <v>45740</v>
      </c>
      <c r="J42" s="312">
        <v>0</v>
      </c>
      <c r="K42" s="312">
        <v>26130</v>
      </c>
      <c r="L42" s="321">
        <v>19600</v>
      </c>
      <c r="M42" s="277"/>
      <c r="N42" s="312">
        <v>19610</v>
      </c>
      <c r="O42" s="312">
        <v>19600</v>
      </c>
      <c r="P42" s="312">
        <v>26140</v>
      </c>
      <c r="Q42" s="321">
        <f>VLOOKUP(B42,[1]Summary!$B:$U,20,FALSE)</f>
        <v>26130</v>
      </c>
      <c r="R42" s="277"/>
      <c r="S42" s="312">
        <f t="shared" si="4"/>
        <v>0</v>
      </c>
      <c r="T42" s="321">
        <v>52270</v>
      </c>
      <c r="U42" s="277"/>
      <c r="V42" s="312">
        <v>52280</v>
      </c>
      <c r="W42" s="321">
        <v>52270</v>
      </c>
      <c r="X42" s="277"/>
      <c r="Y42" s="332">
        <v>32670</v>
      </c>
      <c r="Z42" s="277"/>
      <c r="AA42" s="333">
        <f t="shared" si="5"/>
        <v>392050</v>
      </c>
      <c r="AB42" s="334"/>
      <c r="AC42" s="312"/>
      <c r="AD42" s="312"/>
      <c r="AE42" s="312">
        <f t="shared" si="6"/>
        <v>52516.971590909</v>
      </c>
      <c r="AF42" s="312">
        <f t="shared" si="7"/>
        <v>0</v>
      </c>
      <c r="AG42" s="342" t="s">
        <v>6625</v>
      </c>
      <c r="AH42" s="293"/>
      <c r="AI42" s="293"/>
      <c r="AJ42" s="293"/>
    </row>
    <row r="43" s="294" customFormat="1" ht="21" customHeight="1" spans="1:36">
      <c r="A43" s="322"/>
      <c r="B43" s="319" t="s">
        <v>6635</v>
      </c>
      <c r="C43" s="312">
        <v>424720</v>
      </c>
      <c r="D43" s="320">
        <v>0.0108901515151515</v>
      </c>
      <c r="E43" s="320"/>
      <c r="F43" s="321">
        <v>52280</v>
      </c>
      <c r="G43" s="277"/>
      <c r="H43" s="312">
        <v>0</v>
      </c>
      <c r="I43" s="312">
        <v>45740</v>
      </c>
      <c r="J43" s="312">
        <v>0</v>
      </c>
      <c r="K43" s="312">
        <v>26130</v>
      </c>
      <c r="L43" s="321">
        <v>19600</v>
      </c>
      <c r="M43" s="277"/>
      <c r="N43" s="312">
        <v>19610</v>
      </c>
      <c r="O43" s="312">
        <v>19600</v>
      </c>
      <c r="P43" s="312">
        <v>26140</v>
      </c>
      <c r="Q43" s="321">
        <f>VLOOKUP(B43,[1]Summary!$B:$U,20,FALSE)</f>
        <v>26130</v>
      </c>
      <c r="R43" s="277"/>
      <c r="S43" s="312">
        <f t="shared" si="4"/>
        <v>0</v>
      </c>
      <c r="T43" s="321">
        <v>52270</v>
      </c>
      <c r="U43" s="277"/>
      <c r="V43" s="312">
        <v>52280</v>
      </c>
      <c r="W43" s="321">
        <v>52270</v>
      </c>
      <c r="X43" s="277"/>
      <c r="Y43" s="332">
        <v>32670</v>
      </c>
      <c r="Z43" s="277"/>
      <c r="AA43" s="333">
        <f t="shared" si="5"/>
        <v>392050</v>
      </c>
      <c r="AB43" s="334"/>
      <c r="AC43" s="312"/>
      <c r="AD43" s="312"/>
      <c r="AE43" s="312">
        <f t="shared" si="6"/>
        <v>52516.971590909</v>
      </c>
      <c r="AF43" s="312">
        <f t="shared" si="7"/>
        <v>0</v>
      </c>
      <c r="AG43" s="342" t="s">
        <v>6625</v>
      </c>
      <c r="AH43" s="293"/>
      <c r="AI43" s="293"/>
      <c r="AJ43" s="293"/>
    </row>
    <row r="44" s="294" customFormat="1" ht="21" customHeight="1" spans="1:36">
      <c r="A44" s="322"/>
      <c r="B44" s="319" t="s">
        <v>6636</v>
      </c>
      <c r="C44" s="312">
        <v>424720</v>
      </c>
      <c r="D44" s="320">
        <v>0.0108901515151515</v>
      </c>
      <c r="E44" s="320"/>
      <c r="F44" s="321">
        <v>52280</v>
      </c>
      <c r="G44" s="277"/>
      <c r="H44" s="312">
        <v>0</v>
      </c>
      <c r="I44" s="312">
        <v>45740</v>
      </c>
      <c r="J44" s="312">
        <v>0</v>
      </c>
      <c r="K44" s="312">
        <v>26130</v>
      </c>
      <c r="L44" s="321">
        <v>19600</v>
      </c>
      <c r="M44" s="277"/>
      <c r="N44" s="312">
        <v>19610</v>
      </c>
      <c r="O44" s="312">
        <v>19600</v>
      </c>
      <c r="P44" s="312">
        <v>26140</v>
      </c>
      <c r="Q44" s="321">
        <f>VLOOKUP(B44,[1]Summary!$B:$U,20,FALSE)</f>
        <v>26130</v>
      </c>
      <c r="R44" s="277"/>
      <c r="S44" s="312">
        <f t="shared" si="4"/>
        <v>0</v>
      </c>
      <c r="T44" s="321">
        <v>52270</v>
      </c>
      <c r="U44" s="277"/>
      <c r="V44" s="312">
        <v>52280</v>
      </c>
      <c r="W44" s="321">
        <v>52270</v>
      </c>
      <c r="X44" s="277"/>
      <c r="Y44" s="332">
        <v>32670</v>
      </c>
      <c r="Z44" s="277"/>
      <c r="AA44" s="333">
        <f t="shared" si="5"/>
        <v>392050</v>
      </c>
      <c r="AB44" s="334"/>
      <c r="AC44" s="312"/>
      <c r="AD44" s="312"/>
      <c r="AE44" s="312">
        <f t="shared" si="6"/>
        <v>52516.971590909</v>
      </c>
      <c r="AF44" s="312">
        <f t="shared" si="7"/>
        <v>0</v>
      </c>
      <c r="AG44" s="342" t="s">
        <v>6625</v>
      </c>
      <c r="AH44" s="293"/>
      <c r="AI44" s="293"/>
      <c r="AJ44" s="293"/>
    </row>
    <row r="45" s="294" customFormat="1" ht="21" customHeight="1" spans="1:36">
      <c r="A45" s="322"/>
      <c r="B45" s="319" t="s">
        <v>6637</v>
      </c>
      <c r="C45" s="312">
        <v>727500</v>
      </c>
      <c r="D45" s="320">
        <v>0.0108901515151515</v>
      </c>
      <c r="E45" s="320">
        <v>0.020131874298541</v>
      </c>
      <c r="F45" s="321">
        <v>88520</v>
      </c>
      <c r="G45" s="277"/>
      <c r="H45" s="312">
        <v>36530</v>
      </c>
      <c r="I45" s="312">
        <v>46040</v>
      </c>
      <c r="J45" s="312">
        <v>36240</v>
      </c>
      <c r="K45" s="312">
        <v>26130</v>
      </c>
      <c r="L45" s="321">
        <v>55840</v>
      </c>
      <c r="M45" s="277"/>
      <c r="N45" s="312">
        <v>19610</v>
      </c>
      <c r="O45" s="312">
        <v>19600</v>
      </c>
      <c r="P45" s="312">
        <v>26140</v>
      </c>
      <c r="Q45" s="321">
        <f>VLOOKUP(B45,[1]Summary!$B:$U,20,FALSE)</f>
        <v>62370</v>
      </c>
      <c r="R45" s="277"/>
      <c r="S45" s="312">
        <f t="shared" si="4"/>
        <v>36237.3737373738</v>
      </c>
      <c r="T45" s="321">
        <v>76430</v>
      </c>
      <c r="U45" s="277"/>
      <c r="V45" s="312">
        <v>52270</v>
      </c>
      <c r="W45" s="321">
        <v>76630</v>
      </c>
      <c r="X45" s="277"/>
      <c r="Y45" s="332">
        <v>68910</v>
      </c>
      <c r="Z45" s="277"/>
      <c r="AA45" s="333">
        <f t="shared" si="5"/>
        <v>658587.373737374</v>
      </c>
      <c r="AB45" s="334"/>
      <c r="AC45" s="312"/>
      <c r="AD45" s="312"/>
      <c r="AE45" s="312">
        <f t="shared" si="6"/>
        <v>52516.971590909</v>
      </c>
      <c r="AF45" s="312">
        <f t="shared" si="7"/>
        <v>24716.6670875421</v>
      </c>
      <c r="AG45" s="342" t="s">
        <v>6592</v>
      </c>
      <c r="AH45" s="293"/>
      <c r="AI45" s="293"/>
      <c r="AJ45" s="293"/>
    </row>
    <row r="46" s="294" customFormat="1" ht="21" customHeight="1" spans="1:36">
      <c r="A46" s="322"/>
      <c r="B46" s="319" t="s">
        <v>6638</v>
      </c>
      <c r="C46" s="312">
        <v>726700</v>
      </c>
      <c r="D46" s="320">
        <v>0.0108901515151515</v>
      </c>
      <c r="E46" s="320">
        <v>0.020131874298541</v>
      </c>
      <c r="F46" s="321">
        <v>88520</v>
      </c>
      <c r="G46" s="277"/>
      <c r="H46" s="312">
        <v>36230</v>
      </c>
      <c r="I46" s="312">
        <v>45740</v>
      </c>
      <c r="J46" s="312">
        <v>36240</v>
      </c>
      <c r="K46" s="312">
        <v>26130</v>
      </c>
      <c r="L46" s="321">
        <v>55840</v>
      </c>
      <c r="M46" s="277"/>
      <c r="N46" s="312">
        <v>19610</v>
      </c>
      <c r="O46" s="312">
        <v>19600</v>
      </c>
      <c r="P46" s="312">
        <v>26140</v>
      </c>
      <c r="Q46" s="321">
        <f>VLOOKUP(B46,[1]Summary!$B:$U,20,FALSE)</f>
        <v>62370</v>
      </c>
      <c r="R46" s="277"/>
      <c r="S46" s="312">
        <f t="shared" si="4"/>
        <v>36237.3737373738</v>
      </c>
      <c r="T46" s="321">
        <v>76430</v>
      </c>
      <c r="U46" s="277"/>
      <c r="V46" s="312">
        <v>52270</v>
      </c>
      <c r="W46" s="321">
        <v>76430</v>
      </c>
      <c r="X46" s="277"/>
      <c r="Y46" s="332">
        <v>68910</v>
      </c>
      <c r="Z46" s="277"/>
      <c r="AA46" s="333">
        <f t="shared" si="5"/>
        <v>657787.373737374</v>
      </c>
      <c r="AB46" s="334"/>
      <c r="AC46" s="312"/>
      <c r="AD46" s="312"/>
      <c r="AE46" s="312">
        <f t="shared" si="6"/>
        <v>52516.971590909</v>
      </c>
      <c r="AF46" s="312">
        <f t="shared" si="7"/>
        <v>24716.6670875421</v>
      </c>
      <c r="AG46" s="342" t="s">
        <v>6592</v>
      </c>
      <c r="AH46" s="293"/>
      <c r="AI46" s="293"/>
      <c r="AJ46" s="293"/>
    </row>
    <row r="47" s="294" customFormat="1" ht="21" customHeight="1" spans="1:36">
      <c r="A47" s="322"/>
      <c r="B47" s="319" t="s">
        <v>6639</v>
      </c>
      <c r="C47" s="312">
        <v>431980</v>
      </c>
      <c r="D47" s="320">
        <v>0.00783880471380471</v>
      </c>
      <c r="E47" s="320">
        <v>0.00841750841750842</v>
      </c>
      <c r="F47" s="321">
        <v>52780</v>
      </c>
      <c r="G47" s="277"/>
      <c r="H47" s="312">
        <v>15150</v>
      </c>
      <c r="I47" s="312">
        <v>32930</v>
      </c>
      <c r="J47" s="312">
        <v>15150</v>
      </c>
      <c r="K47" s="312">
        <v>18810</v>
      </c>
      <c r="L47" s="321">
        <v>29260</v>
      </c>
      <c r="M47" s="277"/>
      <c r="N47" s="312">
        <v>14110</v>
      </c>
      <c r="O47" s="312">
        <v>14110</v>
      </c>
      <c r="P47" s="312">
        <v>18820</v>
      </c>
      <c r="Q47" s="321">
        <f>VLOOKUP(B47,[1]Summary!$B:$U,20,FALSE)</f>
        <v>33960</v>
      </c>
      <c r="R47" s="277"/>
      <c r="S47" s="312">
        <f t="shared" si="4"/>
        <v>15151.5151515152</v>
      </c>
      <c r="T47" s="321">
        <v>47730</v>
      </c>
      <c r="U47" s="277"/>
      <c r="V47" s="312">
        <v>37630</v>
      </c>
      <c r="W47" s="321">
        <v>47720</v>
      </c>
      <c r="X47" s="277"/>
      <c r="Y47" s="332">
        <v>38670</v>
      </c>
      <c r="Z47" s="277"/>
      <c r="AA47" s="333">
        <f t="shared" si="5"/>
        <v>393311.515151515</v>
      </c>
      <c r="AB47" s="334"/>
      <c r="AC47" s="312"/>
      <c r="AD47" s="312"/>
      <c r="AE47" s="312">
        <f t="shared" si="6"/>
        <v>37802.0713383838</v>
      </c>
      <c r="AF47" s="312">
        <f t="shared" si="7"/>
        <v>10334.494949495</v>
      </c>
      <c r="AG47" s="342" t="s">
        <v>6592</v>
      </c>
      <c r="AH47" s="293"/>
      <c r="AI47" s="293"/>
      <c r="AJ47" s="293"/>
    </row>
    <row r="48" s="294" customFormat="1" ht="21" customHeight="1" spans="1:36">
      <c r="A48" s="322"/>
      <c r="B48" s="319" t="s">
        <v>6640</v>
      </c>
      <c r="C48" s="312">
        <v>431980</v>
      </c>
      <c r="D48" s="320">
        <v>0.00783880471380471</v>
      </c>
      <c r="E48" s="320">
        <v>0.00841750841750842</v>
      </c>
      <c r="F48" s="321">
        <v>52780</v>
      </c>
      <c r="G48" s="277"/>
      <c r="H48" s="312">
        <v>15150</v>
      </c>
      <c r="I48" s="312">
        <v>32930</v>
      </c>
      <c r="J48" s="312">
        <v>15150</v>
      </c>
      <c r="K48" s="312">
        <v>18810</v>
      </c>
      <c r="L48" s="321">
        <v>29260</v>
      </c>
      <c r="M48" s="277"/>
      <c r="N48" s="312">
        <v>14110</v>
      </c>
      <c r="O48" s="312">
        <v>14110</v>
      </c>
      <c r="P48" s="312">
        <v>18820</v>
      </c>
      <c r="Q48" s="321">
        <f>VLOOKUP(B48,[1]Summary!$B:$U,20,FALSE)</f>
        <v>33960</v>
      </c>
      <c r="R48" s="277"/>
      <c r="S48" s="312">
        <f t="shared" si="4"/>
        <v>15151.5151515152</v>
      </c>
      <c r="T48" s="321">
        <v>47730</v>
      </c>
      <c r="U48" s="277"/>
      <c r="V48" s="312">
        <v>37630</v>
      </c>
      <c r="W48" s="321">
        <v>47720</v>
      </c>
      <c r="X48" s="277"/>
      <c r="Y48" s="332">
        <v>38670</v>
      </c>
      <c r="Z48" s="277"/>
      <c r="AA48" s="333">
        <f t="shared" si="5"/>
        <v>393311.515151515</v>
      </c>
      <c r="AB48" s="334"/>
      <c r="AC48" s="312"/>
      <c r="AD48" s="312"/>
      <c r="AE48" s="312">
        <f t="shared" si="6"/>
        <v>37802.0713383838</v>
      </c>
      <c r="AF48" s="312">
        <f t="shared" si="7"/>
        <v>10334.494949495</v>
      </c>
      <c r="AG48" s="342" t="s">
        <v>6592</v>
      </c>
      <c r="AH48" s="293"/>
      <c r="AI48" s="293"/>
      <c r="AJ48" s="293"/>
    </row>
    <row r="49" s="294" customFormat="1" ht="21" customHeight="1" spans="1:36">
      <c r="A49" s="322"/>
      <c r="B49" s="319" t="s">
        <v>6641</v>
      </c>
      <c r="C49" s="312">
        <v>432780</v>
      </c>
      <c r="D49" s="320">
        <v>0.00783880471380471</v>
      </c>
      <c r="E49" s="320">
        <v>0.00841750841750842</v>
      </c>
      <c r="F49" s="321">
        <v>52780</v>
      </c>
      <c r="G49" s="277"/>
      <c r="H49" s="312">
        <v>15450</v>
      </c>
      <c r="I49" s="312">
        <v>33230</v>
      </c>
      <c r="J49" s="312">
        <v>15150</v>
      </c>
      <c r="K49" s="312">
        <v>18210</v>
      </c>
      <c r="L49" s="321">
        <v>29260</v>
      </c>
      <c r="M49" s="277"/>
      <c r="N49" s="312">
        <v>14110</v>
      </c>
      <c r="O49" s="312">
        <v>14710</v>
      </c>
      <c r="P49" s="312">
        <v>18820</v>
      </c>
      <c r="Q49" s="321">
        <f>VLOOKUP(B49,[1]Summary!$B:$U,20,FALSE)</f>
        <v>33960</v>
      </c>
      <c r="R49" s="277"/>
      <c r="S49" s="312">
        <f t="shared" si="4"/>
        <v>15151.5151515152</v>
      </c>
      <c r="T49" s="321">
        <v>47730</v>
      </c>
      <c r="U49" s="277"/>
      <c r="V49" s="312">
        <v>37630</v>
      </c>
      <c r="W49" s="321">
        <v>47920</v>
      </c>
      <c r="X49" s="277"/>
      <c r="Y49" s="332">
        <v>38670</v>
      </c>
      <c r="Z49" s="277"/>
      <c r="AA49" s="333">
        <f t="shared" si="5"/>
        <v>394111.515151515</v>
      </c>
      <c r="AB49" s="334"/>
      <c r="AC49" s="312"/>
      <c r="AD49" s="312"/>
      <c r="AE49" s="312">
        <f t="shared" si="6"/>
        <v>37802.0713383838</v>
      </c>
      <c r="AF49" s="312">
        <f t="shared" si="7"/>
        <v>10334.494949495</v>
      </c>
      <c r="AG49" s="342" t="s">
        <v>6592</v>
      </c>
      <c r="AH49" s="293"/>
      <c r="AI49" s="293"/>
      <c r="AJ49" s="293"/>
    </row>
    <row r="50" s="294" customFormat="1" ht="21" customHeight="1" spans="1:36">
      <c r="A50" s="322"/>
      <c r="B50" s="324" t="s">
        <v>6642</v>
      </c>
      <c r="C50" s="312">
        <v>663180</v>
      </c>
      <c r="D50" s="320">
        <v>0.00783880471380471</v>
      </c>
      <c r="E50" s="320">
        <v>0.00841750841750842</v>
      </c>
      <c r="F50" s="321">
        <v>102780</v>
      </c>
      <c r="G50" s="277"/>
      <c r="H50" s="312">
        <v>22450</v>
      </c>
      <c r="I50" s="312">
        <v>39730</v>
      </c>
      <c r="J50" s="312">
        <v>20150</v>
      </c>
      <c r="K50" s="312">
        <v>23810</v>
      </c>
      <c r="L50" s="321">
        <v>34260</v>
      </c>
      <c r="M50" s="277"/>
      <c r="N50" s="312">
        <v>17110</v>
      </c>
      <c r="O50" s="312">
        <v>18110</v>
      </c>
      <c r="P50" s="312">
        <v>18820</v>
      </c>
      <c r="Q50" s="321">
        <f>VLOOKUP(B50,[1]Summary!$B:$U,20,FALSE)</f>
        <v>53960</v>
      </c>
      <c r="R50" s="277"/>
      <c r="S50" s="312">
        <f t="shared" si="4"/>
        <v>15151.5151515152</v>
      </c>
      <c r="T50" s="321">
        <v>87730</v>
      </c>
      <c r="U50" s="277"/>
      <c r="V50" s="312">
        <v>52930</v>
      </c>
      <c r="W50" s="321">
        <v>53220</v>
      </c>
      <c r="X50" s="277"/>
      <c r="Y50" s="332">
        <v>46970</v>
      </c>
      <c r="Z50" s="277"/>
      <c r="AA50" s="333">
        <f t="shared" si="5"/>
        <v>560211.515151515</v>
      </c>
      <c r="AB50" s="334"/>
      <c r="AC50" s="312"/>
      <c r="AD50" s="312"/>
      <c r="AE50" s="312">
        <f t="shared" si="6"/>
        <v>37802.0713383838</v>
      </c>
      <c r="AF50" s="312">
        <f t="shared" si="7"/>
        <v>10334.494949495</v>
      </c>
      <c r="AG50" s="342" t="s">
        <v>6643</v>
      </c>
      <c r="AH50" s="293"/>
      <c r="AI50" s="293"/>
      <c r="AJ50" s="293"/>
    </row>
    <row r="51" s="294" customFormat="1" ht="21" customHeight="1" spans="1:36">
      <c r="A51" s="322"/>
      <c r="B51" s="319" t="s">
        <v>6644</v>
      </c>
      <c r="C51" s="312">
        <v>522730</v>
      </c>
      <c r="D51" s="320">
        <v>0.00968013468013468</v>
      </c>
      <c r="E51" s="320">
        <v>0.00968013468013468</v>
      </c>
      <c r="F51" s="321">
        <v>63890</v>
      </c>
      <c r="G51" s="277"/>
      <c r="H51" s="312">
        <v>17430</v>
      </c>
      <c r="I51" s="312">
        <v>40650</v>
      </c>
      <c r="J51" s="312">
        <v>17430</v>
      </c>
      <c r="K51" s="312">
        <v>23230</v>
      </c>
      <c r="L51" s="321">
        <v>34850</v>
      </c>
      <c r="M51" s="277"/>
      <c r="N51" s="312">
        <v>17420</v>
      </c>
      <c r="O51" s="312">
        <v>17430</v>
      </c>
      <c r="P51" s="312">
        <v>23230</v>
      </c>
      <c r="Q51" s="321">
        <f>VLOOKUP(B51,[1]Summary!$B:$U,20,FALSE)</f>
        <v>40660</v>
      </c>
      <c r="R51" s="277"/>
      <c r="S51" s="312">
        <f t="shared" si="4"/>
        <v>17424.2424242424</v>
      </c>
      <c r="T51" s="321">
        <v>58080</v>
      </c>
      <c r="U51" s="277"/>
      <c r="V51" s="312">
        <v>46470</v>
      </c>
      <c r="W51" s="321">
        <v>58080</v>
      </c>
      <c r="X51" s="277"/>
      <c r="Y51" s="332">
        <v>46460</v>
      </c>
      <c r="Z51" s="277"/>
      <c r="AA51" s="333">
        <f t="shared" si="5"/>
        <v>476274.242424242</v>
      </c>
      <c r="AB51" s="334"/>
      <c r="AC51" s="312"/>
      <c r="AD51" s="312"/>
      <c r="AE51" s="312">
        <f t="shared" si="6"/>
        <v>46681.7525252525</v>
      </c>
      <c r="AF51" s="312">
        <f t="shared" si="7"/>
        <v>11884.6691919192</v>
      </c>
      <c r="AG51" s="342" t="s">
        <v>6592</v>
      </c>
      <c r="AH51" s="293"/>
      <c r="AI51" s="293"/>
      <c r="AJ51" s="293"/>
    </row>
    <row r="52" s="294" customFormat="1" ht="21" customHeight="1" spans="1:36">
      <c r="A52" s="322"/>
      <c r="B52" s="323" t="s">
        <v>6645</v>
      </c>
      <c r="C52" s="312">
        <v>525130</v>
      </c>
      <c r="D52" s="320">
        <v>0.00968013468013468</v>
      </c>
      <c r="E52" s="320">
        <v>0.00968013468013468</v>
      </c>
      <c r="F52" s="321">
        <v>65390</v>
      </c>
      <c r="G52" s="277"/>
      <c r="H52" s="312">
        <v>17430</v>
      </c>
      <c r="I52" s="312">
        <v>40650</v>
      </c>
      <c r="J52" s="312">
        <v>17430</v>
      </c>
      <c r="K52" s="312">
        <v>23230</v>
      </c>
      <c r="L52" s="321">
        <v>34850</v>
      </c>
      <c r="M52" s="277"/>
      <c r="N52" s="312">
        <v>17420</v>
      </c>
      <c r="O52" s="312">
        <v>17430</v>
      </c>
      <c r="P52" s="312">
        <v>23230</v>
      </c>
      <c r="Q52" s="321">
        <f>VLOOKUP(B52,[1]Summary!$B:$U,20,FALSE)</f>
        <v>40660</v>
      </c>
      <c r="R52" s="277"/>
      <c r="S52" s="312">
        <f t="shared" si="4"/>
        <v>17424.2424242424</v>
      </c>
      <c r="T52" s="321">
        <v>58080</v>
      </c>
      <c r="U52" s="277"/>
      <c r="V52" s="312">
        <v>46770</v>
      </c>
      <c r="W52" s="321">
        <v>58380</v>
      </c>
      <c r="X52" s="277"/>
      <c r="Y52" s="332">
        <v>46760</v>
      </c>
      <c r="Z52" s="277"/>
      <c r="AA52" s="333">
        <f t="shared" si="5"/>
        <v>478374.242424242</v>
      </c>
      <c r="AB52" s="334"/>
      <c r="AC52" s="312"/>
      <c r="AD52" s="312"/>
      <c r="AE52" s="312">
        <f t="shared" si="6"/>
        <v>46681.7525252525</v>
      </c>
      <c r="AF52" s="312">
        <f t="shared" si="7"/>
        <v>11884.6691919192</v>
      </c>
      <c r="AG52" s="342" t="s">
        <v>6615</v>
      </c>
      <c r="AH52" s="293"/>
      <c r="AI52" s="293"/>
      <c r="AJ52" s="293"/>
    </row>
    <row r="53" s="294" customFormat="1" ht="21" customHeight="1" spans="1:36">
      <c r="A53" s="322"/>
      <c r="B53" s="323" t="s">
        <v>6646</v>
      </c>
      <c r="C53" s="312">
        <v>525130</v>
      </c>
      <c r="D53" s="320">
        <v>0.00968013468013468</v>
      </c>
      <c r="E53" s="320">
        <v>0.00968013468013468</v>
      </c>
      <c r="F53" s="321">
        <v>65390</v>
      </c>
      <c r="G53" s="277"/>
      <c r="H53" s="312">
        <v>17430</v>
      </c>
      <c r="I53" s="312">
        <v>40650</v>
      </c>
      <c r="J53" s="312">
        <v>17430</v>
      </c>
      <c r="K53" s="312">
        <v>23230</v>
      </c>
      <c r="L53" s="321">
        <v>34850</v>
      </c>
      <c r="M53" s="277"/>
      <c r="N53" s="312">
        <v>17420</v>
      </c>
      <c r="O53" s="312">
        <v>17430</v>
      </c>
      <c r="P53" s="312">
        <v>23230</v>
      </c>
      <c r="Q53" s="321">
        <f>VLOOKUP(B53,[1]Summary!$B:$U,20,FALSE)</f>
        <v>40660</v>
      </c>
      <c r="R53" s="277"/>
      <c r="S53" s="312">
        <f t="shared" si="4"/>
        <v>17424.2424242424</v>
      </c>
      <c r="T53" s="321">
        <v>58080</v>
      </c>
      <c r="U53" s="277"/>
      <c r="V53" s="312">
        <v>46770</v>
      </c>
      <c r="W53" s="321">
        <v>58380</v>
      </c>
      <c r="X53" s="277"/>
      <c r="Y53" s="332">
        <v>46760</v>
      </c>
      <c r="Z53" s="277"/>
      <c r="AA53" s="333">
        <f t="shared" si="5"/>
        <v>478374.242424242</v>
      </c>
      <c r="AB53" s="334"/>
      <c r="AC53" s="312"/>
      <c r="AD53" s="312"/>
      <c r="AE53" s="312">
        <f t="shared" si="6"/>
        <v>46681.7525252525</v>
      </c>
      <c r="AF53" s="312">
        <f t="shared" si="7"/>
        <v>11884.6691919192</v>
      </c>
      <c r="AG53" s="342" t="s">
        <v>6615</v>
      </c>
      <c r="AH53" s="293"/>
      <c r="AI53" s="293"/>
      <c r="AJ53" s="293"/>
    </row>
    <row r="54" s="294" customFormat="1" ht="21" customHeight="1" spans="1:36">
      <c r="A54" s="322"/>
      <c r="B54" s="319" t="s">
        <v>6647</v>
      </c>
      <c r="C54" s="312">
        <v>431980</v>
      </c>
      <c r="D54" s="320">
        <v>0.00783880471380471</v>
      </c>
      <c r="E54" s="320">
        <v>0.00841750841750842</v>
      </c>
      <c r="F54" s="321">
        <v>52780</v>
      </c>
      <c r="G54" s="277"/>
      <c r="H54" s="312">
        <v>15150</v>
      </c>
      <c r="I54" s="312">
        <v>32930</v>
      </c>
      <c r="J54" s="312">
        <v>15150</v>
      </c>
      <c r="K54" s="312">
        <v>18810</v>
      </c>
      <c r="L54" s="321">
        <v>29260</v>
      </c>
      <c r="M54" s="277"/>
      <c r="N54" s="312">
        <v>14110</v>
      </c>
      <c r="O54" s="312">
        <v>14110</v>
      </c>
      <c r="P54" s="312">
        <v>18820</v>
      </c>
      <c r="Q54" s="321">
        <f>VLOOKUP(B54,[1]Summary!$B:$U,20,FALSE)</f>
        <v>33960</v>
      </c>
      <c r="R54" s="277"/>
      <c r="S54" s="312">
        <f t="shared" si="4"/>
        <v>15151.5151515152</v>
      </c>
      <c r="T54" s="321">
        <v>47730</v>
      </c>
      <c r="U54" s="277"/>
      <c r="V54" s="312">
        <v>37630</v>
      </c>
      <c r="W54" s="321">
        <v>47720</v>
      </c>
      <c r="X54" s="277"/>
      <c r="Y54" s="332">
        <v>38670</v>
      </c>
      <c r="Z54" s="277"/>
      <c r="AA54" s="333">
        <f t="shared" si="5"/>
        <v>393311.515151515</v>
      </c>
      <c r="AB54" s="334"/>
      <c r="AC54" s="312"/>
      <c r="AD54" s="312"/>
      <c r="AE54" s="312">
        <f t="shared" si="6"/>
        <v>37802.0713383838</v>
      </c>
      <c r="AF54" s="312">
        <f t="shared" si="7"/>
        <v>10334.494949495</v>
      </c>
      <c r="AG54" s="342" t="s">
        <v>6592</v>
      </c>
      <c r="AH54" s="293"/>
      <c r="AI54" s="293"/>
      <c r="AJ54" s="293"/>
    </row>
    <row r="55" s="294" customFormat="1" ht="21" customHeight="1" spans="1:36">
      <c r="A55" s="322"/>
      <c r="B55" s="319" t="s">
        <v>6648</v>
      </c>
      <c r="C55" s="312">
        <v>431980</v>
      </c>
      <c r="D55" s="320">
        <v>0.00783880471380471</v>
      </c>
      <c r="E55" s="320">
        <v>0.00841750841750842</v>
      </c>
      <c r="F55" s="321">
        <v>52780</v>
      </c>
      <c r="G55" s="277"/>
      <c r="H55" s="312">
        <v>15150</v>
      </c>
      <c r="I55" s="312">
        <v>32930</v>
      </c>
      <c r="J55" s="312">
        <v>15150</v>
      </c>
      <c r="K55" s="312">
        <v>18810</v>
      </c>
      <c r="L55" s="321">
        <v>29260</v>
      </c>
      <c r="M55" s="277"/>
      <c r="N55" s="312">
        <v>14110</v>
      </c>
      <c r="O55" s="312">
        <v>14110</v>
      </c>
      <c r="P55" s="312">
        <v>18820</v>
      </c>
      <c r="Q55" s="321">
        <f>VLOOKUP(B55,[1]Summary!$B:$U,20,FALSE)</f>
        <v>33960</v>
      </c>
      <c r="R55" s="277"/>
      <c r="S55" s="312">
        <f t="shared" si="4"/>
        <v>15151.5151515152</v>
      </c>
      <c r="T55" s="321">
        <v>47730</v>
      </c>
      <c r="U55" s="277"/>
      <c r="V55" s="312">
        <v>37630</v>
      </c>
      <c r="W55" s="321">
        <v>47720</v>
      </c>
      <c r="X55" s="277"/>
      <c r="Y55" s="332">
        <v>38670</v>
      </c>
      <c r="Z55" s="277"/>
      <c r="AA55" s="333">
        <f t="shared" si="5"/>
        <v>393311.515151515</v>
      </c>
      <c r="AB55" s="334"/>
      <c r="AC55" s="312"/>
      <c r="AD55" s="312"/>
      <c r="AE55" s="312">
        <f t="shared" si="6"/>
        <v>37802.0713383838</v>
      </c>
      <c r="AF55" s="312">
        <f t="shared" si="7"/>
        <v>10334.494949495</v>
      </c>
      <c r="AG55" s="342" t="s">
        <v>6592</v>
      </c>
      <c r="AH55" s="293"/>
      <c r="AI55" s="293"/>
      <c r="AJ55" s="293"/>
    </row>
    <row r="56" s="294" customFormat="1" ht="21" customHeight="1" spans="1:36">
      <c r="A56" s="322"/>
      <c r="B56" s="319" t="s">
        <v>6649</v>
      </c>
      <c r="C56" s="312">
        <v>431980</v>
      </c>
      <c r="D56" s="320">
        <v>0.00783880471380471</v>
      </c>
      <c r="E56" s="320">
        <v>0.00841750841750842</v>
      </c>
      <c r="F56" s="321">
        <v>52780</v>
      </c>
      <c r="G56" s="277"/>
      <c r="H56" s="312">
        <v>15150</v>
      </c>
      <c r="I56" s="312">
        <v>32930</v>
      </c>
      <c r="J56" s="312">
        <v>15150</v>
      </c>
      <c r="K56" s="312">
        <v>18810</v>
      </c>
      <c r="L56" s="321">
        <v>29260</v>
      </c>
      <c r="M56" s="277"/>
      <c r="N56" s="312">
        <v>14110</v>
      </c>
      <c r="O56" s="312">
        <v>14110</v>
      </c>
      <c r="P56" s="312">
        <v>18820</v>
      </c>
      <c r="Q56" s="321">
        <f>VLOOKUP(B56,[1]Summary!$B:$U,20,FALSE)</f>
        <v>33960</v>
      </c>
      <c r="R56" s="277"/>
      <c r="S56" s="312">
        <f t="shared" si="4"/>
        <v>15151.5151515152</v>
      </c>
      <c r="T56" s="321">
        <v>47730</v>
      </c>
      <c r="U56" s="277"/>
      <c r="V56" s="312">
        <v>37630</v>
      </c>
      <c r="W56" s="321">
        <v>47720</v>
      </c>
      <c r="X56" s="277"/>
      <c r="Y56" s="332">
        <v>38670</v>
      </c>
      <c r="Z56" s="277"/>
      <c r="AA56" s="333">
        <f t="shared" si="5"/>
        <v>393311.515151515</v>
      </c>
      <c r="AB56" s="334"/>
      <c r="AC56" s="312"/>
      <c r="AD56" s="312"/>
      <c r="AE56" s="312">
        <f t="shared" si="6"/>
        <v>37802.0713383838</v>
      </c>
      <c r="AF56" s="312">
        <f t="shared" si="7"/>
        <v>10334.494949495</v>
      </c>
      <c r="AG56" s="342" t="s">
        <v>6592</v>
      </c>
      <c r="AH56" s="293"/>
      <c r="AI56" s="293"/>
      <c r="AJ56" s="293"/>
    </row>
    <row r="57" s="294" customFormat="1" ht="21" customHeight="1" spans="1:36">
      <c r="A57" s="322"/>
      <c r="B57" s="324" t="s">
        <v>6650</v>
      </c>
      <c r="C57" s="312">
        <v>659980</v>
      </c>
      <c r="D57" s="320">
        <v>0.00783880471380471</v>
      </c>
      <c r="E57" s="320">
        <v>0.00841750841750842</v>
      </c>
      <c r="F57" s="321">
        <v>102780</v>
      </c>
      <c r="G57" s="277"/>
      <c r="H57" s="312">
        <v>22150</v>
      </c>
      <c r="I57" s="312">
        <v>37930</v>
      </c>
      <c r="J57" s="312">
        <v>20150</v>
      </c>
      <c r="K57" s="312">
        <v>23810</v>
      </c>
      <c r="L57" s="321">
        <v>34260</v>
      </c>
      <c r="M57" s="277"/>
      <c r="N57" s="312">
        <v>17110</v>
      </c>
      <c r="O57" s="312">
        <v>18110</v>
      </c>
      <c r="P57" s="312">
        <v>18820</v>
      </c>
      <c r="Q57" s="321">
        <f>VLOOKUP(B57,[1]Summary!$B:$U,20,FALSE)</f>
        <v>53960</v>
      </c>
      <c r="R57" s="277"/>
      <c r="S57" s="312">
        <f t="shared" si="4"/>
        <v>15151.5151515152</v>
      </c>
      <c r="T57" s="321">
        <v>87730</v>
      </c>
      <c r="U57" s="277"/>
      <c r="V57" s="312">
        <v>52630</v>
      </c>
      <c r="W57" s="321">
        <v>52720</v>
      </c>
      <c r="X57" s="277"/>
      <c r="Y57" s="332">
        <v>46670</v>
      </c>
      <c r="Z57" s="277"/>
      <c r="AA57" s="333">
        <f t="shared" si="5"/>
        <v>557311.515151515</v>
      </c>
      <c r="AB57" s="334"/>
      <c r="AC57" s="312"/>
      <c r="AD57" s="312"/>
      <c r="AE57" s="312">
        <f t="shared" si="6"/>
        <v>37802.0713383838</v>
      </c>
      <c r="AF57" s="312">
        <f t="shared" si="7"/>
        <v>10334.494949495</v>
      </c>
      <c r="AG57" s="342" t="s">
        <v>6643</v>
      </c>
      <c r="AH57" s="293"/>
      <c r="AI57" s="293"/>
      <c r="AJ57" s="293"/>
    </row>
    <row r="58" s="294" customFormat="1" ht="21" customHeight="1" spans="1:36">
      <c r="A58" s="322"/>
      <c r="B58" s="319" t="s">
        <v>6651</v>
      </c>
      <c r="C58" s="312">
        <v>314610</v>
      </c>
      <c r="D58" s="320">
        <v>0.00561167227833894</v>
      </c>
      <c r="E58" s="320">
        <v>0.00638327721661055</v>
      </c>
      <c r="F58" s="321">
        <v>38430</v>
      </c>
      <c r="G58" s="277"/>
      <c r="H58" s="312">
        <v>11490</v>
      </c>
      <c r="I58" s="312">
        <v>23570</v>
      </c>
      <c r="J58" s="312">
        <v>11490</v>
      </c>
      <c r="K58" s="312">
        <v>13470</v>
      </c>
      <c r="L58" s="321">
        <v>21590</v>
      </c>
      <c r="M58" s="277"/>
      <c r="N58" s="312">
        <v>10100</v>
      </c>
      <c r="O58" s="312">
        <v>10100</v>
      </c>
      <c r="P58" s="312">
        <v>13470</v>
      </c>
      <c r="Q58" s="321">
        <f>VLOOKUP(B58,[1]Summary!$B:$U,20,FALSE)</f>
        <v>24960</v>
      </c>
      <c r="R58" s="277"/>
      <c r="S58" s="312">
        <f t="shared" si="4"/>
        <v>11489.898989899</v>
      </c>
      <c r="T58" s="321">
        <v>34590</v>
      </c>
      <c r="U58" s="277"/>
      <c r="V58" s="312">
        <v>26940</v>
      </c>
      <c r="W58" s="321">
        <v>34590</v>
      </c>
      <c r="X58" s="277"/>
      <c r="Y58" s="332">
        <v>28330</v>
      </c>
      <c r="Z58" s="277"/>
      <c r="AA58" s="333">
        <f t="shared" si="5"/>
        <v>286279.898989899</v>
      </c>
      <c r="AB58" s="334"/>
      <c r="AC58" s="312"/>
      <c r="AD58" s="312"/>
      <c r="AE58" s="312">
        <f t="shared" si="6"/>
        <v>27061.8855218855</v>
      </c>
      <c r="AF58" s="312">
        <f t="shared" si="7"/>
        <v>7836.992003367</v>
      </c>
      <c r="AG58" s="342" t="s">
        <v>6592</v>
      </c>
      <c r="AH58" s="293"/>
      <c r="AI58" s="293"/>
      <c r="AJ58" s="293"/>
    </row>
    <row r="59" s="294" customFormat="1" ht="21" customHeight="1" spans="1:36">
      <c r="A59" s="322"/>
      <c r="B59" s="319" t="s">
        <v>6652</v>
      </c>
      <c r="C59" s="312">
        <v>314610</v>
      </c>
      <c r="D59" s="320">
        <v>0.00561167227833894</v>
      </c>
      <c r="E59" s="320">
        <v>0.00638327721661055</v>
      </c>
      <c r="F59" s="321">
        <v>38430</v>
      </c>
      <c r="G59" s="277"/>
      <c r="H59" s="312">
        <v>11490</v>
      </c>
      <c r="I59" s="312">
        <v>23570</v>
      </c>
      <c r="J59" s="312">
        <v>11490</v>
      </c>
      <c r="K59" s="312">
        <v>13470</v>
      </c>
      <c r="L59" s="321">
        <v>21590</v>
      </c>
      <c r="M59" s="277"/>
      <c r="N59" s="312">
        <v>10100</v>
      </c>
      <c r="O59" s="312">
        <v>10100</v>
      </c>
      <c r="P59" s="312">
        <v>13470</v>
      </c>
      <c r="Q59" s="321">
        <f>VLOOKUP(B59,[1]Summary!$B:$U,20,FALSE)</f>
        <v>24960</v>
      </c>
      <c r="R59" s="277"/>
      <c r="S59" s="312">
        <f t="shared" si="4"/>
        <v>11489.898989899</v>
      </c>
      <c r="T59" s="321">
        <v>34590</v>
      </c>
      <c r="U59" s="277"/>
      <c r="V59" s="312">
        <v>26940</v>
      </c>
      <c r="W59" s="321">
        <v>34590</v>
      </c>
      <c r="X59" s="277"/>
      <c r="Y59" s="332">
        <v>28330</v>
      </c>
      <c r="Z59" s="277"/>
      <c r="AA59" s="333">
        <f t="shared" si="5"/>
        <v>286279.898989899</v>
      </c>
      <c r="AB59" s="334"/>
      <c r="AC59" s="312"/>
      <c r="AD59" s="312"/>
      <c r="AE59" s="312">
        <f t="shared" si="6"/>
        <v>27061.8855218855</v>
      </c>
      <c r="AF59" s="312">
        <f t="shared" si="7"/>
        <v>7836.992003367</v>
      </c>
      <c r="AG59" s="342" t="s">
        <v>6592</v>
      </c>
      <c r="AH59" s="293"/>
      <c r="AI59" s="293"/>
      <c r="AJ59" s="293"/>
    </row>
    <row r="60" s="294" customFormat="1" ht="21" customHeight="1" spans="1:36">
      <c r="A60" s="322"/>
      <c r="B60" s="319" t="s">
        <v>6653</v>
      </c>
      <c r="C60" s="312">
        <v>314610</v>
      </c>
      <c r="D60" s="320">
        <v>0.00561167227833894</v>
      </c>
      <c r="E60" s="320">
        <v>0.00638327721661055</v>
      </c>
      <c r="F60" s="321">
        <v>38430</v>
      </c>
      <c r="G60" s="277"/>
      <c r="H60" s="312">
        <v>11490</v>
      </c>
      <c r="I60" s="312">
        <v>23570</v>
      </c>
      <c r="J60" s="312">
        <v>11490</v>
      </c>
      <c r="K60" s="312">
        <v>13470</v>
      </c>
      <c r="L60" s="321">
        <v>21590</v>
      </c>
      <c r="M60" s="277"/>
      <c r="N60" s="312">
        <v>10100</v>
      </c>
      <c r="O60" s="312">
        <v>10100</v>
      </c>
      <c r="P60" s="312">
        <v>13470</v>
      </c>
      <c r="Q60" s="321">
        <f>VLOOKUP(B60,[1]Summary!$B:$U,20,FALSE)</f>
        <v>24960</v>
      </c>
      <c r="R60" s="277"/>
      <c r="S60" s="312">
        <f t="shared" si="4"/>
        <v>11489.898989899</v>
      </c>
      <c r="T60" s="321">
        <v>34590</v>
      </c>
      <c r="U60" s="277"/>
      <c r="V60" s="312">
        <v>26940</v>
      </c>
      <c r="W60" s="321">
        <v>34590</v>
      </c>
      <c r="X60" s="277"/>
      <c r="Y60" s="332">
        <v>28330</v>
      </c>
      <c r="Z60" s="277"/>
      <c r="AA60" s="333">
        <f t="shared" si="5"/>
        <v>286279.898989899</v>
      </c>
      <c r="AB60" s="334"/>
      <c r="AC60" s="312"/>
      <c r="AD60" s="312"/>
      <c r="AE60" s="312">
        <f t="shared" si="6"/>
        <v>27061.8855218855</v>
      </c>
      <c r="AF60" s="312">
        <f t="shared" si="7"/>
        <v>7836.992003367</v>
      </c>
      <c r="AG60" s="342" t="s">
        <v>6592</v>
      </c>
      <c r="AH60" s="293"/>
      <c r="AI60" s="293"/>
      <c r="AJ60" s="293"/>
    </row>
    <row r="61" s="294" customFormat="1" ht="21" customHeight="1" spans="1:36">
      <c r="A61" s="322"/>
      <c r="B61" s="319" t="s">
        <v>6654</v>
      </c>
      <c r="C61" s="312">
        <v>313640</v>
      </c>
      <c r="D61" s="320">
        <v>0.00580808080808081</v>
      </c>
      <c r="E61" s="320">
        <v>0.00580808080808081</v>
      </c>
      <c r="F61" s="321">
        <v>38340</v>
      </c>
      <c r="G61" s="277"/>
      <c r="H61" s="312">
        <v>10450</v>
      </c>
      <c r="I61" s="312">
        <v>24400</v>
      </c>
      <c r="J61" s="312">
        <v>10450</v>
      </c>
      <c r="K61" s="312">
        <v>13940</v>
      </c>
      <c r="L61" s="321">
        <v>20910</v>
      </c>
      <c r="M61" s="277"/>
      <c r="N61" s="312">
        <v>10450</v>
      </c>
      <c r="O61" s="312">
        <v>10460</v>
      </c>
      <c r="P61" s="312">
        <v>13940</v>
      </c>
      <c r="Q61" s="321">
        <f>VLOOKUP(B61,[1]Summary!$B:$U,20,FALSE)</f>
        <v>24390</v>
      </c>
      <c r="R61" s="277"/>
      <c r="S61" s="312">
        <f t="shared" si="4"/>
        <v>10454.5454545455</v>
      </c>
      <c r="T61" s="321">
        <v>34850</v>
      </c>
      <c r="U61" s="277"/>
      <c r="V61" s="312">
        <v>27870</v>
      </c>
      <c r="W61" s="321">
        <v>34850</v>
      </c>
      <c r="X61" s="277"/>
      <c r="Y61" s="332">
        <v>27880</v>
      </c>
      <c r="Z61" s="277"/>
      <c r="AA61" s="333">
        <f t="shared" si="5"/>
        <v>285754.545454545</v>
      </c>
      <c r="AB61" s="334"/>
      <c r="AC61" s="312"/>
      <c r="AD61" s="312"/>
      <c r="AE61" s="312">
        <f t="shared" si="6"/>
        <v>28009.0515151515</v>
      </c>
      <c r="AF61" s="312">
        <f t="shared" si="7"/>
        <v>7130.80151515152</v>
      </c>
      <c r="AG61" s="342" t="s">
        <v>6592</v>
      </c>
      <c r="AH61" s="293"/>
      <c r="AI61" s="293"/>
      <c r="AJ61" s="293"/>
    </row>
    <row r="62" s="294" customFormat="1" ht="21" customHeight="1" spans="1:36">
      <c r="A62" s="322"/>
      <c r="B62" s="319" t="s">
        <v>6655</v>
      </c>
      <c r="C62" s="312">
        <v>313640</v>
      </c>
      <c r="D62" s="320">
        <v>0.00580808080808081</v>
      </c>
      <c r="E62" s="320">
        <v>0.00580808080808081</v>
      </c>
      <c r="F62" s="321">
        <v>38340</v>
      </c>
      <c r="G62" s="277"/>
      <c r="H62" s="312">
        <v>10450</v>
      </c>
      <c r="I62" s="312">
        <v>24400</v>
      </c>
      <c r="J62" s="312">
        <v>10450</v>
      </c>
      <c r="K62" s="312">
        <v>13940</v>
      </c>
      <c r="L62" s="321">
        <v>20910</v>
      </c>
      <c r="M62" s="277"/>
      <c r="N62" s="312">
        <v>10450</v>
      </c>
      <c r="O62" s="312">
        <v>10460</v>
      </c>
      <c r="P62" s="312">
        <v>13940</v>
      </c>
      <c r="Q62" s="321">
        <f>VLOOKUP(B62,[1]Summary!$B:$U,20,FALSE)</f>
        <v>24390</v>
      </c>
      <c r="R62" s="277"/>
      <c r="S62" s="312">
        <f t="shared" si="4"/>
        <v>10454.5454545455</v>
      </c>
      <c r="T62" s="321">
        <v>34850</v>
      </c>
      <c r="U62" s="277"/>
      <c r="V62" s="312">
        <v>27870</v>
      </c>
      <c r="W62" s="321">
        <v>34850</v>
      </c>
      <c r="X62" s="277"/>
      <c r="Y62" s="332">
        <v>27880</v>
      </c>
      <c r="Z62" s="277"/>
      <c r="AA62" s="333">
        <f t="shared" si="5"/>
        <v>285754.545454545</v>
      </c>
      <c r="AB62" s="334"/>
      <c r="AC62" s="312"/>
      <c r="AD62" s="312"/>
      <c r="AE62" s="312">
        <f t="shared" si="6"/>
        <v>28009.0515151515</v>
      </c>
      <c r="AF62" s="312">
        <f t="shared" si="7"/>
        <v>7130.80151515152</v>
      </c>
      <c r="AG62" s="342" t="s">
        <v>6592</v>
      </c>
      <c r="AH62" s="293"/>
      <c r="AI62" s="293"/>
      <c r="AJ62" s="293"/>
    </row>
    <row r="63" s="294" customFormat="1" ht="21" customHeight="1" spans="1:36">
      <c r="A63" s="322"/>
      <c r="B63" s="323" t="s">
        <v>6656</v>
      </c>
      <c r="C63" s="312">
        <v>316840</v>
      </c>
      <c r="D63" s="320">
        <v>0.00580808080808081</v>
      </c>
      <c r="E63" s="320">
        <v>0.00580808080808081</v>
      </c>
      <c r="F63" s="321">
        <v>39840</v>
      </c>
      <c r="G63" s="277"/>
      <c r="H63" s="312">
        <v>10750</v>
      </c>
      <c r="I63" s="312">
        <v>24700</v>
      </c>
      <c r="J63" s="312">
        <v>10450</v>
      </c>
      <c r="K63" s="312">
        <v>13940</v>
      </c>
      <c r="L63" s="321">
        <v>20910</v>
      </c>
      <c r="M63" s="277"/>
      <c r="N63" s="312">
        <v>10450</v>
      </c>
      <c r="O63" s="312">
        <v>10460</v>
      </c>
      <c r="P63" s="312">
        <v>13940</v>
      </c>
      <c r="Q63" s="321">
        <f>VLOOKUP(B63,[1]Summary!$B:$U,20,FALSE)</f>
        <v>24390</v>
      </c>
      <c r="R63" s="277"/>
      <c r="S63" s="312">
        <f t="shared" si="4"/>
        <v>10454.5454545455</v>
      </c>
      <c r="T63" s="321">
        <v>34850</v>
      </c>
      <c r="U63" s="277"/>
      <c r="V63" s="312">
        <v>28170</v>
      </c>
      <c r="W63" s="321">
        <v>35350</v>
      </c>
      <c r="X63" s="277"/>
      <c r="Y63" s="332">
        <v>28180</v>
      </c>
      <c r="Z63" s="277"/>
      <c r="AA63" s="333">
        <f t="shared" si="5"/>
        <v>288654.545454545</v>
      </c>
      <c r="AB63" s="334"/>
      <c r="AC63" s="312"/>
      <c r="AD63" s="312"/>
      <c r="AE63" s="312">
        <f t="shared" si="6"/>
        <v>28009.0515151515</v>
      </c>
      <c r="AF63" s="312">
        <f t="shared" si="7"/>
        <v>7130.80151515152</v>
      </c>
      <c r="AG63" s="342" t="s">
        <v>6615</v>
      </c>
      <c r="AH63" s="293"/>
      <c r="AI63" s="293"/>
      <c r="AJ63" s="293"/>
    </row>
    <row r="64" s="294" customFormat="1" ht="21" customHeight="1" spans="1:36">
      <c r="A64" s="322"/>
      <c r="B64" s="319" t="s">
        <v>6657</v>
      </c>
      <c r="C64" s="312">
        <v>313640</v>
      </c>
      <c r="D64" s="320">
        <v>0.00580808080808081</v>
      </c>
      <c r="E64" s="320">
        <v>0.00580808080808081</v>
      </c>
      <c r="F64" s="321">
        <v>38340</v>
      </c>
      <c r="G64" s="277"/>
      <c r="H64" s="312">
        <v>10450</v>
      </c>
      <c r="I64" s="312">
        <v>24400</v>
      </c>
      <c r="J64" s="312">
        <v>10450</v>
      </c>
      <c r="K64" s="312">
        <v>13940</v>
      </c>
      <c r="L64" s="321">
        <v>20910</v>
      </c>
      <c r="M64" s="277"/>
      <c r="N64" s="312">
        <v>10450</v>
      </c>
      <c r="O64" s="312">
        <v>10460</v>
      </c>
      <c r="P64" s="312">
        <v>13940</v>
      </c>
      <c r="Q64" s="321">
        <f>VLOOKUP(B64,[1]Summary!$B:$U,20,FALSE)</f>
        <v>24390</v>
      </c>
      <c r="R64" s="277"/>
      <c r="S64" s="312">
        <f t="shared" si="4"/>
        <v>10454.5454545455</v>
      </c>
      <c r="T64" s="321">
        <v>34850</v>
      </c>
      <c r="U64" s="277"/>
      <c r="V64" s="312">
        <v>27870</v>
      </c>
      <c r="W64" s="321">
        <v>34850</v>
      </c>
      <c r="X64" s="277"/>
      <c r="Y64" s="332">
        <v>27880</v>
      </c>
      <c r="Z64" s="277"/>
      <c r="AA64" s="333">
        <f t="shared" si="5"/>
        <v>285754.545454545</v>
      </c>
      <c r="AB64" s="334"/>
      <c r="AC64" s="312"/>
      <c r="AD64" s="312"/>
      <c r="AE64" s="312">
        <f t="shared" si="6"/>
        <v>28009.0515151515</v>
      </c>
      <c r="AF64" s="312">
        <f t="shared" si="7"/>
        <v>7130.80151515152</v>
      </c>
      <c r="AG64" s="342" t="s">
        <v>6592</v>
      </c>
      <c r="AH64" s="293"/>
      <c r="AI64" s="293"/>
      <c r="AJ64" s="293"/>
    </row>
    <row r="65" s="294" customFormat="1" ht="21" customHeight="1" spans="1:36">
      <c r="A65" s="322"/>
      <c r="B65" s="319" t="s">
        <v>6658</v>
      </c>
      <c r="C65" s="312">
        <v>313640</v>
      </c>
      <c r="D65" s="320">
        <v>0.00580808080808081</v>
      </c>
      <c r="E65" s="320">
        <v>0.00580808080808081</v>
      </c>
      <c r="F65" s="321">
        <v>38340</v>
      </c>
      <c r="G65" s="277"/>
      <c r="H65" s="312">
        <v>10450</v>
      </c>
      <c r="I65" s="312">
        <v>24400</v>
      </c>
      <c r="J65" s="312">
        <v>10450</v>
      </c>
      <c r="K65" s="312">
        <v>13940</v>
      </c>
      <c r="L65" s="321">
        <v>20910</v>
      </c>
      <c r="M65" s="277"/>
      <c r="N65" s="312">
        <v>10450</v>
      </c>
      <c r="O65" s="312">
        <v>10460</v>
      </c>
      <c r="P65" s="312">
        <v>13940</v>
      </c>
      <c r="Q65" s="321">
        <f>VLOOKUP(B65,[1]Summary!$B:$U,20,FALSE)</f>
        <v>24390</v>
      </c>
      <c r="R65" s="277"/>
      <c r="S65" s="312">
        <f t="shared" si="4"/>
        <v>10454.5454545455</v>
      </c>
      <c r="T65" s="321">
        <v>34850</v>
      </c>
      <c r="U65" s="277"/>
      <c r="V65" s="312">
        <v>27870</v>
      </c>
      <c r="W65" s="321">
        <v>34850</v>
      </c>
      <c r="X65" s="277"/>
      <c r="Y65" s="332">
        <v>27880</v>
      </c>
      <c r="Z65" s="277"/>
      <c r="AA65" s="333">
        <f t="shared" si="5"/>
        <v>285754.545454545</v>
      </c>
      <c r="AB65" s="334"/>
      <c r="AC65" s="312"/>
      <c r="AD65" s="312"/>
      <c r="AE65" s="312">
        <f t="shared" si="6"/>
        <v>28009.0515151515</v>
      </c>
      <c r="AF65" s="312">
        <f t="shared" si="7"/>
        <v>7130.80151515152</v>
      </c>
      <c r="AG65" s="342" t="s">
        <v>6592</v>
      </c>
      <c r="AH65" s="293"/>
      <c r="AI65" s="293"/>
      <c r="AJ65" s="293"/>
    </row>
    <row r="66" s="294" customFormat="1" ht="21" customHeight="1" spans="1:36">
      <c r="A66" s="322"/>
      <c r="B66" s="319" t="s">
        <v>6659</v>
      </c>
      <c r="C66" s="312">
        <v>290640</v>
      </c>
      <c r="D66" s="320">
        <v>0.00536616161616162</v>
      </c>
      <c r="E66" s="320">
        <v>0.00536616161616162</v>
      </c>
      <c r="F66" s="321">
        <v>35430</v>
      </c>
      <c r="G66" s="277"/>
      <c r="H66" s="312">
        <v>9660</v>
      </c>
      <c r="I66" s="312">
        <v>22540</v>
      </c>
      <c r="J66" s="312">
        <v>9660</v>
      </c>
      <c r="K66" s="312">
        <v>13480</v>
      </c>
      <c r="L66" s="321">
        <v>19330</v>
      </c>
      <c r="M66" s="277"/>
      <c r="N66" s="312">
        <v>9660</v>
      </c>
      <c r="O66" s="312">
        <v>9660</v>
      </c>
      <c r="P66" s="312">
        <v>12880</v>
      </c>
      <c r="Q66" s="321">
        <f>VLOOKUP(B66,[1]Summary!$B:$U,20,FALSE)</f>
        <v>22540</v>
      </c>
      <c r="R66" s="277"/>
      <c r="S66" s="312">
        <f t="shared" si="4"/>
        <v>9659.09090909092</v>
      </c>
      <c r="T66" s="321">
        <v>32210</v>
      </c>
      <c r="U66" s="277"/>
      <c r="V66" s="312">
        <v>25760</v>
      </c>
      <c r="W66" s="321">
        <v>32410</v>
      </c>
      <c r="X66" s="277"/>
      <c r="Y66" s="332">
        <v>25760</v>
      </c>
      <c r="Z66" s="277"/>
      <c r="AA66" s="333">
        <f t="shared" si="5"/>
        <v>264879.090909091</v>
      </c>
      <c r="AB66" s="334"/>
      <c r="AC66" s="312"/>
      <c r="AD66" s="312"/>
      <c r="AE66" s="312">
        <f t="shared" si="6"/>
        <v>25877.928030303</v>
      </c>
      <c r="AF66" s="312">
        <f t="shared" si="7"/>
        <v>6588.24053030304</v>
      </c>
      <c r="AG66" s="342" t="s">
        <v>6592</v>
      </c>
      <c r="AH66" s="293"/>
      <c r="AI66" s="293"/>
      <c r="AJ66" s="293"/>
    </row>
    <row r="67" s="294" customFormat="1" ht="21" customHeight="1" spans="1:36">
      <c r="A67" s="322"/>
      <c r="B67" s="319" t="s">
        <v>6660</v>
      </c>
      <c r="C67" s="312">
        <v>289840</v>
      </c>
      <c r="D67" s="320">
        <v>0.00536616161616162</v>
      </c>
      <c r="E67" s="320">
        <v>0.00536616161616162</v>
      </c>
      <c r="F67" s="321">
        <v>35430</v>
      </c>
      <c r="G67" s="277"/>
      <c r="H67" s="312">
        <v>9660</v>
      </c>
      <c r="I67" s="312">
        <v>22540</v>
      </c>
      <c r="J67" s="312">
        <v>9660</v>
      </c>
      <c r="K67" s="312">
        <v>12880</v>
      </c>
      <c r="L67" s="321">
        <v>19330</v>
      </c>
      <c r="M67" s="277"/>
      <c r="N67" s="312">
        <v>9660</v>
      </c>
      <c r="O67" s="312">
        <v>9660</v>
      </c>
      <c r="P67" s="312">
        <v>12880</v>
      </c>
      <c r="Q67" s="321">
        <f>VLOOKUP(B67,[1]Summary!$B:$U,20,FALSE)</f>
        <v>22540</v>
      </c>
      <c r="R67" s="277"/>
      <c r="S67" s="312">
        <f t="shared" si="4"/>
        <v>9659.09090909092</v>
      </c>
      <c r="T67" s="321">
        <v>32210</v>
      </c>
      <c r="U67" s="277"/>
      <c r="V67" s="312">
        <v>25760</v>
      </c>
      <c r="W67" s="321">
        <v>32210</v>
      </c>
      <c r="X67" s="277"/>
      <c r="Y67" s="332">
        <v>25760</v>
      </c>
      <c r="Z67" s="277"/>
      <c r="AA67" s="333">
        <f t="shared" si="5"/>
        <v>264079.090909091</v>
      </c>
      <c r="AB67" s="334"/>
      <c r="AC67" s="312"/>
      <c r="AD67" s="312"/>
      <c r="AE67" s="312">
        <f t="shared" si="6"/>
        <v>25877.928030303</v>
      </c>
      <c r="AF67" s="312">
        <f t="shared" si="7"/>
        <v>6588.24053030304</v>
      </c>
      <c r="AG67" s="342" t="s">
        <v>6592</v>
      </c>
      <c r="AH67" s="293"/>
      <c r="AI67" s="293"/>
      <c r="AJ67" s="293"/>
    </row>
    <row r="68" s="294" customFormat="1" ht="21" customHeight="1" spans="1:36">
      <c r="A68" s="322"/>
      <c r="B68" s="319" t="s">
        <v>6661</v>
      </c>
      <c r="C68" s="312">
        <v>289840</v>
      </c>
      <c r="D68" s="320">
        <v>0.00536616161616162</v>
      </c>
      <c r="E68" s="320">
        <v>0.00536616161616162</v>
      </c>
      <c r="F68" s="321">
        <v>35430</v>
      </c>
      <c r="G68" s="277"/>
      <c r="H68" s="312">
        <v>9660</v>
      </c>
      <c r="I68" s="312">
        <v>22540</v>
      </c>
      <c r="J68" s="312">
        <v>9660</v>
      </c>
      <c r="K68" s="312">
        <v>12880</v>
      </c>
      <c r="L68" s="321">
        <v>19330</v>
      </c>
      <c r="M68" s="277"/>
      <c r="N68" s="312">
        <v>9660</v>
      </c>
      <c r="O68" s="312">
        <v>9660</v>
      </c>
      <c r="P68" s="312">
        <v>12880</v>
      </c>
      <c r="Q68" s="321">
        <f>VLOOKUP(B68,[1]Summary!$B:$U,20,FALSE)</f>
        <v>22540</v>
      </c>
      <c r="R68" s="277"/>
      <c r="S68" s="312">
        <f t="shared" si="4"/>
        <v>9659.09090909092</v>
      </c>
      <c r="T68" s="321">
        <v>32210</v>
      </c>
      <c r="U68" s="277"/>
      <c r="V68" s="312">
        <v>25760</v>
      </c>
      <c r="W68" s="321">
        <v>32210</v>
      </c>
      <c r="X68" s="277"/>
      <c r="Y68" s="332">
        <v>25760</v>
      </c>
      <c r="Z68" s="277"/>
      <c r="AA68" s="333">
        <f t="shared" si="5"/>
        <v>264079.090909091</v>
      </c>
      <c r="AB68" s="334"/>
      <c r="AC68" s="312"/>
      <c r="AD68" s="312"/>
      <c r="AE68" s="312">
        <f t="shared" si="6"/>
        <v>25877.928030303</v>
      </c>
      <c r="AF68" s="312">
        <f t="shared" si="7"/>
        <v>6588.24053030304</v>
      </c>
      <c r="AG68" s="342" t="s">
        <v>6592</v>
      </c>
      <c r="AH68" s="293"/>
      <c r="AI68" s="293"/>
      <c r="AJ68" s="293"/>
    </row>
    <row r="69" s="294" customFormat="1" ht="21" customHeight="1" spans="1:36">
      <c r="A69" s="322"/>
      <c r="B69" s="324" t="s">
        <v>6662</v>
      </c>
      <c r="C69" s="312">
        <v>417900</v>
      </c>
      <c r="D69" s="320">
        <v>0.00347222222222222</v>
      </c>
      <c r="E69" s="320">
        <v>0.00347222222222222</v>
      </c>
      <c r="F69" s="321">
        <v>74420</v>
      </c>
      <c r="G69" s="277"/>
      <c r="H69" s="312">
        <v>13250</v>
      </c>
      <c r="I69" s="312">
        <v>19580</v>
      </c>
      <c r="J69" s="312">
        <v>11250</v>
      </c>
      <c r="K69" s="312">
        <v>13340</v>
      </c>
      <c r="L69" s="321">
        <v>17500</v>
      </c>
      <c r="M69" s="277"/>
      <c r="N69" s="312">
        <v>9250</v>
      </c>
      <c r="O69" s="312">
        <v>10250</v>
      </c>
      <c r="P69" s="312">
        <v>8330</v>
      </c>
      <c r="Q69" s="321">
        <f>VLOOKUP(B69,[1]Summary!$B:$U,20,FALSE)</f>
        <v>34580</v>
      </c>
      <c r="R69" s="277"/>
      <c r="S69" s="312">
        <f t="shared" si="4"/>
        <v>6250</v>
      </c>
      <c r="T69" s="321">
        <v>60840</v>
      </c>
      <c r="U69" s="277"/>
      <c r="V69" s="312">
        <v>31960</v>
      </c>
      <c r="W69" s="321">
        <v>26140</v>
      </c>
      <c r="X69" s="277"/>
      <c r="Y69" s="332">
        <v>24960</v>
      </c>
      <c r="Z69" s="277"/>
      <c r="AA69" s="333">
        <f t="shared" si="5"/>
        <v>336940</v>
      </c>
      <c r="AB69" s="334"/>
      <c r="AC69" s="312"/>
      <c r="AD69" s="312"/>
      <c r="AE69" s="312">
        <f t="shared" si="6"/>
        <v>16744.5416666667</v>
      </c>
      <c r="AF69" s="312">
        <f t="shared" si="7"/>
        <v>4262.97916666666</v>
      </c>
      <c r="AG69" s="342" t="s">
        <v>6663</v>
      </c>
      <c r="AH69" s="293"/>
      <c r="AI69" s="293"/>
      <c r="AJ69" s="293"/>
    </row>
    <row r="70" s="294" customFormat="1" ht="21" customHeight="1" spans="1:36">
      <c r="A70" s="322"/>
      <c r="B70" s="319" t="s">
        <v>6664</v>
      </c>
      <c r="C70" s="312">
        <v>187500</v>
      </c>
      <c r="D70" s="320">
        <v>0.00347222222222222</v>
      </c>
      <c r="E70" s="320">
        <v>0.00347222222222222</v>
      </c>
      <c r="F70" s="321">
        <v>22920</v>
      </c>
      <c r="G70" s="277"/>
      <c r="H70" s="312">
        <v>6250</v>
      </c>
      <c r="I70" s="312">
        <v>14580</v>
      </c>
      <c r="J70" s="312">
        <v>6250</v>
      </c>
      <c r="K70" s="312">
        <v>8340</v>
      </c>
      <c r="L70" s="321">
        <v>12500</v>
      </c>
      <c r="M70" s="277"/>
      <c r="N70" s="312">
        <v>6250</v>
      </c>
      <c r="O70" s="312">
        <v>6250</v>
      </c>
      <c r="P70" s="312">
        <v>8330</v>
      </c>
      <c r="Q70" s="321">
        <f>VLOOKUP(B70,[1]Summary!$B:$U,20,FALSE)</f>
        <v>14580</v>
      </c>
      <c r="R70" s="277"/>
      <c r="S70" s="312">
        <f t="shared" si="4"/>
        <v>6250</v>
      </c>
      <c r="T70" s="321">
        <v>20840</v>
      </c>
      <c r="U70" s="277"/>
      <c r="V70" s="312">
        <v>16660</v>
      </c>
      <c r="W70" s="321">
        <v>20840</v>
      </c>
      <c r="X70" s="277"/>
      <c r="Y70" s="332">
        <v>16660</v>
      </c>
      <c r="Z70" s="277"/>
      <c r="AA70" s="333">
        <f t="shared" si="5"/>
        <v>170840</v>
      </c>
      <c r="AB70" s="334"/>
      <c r="AC70" s="312"/>
      <c r="AD70" s="312"/>
      <c r="AE70" s="312">
        <f t="shared" si="6"/>
        <v>16744.5416666667</v>
      </c>
      <c r="AF70" s="312">
        <f t="shared" si="7"/>
        <v>4262.97916666666</v>
      </c>
      <c r="AG70" s="342" t="s">
        <v>6592</v>
      </c>
      <c r="AH70" s="293"/>
      <c r="AI70" s="293"/>
      <c r="AJ70" s="293"/>
    </row>
    <row r="71" s="294" customFormat="1" ht="21" customHeight="1" spans="1:36">
      <c r="A71" s="322"/>
      <c r="B71" s="319" t="s">
        <v>6665</v>
      </c>
      <c r="C71" s="312">
        <v>469860</v>
      </c>
      <c r="D71" s="320">
        <v>0.0120475589225589</v>
      </c>
      <c r="E71" s="320"/>
      <c r="F71" s="321">
        <v>57830</v>
      </c>
      <c r="G71" s="277"/>
      <c r="H71" s="312">
        <v>0</v>
      </c>
      <c r="I71" s="312">
        <v>50600</v>
      </c>
      <c r="J71" s="312">
        <v>0</v>
      </c>
      <c r="K71" s="312">
        <v>28920</v>
      </c>
      <c r="L71" s="321">
        <v>21680</v>
      </c>
      <c r="M71" s="277"/>
      <c r="N71" s="312">
        <v>21690</v>
      </c>
      <c r="O71" s="312">
        <v>21680</v>
      </c>
      <c r="P71" s="312">
        <v>28920</v>
      </c>
      <c r="Q71" s="321">
        <f>VLOOKUP(B71,[1]Summary!$B:$U,20,FALSE)</f>
        <v>28910</v>
      </c>
      <c r="R71" s="277"/>
      <c r="S71" s="312">
        <f t="shared" si="4"/>
        <v>0</v>
      </c>
      <c r="T71" s="321">
        <v>57830</v>
      </c>
      <c r="U71" s="277"/>
      <c r="V71" s="312">
        <v>57830</v>
      </c>
      <c r="W71" s="321">
        <v>57830</v>
      </c>
      <c r="X71" s="277"/>
      <c r="Y71" s="332">
        <v>36140</v>
      </c>
      <c r="Z71" s="277"/>
      <c r="AA71" s="333">
        <f t="shared" si="5"/>
        <v>433720</v>
      </c>
      <c r="AB71" s="334"/>
      <c r="AC71" s="312"/>
      <c r="AD71" s="312"/>
      <c r="AE71" s="312">
        <f t="shared" si="6"/>
        <v>58098.4854797979</v>
      </c>
      <c r="AF71" s="312">
        <f t="shared" si="7"/>
        <v>0</v>
      </c>
      <c r="AG71" s="342" t="s">
        <v>6595</v>
      </c>
      <c r="AH71" s="293"/>
      <c r="AI71" s="293"/>
      <c r="AJ71" s="293"/>
    </row>
    <row r="72" s="294" customFormat="1" ht="21" customHeight="1" spans="1:36">
      <c r="A72" s="322"/>
      <c r="B72" s="319" t="s">
        <v>6666</v>
      </c>
      <c r="C72" s="312">
        <v>363010</v>
      </c>
      <c r="D72" s="320"/>
      <c r="E72" s="320">
        <v>0.0242003367003367</v>
      </c>
      <c r="F72" s="321">
        <v>43570</v>
      </c>
      <c r="G72" s="277"/>
      <c r="H72" s="312">
        <v>43560</v>
      </c>
      <c r="I72" s="312"/>
      <c r="J72" s="312">
        <v>43560</v>
      </c>
      <c r="K72" s="312">
        <v>0</v>
      </c>
      <c r="L72" s="321">
        <v>43560</v>
      </c>
      <c r="M72" s="277"/>
      <c r="N72" s="312">
        <v>0</v>
      </c>
      <c r="O72" s="312">
        <v>0</v>
      </c>
      <c r="P72" s="312">
        <v>0</v>
      </c>
      <c r="Q72" s="321">
        <f>VLOOKUP(B72,[1]Summary!$B:$U,20,FALSE)</f>
        <v>43560</v>
      </c>
      <c r="R72" s="277"/>
      <c r="S72" s="312">
        <f t="shared" si="4"/>
        <v>43560.6060606061</v>
      </c>
      <c r="T72" s="321">
        <v>29040</v>
      </c>
      <c r="U72" s="277"/>
      <c r="V72" s="312">
        <v>0</v>
      </c>
      <c r="W72" s="321">
        <v>29040</v>
      </c>
      <c r="X72" s="277"/>
      <c r="Y72" s="332">
        <v>43560</v>
      </c>
      <c r="Z72" s="277"/>
      <c r="AA72" s="333">
        <f t="shared" si="5"/>
        <v>319450.606060606</v>
      </c>
      <c r="AB72" s="334"/>
      <c r="AC72" s="312"/>
      <c r="AD72" s="312"/>
      <c r="AE72" s="312">
        <f t="shared" si="6"/>
        <v>0</v>
      </c>
      <c r="AF72" s="312">
        <f t="shared" si="7"/>
        <v>29711.672979798</v>
      </c>
      <c r="AG72" s="342" t="s">
        <v>6667</v>
      </c>
      <c r="AH72" s="358"/>
      <c r="AI72" s="359"/>
      <c r="AJ72" s="359"/>
    </row>
    <row r="73" s="294" customFormat="1" ht="21" customHeight="1" spans="1:36">
      <c r="A73" s="322"/>
      <c r="B73" s="319" t="s">
        <v>6668</v>
      </c>
      <c r="C73" s="312">
        <v>469860</v>
      </c>
      <c r="D73" s="320">
        <v>0.0120475589225589</v>
      </c>
      <c r="E73" s="320"/>
      <c r="F73" s="321">
        <v>57830</v>
      </c>
      <c r="G73" s="277"/>
      <c r="H73" s="312">
        <v>0</v>
      </c>
      <c r="I73" s="312">
        <v>50600</v>
      </c>
      <c r="J73" s="312">
        <v>0</v>
      </c>
      <c r="K73" s="312">
        <v>28920</v>
      </c>
      <c r="L73" s="321">
        <v>21680</v>
      </c>
      <c r="M73" s="277"/>
      <c r="N73" s="312">
        <v>21690</v>
      </c>
      <c r="O73" s="312">
        <v>21680</v>
      </c>
      <c r="P73" s="312">
        <v>28920</v>
      </c>
      <c r="Q73" s="321">
        <f>VLOOKUP(B73,[1]Summary!$B:$U,20,FALSE)</f>
        <v>28910</v>
      </c>
      <c r="R73" s="277"/>
      <c r="S73" s="312">
        <f t="shared" si="4"/>
        <v>0</v>
      </c>
      <c r="T73" s="321">
        <v>57830</v>
      </c>
      <c r="U73" s="277"/>
      <c r="V73" s="312">
        <v>57830</v>
      </c>
      <c r="W73" s="321">
        <v>57830</v>
      </c>
      <c r="X73" s="277"/>
      <c r="Y73" s="332">
        <v>36140</v>
      </c>
      <c r="Z73" s="277"/>
      <c r="AA73" s="333">
        <f t="shared" si="5"/>
        <v>433720</v>
      </c>
      <c r="AB73" s="334"/>
      <c r="AC73" s="312"/>
      <c r="AD73" s="312"/>
      <c r="AE73" s="312">
        <f t="shared" si="6"/>
        <v>58098.4854797979</v>
      </c>
      <c r="AF73" s="312">
        <f t="shared" si="7"/>
        <v>0</v>
      </c>
      <c r="AG73" s="342" t="s">
        <v>6595</v>
      </c>
      <c r="AH73" s="293"/>
      <c r="AI73" s="293"/>
      <c r="AJ73" s="293"/>
    </row>
    <row r="74" s="294" customFormat="1" ht="21" customHeight="1" spans="1:36">
      <c r="A74" s="322"/>
      <c r="B74" s="319" t="s">
        <v>6669</v>
      </c>
      <c r="C74" s="312">
        <v>363010</v>
      </c>
      <c r="D74" s="320"/>
      <c r="E74" s="320">
        <v>0.0242003367003367</v>
      </c>
      <c r="F74" s="321">
        <v>43570</v>
      </c>
      <c r="G74" s="277"/>
      <c r="H74" s="312">
        <v>43560</v>
      </c>
      <c r="I74" s="312"/>
      <c r="J74" s="312">
        <v>43560</v>
      </c>
      <c r="K74" s="312">
        <v>0</v>
      </c>
      <c r="L74" s="321">
        <v>43560</v>
      </c>
      <c r="M74" s="277"/>
      <c r="N74" s="312">
        <v>0</v>
      </c>
      <c r="O74" s="312">
        <v>0</v>
      </c>
      <c r="P74" s="312">
        <v>0</v>
      </c>
      <c r="Q74" s="321">
        <f>VLOOKUP(B74,[1]Summary!$B:$U,20,FALSE)</f>
        <v>43560</v>
      </c>
      <c r="R74" s="277"/>
      <c r="S74" s="312">
        <f t="shared" si="4"/>
        <v>43560.6060606061</v>
      </c>
      <c r="T74" s="321">
        <v>29040</v>
      </c>
      <c r="U74" s="277"/>
      <c r="V74" s="312">
        <v>0</v>
      </c>
      <c r="W74" s="321">
        <v>29040</v>
      </c>
      <c r="X74" s="277"/>
      <c r="Y74" s="332">
        <v>43560</v>
      </c>
      <c r="Z74" s="277"/>
      <c r="AA74" s="333">
        <f t="shared" si="5"/>
        <v>319450.606060606</v>
      </c>
      <c r="AB74" s="334"/>
      <c r="AC74" s="312"/>
      <c r="AD74" s="312"/>
      <c r="AE74" s="312">
        <f t="shared" si="6"/>
        <v>0</v>
      </c>
      <c r="AF74" s="312">
        <f t="shared" si="7"/>
        <v>29711.672979798</v>
      </c>
      <c r="AG74" s="342" t="s">
        <v>6667</v>
      </c>
      <c r="AH74" s="358"/>
      <c r="AI74" s="359"/>
      <c r="AJ74" s="359"/>
    </row>
    <row r="75" s="294" customFormat="1" ht="21" customHeight="1" spans="1:36">
      <c r="A75" s="322"/>
      <c r="B75" s="319" t="s">
        <v>6670</v>
      </c>
      <c r="C75" s="312">
        <v>469860</v>
      </c>
      <c r="D75" s="320">
        <v>0.0120475589225589</v>
      </c>
      <c r="E75" s="320"/>
      <c r="F75" s="321">
        <v>57830</v>
      </c>
      <c r="G75" s="277"/>
      <c r="H75" s="312">
        <v>0</v>
      </c>
      <c r="I75" s="312">
        <v>50600</v>
      </c>
      <c r="J75" s="312">
        <v>0</v>
      </c>
      <c r="K75" s="312">
        <v>28920</v>
      </c>
      <c r="L75" s="321">
        <v>21680</v>
      </c>
      <c r="M75" s="277"/>
      <c r="N75" s="312">
        <v>21690</v>
      </c>
      <c r="O75" s="312">
        <v>21680</v>
      </c>
      <c r="P75" s="312">
        <v>28920</v>
      </c>
      <c r="Q75" s="321">
        <f>VLOOKUP(B75,[1]Summary!$B:$U,20,FALSE)</f>
        <v>28910</v>
      </c>
      <c r="R75" s="277"/>
      <c r="S75" s="312">
        <f t="shared" si="4"/>
        <v>0</v>
      </c>
      <c r="T75" s="321">
        <v>57830</v>
      </c>
      <c r="U75" s="277"/>
      <c r="V75" s="312">
        <v>57830</v>
      </c>
      <c r="W75" s="321">
        <v>57830</v>
      </c>
      <c r="X75" s="277"/>
      <c r="Y75" s="332">
        <v>36140</v>
      </c>
      <c r="Z75" s="277"/>
      <c r="AA75" s="333">
        <f t="shared" si="5"/>
        <v>433720</v>
      </c>
      <c r="AB75" s="334"/>
      <c r="AC75" s="312"/>
      <c r="AD75" s="312"/>
      <c r="AE75" s="312">
        <f t="shared" si="6"/>
        <v>58098.4854797979</v>
      </c>
      <c r="AF75" s="312">
        <f t="shared" si="7"/>
        <v>0</v>
      </c>
      <c r="AG75" s="342" t="s">
        <v>6595</v>
      </c>
      <c r="AH75" s="293"/>
      <c r="AI75" s="293"/>
      <c r="AJ75" s="293"/>
    </row>
    <row r="76" s="294" customFormat="1" ht="21" customHeight="1" spans="1:36">
      <c r="A76" s="322"/>
      <c r="B76" s="319" t="s">
        <v>6671</v>
      </c>
      <c r="C76" s="312">
        <v>363010</v>
      </c>
      <c r="D76" s="320"/>
      <c r="E76" s="320">
        <v>0.0242003367003367</v>
      </c>
      <c r="F76" s="321">
        <v>43570</v>
      </c>
      <c r="G76" s="277"/>
      <c r="H76" s="312">
        <v>43560</v>
      </c>
      <c r="I76" s="312"/>
      <c r="J76" s="312">
        <v>43560</v>
      </c>
      <c r="K76" s="312">
        <v>0</v>
      </c>
      <c r="L76" s="321">
        <v>43560</v>
      </c>
      <c r="M76" s="277"/>
      <c r="N76" s="312">
        <v>0</v>
      </c>
      <c r="O76" s="312">
        <v>0</v>
      </c>
      <c r="P76" s="312">
        <v>0</v>
      </c>
      <c r="Q76" s="321">
        <f>VLOOKUP(B76,[1]Summary!$B:$U,20,FALSE)</f>
        <v>43560</v>
      </c>
      <c r="R76" s="277"/>
      <c r="S76" s="312">
        <f t="shared" si="4"/>
        <v>43560.6060606061</v>
      </c>
      <c r="T76" s="321">
        <v>29040</v>
      </c>
      <c r="U76" s="277"/>
      <c r="V76" s="312">
        <v>0</v>
      </c>
      <c r="W76" s="321">
        <v>29040</v>
      </c>
      <c r="X76" s="277"/>
      <c r="Y76" s="332">
        <v>43560</v>
      </c>
      <c r="Z76" s="277"/>
      <c r="AA76" s="333">
        <f t="shared" si="5"/>
        <v>319450.606060606</v>
      </c>
      <c r="AB76" s="334"/>
      <c r="AC76" s="312"/>
      <c r="AD76" s="312"/>
      <c r="AE76" s="312">
        <f t="shared" si="6"/>
        <v>0</v>
      </c>
      <c r="AF76" s="312">
        <f t="shared" si="7"/>
        <v>29711.672979798</v>
      </c>
      <c r="AG76" s="342" t="s">
        <v>6667</v>
      </c>
      <c r="AH76" s="358"/>
      <c r="AI76" s="359"/>
      <c r="AJ76" s="359"/>
    </row>
    <row r="77" s="294" customFormat="1" ht="21" customHeight="1" spans="1:36">
      <c r="A77" s="322"/>
      <c r="B77" s="319" t="s">
        <v>6672</v>
      </c>
      <c r="C77" s="312">
        <v>469860</v>
      </c>
      <c r="D77" s="320">
        <v>0.0120475589225589</v>
      </c>
      <c r="E77" s="320"/>
      <c r="F77" s="321">
        <v>57830</v>
      </c>
      <c r="G77" s="277"/>
      <c r="H77" s="312">
        <v>0</v>
      </c>
      <c r="I77" s="312">
        <v>50600</v>
      </c>
      <c r="J77" s="312">
        <v>0</v>
      </c>
      <c r="K77" s="312">
        <v>28920</v>
      </c>
      <c r="L77" s="321">
        <v>21680</v>
      </c>
      <c r="M77" s="277"/>
      <c r="N77" s="312">
        <v>21690</v>
      </c>
      <c r="O77" s="312">
        <v>21680</v>
      </c>
      <c r="P77" s="312">
        <v>28920</v>
      </c>
      <c r="Q77" s="321">
        <f>VLOOKUP(B77,[1]Summary!$B:$U,20,FALSE)</f>
        <v>28910</v>
      </c>
      <c r="R77" s="277"/>
      <c r="S77" s="312">
        <f t="shared" si="4"/>
        <v>0</v>
      </c>
      <c r="T77" s="321">
        <v>57830</v>
      </c>
      <c r="U77" s="277"/>
      <c r="V77" s="312">
        <v>57830</v>
      </c>
      <c r="W77" s="321">
        <v>57830</v>
      </c>
      <c r="X77" s="277"/>
      <c r="Y77" s="332">
        <v>36140</v>
      </c>
      <c r="Z77" s="277"/>
      <c r="AA77" s="333">
        <f t="shared" si="5"/>
        <v>433720</v>
      </c>
      <c r="AB77" s="334"/>
      <c r="AC77" s="312"/>
      <c r="AD77" s="312"/>
      <c r="AE77" s="312">
        <f t="shared" si="6"/>
        <v>58098.4854797979</v>
      </c>
      <c r="AF77" s="312">
        <f t="shared" si="7"/>
        <v>0</v>
      </c>
      <c r="AG77" s="342" t="s">
        <v>6595</v>
      </c>
      <c r="AH77" s="293"/>
      <c r="AI77" s="293"/>
      <c r="AJ77" s="293"/>
    </row>
    <row r="78" s="294" customFormat="1" ht="21" customHeight="1" spans="1:36">
      <c r="A78" s="322"/>
      <c r="B78" s="319" t="s">
        <v>6673</v>
      </c>
      <c r="C78" s="312">
        <v>363010</v>
      </c>
      <c r="D78" s="320"/>
      <c r="E78" s="320">
        <v>0.0242003367003367</v>
      </c>
      <c r="F78" s="321">
        <v>43570</v>
      </c>
      <c r="G78" s="277"/>
      <c r="H78" s="312">
        <v>43560</v>
      </c>
      <c r="I78" s="312"/>
      <c r="J78" s="312">
        <v>43560</v>
      </c>
      <c r="K78" s="312">
        <v>0</v>
      </c>
      <c r="L78" s="321">
        <v>43560</v>
      </c>
      <c r="M78" s="277"/>
      <c r="N78" s="312">
        <v>0</v>
      </c>
      <c r="O78" s="312">
        <v>0</v>
      </c>
      <c r="P78" s="312">
        <v>0</v>
      </c>
      <c r="Q78" s="321">
        <f>VLOOKUP(B78,[1]Summary!$B:$U,20,FALSE)</f>
        <v>43560</v>
      </c>
      <c r="R78" s="277"/>
      <c r="S78" s="312">
        <f t="shared" si="4"/>
        <v>43560.6060606061</v>
      </c>
      <c r="T78" s="321">
        <v>29040</v>
      </c>
      <c r="U78" s="277"/>
      <c r="V78" s="312">
        <v>0</v>
      </c>
      <c r="W78" s="321">
        <v>29040</v>
      </c>
      <c r="X78" s="277"/>
      <c r="Y78" s="332">
        <v>43560</v>
      </c>
      <c r="Z78" s="277"/>
      <c r="AA78" s="333">
        <f t="shared" si="5"/>
        <v>319450.606060606</v>
      </c>
      <c r="AB78" s="334"/>
      <c r="AC78" s="312"/>
      <c r="AD78" s="312"/>
      <c r="AE78" s="312">
        <f t="shared" si="6"/>
        <v>0</v>
      </c>
      <c r="AF78" s="312">
        <f t="shared" si="7"/>
        <v>29711.672979798</v>
      </c>
      <c r="AG78" s="342" t="s">
        <v>6667</v>
      </c>
      <c r="AH78" s="358"/>
      <c r="AI78" s="359"/>
      <c r="AJ78" s="359"/>
    </row>
    <row r="79" s="294" customFormat="1" ht="21" customHeight="1" spans="1:36">
      <c r="A79" s="322"/>
      <c r="B79" s="319" t="s">
        <v>6674</v>
      </c>
      <c r="C79" s="312">
        <v>469860</v>
      </c>
      <c r="D79" s="320">
        <v>0.0120475589225589</v>
      </c>
      <c r="E79" s="320"/>
      <c r="F79" s="321">
        <v>57830</v>
      </c>
      <c r="G79" s="277"/>
      <c r="H79" s="312">
        <v>0</v>
      </c>
      <c r="I79" s="312">
        <v>50600</v>
      </c>
      <c r="J79" s="312">
        <v>0</v>
      </c>
      <c r="K79" s="312">
        <v>28920</v>
      </c>
      <c r="L79" s="321">
        <v>21680</v>
      </c>
      <c r="M79" s="277"/>
      <c r="N79" s="312">
        <v>21690</v>
      </c>
      <c r="O79" s="312">
        <v>21680</v>
      </c>
      <c r="P79" s="312">
        <v>28920</v>
      </c>
      <c r="Q79" s="321">
        <f>VLOOKUP(B79,[1]Summary!$B:$U,20,FALSE)</f>
        <v>28910</v>
      </c>
      <c r="R79" s="277"/>
      <c r="S79" s="312">
        <f t="shared" si="4"/>
        <v>0</v>
      </c>
      <c r="T79" s="321">
        <v>57830</v>
      </c>
      <c r="U79" s="277"/>
      <c r="V79" s="312">
        <v>57830</v>
      </c>
      <c r="W79" s="321">
        <v>57830</v>
      </c>
      <c r="X79" s="277"/>
      <c r="Y79" s="332">
        <v>36140</v>
      </c>
      <c r="Z79" s="277"/>
      <c r="AA79" s="333">
        <f t="shared" si="5"/>
        <v>433720</v>
      </c>
      <c r="AB79" s="334"/>
      <c r="AC79" s="312"/>
      <c r="AD79" s="312"/>
      <c r="AE79" s="312">
        <f t="shared" si="6"/>
        <v>58098.4854797979</v>
      </c>
      <c r="AF79" s="312">
        <f t="shared" si="7"/>
        <v>0</v>
      </c>
      <c r="AG79" s="342" t="s">
        <v>6595</v>
      </c>
      <c r="AH79" s="293"/>
      <c r="AI79" s="293"/>
      <c r="AJ79" s="293"/>
    </row>
    <row r="80" s="294" customFormat="1" ht="21" customHeight="1" spans="1:36">
      <c r="A80" s="322"/>
      <c r="B80" s="319" t="s">
        <v>6675</v>
      </c>
      <c r="C80" s="312">
        <v>363010</v>
      </c>
      <c r="D80" s="320"/>
      <c r="E80" s="320">
        <v>0.0242003367003367</v>
      </c>
      <c r="F80" s="321">
        <v>43570</v>
      </c>
      <c r="G80" s="277"/>
      <c r="H80" s="312">
        <v>43560</v>
      </c>
      <c r="I80" s="312"/>
      <c r="J80" s="312">
        <v>43560</v>
      </c>
      <c r="K80" s="312">
        <v>0</v>
      </c>
      <c r="L80" s="321">
        <v>43560</v>
      </c>
      <c r="M80" s="277"/>
      <c r="N80" s="312">
        <v>0</v>
      </c>
      <c r="O80" s="312">
        <v>0</v>
      </c>
      <c r="P80" s="312">
        <v>0</v>
      </c>
      <c r="Q80" s="321">
        <f>VLOOKUP(B80,[1]Summary!$B:$U,20,FALSE)</f>
        <v>43560</v>
      </c>
      <c r="R80" s="277"/>
      <c r="S80" s="312">
        <f t="shared" si="4"/>
        <v>43560.6060606061</v>
      </c>
      <c r="T80" s="321">
        <v>29040</v>
      </c>
      <c r="U80" s="277"/>
      <c r="V80" s="312"/>
      <c r="W80" s="321">
        <v>29040</v>
      </c>
      <c r="X80" s="277"/>
      <c r="Y80" s="332">
        <v>43560</v>
      </c>
      <c r="Z80" s="277"/>
      <c r="AA80" s="333">
        <f t="shared" si="5"/>
        <v>319450.606060606</v>
      </c>
      <c r="AB80" s="334"/>
      <c r="AC80" s="355"/>
      <c r="AD80" s="355"/>
      <c r="AE80" s="312">
        <f t="shared" si="6"/>
        <v>0</v>
      </c>
      <c r="AF80" s="312">
        <f t="shared" si="7"/>
        <v>29711.672979798</v>
      </c>
      <c r="AG80" s="342" t="s">
        <v>6667</v>
      </c>
      <c r="AH80" s="358"/>
      <c r="AI80" s="359"/>
      <c r="AJ80" s="359"/>
    </row>
    <row r="81" s="295" customFormat="1" ht="23.1" customHeight="1" spans="1:35">
      <c r="A81" s="345"/>
      <c r="B81" s="346" t="s">
        <v>6676</v>
      </c>
      <c r="C81" s="347">
        <f t="shared" ref="C81:K81" si="8">SUM(C7:C80)</f>
        <v>56097250</v>
      </c>
      <c r="D81" s="348">
        <f t="shared" si="8"/>
        <v>1.02146464646465</v>
      </c>
      <c r="E81" s="348">
        <f t="shared" si="8"/>
        <v>1.02146464646465</v>
      </c>
      <c r="F81" s="347">
        <f t="shared" si="8"/>
        <v>6952560</v>
      </c>
      <c r="G81" s="347">
        <f t="shared" si="8"/>
        <v>0</v>
      </c>
      <c r="H81" s="347">
        <f t="shared" si="8"/>
        <v>1868680</v>
      </c>
      <c r="I81" s="347">
        <f t="shared" si="8"/>
        <v>4313890</v>
      </c>
      <c r="J81" s="347">
        <f t="shared" si="8"/>
        <v>1858660</v>
      </c>
      <c r="K81" s="347">
        <f t="shared" si="8"/>
        <v>2471470</v>
      </c>
      <c r="L81" s="347"/>
      <c r="M81" s="347"/>
      <c r="N81" s="347"/>
      <c r="O81" s="347"/>
      <c r="P81" s="347"/>
      <c r="Q81" s="347"/>
      <c r="R81" s="347"/>
      <c r="S81" s="347"/>
      <c r="T81" s="347"/>
      <c r="U81" s="347"/>
      <c r="V81" s="347"/>
      <c r="W81" s="347"/>
      <c r="X81" s="347"/>
      <c r="Y81" s="347"/>
      <c r="Z81" s="347"/>
      <c r="AA81" s="347">
        <f t="shared" ref="AA81:AC81" si="9">SUM(AA7:AA80)</f>
        <v>50935806.3636364</v>
      </c>
      <c r="AB81" s="347">
        <f t="shared" si="9"/>
        <v>0</v>
      </c>
      <c r="AC81" s="356">
        <f>SUM(AC5:AD5)</f>
        <v>7991639</v>
      </c>
      <c r="AD81" s="357"/>
      <c r="AE81" s="347">
        <f>SUM(AE7:AE80)</f>
        <v>4925939.71212121</v>
      </c>
      <c r="AF81" s="347">
        <f>SUM(AF7:AF80)</f>
        <v>1254090.96212121</v>
      </c>
      <c r="AG81" s="360"/>
      <c r="AI81" s="361"/>
    </row>
    <row r="82" s="295" customFormat="1" ht="69.75" customHeight="1" spans="1:36">
      <c r="A82" s="252" t="s">
        <v>6677</v>
      </c>
      <c r="B82" s="253"/>
      <c r="C82" s="254"/>
      <c r="D82" s="254"/>
      <c r="E82" s="254"/>
      <c r="F82" s="254"/>
      <c r="G82" s="254"/>
      <c r="H82" s="254"/>
      <c r="I82" s="254"/>
      <c r="J82" s="254"/>
      <c r="K82" s="254"/>
      <c r="L82" s="254"/>
      <c r="M82" s="254"/>
      <c r="N82" s="254"/>
      <c r="O82" s="254"/>
      <c r="P82" s="254"/>
      <c r="Q82" s="254"/>
      <c r="R82" s="254"/>
      <c r="S82" s="254"/>
      <c r="T82" s="254"/>
      <c r="U82" s="254"/>
      <c r="V82" s="254"/>
      <c r="W82" s="254"/>
      <c r="X82" s="254"/>
      <c r="Y82" s="254"/>
      <c r="Z82" s="254"/>
      <c r="AA82" s="254"/>
      <c r="AB82" s="254"/>
      <c r="AC82" s="254"/>
      <c r="AD82" s="254"/>
      <c r="AE82" s="254"/>
      <c r="AF82" s="254"/>
      <c r="AG82" s="253"/>
      <c r="AH82" s="293"/>
      <c r="AI82" s="293"/>
      <c r="AJ82" s="293"/>
    </row>
    <row r="83" s="295" customFormat="1" ht="21.75" customHeight="1" spans="1:35">
      <c r="A83" s="349"/>
      <c r="B83" s="349"/>
      <c r="D83" s="350"/>
      <c r="E83" s="350"/>
      <c r="F83" s="351"/>
      <c r="G83" s="351"/>
      <c r="H83" s="351"/>
      <c r="I83" s="351"/>
      <c r="J83" s="351"/>
      <c r="K83" s="351"/>
      <c r="L83" s="351"/>
      <c r="M83" s="351"/>
      <c r="N83" s="351"/>
      <c r="O83" s="351"/>
      <c r="P83" s="351"/>
      <c r="Q83" s="351"/>
      <c r="R83" s="351"/>
      <c r="S83" s="351"/>
      <c r="T83" s="351"/>
      <c r="U83" s="351"/>
      <c r="V83" s="351"/>
      <c r="W83" s="351"/>
      <c r="X83" s="351"/>
      <c r="Y83" s="351"/>
      <c r="Z83" s="351"/>
      <c r="AA83" s="351"/>
      <c r="AB83" s="351"/>
      <c r="AC83" s="351"/>
      <c r="AD83" s="351"/>
      <c r="AE83" s="351"/>
      <c r="AF83" s="351"/>
      <c r="AG83" s="350"/>
      <c r="AH83" s="361"/>
      <c r="AI83" s="361"/>
    </row>
    <row r="84" s="295" customFormat="1" ht="21" customHeight="1" spans="1:35">
      <c r="A84" s="352"/>
      <c r="B84" s="352"/>
      <c r="C84" s="352"/>
      <c r="D84" s="352"/>
      <c r="E84" s="352"/>
      <c r="F84" s="353"/>
      <c r="G84" s="353"/>
      <c r="H84" s="353"/>
      <c r="I84" s="353"/>
      <c r="J84" s="353"/>
      <c r="K84" s="353"/>
      <c r="L84" s="353"/>
      <c r="M84" s="353"/>
      <c r="N84" s="353"/>
      <c r="O84" s="353"/>
      <c r="P84" s="353"/>
      <c r="Q84" s="353"/>
      <c r="R84" s="353"/>
      <c r="S84" s="353"/>
      <c r="T84" s="353"/>
      <c r="U84" s="353"/>
      <c r="V84" s="353"/>
      <c r="W84" s="353"/>
      <c r="X84" s="353"/>
      <c r="Y84" s="353"/>
      <c r="Z84" s="353"/>
      <c r="AA84" s="353"/>
      <c r="AB84" s="353"/>
      <c r="AC84" s="353"/>
      <c r="AD84" s="353"/>
      <c r="AE84" s="353"/>
      <c r="AF84" s="353"/>
      <c r="AG84" s="352"/>
      <c r="AH84" s="362"/>
      <c r="AI84" s="362"/>
    </row>
    <row r="85" s="295" customFormat="1" ht="21" customHeight="1" spans="1:35">
      <c r="A85" s="295" t="s">
        <v>6678</v>
      </c>
      <c r="D85" s="295" t="s">
        <v>6679</v>
      </c>
      <c r="F85" s="351"/>
      <c r="G85" s="351"/>
      <c r="H85" s="351"/>
      <c r="I85" s="351"/>
      <c r="J85" s="351"/>
      <c r="K85" s="351"/>
      <c r="L85" s="351"/>
      <c r="M85" s="351"/>
      <c r="N85" s="351"/>
      <c r="O85" s="351"/>
      <c r="P85" s="351"/>
      <c r="Q85" s="351"/>
      <c r="R85" s="351"/>
      <c r="S85" s="351"/>
      <c r="T85" s="351"/>
      <c r="U85" s="351"/>
      <c r="V85" s="351"/>
      <c r="W85" s="351"/>
      <c r="X85" s="351"/>
      <c r="Y85" s="351"/>
      <c r="Z85" s="351"/>
      <c r="AA85" s="351"/>
      <c r="AB85" s="351"/>
      <c r="AC85" s="351"/>
      <c r="AD85" s="351"/>
      <c r="AE85" s="351"/>
      <c r="AF85" s="351"/>
      <c r="AH85" s="362"/>
      <c r="AI85" s="362"/>
    </row>
    <row r="86" s="295" customFormat="1" ht="21" customHeight="1" spans="6:35">
      <c r="F86" s="351"/>
      <c r="G86" s="351"/>
      <c r="H86" s="351"/>
      <c r="I86" s="351"/>
      <c r="J86" s="351"/>
      <c r="K86" s="351"/>
      <c r="L86" s="351"/>
      <c r="M86" s="351"/>
      <c r="N86" s="351"/>
      <c r="O86" s="351"/>
      <c r="P86" s="351"/>
      <c r="Q86" s="351"/>
      <c r="R86" s="351"/>
      <c r="S86" s="351"/>
      <c r="T86" s="351"/>
      <c r="U86" s="351"/>
      <c r="V86" s="351"/>
      <c r="W86" s="351"/>
      <c r="X86" s="351"/>
      <c r="Y86" s="351"/>
      <c r="Z86" s="351"/>
      <c r="AA86" s="351"/>
      <c r="AB86" s="351"/>
      <c r="AC86" s="351"/>
      <c r="AD86" s="351"/>
      <c r="AE86" s="351"/>
      <c r="AF86" s="351"/>
      <c r="AH86" s="362"/>
      <c r="AI86" s="362"/>
    </row>
    <row r="87" s="295" customFormat="1" ht="21" customHeight="1" spans="6:35">
      <c r="F87" s="351"/>
      <c r="G87" s="351"/>
      <c r="H87" s="351"/>
      <c r="I87" s="351"/>
      <c r="J87" s="351"/>
      <c r="K87" s="351"/>
      <c r="L87" s="351"/>
      <c r="M87" s="351"/>
      <c r="N87" s="351"/>
      <c r="O87" s="351"/>
      <c r="P87" s="351"/>
      <c r="Q87" s="351"/>
      <c r="R87" s="351"/>
      <c r="S87" s="351"/>
      <c r="T87" s="351"/>
      <c r="U87" s="351"/>
      <c r="V87" s="351"/>
      <c r="W87" s="351"/>
      <c r="X87" s="351"/>
      <c r="Y87" s="351"/>
      <c r="Z87" s="351"/>
      <c r="AA87" s="351"/>
      <c r="AB87" s="351"/>
      <c r="AC87" s="351"/>
      <c r="AD87" s="351"/>
      <c r="AE87" s="351"/>
      <c r="AF87" s="351"/>
      <c r="AH87" s="362"/>
      <c r="AI87" s="362"/>
    </row>
    <row r="88" s="295" customFormat="1" ht="15" spans="1:35">
      <c r="A88" s="354" t="s">
        <v>6680</v>
      </c>
      <c r="B88" s="354"/>
      <c r="C88" s="354"/>
      <c r="D88" s="354" t="s">
        <v>6680</v>
      </c>
      <c r="E88" s="354"/>
      <c r="F88" s="351"/>
      <c r="G88" s="351"/>
      <c r="H88" s="351"/>
      <c r="I88" s="351"/>
      <c r="J88" s="351"/>
      <c r="K88" s="351"/>
      <c r="L88" s="351"/>
      <c r="M88" s="351"/>
      <c r="N88" s="351"/>
      <c r="O88" s="351"/>
      <c r="P88" s="351"/>
      <c r="Q88" s="351"/>
      <c r="R88" s="351"/>
      <c r="S88" s="351"/>
      <c r="T88" s="351"/>
      <c r="U88" s="351"/>
      <c r="V88" s="351"/>
      <c r="W88" s="351"/>
      <c r="X88" s="351"/>
      <c r="Y88" s="351"/>
      <c r="Z88" s="351"/>
      <c r="AA88" s="351"/>
      <c r="AB88" s="351"/>
      <c r="AC88" s="351"/>
      <c r="AD88" s="351"/>
      <c r="AE88" s="351"/>
      <c r="AF88" s="351"/>
      <c r="AH88" s="362"/>
      <c r="AI88" s="362"/>
    </row>
  </sheetData>
  <mergeCells count="521">
    <mergeCell ref="F7:G7"/>
    <mergeCell ref="L7:M7"/>
    <mergeCell ref="Q7:R7"/>
    <mergeCell ref="T7:U7"/>
    <mergeCell ref="W7:X7"/>
    <mergeCell ref="Y7:Z7"/>
    <mergeCell ref="AA7:AB7"/>
    <mergeCell ref="F8:G8"/>
    <mergeCell ref="L8:M8"/>
    <mergeCell ref="Q8:R8"/>
    <mergeCell ref="T8:U8"/>
    <mergeCell ref="W8:X8"/>
    <mergeCell ref="Y8:Z8"/>
    <mergeCell ref="AA8:AB8"/>
    <mergeCell ref="F9:G9"/>
    <mergeCell ref="L9:M9"/>
    <mergeCell ref="Q9:R9"/>
    <mergeCell ref="T9:U9"/>
    <mergeCell ref="W9:X9"/>
    <mergeCell ref="Y9:Z9"/>
    <mergeCell ref="AA9:AB9"/>
    <mergeCell ref="F10:G10"/>
    <mergeCell ref="L10:M10"/>
    <mergeCell ref="Q10:R10"/>
    <mergeCell ref="T10:U10"/>
    <mergeCell ref="W10:X10"/>
    <mergeCell ref="Y10:Z10"/>
    <mergeCell ref="AA10:AB10"/>
    <mergeCell ref="F11:G11"/>
    <mergeCell ref="L11:M11"/>
    <mergeCell ref="Q11:R11"/>
    <mergeCell ref="T11:U11"/>
    <mergeCell ref="W11:X11"/>
    <mergeCell ref="Y11:Z11"/>
    <mergeCell ref="AA11:AB11"/>
    <mergeCell ref="F12:G12"/>
    <mergeCell ref="L12:M12"/>
    <mergeCell ref="Q12:R12"/>
    <mergeCell ref="T12:U12"/>
    <mergeCell ref="W12:X12"/>
    <mergeCell ref="Y12:Z12"/>
    <mergeCell ref="AA12:AB12"/>
    <mergeCell ref="F13:G13"/>
    <mergeCell ref="L13:M13"/>
    <mergeCell ref="Q13:R13"/>
    <mergeCell ref="T13:U13"/>
    <mergeCell ref="W13:X13"/>
    <mergeCell ref="Y13:Z13"/>
    <mergeCell ref="AA13:AB13"/>
    <mergeCell ref="F14:G14"/>
    <mergeCell ref="L14:M14"/>
    <mergeCell ref="Q14:R14"/>
    <mergeCell ref="T14:U14"/>
    <mergeCell ref="W14:X14"/>
    <mergeCell ref="Y14:Z14"/>
    <mergeCell ref="AA14:AB14"/>
    <mergeCell ref="F15:G15"/>
    <mergeCell ref="L15:M15"/>
    <mergeCell ref="Q15:R15"/>
    <mergeCell ref="T15:U15"/>
    <mergeCell ref="W15:X15"/>
    <mergeCell ref="Y15:Z15"/>
    <mergeCell ref="AA15:AB15"/>
    <mergeCell ref="F16:G16"/>
    <mergeCell ref="L16:M16"/>
    <mergeCell ref="Q16:R16"/>
    <mergeCell ref="T16:U16"/>
    <mergeCell ref="W16:X16"/>
    <mergeCell ref="Y16:Z16"/>
    <mergeCell ref="AA16:AB16"/>
    <mergeCell ref="F17:G17"/>
    <mergeCell ref="L17:M17"/>
    <mergeCell ref="Q17:R17"/>
    <mergeCell ref="T17:U17"/>
    <mergeCell ref="W17:X17"/>
    <mergeCell ref="Y17:Z17"/>
    <mergeCell ref="AA17:AB17"/>
    <mergeCell ref="F18:G18"/>
    <mergeCell ref="L18:M18"/>
    <mergeCell ref="Q18:R18"/>
    <mergeCell ref="T18:U18"/>
    <mergeCell ref="W18:X18"/>
    <mergeCell ref="Y18:Z18"/>
    <mergeCell ref="AA18:AB18"/>
    <mergeCell ref="F19:G19"/>
    <mergeCell ref="L19:M19"/>
    <mergeCell ref="Q19:R19"/>
    <mergeCell ref="T19:U19"/>
    <mergeCell ref="W19:X19"/>
    <mergeCell ref="Y19:Z19"/>
    <mergeCell ref="AA19:AB19"/>
    <mergeCell ref="F20:G20"/>
    <mergeCell ref="L20:M20"/>
    <mergeCell ref="Q20:R20"/>
    <mergeCell ref="T20:U20"/>
    <mergeCell ref="W20:X20"/>
    <mergeCell ref="Y20:Z20"/>
    <mergeCell ref="AA20:AB20"/>
    <mergeCell ref="F21:G21"/>
    <mergeCell ref="L21:M21"/>
    <mergeCell ref="Q21:R21"/>
    <mergeCell ref="T21:U21"/>
    <mergeCell ref="W21:X21"/>
    <mergeCell ref="Y21:Z21"/>
    <mergeCell ref="AA21:AB21"/>
    <mergeCell ref="F22:G22"/>
    <mergeCell ref="L22:M22"/>
    <mergeCell ref="Q22:R22"/>
    <mergeCell ref="T22:U22"/>
    <mergeCell ref="W22:X22"/>
    <mergeCell ref="Y22:Z22"/>
    <mergeCell ref="AA22:AB22"/>
    <mergeCell ref="F23:G23"/>
    <mergeCell ref="L23:M23"/>
    <mergeCell ref="Q23:R23"/>
    <mergeCell ref="T23:U23"/>
    <mergeCell ref="W23:X23"/>
    <mergeCell ref="Y23:Z23"/>
    <mergeCell ref="AA23:AB23"/>
    <mergeCell ref="F24:G24"/>
    <mergeCell ref="L24:M24"/>
    <mergeCell ref="Q24:R24"/>
    <mergeCell ref="T24:U24"/>
    <mergeCell ref="W24:X24"/>
    <mergeCell ref="Y24:Z24"/>
    <mergeCell ref="AA24:AB24"/>
    <mergeCell ref="F25:G25"/>
    <mergeCell ref="L25:M25"/>
    <mergeCell ref="Q25:R25"/>
    <mergeCell ref="T25:U25"/>
    <mergeCell ref="W25:X25"/>
    <mergeCell ref="Y25:Z25"/>
    <mergeCell ref="AA25:AB25"/>
    <mergeCell ref="F26:G26"/>
    <mergeCell ref="L26:M26"/>
    <mergeCell ref="Q26:R26"/>
    <mergeCell ref="T26:U26"/>
    <mergeCell ref="W26:X26"/>
    <mergeCell ref="Y26:Z26"/>
    <mergeCell ref="AA26:AB26"/>
    <mergeCell ref="F27:G27"/>
    <mergeCell ref="L27:M27"/>
    <mergeCell ref="Q27:R27"/>
    <mergeCell ref="T27:U27"/>
    <mergeCell ref="W27:X27"/>
    <mergeCell ref="Y27:Z27"/>
    <mergeCell ref="AA27:AB27"/>
    <mergeCell ref="F28:G28"/>
    <mergeCell ref="L28:M28"/>
    <mergeCell ref="Q28:R28"/>
    <mergeCell ref="T28:U28"/>
    <mergeCell ref="W28:X28"/>
    <mergeCell ref="Y28:Z28"/>
    <mergeCell ref="AA28:AB28"/>
    <mergeCell ref="F29:G29"/>
    <mergeCell ref="L29:M29"/>
    <mergeCell ref="Q29:R29"/>
    <mergeCell ref="T29:U29"/>
    <mergeCell ref="W29:X29"/>
    <mergeCell ref="Y29:Z29"/>
    <mergeCell ref="AA29:AB29"/>
    <mergeCell ref="F30:G30"/>
    <mergeCell ref="L30:M30"/>
    <mergeCell ref="Q30:R30"/>
    <mergeCell ref="T30:U30"/>
    <mergeCell ref="W30:X30"/>
    <mergeCell ref="Y30:Z30"/>
    <mergeCell ref="AA30:AB30"/>
    <mergeCell ref="F31:G31"/>
    <mergeCell ref="L31:M31"/>
    <mergeCell ref="Q31:R31"/>
    <mergeCell ref="T31:U31"/>
    <mergeCell ref="W31:X31"/>
    <mergeCell ref="Y31:Z31"/>
    <mergeCell ref="AA31:AB31"/>
    <mergeCell ref="F32:G32"/>
    <mergeCell ref="L32:M32"/>
    <mergeCell ref="Q32:R32"/>
    <mergeCell ref="T32:U32"/>
    <mergeCell ref="W32:X32"/>
    <mergeCell ref="Y32:Z32"/>
    <mergeCell ref="AA32:AB32"/>
    <mergeCell ref="F33:G33"/>
    <mergeCell ref="L33:M33"/>
    <mergeCell ref="Q33:R33"/>
    <mergeCell ref="T33:U33"/>
    <mergeCell ref="W33:X33"/>
    <mergeCell ref="Y33:Z33"/>
    <mergeCell ref="AA33:AB33"/>
    <mergeCell ref="F34:G34"/>
    <mergeCell ref="L34:M34"/>
    <mergeCell ref="Q34:R34"/>
    <mergeCell ref="T34:U34"/>
    <mergeCell ref="W34:X34"/>
    <mergeCell ref="Y34:Z34"/>
    <mergeCell ref="AA34:AB34"/>
    <mergeCell ref="F35:G35"/>
    <mergeCell ref="L35:M35"/>
    <mergeCell ref="Q35:R35"/>
    <mergeCell ref="T35:U35"/>
    <mergeCell ref="W35:X35"/>
    <mergeCell ref="Y35:Z35"/>
    <mergeCell ref="AA35:AB35"/>
    <mergeCell ref="F36:G36"/>
    <mergeCell ref="L36:M36"/>
    <mergeCell ref="Q36:R36"/>
    <mergeCell ref="T36:U36"/>
    <mergeCell ref="W36:X36"/>
    <mergeCell ref="Y36:Z36"/>
    <mergeCell ref="AA36:AB36"/>
    <mergeCell ref="F37:G37"/>
    <mergeCell ref="L37:M37"/>
    <mergeCell ref="Q37:R37"/>
    <mergeCell ref="T37:U37"/>
    <mergeCell ref="W37:X37"/>
    <mergeCell ref="Y37:Z37"/>
    <mergeCell ref="AA37:AB37"/>
    <mergeCell ref="F38:G38"/>
    <mergeCell ref="L38:M38"/>
    <mergeCell ref="Q38:R38"/>
    <mergeCell ref="T38:U38"/>
    <mergeCell ref="W38:X38"/>
    <mergeCell ref="Y38:Z38"/>
    <mergeCell ref="AA38:AB38"/>
    <mergeCell ref="F39:G39"/>
    <mergeCell ref="L39:M39"/>
    <mergeCell ref="Q39:R39"/>
    <mergeCell ref="T39:U39"/>
    <mergeCell ref="W39:X39"/>
    <mergeCell ref="Y39:Z39"/>
    <mergeCell ref="AA39:AB39"/>
    <mergeCell ref="F40:G40"/>
    <mergeCell ref="L40:M40"/>
    <mergeCell ref="Q40:R40"/>
    <mergeCell ref="T40:U40"/>
    <mergeCell ref="W40:X40"/>
    <mergeCell ref="Y40:Z40"/>
    <mergeCell ref="AA40:AB40"/>
    <mergeCell ref="F41:G41"/>
    <mergeCell ref="L41:M41"/>
    <mergeCell ref="Q41:R41"/>
    <mergeCell ref="T41:U41"/>
    <mergeCell ref="W41:X41"/>
    <mergeCell ref="Y41:Z41"/>
    <mergeCell ref="AA41:AB41"/>
    <mergeCell ref="F42:G42"/>
    <mergeCell ref="L42:M42"/>
    <mergeCell ref="Q42:R42"/>
    <mergeCell ref="T42:U42"/>
    <mergeCell ref="W42:X42"/>
    <mergeCell ref="Y42:Z42"/>
    <mergeCell ref="AA42:AB42"/>
    <mergeCell ref="F43:G43"/>
    <mergeCell ref="L43:M43"/>
    <mergeCell ref="Q43:R43"/>
    <mergeCell ref="T43:U43"/>
    <mergeCell ref="W43:X43"/>
    <mergeCell ref="Y43:Z43"/>
    <mergeCell ref="AA43:AB43"/>
    <mergeCell ref="F44:G44"/>
    <mergeCell ref="L44:M44"/>
    <mergeCell ref="Q44:R44"/>
    <mergeCell ref="T44:U44"/>
    <mergeCell ref="W44:X44"/>
    <mergeCell ref="Y44:Z44"/>
    <mergeCell ref="AA44:AB44"/>
    <mergeCell ref="F45:G45"/>
    <mergeCell ref="L45:M45"/>
    <mergeCell ref="Q45:R45"/>
    <mergeCell ref="T45:U45"/>
    <mergeCell ref="W45:X45"/>
    <mergeCell ref="Y45:Z45"/>
    <mergeCell ref="AA45:AB45"/>
    <mergeCell ref="F46:G46"/>
    <mergeCell ref="L46:M46"/>
    <mergeCell ref="Q46:R46"/>
    <mergeCell ref="T46:U46"/>
    <mergeCell ref="W46:X46"/>
    <mergeCell ref="Y46:Z46"/>
    <mergeCell ref="AA46:AB46"/>
    <mergeCell ref="F47:G47"/>
    <mergeCell ref="L47:M47"/>
    <mergeCell ref="Q47:R47"/>
    <mergeCell ref="T47:U47"/>
    <mergeCell ref="W47:X47"/>
    <mergeCell ref="Y47:Z47"/>
    <mergeCell ref="AA47:AB47"/>
    <mergeCell ref="F48:G48"/>
    <mergeCell ref="L48:M48"/>
    <mergeCell ref="Q48:R48"/>
    <mergeCell ref="T48:U48"/>
    <mergeCell ref="W48:X48"/>
    <mergeCell ref="Y48:Z48"/>
    <mergeCell ref="AA48:AB48"/>
    <mergeCell ref="F49:G49"/>
    <mergeCell ref="L49:M49"/>
    <mergeCell ref="Q49:R49"/>
    <mergeCell ref="T49:U49"/>
    <mergeCell ref="W49:X49"/>
    <mergeCell ref="Y49:Z49"/>
    <mergeCell ref="AA49:AB49"/>
    <mergeCell ref="F50:G50"/>
    <mergeCell ref="L50:M50"/>
    <mergeCell ref="Q50:R50"/>
    <mergeCell ref="T50:U50"/>
    <mergeCell ref="W50:X50"/>
    <mergeCell ref="Y50:Z50"/>
    <mergeCell ref="AA50:AB50"/>
    <mergeCell ref="F51:G51"/>
    <mergeCell ref="L51:M51"/>
    <mergeCell ref="Q51:R51"/>
    <mergeCell ref="T51:U51"/>
    <mergeCell ref="W51:X51"/>
    <mergeCell ref="Y51:Z51"/>
    <mergeCell ref="AA51:AB51"/>
    <mergeCell ref="F52:G52"/>
    <mergeCell ref="L52:M52"/>
    <mergeCell ref="Q52:R52"/>
    <mergeCell ref="T52:U52"/>
    <mergeCell ref="W52:X52"/>
    <mergeCell ref="Y52:Z52"/>
    <mergeCell ref="AA52:AB52"/>
    <mergeCell ref="F53:G53"/>
    <mergeCell ref="L53:M53"/>
    <mergeCell ref="Q53:R53"/>
    <mergeCell ref="T53:U53"/>
    <mergeCell ref="W53:X53"/>
    <mergeCell ref="Y53:Z53"/>
    <mergeCell ref="AA53:AB53"/>
    <mergeCell ref="F54:G54"/>
    <mergeCell ref="L54:M54"/>
    <mergeCell ref="Q54:R54"/>
    <mergeCell ref="T54:U54"/>
    <mergeCell ref="W54:X54"/>
    <mergeCell ref="Y54:Z54"/>
    <mergeCell ref="AA54:AB54"/>
    <mergeCell ref="F55:G55"/>
    <mergeCell ref="L55:M55"/>
    <mergeCell ref="Q55:R55"/>
    <mergeCell ref="T55:U55"/>
    <mergeCell ref="W55:X55"/>
    <mergeCell ref="Y55:Z55"/>
    <mergeCell ref="AA55:AB55"/>
    <mergeCell ref="F56:G56"/>
    <mergeCell ref="L56:M56"/>
    <mergeCell ref="Q56:R56"/>
    <mergeCell ref="T56:U56"/>
    <mergeCell ref="W56:X56"/>
    <mergeCell ref="Y56:Z56"/>
    <mergeCell ref="AA56:AB56"/>
    <mergeCell ref="F57:G57"/>
    <mergeCell ref="L57:M57"/>
    <mergeCell ref="Q57:R57"/>
    <mergeCell ref="T57:U57"/>
    <mergeCell ref="W57:X57"/>
    <mergeCell ref="Y57:Z57"/>
    <mergeCell ref="AA57:AB57"/>
    <mergeCell ref="F58:G58"/>
    <mergeCell ref="L58:M58"/>
    <mergeCell ref="Q58:R58"/>
    <mergeCell ref="T58:U58"/>
    <mergeCell ref="W58:X58"/>
    <mergeCell ref="Y58:Z58"/>
    <mergeCell ref="AA58:AB58"/>
    <mergeCell ref="F59:G59"/>
    <mergeCell ref="L59:M59"/>
    <mergeCell ref="Q59:R59"/>
    <mergeCell ref="T59:U59"/>
    <mergeCell ref="W59:X59"/>
    <mergeCell ref="Y59:Z59"/>
    <mergeCell ref="AA59:AB59"/>
    <mergeCell ref="F60:G60"/>
    <mergeCell ref="L60:M60"/>
    <mergeCell ref="Q60:R60"/>
    <mergeCell ref="T60:U60"/>
    <mergeCell ref="W60:X60"/>
    <mergeCell ref="Y60:Z60"/>
    <mergeCell ref="AA60:AB60"/>
    <mergeCell ref="F61:G61"/>
    <mergeCell ref="L61:M61"/>
    <mergeCell ref="Q61:R61"/>
    <mergeCell ref="T61:U61"/>
    <mergeCell ref="W61:X61"/>
    <mergeCell ref="Y61:Z61"/>
    <mergeCell ref="AA61:AB61"/>
    <mergeCell ref="F62:G62"/>
    <mergeCell ref="L62:M62"/>
    <mergeCell ref="Q62:R62"/>
    <mergeCell ref="T62:U62"/>
    <mergeCell ref="W62:X62"/>
    <mergeCell ref="Y62:Z62"/>
    <mergeCell ref="AA62:AB62"/>
    <mergeCell ref="F63:G63"/>
    <mergeCell ref="L63:M63"/>
    <mergeCell ref="Q63:R63"/>
    <mergeCell ref="T63:U63"/>
    <mergeCell ref="W63:X63"/>
    <mergeCell ref="Y63:Z63"/>
    <mergeCell ref="AA63:AB63"/>
    <mergeCell ref="F64:G64"/>
    <mergeCell ref="L64:M64"/>
    <mergeCell ref="Q64:R64"/>
    <mergeCell ref="T64:U64"/>
    <mergeCell ref="W64:X64"/>
    <mergeCell ref="Y64:Z64"/>
    <mergeCell ref="AA64:AB64"/>
    <mergeCell ref="F65:G65"/>
    <mergeCell ref="L65:M65"/>
    <mergeCell ref="Q65:R65"/>
    <mergeCell ref="T65:U65"/>
    <mergeCell ref="W65:X65"/>
    <mergeCell ref="Y65:Z65"/>
    <mergeCell ref="AA65:AB65"/>
    <mergeCell ref="F66:G66"/>
    <mergeCell ref="L66:M66"/>
    <mergeCell ref="Q66:R66"/>
    <mergeCell ref="T66:U66"/>
    <mergeCell ref="W66:X66"/>
    <mergeCell ref="Y66:Z66"/>
    <mergeCell ref="AA66:AB66"/>
    <mergeCell ref="F67:G67"/>
    <mergeCell ref="L67:M67"/>
    <mergeCell ref="Q67:R67"/>
    <mergeCell ref="T67:U67"/>
    <mergeCell ref="W67:X67"/>
    <mergeCell ref="Y67:Z67"/>
    <mergeCell ref="AA67:AB67"/>
    <mergeCell ref="F68:G68"/>
    <mergeCell ref="L68:M68"/>
    <mergeCell ref="Q68:R68"/>
    <mergeCell ref="T68:U68"/>
    <mergeCell ref="W68:X68"/>
    <mergeCell ref="Y68:Z68"/>
    <mergeCell ref="AA68:AB68"/>
    <mergeCell ref="F69:G69"/>
    <mergeCell ref="L69:M69"/>
    <mergeCell ref="Q69:R69"/>
    <mergeCell ref="T69:U69"/>
    <mergeCell ref="W69:X69"/>
    <mergeCell ref="Y69:Z69"/>
    <mergeCell ref="AA69:AB69"/>
    <mergeCell ref="F70:G70"/>
    <mergeCell ref="L70:M70"/>
    <mergeCell ref="Q70:R70"/>
    <mergeCell ref="T70:U70"/>
    <mergeCell ref="W70:X70"/>
    <mergeCell ref="Y70:Z70"/>
    <mergeCell ref="AA70:AB70"/>
    <mergeCell ref="F71:G71"/>
    <mergeCell ref="L71:M71"/>
    <mergeCell ref="Q71:R71"/>
    <mergeCell ref="T71:U71"/>
    <mergeCell ref="W71:X71"/>
    <mergeCell ref="Y71:Z71"/>
    <mergeCell ref="AA71:AB71"/>
    <mergeCell ref="F72:G72"/>
    <mergeCell ref="L72:M72"/>
    <mergeCell ref="Q72:R72"/>
    <mergeCell ref="T72:U72"/>
    <mergeCell ref="W72:X72"/>
    <mergeCell ref="Y72:Z72"/>
    <mergeCell ref="AA72:AB72"/>
    <mergeCell ref="F73:G73"/>
    <mergeCell ref="L73:M73"/>
    <mergeCell ref="Q73:R73"/>
    <mergeCell ref="T73:U73"/>
    <mergeCell ref="W73:X73"/>
    <mergeCell ref="Y73:Z73"/>
    <mergeCell ref="AA73:AB73"/>
    <mergeCell ref="F74:G74"/>
    <mergeCell ref="L74:M74"/>
    <mergeCell ref="Q74:R74"/>
    <mergeCell ref="T74:U74"/>
    <mergeCell ref="W74:X74"/>
    <mergeCell ref="Y74:Z74"/>
    <mergeCell ref="AA74:AB74"/>
    <mergeCell ref="F75:G75"/>
    <mergeCell ref="L75:M75"/>
    <mergeCell ref="Q75:R75"/>
    <mergeCell ref="T75:U75"/>
    <mergeCell ref="W75:X75"/>
    <mergeCell ref="Y75:Z75"/>
    <mergeCell ref="AA75:AB75"/>
    <mergeCell ref="F76:G76"/>
    <mergeCell ref="L76:M76"/>
    <mergeCell ref="Q76:R76"/>
    <mergeCell ref="T76:U76"/>
    <mergeCell ref="W76:X76"/>
    <mergeCell ref="Y76:Z76"/>
    <mergeCell ref="AA76:AB76"/>
    <mergeCell ref="F77:G77"/>
    <mergeCell ref="L77:M77"/>
    <mergeCell ref="Q77:R77"/>
    <mergeCell ref="T77:U77"/>
    <mergeCell ref="W77:X77"/>
    <mergeCell ref="Y77:Z77"/>
    <mergeCell ref="AA77:AB77"/>
    <mergeCell ref="F78:G78"/>
    <mergeCell ref="L78:M78"/>
    <mergeCell ref="Q78:R78"/>
    <mergeCell ref="T78:U78"/>
    <mergeCell ref="W78:X78"/>
    <mergeCell ref="Y78:Z78"/>
    <mergeCell ref="AA78:AB78"/>
    <mergeCell ref="F79:G79"/>
    <mergeCell ref="L79:M79"/>
    <mergeCell ref="Q79:R79"/>
    <mergeCell ref="T79:U79"/>
    <mergeCell ref="W79:X79"/>
    <mergeCell ref="Y79:Z79"/>
    <mergeCell ref="AA79:AB79"/>
    <mergeCell ref="F80:G80"/>
    <mergeCell ref="L80:M80"/>
    <mergeCell ref="Q80:R80"/>
    <mergeCell ref="T80:U80"/>
    <mergeCell ref="W80:X80"/>
    <mergeCell ref="Y80:Z80"/>
    <mergeCell ref="AA80:AB80"/>
    <mergeCell ref="AC81:AD81"/>
    <mergeCell ref="A82:AG82"/>
    <mergeCell ref="A7:A80"/>
  </mergeCells>
  <printOptions horizontalCentered="1"/>
  <pageMargins left="0" right="0" top="0.393700787401575" bottom="0.393700787401575" header="0" footer="0"/>
  <pageSetup paperSize="9" scale="19" fitToHeight="3" orientation="portrait" horizontalDpi="1200" verticalDpi="120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60"/>
  <sheetViews>
    <sheetView zoomScale="70" zoomScaleNormal="70" workbookViewId="0">
      <pane xSplit="5" ySplit="4" topLeftCell="Q38" activePane="bottomRight" state="frozen"/>
      <selection/>
      <selection pane="topRight"/>
      <selection pane="bottomLeft"/>
      <selection pane="bottomRight" activeCell="D50" sqref="D50"/>
    </sheetView>
  </sheetViews>
  <sheetFormatPr defaultColWidth="8.85833333333333" defaultRowHeight="14.25"/>
  <cols>
    <col min="1" max="1" width="18.7083333333333" style="221" customWidth="1"/>
    <col min="2" max="2" width="33.7083333333333" style="221" customWidth="1"/>
    <col min="3" max="3" width="16.1416666666667" style="221" customWidth="1"/>
    <col min="4" max="4" width="25" style="221" customWidth="1"/>
    <col min="5" max="5" width="34.2833333333333" style="221" customWidth="1"/>
    <col min="6" max="16" width="16.2833333333333" style="221" hidden="1" customWidth="1"/>
    <col min="17" max="18" width="18.0333333333333" style="221" hidden="1" customWidth="1"/>
    <col min="19" max="23" width="18.0333333333333" style="221" customWidth="1"/>
    <col min="24" max="24" width="5.875" style="221" customWidth="1"/>
    <col min="25" max="25" width="22.7083333333333" style="221" customWidth="1"/>
    <col min="26" max="27" width="14.325" style="221" customWidth="1"/>
    <col min="28" max="28" width="8.96666666666667" style="221"/>
    <col min="29" max="29" width="8.85833333333333" style="221"/>
    <col min="30" max="30" width="18" style="221" customWidth="1"/>
    <col min="31" max="31" width="12.8583333333333" style="221" customWidth="1"/>
    <col min="32" max="32" width="12" style="221"/>
    <col min="33" max="16384" width="8.85833333333333" style="221"/>
  </cols>
  <sheetData>
    <row r="1" s="220" customFormat="1" ht="52" customHeight="1" spans="1:30">
      <c r="A1" s="223"/>
      <c r="B1" s="224"/>
      <c r="C1" s="225"/>
      <c r="D1" s="226" t="s">
        <v>6681</v>
      </c>
      <c r="E1" s="226"/>
      <c r="F1" s="226"/>
      <c r="G1" s="226"/>
      <c r="H1" s="226"/>
      <c r="I1" s="226"/>
      <c r="J1" s="226"/>
      <c r="K1" s="226"/>
      <c r="L1" s="226"/>
      <c r="M1" s="226"/>
      <c r="N1" s="226"/>
      <c r="O1" s="226"/>
      <c r="P1" s="226"/>
      <c r="Q1" s="226"/>
      <c r="R1" s="226"/>
      <c r="S1" s="226"/>
      <c r="T1" s="226"/>
      <c r="U1" s="226"/>
      <c r="V1" s="226"/>
      <c r="W1" s="226"/>
      <c r="X1" s="226"/>
      <c r="Y1" s="226"/>
      <c r="Z1" s="226"/>
      <c r="AA1" s="270"/>
      <c r="AB1" s="271"/>
      <c r="AC1" s="271"/>
      <c r="AD1" s="271"/>
    </row>
    <row r="2" s="221" customFormat="1" ht="36" customHeight="1" spans="1:27">
      <c r="A2" s="227"/>
      <c r="B2" s="228"/>
      <c r="C2" s="229"/>
      <c r="D2" s="230"/>
      <c r="E2" s="231" t="s">
        <v>6682</v>
      </c>
      <c r="F2" s="232">
        <v>45708</v>
      </c>
      <c r="G2" s="232">
        <v>45755</v>
      </c>
      <c r="H2" s="232">
        <v>45785</v>
      </c>
      <c r="I2" s="232">
        <v>45791</v>
      </c>
      <c r="J2" s="232">
        <v>45800</v>
      </c>
      <c r="K2" s="232">
        <v>45819</v>
      </c>
      <c r="L2" s="232">
        <v>45828</v>
      </c>
      <c r="M2" s="232">
        <v>45852</v>
      </c>
      <c r="N2" s="232">
        <v>45870</v>
      </c>
      <c r="O2" s="232">
        <v>45887</v>
      </c>
      <c r="P2" s="232">
        <v>45896</v>
      </c>
      <c r="Q2" s="232">
        <v>45904</v>
      </c>
      <c r="R2" s="232">
        <v>45929</v>
      </c>
      <c r="S2" s="232">
        <v>45950</v>
      </c>
      <c r="T2" s="232">
        <v>45959</v>
      </c>
      <c r="U2" s="232">
        <v>45988</v>
      </c>
      <c r="V2" s="232">
        <v>46010</v>
      </c>
      <c r="W2" s="232">
        <v>46021</v>
      </c>
      <c r="X2" s="232"/>
      <c r="Y2" s="272"/>
      <c r="Z2" s="273"/>
      <c r="AA2" s="273"/>
    </row>
    <row r="3" s="221" customFormat="1" ht="36" customHeight="1" spans="1:27">
      <c r="A3" s="227"/>
      <c r="B3" s="228"/>
      <c r="C3" s="229"/>
      <c r="D3" s="230"/>
      <c r="E3" s="233" t="s">
        <v>6683</v>
      </c>
      <c r="F3" s="232">
        <v>45757</v>
      </c>
      <c r="G3" s="232">
        <v>45797</v>
      </c>
      <c r="H3" s="232">
        <v>45838</v>
      </c>
      <c r="I3" s="232">
        <v>45838</v>
      </c>
      <c r="J3" s="232">
        <v>45845</v>
      </c>
      <c r="K3" s="232">
        <v>45856</v>
      </c>
      <c r="L3" s="232">
        <v>45877</v>
      </c>
      <c r="M3" s="232">
        <v>45891</v>
      </c>
      <c r="N3" s="232">
        <v>45905</v>
      </c>
      <c r="O3" s="232">
        <v>45925</v>
      </c>
      <c r="P3" s="232">
        <v>45930</v>
      </c>
      <c r="Q3" s="232">
        <v>45945</v>
      </c>
      <c r="R3" s="232">
        <v>45966</v>
      </c>
      <c r="S3" s="232">
        <v>45991</v>
      </c>
      <c r="T3" s="232">
        <v>46001</v>
      </c>
      <c r="U3" s="232">
        <v>46032</v>
      </c>
      <c r="V3" s="232">
        <v>46055</v>
      </c>
      <c r="W3" s="232">
        <v>46063</v>
      </c>
      <c r="X3" s="232"/>
      <c r="Y3" s="272"/>
      <c r="Z3" s="273"/>
      <c r="AA3" s="273"/>
    </row>
    <row r="4" s="221" customFormat="1" ht="36" customHeight="1" spans="1:27">
      <c r="A4" s="227"/>
      <c r="B4" s="228"/>
      <c r="C4" s="234"/>
      <c r="D4" s="230"/>
      <c r="E4" s="231" t="s">
        <v>6684</v>
      </c>
      <c r="F4" s="235" t="s">
        <v>6552</v>
      </c>
      <c r="G4" s="235" t="s">
        <v>6553</v>
      </c>
      <c r="H4" s="235" t="s">
        <v>6685</v>
      </c>
      <c r="I4" s="235" t="s">
        <v>6554</v>
      </c>
      <c r="J4" s="235" t="s">
        <v>6555</v>
      </c>
      <c r="K4" s="235" t="s">
        <v>6556</v>
      </c>
      <c r="L4" s="235" t="s">
        <v>6557</v>
      </c>
      <c r="M4" s="235" t="s">
        <v>6558</v>
      </c>
      <c r="N4" s="235" t="s">
        <v>6686</v>
      </c>
      <c r="O4" s="235" t="s">
        <v>6559</v>
      </c>
      <c r="P4" s="235" t="s">
        <v>6560</v>
      </c>
      <c r="Q4" s="235" t="s">
        <v>6561</v>
      </c>
      <c r="R4" s="235" t="s">
        <v>6562</v>
      </c>
      <c r="S4" s="235" t="s">
        <v>6563</v>
      </c>
      <c r="T4" s="235" t="s">
        <v>6564</v>
      </c>
      <c r="U4" s="235" t="s">
        <v>6565</v>
      </c>
      <c r="V4" s="235" t="s">
        <v>6566</v>
      </c>
      <c r="W4" s="235" t="s">
        <v>6687</v>
      </c>
      <c r="X4" s="235"/>
      <c r="Y4" s="274" t="s">
        <v>6688</v>
      </c>
      <c r="Z4" s="275" t="s">
        <v>6689</v>
      </c>
      <c r="AA4" s="275" t="s">
        <v>33</v>
      </c>
    </row>
    <row r="5" s="221" customFormat="1" ht="36" customHeight="1" spans="1:27">
      <c r="A5" s="227"/>
      <c r="B5" s="228" t="s">
        <v>6690</v>
      </c>
      <c r="C5" s="236"/>
      <c r="D5" s="230"/>
      <c r="E5" s="231" t="s">
        <v>6691</v>
      </c>
      <c r="F5" s="235">
        <v>200000</v>
      </c>
      <c r="G5" s="235"/>
      <c r="H5" s="235">
        <v>100000</v>
      </c>
      <c r="I5" s="235">
        <v>50000</v>
      </c>
      <c r="J5" s="235">
        <v>50000</v>
      </c>
      <c r="K5" s="235">
        <v>50000</v>
      </c>
      <c r="L5" s="235">
        <v>20000</v>
      </c>
      <c r="M5" s="235">
        <v>26000</v>
      </c>
      <c r="N5" s="235">
        <v>60000</v>
      </c>
      <c r="O5" s="235">
        <v>50000</v>
      </c>
      <c r="P5" s="235">
        <v>60000</v>
      </c>
      <c r="Q5" s="235">
        <v>150000</v>
      </c>
      <c r="R5" s="235">
        <v>200000</v>
      </c>
      <c r="S5" s="235">
        <v>300000</v>
      </c>
      <c r="T5" s="235">
        <v>0</v>
      </c>
      <c r="U5" s="235">
        <v>400000</v>
      </c>
      <c r="V5" s="235">
        <v>300000</v>
      </c>
      <c r="W5" s="235">
        <v>0</v>
      </c>
      <c r="X5" s="235"/>
      <c r="Y5" s="274">
        <f>SUM(F5:X5)</f>
        <v>2016000</v>
      </c>
      <c r="Z5" s="273">
        <f>'77673'!AL924</f>
        <v>1531838</v>
      </c>
      <c r="AA5" s="273">
        <f>Y5-Z5</f>
        <v>484162</v>
      </c>
    </row>
    <row r="6" s="221" customFormat="1" ht="36" customHeight="1" spans="1:27">
      <c r="A6" s="227"/>
      <c r="B6" s="228" t="s">
        <v>6692</v>
      </c>
      <c r="C6" s="236"/>
      <c r="D6" s="230"/>
      <c r="E6" s="231" t="s">
        <v>6693</v>
      </c>
      <c r="F6" s="235">
        <v>20000</v>
      </c>
      <c r="G6" s="235"/>
      <c r="H6" s="235"/>
      <c r="I6" s="235">
        <v>10000</v>
      </c>
      <c r="J6" s="235"/>
      <c r="K6" s="235"/>
      <c r="L6" s="235">
        <v>50000</v>
      </c>
      <c r="M6" s="235"/>
      <c r="N6" s="235">
        <v>40000</v>
      </c>
      <c r="O6" s="235">
        <v>55000</v>
      </c>
      <c r="P6" s="235">
        <v>20000</v>
      </c>
      <c r="Q6" s="235">
        <v>20000</v>
      </c>
      <c r="R6" s="235"/>
      <c r="S6" s="235"/>
      <c r="T6" s="235">
        <v>60000</v>
      </c>
      <c r="U6" s="235">
        <v>50000</v>
      </c>
      <c r="V6" s="235">
        <v>169678</v>
      </c>
      <c r="W6" s="235">
        <v>20006</v>
      </c>
      <c r="X6" s="235"/>
      <c r="Y6" s="274">
        <f>SUM(F6:X6)</f>
        <v>514684</v>
      </c>
      <c r="Z6" s="273">
        <f>'77673'!AN924</f>
        <v>468060</v>
      </c>
      <c r="AA6" s="273">
        <f>Y6-Z6</f>
        <v>46624</v>
      </c>
    </row>
    <row r="7" s="221" customFormat="1" ht="36" customHeight="1" spans="1:27">
      <c r="A7" s="227"/>
      <c r="B7" s="228" t="s">
        <v>6694</v>
      </c>
      <c r="C7" s="236"/>
      <c r="D7" s="230"/>
      <c r="E7" s="231" t="s">
        <v>6691</v>
      </c>
      <c r="F7" s="235">
        <v>50000</v>
      </c>
      <c r="G7" s="235"/>
      <c r="H7" s="235">
        <v>-20600</v>
      </c>
      <c r="I7" s="235"/>
      <c r="J7" s="235"/>
      <c r="K7" s="235"/>
      <c r="L7" s="235">
        <v>35000</v>
      </c>
      <c r="M7" s="235">
        <v>40600</v>
      </c>
      <c r="N7" s="235">
        <v>5400</v>
      </c>
      <c r="O7" s="235"/>
      <c r="P7" s="235"/>
      <c r="Q7" s="235">
        <v>0</v>
      </c>
      <c r="R7" s="235"/>
      <c r="S7" s="235"/>
      <c r="T7" s="235">
        <v>0</v>
      </c>
      <c r="U7" s="235">
        <v>50000</v>
      </c>
      <c r="V7" s="235">
        <v>85000</v>
      </c>
      <c r="W7" s="235">
        <v>0</v>
      </c>
      <c r="X7" s="235"/>
      <c r="Y7" s="274">
        <f>SUM(F7:X7)</f>
        <v>245400</v>
      </c>
      <c r="Z7" s="273">
        <f>'77673'!AM924</f>
        <v>245400</v>
      </c>
      <c r="AA7" s="273">
        <f>Y7-Z7</f>
        <v>0</v>
      </c>
    </row>
    <row r="8" s="221" customFormat="1" ht="36" customHeight="1" spans="1:27">
      <c r="A8" s="227"/>
      <c r="B8" s="228" t="s">
        <v>6695</v>
      </c>
      <c r="C8" s="228"/>
      <c r="D8" s="230"/>
      <c r="E8" s="231" t="s">
        <v>6691</v>
      </c>
      <c r="F8" s="235">
        <v>0</v>
      </c>
      <c r="G8" s="235">
        <v>10725</v>
      </c>
      <c r="H8" s="235">
        <v>11025</v>
      </c>
      <c r="I8" s="235"/>
      <c r="J8" s="235"/>
      <c r="K8" s="235"/>
      <c r="L8" s="235"/>
      <c r="M8" s="235"/>
      <c r="N8" s="235">
        <v>-3600</v>
      </c>
      <c r="O8" s="235"/>
      <c r="P8" s="235"/>
      <c r="Q8" s="235">
        <v>9600</v>
      </c>
      <c r="R8" s="235"/>
      <c r="S8" s="235"/>
      <c r="T8" s="235">
        <v>0</v>
      </c>
      <c r="U8" s="235">
        <v>6200</v>
      </c>
      <c r="V8" s="235">
        <v>1800</v>
      </c>
      <c r="W8" s="235">
        <v>0</v>
      </c>
      <c r="X8" s="235"/>
      <c r="Y8" s="274">
        <f>SUM(F8:X8)</f>
        <v>35750</v>
      </c>
      <c r="Z8" s="273">
        <f>'77673'!AO924</f>
        <v>31950</v>
      </c>
      <c r="AA8" s="273">
        <f>Y8-Z8</f>
        <v>3800</v>
      </c>
    </row>
    <row r="9" s="221" customFormat="1" ht="36" customHeight="1" spans="1:27">
      <c r="A9" s="227"/>
      <c r="B9" s="228"/>
      <c r="C9" s="228"/>
      <c r="D9" s="230"/>
      <c r="E9" s="233" t="s">
        <v>6688</v>
      </c>
      <c r="F9" s="235">
        <f t="shared" ref="F9:W9" si="0">SUM(F5:F8)</f>
        <v>270000</v>
      </c>
      <c r="G9" s="235">
        <f t="shared" si="0"/>
        <v>10725</v>
      </c>
      <c r="H9" s="235">
        <f t="shared" si="0"/>
        <v>90425</v>
      </c>
      <c r="I9" s="235">
        <f t="shared" si="0"/>
        <v>60000</v>
      </c>
      <c r="J9" s="235">
        <f t="shared" si="0"/>
        <v>50000</v>
      </c>
      <c r="K9" s="235">
        <f t="shared" si="0"/>
        <v>50000</v>
      </c>
      <c r="L9" s="235">
        <f t="shared" si="0"/>
        <v>105000</v>
      </c>
      <c r="M9" s="235">
        <f t="shared" si="0"/>
        <v>66600</v>
      </c>
      <c r="N9" s="235">
        <f t="shared" si="0"/>
        <v>101800</v>
      </c>
      <c r="O9" s="235">
        <f t="shared" si="0"/>
        <v>105000</v>
      </c>
      <c r="P9" s="235">
        <f t="shared" si="0"/>
        <v>80000</v>
      </c>
      <c r="Q9" s="235">
        <f t="shared" si="0"/>
        <v>179600</v>
      </c>
      <c r="R9" s="235">
        <f t="shared" si="0"/>
        <v>200000</v>
      </c>
      <c r="S9" s="235">
        <f t="shared" si="0"/>
        <v>300000</v>
      </c>
      <c r="T9" s="235">
        <f t="shared" si="0"/>
        <v>60000</v>
      </c>
      <c r="U9" s="235">
        <f t="shared" si="0"/>
        <v>506200</v>
      </c>
      <c r="V9" s="235">
        <f t="shared" si="0"/>
        <v>556478</v>
      </c>
      <c r="W9" s="235">
        <f t="shared" si="0"/>
        <v>20006</v>
      </c>
      <c r="X9" s="235"/>
      <c r="Y9" s="274">
        <f>SUM(Y5:Y8)</f>
        <v>2811834</v>
      </c>
      <c r="Z9" s="274">
        <f>SUM(Z5:Z8)</f>
        <v>2277248</v>
      </c>
      <c r="AA9" s="274">
        <f>SUM(AA5:AA8)</f>
        <v>534586</v>
      </c>
    </row>
    <row r="10" s="221" customFormat="1" ht="15" customHeight="1" spans="1:27">
      <c r="A10" s="237" t="s">
        <v>6588</v>
      </c>
      <c r="B10" s="238" t="s">
        <v>6589</v>
      </c>
      <c r="C10" s="238" t="s">
        <v>6696</v>
      </c>
      <c r="D10" s="239" t="s">
        <v>6697</v>
      </c>
      <c r="E10" s="240" t="s">
        <v>6698</v>
      </c>
      <c r="F10" s="241"/>
      <c r="G10" s="241"/>
      <c r="H10" s="241"/>
      <c r="I10" s="241"/>
      <c r="J10" s="241"/>
      <c r="K10" s="241"/>
      <c r="L10" s="241"/>
      <c r="M10" s="241"/>
      <c r="N10" s="241"/>
      <c r="O10" s="241"/>
      <c r="P10" s="241"/>
      <c r="Q10" s="241"/>
      <c r="R10" s="241"/>
      <c r="S10" s="241"/>
      <c r="T10" s="241"/>
      <c r="U10" s="241"/>
      <c r="V10" s="241"/>
      <c r="W10" s="241">
        <v>0</v>
      </c>
      <c r="X10" s="241"/>
      <c r="Y10" s="241"/>
      <c r="Z10" s="238"/>
      <c r="AA10" s="276"/>
    </row>
    <row r="11" s="222" customFormat="1" ht="21" customHeight="1" spans="1:31">
      <c r="A11" s="242"/>
      <c r="B11" s="243" t="s">
        <v>6699</v>
      </c>
      <c r="C11" s="244" t="s">
        <v>6700</v>
      </c>
      <c r="D11" s="244" t="s">
        <v>6701</v>
      </c>
      <c r="E11" s="245" t="s">
        <v>6702</v>
      </c>
      <c r="F11" s="246">
        <v>270000</v>
      </c>
      <c r="G11" s="246">
        <v>10725</v>
      </c>
      <c r="H11" s="246">
        <v>90425</v>
      </c>
      <c r="I11" s="246">
        <v>60000</v>
      </c>
      <c r="J11" s="246">
        <v>50000</v>
      </c>
      <c r="K11" s="246">
        <v>50000</v>
      </c>
      <c r="L11" s="246">
        <v>105000</v>
      </c>
      <c r="M11" s="246">
        <v>66600</v>
      </c>
      <c r="N11" s="246">
        <v>101800</v>
      </c>
      <c r="O11" s="246">
        <v>105000</v>
      </c>
      <c r="P11" s="246">
        <v>80000</v>
      </c>
      <c r="Q11" s="246">
        <v>179600</v>
      </c>
      <c r="R11" s="246">
        <v>200000</v>
      </c>
      <c r="S11" s="246">
        <v>300000</v>
      </c>
      <c r="T11" s="246">
        <v>60000</v>
      </c>
      <c r="U11" s="246">
        <v>506200</v>
      </c>
      <c r="V11" s="246">
        <v>556480</v>
      </c>
      <c r="W11" s="246">
        <v>20010</v>
      </c>
      <c r="X11" s="246"/>
      <c r="Y11" s="277">
        <f t="shared" ref="Y11:Y25" si="1">SUM(F11:X11)</f>
        <v>2811840</v>
      </c>
      <c r="Z11" s="278" t="s">
        <v>6703</v>
      </c>
      <c r="AA11" s="279"/>
      <c r="AB11" s="280">
        <v>3</v>
      </c>
      <c r="AC11" s="281"/>
      <c r="AD11" s="282"/>
      <c r="AE11" s="282"/>
    </row>
    <row r="12" s="222" customFormat="1" ht="21" customHeight="1" spans="1:31">
      <c r="A12" s="242"/>
      <c r="B12" s="244" t="s">
        <v>6704</v>
      </c>
      <c r="C12" s="244" t="s">
        <v>6705</v>
      </c>
      <c r="D12" s="244" t="s">
        <v>68</v>
      </c>
      <c r="E12" s="245" t="s">
        <v>6706</v>
      </c>
      <c r="F12" s="246">
        <v>270000</v>
      </c>
      <c r="G12" s="246">
        <v>10725</v>
      </c>
      <c r="H12" s="246">
        <v>90425</v>
      </c>
      <c r="I12" s="246">
        <v>60000</v>
      </c>
      <c r="J12" s="246">
        <v>50000</v>
      </c>
      <c r="K12" s="246">
        <v>50000</v>
      </c>
      <c r="L12" s="246">
        <v>105000</v>
      </c>
      <c r="M12" s="246">
        <v>66600</v>
      </c>
      <c r="N12" s="246">
        <v>101800</v>
      </c>
      <c r="O12" s="246">
        <v>105000</v>
      </c>
      <c r="P12" s="246">
        <v>80000</v>
      </c>
      <c r="Q12" s="246">
        <v>179600</v>
      </c>
      <c r="R12" s="246">
        <v>200000</v>
      </c>
      <c r="S12" s="246">
        <v>300000</v>
      </c>
      <c r="T12" s="246">
        <v>60000</v>
      </c>
      <c r="U12" s="246">
        <v>506400</v>
      </c>
      <c r="V12" s="246">
        <v>556480</v>
      </c>
      <c r="W12" s="246">
        <v>20010</v>
      </c>
      <c r="X12" s="246"/>
      <c r="Y12" s="277">
        <f t="shared" si="1"/>
        <v>2812040</v>
      </c>
      <c r="Z12" s="278" t="s">
        <v>6703</v>
      </c>
      <c r="AA12" s="279"/>
      <c r="AB12" s="280">
        <v>4</v>
      </c>
      <c r="AC12" s="281"/>
      <c r="AD12" s="282"/>
      <c r="AE12" s="282"/>
    </row>
    <row r="13" s="222" customFormat="1" ht="21" customHeight="1" spans="1:31">
      <c r="A13" s="242"/>
      <c r="B13" s="244" t="s">
        <v>6707</v>
      </c>
      <c r="C13" s="244" t="s">
        <v>6708</v>
      </c>
      <c r="D13" s="244" t="s">
        <v>68</v>
      </c>
      <c r="E13" s="245" t="s">
        <v>6709</v>
      </c>
      <c r="F13" s="246">
        <v>270000</v>
      </c>
      <c r="G13" s="246">
        <v>10725</v>
      </c>
      <c r="H13" s="246">
        <v>90425</v>
      </c>
      <c r="I13" s="246">
        <v>60000</v>
      </c>
      <c r="J13" s="246">
        <v>50000</v>
      </c>
      <c r="K13" s="246">
        <v>50000</v>
      </c>
      <c r="L13" s="246">
        <v>105000</v>
      </c>
      <c r="M13" s="246">
        <v>66600</v>
      </c>
      <c r="N13" s="246">
        <v>101800</v>
      </c>
      <c r="O13" s="246">
        <v>105000</v>
      </c>
      <c r="P13" s="246">
        <v>80000</v>
      </c>
      <c r="Q13" s="246">
        <v>179600</v>
      </c>
      <c r="R13" s="246">
        <v>200000</v>
      </c>
      <c r="S13" s="246">
        <v>300000</v>
      </c>
      <c r="T13" s="246">
        <v>60000</v>
      </c>
      <c r="U13" s="246">
        <v>506200</v>
      </c>
      <c r="V13" s="246">
        <v>556480</v>
      </c>
      <c r="W13" s="246">
        <v>20010</v>
      </c>
      <c r="X13" s="246"/>
      <c r="Y13" s="277">
        <f t="shared" si="1"/>
        <v>2811840</v>
      </c>
      <c r="Z13" s="278" t="s">
        <v>6703</v>
      </c>
      <c r="AA13" s="279"/>
      <c r="AB13" s="280">
        <v>5</v>
      </c>
      <c r="AC13" s="281"/>
      <c r="AD13" s="282"/>
      <c r="AE13" s="282"/>
    </row>
    <row r="14" s="222" customFormat="1" ht="21" customHeight="1" spans="1:31">
      <c r="A14" s="242"/>
      <c r="B14" s="244" t="s">
        <v>6710</v>
      </c>
      <c r="C14" s="244"/>
      <c r="D14" s="244" t="s">
        <v>68</v>
      </c>
      <c r="E14" s="245" t="s">
        <v>6711</v>
      </c>
      <c r="F14" s="246">
        <v>270000</v>
      </c>
      <c r="G14" s="246">
        <v>10725</v>
      </c>
      <c r="H14" s="246">
        <v>90425</v>
      </c>
      <c r="I14" s="246">
        <v>60000</v>
      </c>
      <c r="J14" s="246">
        <v>50000</v>
      </c>
      <c r="K14" s="246">
        <v>50000</v>
      </c>
      <c r="L14" s="246">
        <v>105000</v>
      </c>
      <c r="M14" s="246">
        <v>66600</v>
      </c>
      <c r="N14" s="246">
        <v>101800</v>
      </c>
      <c r="O14" s="246">
        <v>105000</v>
      </c>
      <c r="P14" s="246">
        <v>80000</v>
      </c>
      <c r="Q14" s="246">
        <v>179600</v>
      </c>
      <c r="R14" s="246">
        <v>200000</v>
      </c>
      <c r="S14" s="246">
        <v>300000</v>
      </c>
      <c r="T14" s="246">
        <v>60000</v>
      </c>
      <c r="U14" s="246">
        <v>506200</v>
      </c>
      <c r="V14" s="246">
        <v>556480</v>
      </c>
      <c r="W14" s="246">
        <v>20010</v>
      </c>
      <c r="X14" s="246"/>
      <c r="Y14" s="277">
        <f t="shared" si="1"/>
        <v>2811840</v>
      </c>
      <c r="Z14" s="278" t="s">
        <v>6703</v>
      </c>
      <c r="AA14" s="279"/>
      <c r="AB14" s="280">
        <v>6</v>
      </c>
      <c r="AC14" s="281"/>
      <c r="AD14" s="282"/>
      <c r="AE14" s="282"/>
    </row>
    <row r="15" s="222" customFormat="1" ht="21" customHeight="1" spans="1:31">
      <c r="A15" s="242"/>
      <c r="B15" s="244" t="s">
        <v>6712</v>
      </c>
      <c r="C15" s="244" t="s">
        <v>6713</v>
      </c>
      <c r="D15" s="244" t="s">
        <v>6714</v>
      </c>
      <c r="E15" s="245" t="s">
        <v>6715</v>
      </c>
      <c r="F15" s="246">
        <v>20000</v>
      </c>
      <c r="G15" s="246"/>
      <c r="H15" s="246"/>
      <c r="I15" s="246">
        <v>10000</v>
      </c>
      <c r="J15" s="246"/>
      <c r="K15" s="246"/>
      <c r="L15" s="246">
        <v>50000</v>
      </c>
      <c r="M15" s="246"/>
      <c r="N15" s="246">
        <v>40000</v>
      </c>
      <c r="O15" s="246">
        <v>55000</v>
      </c>
      <c r="P15" s="246">
        <v>20000</v>
      </c>
      <c r="Q15" s="246">
        <v>20000</v>
      </c>
      <c r="R15" s="246"/>
      <c r="S15" s="246"/>
      <c r="T15" s="246">
        <v>60000</v>
      </c>
      <c r="U15" s="246">
        <v>50000</v>
      </c>
      <c r="V15" s="246">
        <v>169680</v>
      </c>
      <c r="W15" s="246">
        <v>20010</v>
      </c>
      <c r="X15" s="246"/>
      <c r="Y15" s="277">
        <f t="shared" si="1"/>
        <v>514690</v>
      </c>
      <c r="Z15" s="278" t="s">
        <v>6716</v>
      </c>
      <c r="AA15" s="279"/>
      <c r="AB15" s="280">
        <v>7</v>
      </c>
      <c r="AC15" s="281"/>
      <c r="AD15" s="282"/>
      <c r="AE15" s="282"/>
    </row>
    <row r="16" s="222" customFormat="1" ht="21" customHeight="1" spans="1:31">
      <c r="A16" s="242"/>
      <c r="B16" s="243" t="s">
        <v>6717</v>
      </c>
      <c r="C16" s="244" t="s">
        <v>6718</v>
      </c>
      <c r="D16" s="244" t="s">
        <v>6719</v>
      </c>
      <c r="E16" s="245" t="s">
        <v>6702</v>
      </c>
      <c r="F16" s="246">
        <v>20000</v>
      </c>
      <c r="G16" s="246"/>
      <c r="H16" s="246"/>
      <c r="I16" s="246">
        <v>10000</v>
      </c>
      <c r="J16" s="246"/>
      <c r="K16" s="246"/>
      <c r="L16" s="246">
        <v>50000</v>
      </c>
      <c r="M16" s="246"/>
      <c r="N16" s="246">
        <v>40000</v>
      </c>
      <c r="O16" s="246">
        <v>55000</v>
      </c>
      <c r="P16" s="246">
        <v>20000</v>
      </c>
      <c r="Q16" s="246">
        <v>20000</v>
      </c>
      <c r="R16" s="246"/>
      <c r="S16" s="246"/>
      <c r="T16" s="246">
        <v>60000</v>
      </c>
      <c r="U16" s="246">
        <v>50000</v>
      </c>
      <c r="V16" s="246">
        <v>169680</v>
      </c>
      <c r="W16" s="246">
        <v>20010</v>
      </c>
      <c r="X16" s="246"/>
      <c r="Y16" s="277">
        <f t="shared" si="1"/>
        <v>514690</v>
      </c>
      <c r="Z16" s="278" t="s">
        <v>6716</v>
      </c>
      <c r="AA16" s="279"/>
      <c r="AB16" s="280">
        <v>8</v>
      </c>
      <c r="AC16" s="281"/>
      <c r="AD16" s="282"/>
      <c r="AE16" s="282"/>
    </row>
    <row r="17" s="222" customFormat="1" ht="21" customHeight="1" spans="1:31">
      <c r="A17" s="242"/>
      <c r="B17" s="243" t="s">
        <v>6720</v>
      </c>
      <c r="C17" s="244" t="s">
        <v>6721</v>
      </c>
      <c r="D17" s="244" t="s">
        <v>6719</v>
      </c>
      <c r="E17" s="245" t="s">
        <v>6702</v>
      </c>
      <c r="F17" s="246">
        <v>20000</v>
      </c>
      <c r="G17" s="246"/>
      <c r="H17" s="246"/>
      <c r="I17" s="246">
        <v>10000</v>
      </c>
      <c r="J17" s="246"/>
      <c r="K17" s="246"/>
      <c r="L17" s="246">
        <v>50000</v>
      </c>
      <c r="M17" s="246"/>
      <c r="N17" s="246">
        <v>40000</v>
      </c>
      <c r="O17" s="246">
        <v>55000</v>
      </c>
      <c r="P17" s="246">
        <v>20000</v>
      </c>
      <c r="Q17" s="246">
        <v>20000</v>
      </c>
      <c r="R17" s="246"/>
      <c r="S17" s="246"/>
      <c r="T17" s="246">
        <v>60000</v>
      </c>
      <c r="U17" s="246">
        <v>50000</v>
      </c>
      <c r="V17" s="246">
        <v>169680</v>
      </c>
      <c r="W17" s="246">
        <v>20010</v>
      </c>
      <c r="X17" s="246"/>
      <c r="Y17" s="277">
        <f t="shared" si="1"/>
        <v>514690</v>
      </c>
      <c r="Z17" s="278" t="s">
        <v>6716</v>
      </c>
      <c r="AA17" s="279"/>
      <c r="AB17" s="280">
        <v>9</v>
      </c>
      <c r="AC17" s="281"/>
      <c r="AD17" s="282"/>
      <c r="AE17" s="282"/>
    </row>
    <row r="18" s="222" customFormat="1" ht="21" customHeight="1" spans="1:31">
      <c r="A18" s="242"/>
      <c r="B18" s="244" t="s">
        <v>6722</v>
      </c>
      <c r="C18" s="244" t="s">
        <v>6723</v>
      </c>
      <c r="D18" s="244" t="s">
        <v>6724</v>
      </c>
      <c r="E18" s="245" t="s">
        <v>6725</v>
      </c>
      <c r="F18" s="246">
        <v>20000</v>
      </c>
      <c r="G18" s="246"/>
      <c r="H18" s="246"/>
      <c r="I18" s="246">
        <v>10000</v>
      </c>
      <c r="J18" s="246"/>
      <c r="K18" s="246"/>
      <c r="L18" s="246">
        <v>50000</v>
      </c>
      <c r="M18" s="246"/>
      <c r="N18" s="246">
        <v>40000</v>
      </c>
      <c r="O18" s="246">
        <v>55000</v>
      </c>
      <c r="P18" s="246">
        <v>20000</v>
      </c>
      <c r="Q18" s="246">
        <v>20000</v>
      </c>
      <c r="R18" s="246"/>
      <c r="S18" s="246"/>
      <c r="T18" s="246">
        <v>60000</v>
      </c>
      <c r="U18" s="246">
        <v>50000</v>
      </c>
      <c r="V18" s="246">
        <v>169680</v>
      </c>
      <c r="W18" s="246">
        <v>20010</v>
      </c>
      <c r="X18" s="246"/>
      <c r="Y18" s="277">
        <f t="shared" si="1"/>
        <v>514690</v>
      </c>
      <c r="Z18" s="278" t="s">
        <v>6716</v>
      </c>
      <c r="AA18" s="279"/>
      <c r="AB18" s="280">
        <v>1</v>
      </c>
      <c r="AC18" s="281"/>
      <c r="AD18" s="282"/>
      <c r="AE18" s="282"/>
    </row>
    <row r="19" s="222" customFormat="1" ht="21" customHeight="1" spans="1:31">
      <c r="A19" s="242"/>
      <c r="B19" s="244" t="s">
        <v>6726</v>
      </c>
      <c r="C19" s="244" t="s">
        <v>6727</v>
      </c>
      <c r="D19" s="244" t="s">
        <v>6728</v>
      </c>
      <c r="E19" s="245" t="s">
        <v>6729</v>
      </c>
      <c r="F19" s="246">
        <v>20000</v>
      </c>
      <c r="G19" s="246"/>
      <c r="H19" s="246"/>
      <c r="I19" s="246">
        <v>10000</v>
      </c>
      <c r="J19" s="246"/>
      <c r="K19" s="246"/>
      <c r="L19" s="246">
        <v>50000</v>
      </c>
      <c r="M19" s="246"/>
      <c r="N19" s="246">
        <v>40000</v>
      </c>
      <c r="O19" s="246">
        <v>55000</v>
      </c>
      <c r="P19" s="246">
        <v>20000</v>
      </c>
      <c r="Q19" s="246">
        <v>20000</v>
      </c>
      <c r="R19" s="246"/>
      <c r="S19" s="246"/>
      <c r="T19" s="246">
        <v>60000</v>
      </c>
      <c r="U19" s="246">
        <v>50000</v>
      </c>
      <c r="V19" s="246">
        <v>169680</v>
      </c>
      <c r="W19" s="246">
        <v>20010</v>
      </c>
      <c r="X19" s="246"/>
      <c r="Y19" s="277">
        <f t="shared" si="1"/>
        <v>514690</v>
      </c>
      <c r="Z19" s="278" t="s">
        <v>6716</v>
      </c>
      <c r="AA19" s="279"/>
      <c r="AB19" s="280">
        <v>2</v>
      </c>
      <c r="AC19" s="281"/>
      <c r="AD19" s="282"/>
      <c r="AE19" s="282"/>
    </row>
    <row r="20" s="222" customFormat="1" ht="21" customHeight="1" spans="1:31">
      <c r="A20" s="242"/>
      <c r="B20" s="244" t="s">
        <v>6730</v>
      </c>
      <c r="C20" s="244" t="s">
        <v>6731</v>
      </c>
      <c r="D20" s="244" t="s">
        <v>6714</v>
      </c>
      <c r="E20" s="245" t="s">
        <v>6715</v>
      </c>
      <c r="F20" s="246">
        <v>50000</v>
      </c>
      <c r="G20" s="246">
        <v>10725</v>
      </c>
      <c r="H20" s="246">
        <v>-9575</v>
      </c>
      <c r="I20" s="246"/>
      <c r="J20" s="246"/>
      <c r="K20" s="246"/>
      <c r="L20" s="246">
        <v>35000</v>
      </c>
      <c r="M20" s="246">
        <v>40600</v>
      </c>
      <c r="N20" s="246">
        <v>1800</v>
      </c>
      <c r="O20" s="246"/>
      <c r="P20" s="246"/>
      <c r="Q20" s="246">
        <v>9600</v>
      </c>
      <c r="R20" s="246"/>
      <c r="S20" s="246"/>
      <c r="T20" s="246"/>
      <c r="U20" s="246">
        <v>56200</v>
      </c>
      <c r="V20" s="246">
        <v>86800</v>
      </c>
      <c r="W20" s="246">
        <v>0</v>
      </c>
      <c r="X20" s="246"/>
      <c r="Y20" s="277">
        <f t="shared" si="1"/>
        <v>281150</v>
      </c>
      <c r="Z20" s="278" t="s">
        <v>6732</v>
      </c>
      <c r="AA20" s="279"/>
      <c r="AB20" s="280">
        <v>3</v>
      </c>
      <c r="AC20" s="281"/>
      <c r="AD20" s="282"/>
      <c r="AE20" s="282"/>
    </row>
    <row r="21" s="222" customFormat="1" ht="21" customHeight="1" spans="1:31">
      <c r="A21" s="242"/>
      <c r="B21" s="244" t="s">
        <v>6733</v>
      </c>
      <c r="C21" s="244" t="s">
        <v>6734</v>
      </c>
      <c r="D21" s="244" t="s">
        <v>6714</v>
      </c>
      <c r="E21" s="245" t="s">
        <v>6715</v>
      </c>
      <c r="F21" s="246">
        <v>50000</v>
      </c>
      <c r="G21" s="246">
        <v>10725</v>
      </c>
      <c r="H21" s="246">
        <v>-9575</v>
      </c>
      <c r="I21" s="246"/>
      <c r="J21" s="246"/>
      <c r="K21" s="246"/>
      <c r="L21" s="246">
        <v>35000</v>
      </c>
      <c r="M21" s="246">
        <v>40600</v>
      </c>
      <c r="N21" s="246">
        <v>1800</v>
      </c>
      <c r="O21" s="246"/>
      <c r="P21" s="246"/>
      <c r="Q21" s="246">
        <v>9600</v>
      </c>
      <c r="R21" s="246"/>
      <c r="S21" s="246"/>
      <c r="T21" s="246"/>
      <c r="U21" s="246">
        <v>56200</v>
      </c>
      <c r="V21" s="246">
        <v>86800</v>
      </c>
      <c r="W21" s="246">
        <v>0</v>
      </c>
      <c r="X21" s="246"/>
      <c r="Y21" s="277">
        <f t="shared" si="1"/>
        <v>281150</v>
      </c>
      <c r="Z21" s="278" t="s">
        <v>6732</v>
      </c>
      <c r="AA21" s="279"/>
      <c r="AB21" s="280">
        <v>4</v>
      </c>
      <c r="AC21" s="281"/>
      <c r="AD21" s="282"/>
      <c r="AE21" s="282"/>
    </row>
    <row r="22" s="222" customFormat="1" ht="21" customHeight="1" spans="1:31">
      <c r="A22" s="242"/>
      <c r="B22" s="243" t="s">
        <v>6735</v>
      </c>
      <c r="C22" s="244" t="s">
        <v>6736</v>
      </c>
      <c r="D22" s="244" t="s">
        <v>6719</v>
      </c>
      <c r="E22" s="245" t="s">
        <v>6702</v>
      </c>
      <c r="F22" s="246">
        <v>50000</v>
      </c>
      <c r="G22" s="246">
        <v>10725</v>
      </c>
      <c r="H22" s="246">
        <v>-9575</v>
      </c>
      <c r="I22" s="246"/>
      <c r="J22" s="246"/>
      <c r="K22" s="246"/>
      <c r="L22" s="246">
        <v>35000</v>
      </c>
      <c r="M22" s="246">
        <v>40600</v>
      </c>
      <c r="N22" s="246">
        <v>1800</v>
      </c>
      <c r="O22" s="246"/>
      <c r="P22" s="246"/>
      <c r="Q22" s="246">
        <v>9600</v>
      </c>
      <c r="R22" s="246"/>
      <c r="S22" s="246"/>
      <c r="T22" s="246"/>
      <c r="U22" s="246">
        <v>56200</v>
      </c>
      <c r="V22" s="246">
        <v>86800</v>
      </c>
      <c r="W22" s="246">
        <v>0</v>
      </c>
      <c r="X22" s="246"/>
      <c r="Y22" s="277">
        <f t="shared" si="1"/>
        <v>281150</v>
      </c>
      <c r="Z22" s="278" t="s">
        <v>6732</v>
      </c>
      <c r="AA22" s="279"/>
      <c r="AB22" s="280">
        <v>5</v>
      </c>
      <c r="AC22" s="281"/>
      <c r="AD22" s="282"/>
      <c r="AE22" s="282"/>
    </row>
    <row r="23" s="222" customFormat="1" ht="21" customHeight="1" spans="1:31">
      <c r="A23" s="242"/>
      <c r="B23" s="244" t="s">
        <v>6737</v>
      </c>
      <c r="C23" s="244" t="s">
        <v>6738</v>
      </c>
      <c r="D23" s="244" t="s">
        <v>6724</v>
      </c>
      <c r="E23" s="245" t="s">
        <v>6725</v>
      </c>
      <c r="F23" s="246">
        <v>50000</v>
      </c>
      <c r="G23" s="246"/>
      <c r="H23" s="246">
        <v>-9575</v>
      </c>
      <c r="I23" s="246"/>
      <c r="J23" s="246"/>
      <c r="K23" s="246"/>
      <c r="L23" s="246">
        <v>35000</v>
      </c>
      <c r="M23" s="246">
        <v>40600</v>
      </c>
      <c r="N23" s="246">
        <v>1800</v>
      </c>
      <c r="O23" s="246"/>
      <c r="P23" s="246"/>
      <c r="Q23" s="246"/>
      <c r="R23" s="246"/>
      <c r="S23" s="246"/>
      <c r="T23" s="246"/>
      <c r="U23" s="246">
        <v>50000</v>
      </c>
      <c r="V23" s="246">
        <v>85000</v>
      </c>
      <c r="W23" s="246">
        <v>0</v>
      </c>
      <c r="X23" s="246"/>
      <c r="Y23" s="277">
        <f t="shared" si="1"/>
        <v>252825</v>
      </c>
      <c r="Z23" s="278" t="s">
        <v>6739</v>
      </c>
      <c r="AA23" s="279"/>
      <c r="AB23" s="280">
        <v>6</v>
      </c>
      <c r="AC23" s="281"/>
      <c r="AD23" s="282"/>
      <c r="AE23" s="282"/>
    </row>
    <row r="24" s="222" customFormat="1" ht="21" customHeight="1" spans="1:31">
      <c r="A24" s="242"/>
      <c r="B24" s="244" t="s">
        <v>6740</v>
      </c>
      <c r="C24" s="244" t="s">
        <v>6741</v>
      </c>
      <c r="D24" s="244" t="s">
        <v>6724</v>
      </c>
      <c r="E24" s="245" t="s">
        <v>6725</v>
      </c>
      <c r="F24" s="246">
        <v>0</v>
      </c>
      <c r="G24" s="246">
        <v>10725</v>
      </c>
      <c r="H24" s="246">
        <v>11025</v>
      </c>
      <c r="I24" s="246"/>
      <c r="J24" s="246"/>
      <c r="K24" s="246"/>
      <c r="L24" s="246"/>
      <c r="M24" s="246"/>
      <c r="N24" s="246">
        <v>-3600</v>
      </c>
      <c r="O24" s="246"/>
      <c r="P24" s="246"/>
      <c r="Q24" s="246">
        <v>9600</v>
      </c>
      <c r="R24" s="246"/>
      <c r="S24" s="246"/>
      <c r="T24" s="246"/>
      <c r="U24" s="246">
        <v>6200</v>
      </c>
      <c r="V24" s="246">
        <v>1800</v>
      </c>
      <c r="W24" s="246">
        <v>0</v>
      </c>
      <c r="X24" s="246"/>
      <c r="Y24" s="277">
        <f t="shared" si="1"/>
        <v>35750</v>
      </c>
      <c r="Z24" s="278" t="s">
        <v>6742</v>
      </c>
      <c r="AA24" s="279"/>
      <c r="AB24" s="280">
        <v>7</v>
      </c>
      <c r="AC24" s="281"/>
      <c r="AD24" s="282"/>
      <c r="AE24" s="282"/>
    </row>
    <row r="25" s="222" customFormat="1" ht="21" customHeight="1" spans="1:31">
      <c r="A25" s="242"/>
      <c r="B25" s="244" t="s">
        <v>6743</v>
      </c>
      <c r="C25" s="244" t="s">
        <v>6744</v>
      </c>
      <c r="D25" s="244" t="s">
        <v>6745</v>
      </c>
      <c r="E25" s="245" t="s">
        <v>6746</v>
      </c>
      <c r="F25" s="246">
        <v>50000</v>
      </c>
      <c r="G25" s="246">
        <v>10725</v>
      </c>
      <c r="H25" s="246">
        <v>-9575</v>
      </c>
      <c r="I25" s="246"/>
      <c r="J25" s="246"/>
      <c r="K25" s="246"/>
      <c r="L25" s="246">
        <v>35000</v>
      </c>
      <c r="M25" s="246">
        <v>40600</v>
      </c>
      <c r="N25" s="246">
        <v>1800</v>
      </c>
      <c r="O25" s="246"/>
      <c r="P25" s="246"/>
      <c r="Q25" s="246">
        <v>9600</v>
      </c>
      <c r="R25" s="246"/>
      <c r="S25" s="246"/>
      <c r="T25" s="246"/>
      <c r="U25" s="246">
        <v>56200</v>
      </c>
      <c r="V25" s="246">
        <v>86800</v>
      </c>
      <c r="W25" s="246">
        <v>0</v>
      </c>
      <c r="X25" s="246"/>
      <c r="Y25" s="277">
        <f t="shared" si="1"/>
        <v>281150</v>
      </c>
      <c r="Z25" s="278" t="s">
        <v>6732</v>
      </c>
      <c r="AA25" s="279"/>
      <c r="AB25" s="280">
        <v>8</v>
      </c>
      <c r="AC25" s="281"/>
      <c r="AD25" s="282"/>
      <c r="AE25" s="282"/>
    </row>
    <row r="26" s="220" customFormat="1" ht="23.1" customHeight="1" spans="1:30">
      <c r="A26" s="247"/>
      <c r="B26" s="248" t="s">
        <v>6676</v>
      </c>
      <c r="C26" s="249"/>
      <c r="D26" s="250"/>
      <c r="E26" s="249"/>
      <c r="F26" s="251">
        <f>SUM(F11:F25)</f>
        <v>1430000</v>
      </c>
      <c r="G26" s="251"/>
      <c r="H26" s="251"/>
      <c r="I26" s="251"/>
      <c r="J26" s="251"/>
      <c r="K26" s="251"/>
      <c r="L26" s="251"/>
      <c r="M26" s="251"/>
      <c r="N26" s="251"/>
      <c r="O26" s="251"/>
      <c r="P26" s="251"/>
      <c r="Q26" s="251"/>
      <c r="R26" s="251"/>
      <c r="S26" s="251"/>
      <c r="T26" s="251"/>
      <c r="U26" s="251"/>
      <c r="V26" s="251"/>
      <c r="W26" s="251"/>
      <c r="X26" s="251"/>
      <c r="Y26" s="283">
        <f>Y11+Y15+Y20+Y23+Y24+Y25</f>
        <v>4177405</v>
      </c>
      <c r="Z26" s="284"/>
      <c r="AA26" s="248"/>
      <c r="AB26" s="285"/>
      <c r="AD26" s="286"/>
    </row>
    <row r="27" s="220" customFormat="1" ht="69.75" customHeight="1" spans="1:30">
      <c r="A27" s="252" t="s">
        <v>6747</v>
      </c>
      <c r="B27" s="253"/>
      <c r="C27" s="253"/>
      <c r="D27" s="253"/>
      <c r="E27" s="253"/>
      <c r="F27" s="254"/>
      <c r="G27" s="254"/>
      <c r="H27" s="254"/>
      <c r="I27" s="254"/>
      <c r="J27" s="254"/>
      <c r="K27" s="254"/>
      <c r="L27" s="254"/>
      <c r="M27" s="254"/>
      <c r="N27" s="254"/>
      <c r="O27" s="254"/>
      <c r="P27" s="254"/>
      <c r="Q27" s="254"/>
      <c r="R27" s="254"/>
      <c r="S27" s="254"/>
      <c r="T27" s="254"/>
      <c r="U27" s="254"/>
      <c r="V27" s="254"/>
      <c r="W27" s="254"/>
      <c r="X27" s="254"/>
      <c r="Y27" s="254"/>
      <c r="Z27" s="253"/>
      <c r="AA27" s="253"/>
      <c r="AB27" s="287"/>
      <c r="AD27" s="286"/>
    </row>
    <row r="28" s="220" customFormat="1" ht="21.75" customHeight="1" spans="1:30">
      <c r="A28" s="255"/>
      <c r="B28" s="255"/>
      <c r="C28" s="256"/>
      <c r="D28" s="256"/>
      <c r="E28" s="257"/>
      <c r="F28" s="258"/>
      <c r="G28" s="258"/>
      <c r="H28" s="258"/>
      <c r="I28" s="258"/>
      <c r="J28" s="258"/>
      <c r="K28" s="258"/>
      <c r="L28" s="258"/>
      <c r="M28" s="258"/>
      <c r="N28" s="258"/>
      <c r="O28" s="258"/>
      <c r="P28" s="258"/>
      <c r="Q28" s="258"/>
      <c r="R28" s="258"/>
      <c r="S28" s="258"/>
      <c r="T28" s="258"/>
      <c r="U28" s="258"/>
      <c r="V28" s="258"/>
      <c r="W28" s="258"/>
      <c r="X28" s="258"/>
      <c r="Y28" s="288"/>
      <c r="Z28" s="258"/>
      <c r="AA28" s="289"/>
      <c r="AB28" s="259"/>
      <c r="AC28" s="286"/>
      <c r="AD28" s="286"/>
    </row>
    <row r="29" s="220" customFormat="1" ht="21" customHeight="1" spans="1:30">
      <c r="A29" s="259"/>
      <c r="B29" s="259"/>
      <c r="C29" s="259"/>
      <c r="D29" s="259"/>
      <c r="E29" s="259"/>
      <c r="F29" s="259"/>
      <c r="G29" s="259"/>
      <c r="H29" s="259"/>
      <c r="I29" s="259"/>
      <c r="J29" s="259"/>
      <c r="K29" s="259"/>
      <c r="L29" s="259"/>
      <c r="M29" s="259"/>
      <c r="N29" s="259"/>
      <c r="O29" s="259"/>
      <c r="P29" s="259"/>
      <c r="Q29" s="259"/>
      <c r="R29" s="259"/>
      <c r="S29" s="259"/>
      <c r="T29" s="259"/>
      <c r="U29" s="259"/>
      <c r="V29" s="259"/>
      <c r="W29" s="259"/>
      <c r="X29" s="259"/>
      <c r="Y29" s="290"/>
      <c r="Z29" s="259"/>
      <c r="AA29" s="259"/>
      <c r="AB29" s="259"/>
      <c r="AC29" s="291"/>
      <c r="AD29" s="291"/>
    </row>
    <row r="30" s="220" customFormat="1" ht="21" customHeight="1" spans="1:31">
      <c r="A30" s="260" t="s">
        <v>6748</v>
      </c>
      <c r="B30" s="261" t="s">
        <v>6066</v>
      </c>
      <c r="C30" s="261" t="s">
        <v>6749</v>
      </c>
      <c r="D30" s="261" t="s">
        <v>6069</v>
      </c>
      <c r="E30" s="260" t="s">
        <v>6068</v>
      </c>
      <c r="F30" s="260" t="s">
        <v>6750</v>
      </c>
      <c r="G30" s="260" t="s">
        <v>6751</v>
      </c>
      <c r="H30" s="262"/>
      <c r="I30" s="262"/>
      <c r="J30" s="262"/>
      <c r="K30" s="262"/>
      <c r="L30" s="262"/>
      <c r="M30" s="262"/>
      <c r="N30" s="262"/>
      <c r="O30" s="262"/>
      <c r="P30" s="262"/>
      <c r="Q30" s="262"/>
      <c r="R30" s="262"/>
      <c r="S30" s="262"/>
      <c r="T30" s="262"/>
      <c r="U30" s="262"/>
      <c r="V30" s="262"/>
      <c r="W30" s="262"/>
      <c r="X30" s="262"/>
      <c r="Y30" s="262"/>
      <c r="Z30" s="288"/>
      <c r="AB30" s="222"/>
      <c r="AC30" s="222"/>
      <c r="AD30" s="291"/>
      <c r="AE30" s="291"/>
    </row>
    <row r="31" s="220" customFormat="1" ht="21" customHeight="1" spans="1:31">
      <c r="A31" s="263">
        <v>45981</v>
      </c>
      <c r="B31" s="264" t="s">
        <v>6752</v>
      </c>
      <c r="C31" s="264">
        <v>77637</v>
      </c>
      <c r="D31" s="265" t="s">
        <v>6753</v>
      </c>
      <c r="E31" s="264">
        <v>1000</v>
      </c>
      <c r="F31" s="263">
        <v>45636</v>
      </c>
      <c r="G31" s="263">
        <v>45700</v>
      </c>
      <c r="H31" s="266"/>
      <c r="I31" s="266"/>
      <c r="J31" s="266"/>
      <c r="K31" s="266"/>
      <c r="L31" s="266"/>
      <c r="M31" s="266"/>
      <c r="N31" s="266"/>
      <c r="O31" s="266"/>
      <c r="P31" s="266"/>
      <c r="Q31" s="266"/>
      <c r="R31" s="266"/>
      <c r="S31" s="266"/>
      <c r="T31" s="266"/>
      <c r="U31" s="266"/>
      <c r="V31" s="266"/>
      <c r="W31" s="266"/>
      <c r="X31" s="266"/>
      <c r="Y31" s="266"/>
      <c r="Z31" s="288"/>
      <c r="AB31" s="222"/>
      <c r="AC31" s="222"/>
      <c r="AD31" s="291"/>
      <c r="AE31" s="291"/>
    </row>
    <row r="32" s="220" customFormat="1" ht="21" customHeight="1" spans="1:31">
      <c r="A32" s="263">
        <v>46015</v>
      </c>
      <c r="B32" s="264" t="s">
        <v>6754</v>
      </c>
      <c r="C32" s="264">
        <v>77637</v>
      </c>
      <c r="D32" s="265" t="s">
        <v>6753</v>
      </c>
      <c r="E32" s="264">
        <v>60000</v>
      </c>
      <c r="F32" s="263">
        <v>45667</v>
      </c>
      <c r="G32" s="263">
        <v>45700</v>
      </c>
      <c r="H32" s="266"/>
      <c r="I32" s="266"/>
      <c r="J32" s="266"/>
      <c r="K32" s="266"/>
      <c r="L32" s="266"/>
      <c r="M32" s="266"/>
      <c r="N32" s="266"/>
      <c r="O32" s="266"/>
      <c r="P32" s="266"/>
      <c r="Q32" s="266"/>
      <c r="R32" s="266"/>
      <c r="S32" s="266"/>
      <c r="T32" s="266"/>
      <c r="U32" s="266"/>
      <c r="V32" s="266"/>
      <c r="W32" s="266"/>
      <c r="X32" s="266"/>
      <c r="Y32" s="266"/>
      <c r="Z32" s="288"/>
      <c r="AB32" s="222"/>
      <c r="AC32" s="222"/>
      <c r="AD32" s="291"/>
      <c r="AE32" s="291"/>
    </row>
    <row r="33" s="220" customFormat="1" ht="21" customHeight="1" spans="1:31">
      <c r="A33" s="263">
        <v>45677</v>
      </c>
      <c r="B33" s="264" t="s">
        <v>6754</v>
      </c>
      <c r="C33" s="264">
        <v>77637</v>
      </c>
      <c r="D33" s="265" t="s">
        <v>6753</v>
      </c>
      <c r="E33" s="264">
        <v>100000</v>
      </c>
      <c r="F33" s="263">
        <v>45708</v>
      </c>
      <c r="G33" s="263">
        <v>45720</v>
      </c>
      <c r="H33" s="266"/>
      <c r="I33" s="266"/>
      <c r="J33" s="266"/>
      <c r="K33" s="266"/>
      <c r="L33" s="266"/>
      <c r="M33" s="266"/>
      <c r="N33" s="266"/>
      <c r="O33" s="266"/>
      <c r="P33" s="266"/>
      <c r="Q33" s="266"/>
      <c r="R33" s="266"/>
      <c r="S33" s="266"/>
      <c r="T33" s="266"/>
      <c r="U33" s="266"/>
      <c r="V33" s="266"/>
      <c r="W33" s="266"/>
      <c r="X33" s="266"/>
      <c r="Y33" s="266"/>
      <c r="Z33" s="288"/>
      <c r="AB33" s="222"/>
      <c r="AC33" s="222"/>
      <c r="AD33" s="291"/>
      <c r="AE33" s="291"/>
    </row>
    <row r="34" s="220" customFormat="1" ht="21" customHeight="1" spans="1:31">
      <c r="A34" s="263">
        <v>45714</v>
      </c>
      <c r="B34" s="264" t="s">
        <v>6755</v>
      </c>
      <c r="C34" s="264">
        <v>77637</v>
      </c>
      <c r="D34" s="265" t="s">
        <v>6753</v>
      </c>
      <c r="E34" s="264">
        <v>200000</v>
      </c>
      <c r="F34" s="263">
        <v>45729</v>
      </c>
      <c r="G34" s="263">
        <v>45738</v>
      </c>
      <c r="H34" s="266"/>
      <c r="I34" s="266"/>
      <c r="J34" s="266"/>
      <c r="K34" s="266"/>
      <c r="L34" s="266"/>
      <c r="M34" s="266"/>
      <c r="N34" s="266"/>
      <c r="O34" s="266"/>
      <c r="P34" s="266"/>
      <c r="Q34" s="266"/>
      <c r="R34" s="266"/>
      <c r="S34" s="266"/>
      <c r="T34" s="266"/>
      <c r="U34" s="266"/>
      <c r="V34" s="266"/>
      <c r="W34" s="266"/>
      <c r="X34" s="266"/>
      <c r="Y34" s="266"/>
      <c r="Z34" s="288"/>
      <c r="AB34" s="222"/>
      <c r="AC34" s="222"/>
      <c r="AD34" s="291"/>
      <c r="AE34" s="291"/>
    </row>
    <row r="35" s="220" customFormat="1" ht="21" customHeight="1" spans="1:31">
      <c r="A35" s="263">
        <v>45743</v>
      </c>
      <c r="B35" s="264" t="s">
        <v>6756</v>
      </c>
      <c r="C35" s="264">
        <v>77637</v>
      </c>
      <c r="D35" s="265" t="s">
        <v>6753</v>
      </c>
      <c r="E35" s="264">
        <v>50000</v>
      </c>
      <c r="F35" s="263">
        <v>45761</v>
      </c>
      <c r="G35" s="263">
        <v>45786</v>
      </c>
      <c r="Z35" s="288"/>
      <c r="AB35" s="222"/>
      <c r="AC35" s="222"/>
      <c r="AD35" s="291"/>
      <c r="AE35" s="291"/>
    </row>
    <row r="36" s="220" customFormat="1" ht="21" customHeight="1" spans="1:31">
      <c r="A36" s="263">
        <v>45791</v>
      </c>
      <c r="B36" s="264" t="s">
        <v>6757</v>
      </c>
      <c r="C36" s="264">
        <v>77637</v>
      </c>
      <c r="D36" s="265" t="s">
        <v>6753</v>
      </c>
      <c r="E36" s="264">
        <v>50000</v>
      </c>
      <c r="F36" s="263">
        <v>45809</v>
      </c>
      <c r="G36" s="263">
        <v>45806</v>
      </c>
      <c r="Z36" s="288"/>
      <c r="AB36" s="222"/>
      <c r="AC36" s="222"/>
      <c r="AD36" s="291"/>
      <c r="AE36" s="291"/>
    </row>
    <row r="37" s="220" customFormat="1" ht="21" customHeight="1" spans="1:31">
      <c r="A37" s="263">
        <v>45804</v>
      </c>
      <c r="B37" s="264" t="s">
        <v>6758</v>
      </c>
      <c r="C37" s="264">
        <v>77637</v>
      </c>
      <c r="D37" s="265" t="s">
        <v>6753</v>
      </c>
      <c r="E37" s="264">
        <v>120000</v>
      </c>
      <c r="F37" s="263">
        <v>45822</v>
      </c>
      <c r="G37" s="263">
        <v>45820</v>
      </c>
      <c r="Z37" s="288"/>
      <c r="AB37" s="222"/>
      <c r="AC37" s="222"/>
      <c r="AD37" s="291"/>
      <c r="AE37" s="291"/>
    </row>
    <row r="38" s="220" customFormat="1" ht="21" customHeight="1" spans="1:31">
      <c r="A38" s="263">
        <v>45828</v>
      </c>
      <c r="B38" s="264" t="s">
        <v>6759</v>
      </c>
      <c r="C38" s="264">
        <v>77637</v>
      </c>
      <c r="D38" s="265" t="s">
        <v>6753</v>
      </c>
      <c r="E38" s="264">
        <v>100000</v>
      </c>
      <c r="F38" s="263">
        <v>45846</v>
      </c>
      <c r="G38" s="263">
        <v>45847</v>
      </c>
      <c r="Z38" s="288"/>
      <c r="AB38" s="222"/>
      <c r="AC38" s="222"/>
      <c r="AD38" s="291"/>
      <c r="AE38" s="291"/>
    </row>
    <row r="39" s="220" customFormat="1" ht="21" customHeight="1" spans="1:31">
      <c r="A39" s="263">
        <v>45838</v>
      </c>
      <c r="B39" s="264" t="s">
        <v>6760</v>
      </c>
      <c r="C39" s="264">
        <v>77637</v>
      </c>
      <c r="D39" s="265" t="s">
        <v>6753</v>
      </c>
      <c r="E39" s="264">
        <v>50000</v>
      </c>
      <c r="F39" s="263">
        <v>45856</v>
      </c>
      <c r="G39" s="263">
        <v>45869</v>
      </c>
      <c r="Z39" s="288"/>
      <c r="AB39" s="222"/>
      <c r="AC39" s="222"/>
      <c r="AD39" s="291"/>
      <c r="AE39" s="291"/>
    </row>
    <row r="40" s="220" customFormat="1" ht="21" customHeight="1" spans="1:31">
      <c r="A40" s="263">
        <v>45866</v>
      </c>
      <c r="B40" s="264" t="s">
        <v>6761</v>
      </c>
      <c r="C40" s="264">
        <v>77637</v>
      </c>
      <c r="D40" s="265" t="s">
        <v>6753</v>
      </c>
      <c r="E40" s="264">
        <v>30000</v>
      </c>
      <c r="F40" s="263">
        <v>45884</v>
      </c>
      <c r="G40" s="263">
        <v>45884</v>
      </c>
      <c r="Z40" s="288"/>
      <c r="AB40" s="222"/>
      <c r="AC40" s="222"/>
      <c r="AD40" s="291"/>
      <c r="AE40" s="291"/>
    </row>
    <row r="41" s="220" customFormat="1" ht="21" customHeight="1" spans="1:31">
      <c r="A41" s="263">
        <v>45870</v>
      </c>
      <c r="B41" s="264" t="s">
        <v>6762</v>
      </c>
      <c r="C41" s="264">
        <v>77637</v>
      </c>
      <c r="D41" s="265" t="s">
        <v>6753</v>
      </c>
      <c r="E41" s="264">
        <v>80000</v>
      </c>
      <c r="F41" s="263">
        <v>45888</v>
      </c>
      <c r="G41" s="263">
        <v>45884</v>
      </c>
      <c r="Z41" s="288"/>
      <c r="AB41" s="222"/>
      <c r="AC41" s="222"/>
      <c r="AD41" s="291"/>
      <c r="AE41" s="291"/>
    </row>
    <row r="42" s="220" customFormat="1" ht="21" customHeight="1" spans="1:31">
      <c r="A42" s="263">
        <v>45888</v>
      </c>
      <c r="B42" s="264" t="s">
        <v>6763</v>
      </c>
      <c r="C42" s="264">
        <v>77637</v>
      </c>
      <c r="D42" s="265" t="s">
        <v>6753</v>
      </c>
      <c r="E42" s="264">
        <v>100000</v>
      </c>
      <c r="F42" s="263">
        <v>45906</v>
      </c>
      <c r="G42" s="263">
        <v>45896</v>
      </c>
      <c r="Z42" s="288"/>
      <c r="AB42" s="222"/>
      <c r="AC42" s="222"/>
      <c r="AD42" s="291"/>
      <c r="AE42" s="291"/>
    </row>
    <row r="43" s="220" customFormat="1" ht="21" customHeight="1" spans="1:31">
      <c r="A43" s="263">
        <v>45895</v>
      </c>
      <c r="B43" s="264" t="s">
        <v>6764</v>
      </c>
      <c r="C43" s="264">
        <v>77637</v>
      </c>
      <c r="D43" s="265" t="s">
        <v>6753</v>
      </c>
      <c r="E43" s="264">
        <v>60000</v>
      </c>
      <c r="F43" s="263">
        <v>45913</v>
      </c>
      <c r="G43" s="263">
        <v>45910</v>
      </c>
      <c r="Z43" s="288"/>
      <c r="AB43" s="222"/>
      <c r="AC43" s="222"/>
      <c r="AD43" s="291"/>
      <c r="AE43" s="291"/>
    </row>
    <row r="44" s="220" customFormat="1" ht="21" customHeight="1" spans="1:31">
      <c r="A44" s="263">
        <v>45904</v>
      </c>
      <c r="B44" s="264" t="s">
        <v>6765</v>
      </c>
      <c r="C44" s="264">
        <v>77637</v>
      </c>
      <c r="D44" s="265" t="s">
        <v>6753</v>
      </c>
      <c r="E44" s="264">
        <v>250000</v>
      </c>
      <c r="F44" s="263">
        <v>45922</v>
      </c>
      <c r="G44" s="263">
        <v>45918</v>
      </c>
      <c r="Z44" s="288"/>
      <c r="AB44" s="222"/>
      <c r="AC44" s="222"/>
      <c r="AD44" s="291"/>
      <c r="AE44" s="291"/>
    </row>
    <row r="45" s="220" customFormat="1" ht="21" customHeight="1" spans="1:31">
      <c r="A45" s="263">
        <v>45925</v>
      </c>
      <c r="B45" s="264" t="s">
        <v>6766</v>
      </c>
      <c r="C45" s="264">
        <v>77637</v>
      </c>
      <c r="D45" s="265" t="s">
        <v>6753</v>
      </c>
      <c r="E45" s="264">
        <v>180000</v>
      </c>
      <c r="F45" s="263">
        <v>45943</v>
      </c>
      <c r="G45" s="263"/>
      <c r="Z45" s="288"/>
      <c r="AB45" s="222"/>
      <c r="AC45" s="222"/>
      <c r="AD45" s="291"/>
      <c r="AE45" s="291"/>
    </row>
    <row r="46" s="220" customFormat="1" ht="21" customHeight="1" spans="1:31">
      <c r="A46" s="263">
        <v>45950</v>
      </c>
      <c r="B46" s="264" t="s">
        <v>6767</v>
      </c>
      <c r="C46" s="264">
        <v>77637</v>
      </c>
      <c r="D46" s="265" t="s">
        <v>6753</v>
      </c>
      <c r="E46" s="264">
        <v>350000</v>
      </c>
      <c r="F46" s="263">
        <v>45968</v>
      </c>
      <c r="G46" s="263"/>
      <c r="Z46" s="288"/>
      <c r="AB46" s="222"/>
      <c r="AC46" s="222"/>
      <c r="AD46" s="291"/>
      <c r="AE46" s="291"/>
    </row>
    <row r="47" s="220" customFormat="1" ht="21" customHeight="1" spans="1:31">
      <c r="A47" s="263">
        <v>45987</v>
      </c>
      <c r="B47" s="264" t="s">
        <v>6768</v>
      </c>
      <c r="C47" s="264">
        <v>77637</v>
      </c>
      <c r="D47" s="265" t="s">
        <v>6753</v>
      </c>
      <c r="E47" s="264">
        <v>600000</v>
      </c>
      <c r="F47" s="263"/>
      <c r="G47" s="263"/>
      <c r="Z47" s="288"/>
      <c r="AB47" s="222"/>
      <c r="AC47" s="222"/>
      <c r="AD47" s="291"/>
      <c r="AE47" s="291"/>
    </row>
    <row r="48" s="220" customFormat="1" ht="21" customHeight="1" spans="1:31">
      <c r="A48" s="263">
        <v>46016</v>
      </c>
      <c r="B48" s="264" t="s">
        <v>6769</v>
      </c>
      <c r="C48" s="264">
        <v>77637</v>
      </c>
      <c r="D48" s="265" t="s">
        <v>6753</v>
      </c>
      <c r="E48" s="264">
        <v>500000</v>
      </c>
      <c r="F48" s="263"/>
      <c r="G48" s="263"/>
      <c r="Z48" s="288"/>
      <c r="AB48" s="222"/>
      <c r="AC48" s="222"/>
      <c r="AD48" s="291"/>
      <c r="AE48" s="291"/>
    </row>
    <row r="49" s="220" customFormat="1" ht="21" customHeight="1" spans="1:31">
      <c r="A49" s="267">
        <v>46031</v>
      </c>
      <c r="B49" s="268" t="s">
        <v>6770</v>
      </c>
      <c r="C49" s="268">
        <v>77637</v>
      </c>
      <c r="D49" s="269" t="s">
        <v>6753</v>
      </c>
      <c r="E49" s="268">
        <v>500000</v>
      </c>
      <c r="F49" s="267"/>
      <c r="G49" s="263"/>
      <c r="Z49" s="288"/>
      <c r="AB49" s="222"/>
      <c r="AC49" s="222"/>
      <c r="AD49" s="291"/>
      <c r="AE49" s="291"/>
    </row>
    <row r="50" s="220" customFormat="1" ht="21" customHeight="1" spans="1:31">
      <c r="A50" s="267"/>
      <c r="B50" s="268"/>
      <c r="C50" s="268"/>
      <c r="D50" s="269"/>
      <c r="E50" s="268"/>
      <c r="F50" s="267"/>
      <c r="G50" s="263"/>
      <c r="Z50" s="288"/>
      <c r="AB50" s="222"/>
      <c r="AC50" s="222"/>
      <c r="AD50" s="291"/>
      <c r="AE50" s="291"/>
    </row>
    <row r="51" s="220" customFormat="1" ht="21" customHeight="1" spans="1:31">
      <c r="A51" s="267"/>
      <c r="B51" s="268"/>
      <c r="C51" s="268"/>
      <c r="D51" s="269"/>
      <c r="E51" s="268"/>
      <c r="F51" s="267"/>
      <c r="G51" s="263"/>
      <c r="Z51" s="288"/>
      <c r="AB51" s="222"/>
      <c r="AC51" s="222"/>
      <c r="AD51" s="291"/>
      <c r="AE51" s="291"/>
    </row>
    <row r="52" s="220" customFormat="1" ht="21" customHeight="1" spans="1:31">
      <c r="A52" s="267"/>
      <c r="B52" s="268"/>
      <c r="C52" s="268"/>
      <c r="D52" s="269"/>
      <c r="E52" s="268"/>
      <c r="F52" s="267"/>
      <c r="G52" s="263"/>
      <c r="Z52" s="288"/>
      <c r="AB52" s="222"/>
      <c r="AC52" s="222"/>
      <c r="AD52" s="291"/>
      <c r="AE52" s="291"/>
    </row>
    <row r="53" s="220" customFormat="1" ht="21" customHeight="1" spans="1:31">
      <c r="A53" s="267"/>
      <c r="B53" s="268"/>
      <c r="C53" s="268"/>
      <c r="D53" s="269"/>
      <c r="E53" s="268"/>
      <c r="F53" s="267"/>
      <c r="G53" s="263"/>
      <c r="Z53" s="288"/>
      <c r="AB53" s="222"/>
      <c r="AC53" s="222"/>
      <c r="AD53" s="291"/>
      <c r="AE53" s="291"/>
    </row>
    <row r="54" s="220" customFormat="1" ht="21" customHeight="1" spans="1:31">
      <c r="A54" s="267"/>
      <c r="B54" s="268"/>
      <c r="C54" s="268"/>
      <c r="D54" s="269"/>
      <c r="E54" s="268"/>
      <c r="F54" s="267"/>
      <c r="G54" s="263"/>
      <c r="Z54" s="288"/>
      <c r="AB54" s="222"/>
      <c r="AC54" s="222"/>
      <c r="AD54" s="291"/>
      <c r="AE54" s="291"/>
    </row>
    <row r="55" s="220" customFormat="1" ht="21" customHeight="1" spans="1:31">
      <c r="A55" s="267"/>
      <c r="B55" s="268"/>
      <c r="C55" s="268"/>
      <c r="D55" s="269"/>
      <c r="E55" s="268"/>
      <c r="F55" s="267"/>
      <c r="G55" s="263"/>
      <c r="Z55" s="288"/>
      <c r="AB55" s="222"/>
      <c r="AC55" s="222"/>
      <c r="AD55" s="291"/>
      <c r="AE55" s="291"/>
    </row>
    <row r="56" s="220" customFormat="1" ht="21" customHeight="1" spans="1:31">
      <c r="A56" s="267"/>
      <c r="B56" s="268"/>
      <c r="C56" s="268"/>
      <c r="D56" s="269"/>
      <c r="E56" s="268"/>
      <c r="F56" s="267"/>
      <c r="G56" s="263"/>
      <c r="Z56" s="288"/>
      <c r="AB56" s="222"/>
      <c r="AC56" s="222"/>
      <c r="AD56" s="291"/>
      <c r="AE56" s="291"/>
    </row>
    <row r="57" s="220" customFormat="1" ht="21" customHeight="1" spans="1:31">
      <c r="A57" s="267"/>
      <c r="B57" s="268"/>
      <c r="C57" s="268"/>
      <c r="D57" s="269"/>
      <c r="E57" s="268"/>
      <c r="F57" s="267"/>
      <c r="G57" s="263"/>
      <c r="Z57" s="288"/>
      <c r="AB57" s="222"/>
      <c r="AC57" s="222"/>
      <c r="AD57" s="291"/>
      <c r="AE57" s="291"/>
    </row>
    <row r="58" s="220" customFormat="1" ht="21" customHeight="1" spans="1:31">
      <c r="A58" s="263"/>
      <c r="B58" s="264"/>
      <c r="C58" s="264"/>
      <c r="D58" s="265"/>
      <c r="E58" s="264"/>
      <c r="F58" s="264"/>
      <c r="G58" s="264"/>
      <c r="Z58" s="288"/>
      <c r="AB58" s="222"/>
      <c r="AC58" s="222"/>
      <c r="AD58" s="291"/>
      <c r="AE58" s="291"/>
    </row>
    <row r="59" s="220" customFormat="1" ht="21" customHeight="1" spans="1:31">
      <c r="A59" s="264"/>
      <c r="B59" s="264"/>
      <c r="C59" s="264"/>
      <c r="D59" s="265" t="s">
        <v>6688</v>
      </c>
      <c r="E59" s="264">
        <f>SUM(E31:E58)</f>
        <v>3381000</v>
      </c>
      <c r="F59" s="264"/>
      <c r="G59" s="264"/>
      <c r="Z59" s="288"/>
      <c r="AB59" s="222"/>
      <c r="AC59" s="222"/>
      <c r="AD59" s="291"/>
      <c r="AE59" s="291"/>
    </row>
    <row r="60" s="220" customFormat="1" ht="21" customHeight="1" spans="1:31">
      <c r="A60" s="264"/>
      <c r="B60" s="264"/>
      <c r="C60" s="264"/>
      <c r="D60" s="265" t="s">
        <v>6771</v>
      </c>
      <c r="E60" s="264">
        <f>E59-SUM(Y9)</f>
        <v>569166</v>
      </c>
      <c r="F60" s="264"/>
      <c r="G60" s="264"/>
      <c r="Z60" s="288"/>
      <c r="AB60" s="222"/>
      <c r="AC60" s="222"/>
      <c r="AD60" s="291"/>
      <c r="AE60" s="291"/>
    </row>
  </sheetData>
  <autoFilter xmlns:etc="http://www.wps.cn/officeDocument/2017/etCustomData" ref="A1:AE27" etc:filterBottomFollowUsedRange="0">
    <extLst/>
  </autoFilter>
  <mergeCells count="18">
    <mergeCell ref="D1:AA1"/>
    <mergeCell ref="Z11:AA11"/>
    <mergeCell ref="Z12:AA12"/>
    <mergeCell ref="Z13:AA13"/>
    <mergeCell ref="Z14:AA14"/>
    <mergeCell ref="Z15:AA15"/>
    <mergeCell ref="Z16:AA16"/>
    <mergeCell ref="Z17:AA17"/>
    <mergeCell ref="Z18:AA18"/>
    <mergeCell ref="Z19:AA19"/>
    <mergeCell ref="Z20:AA20"/>
    <mergeCell ref="Z21:AA21"/>
    <mergeCell ref="Z22:AA22"/>
    <mergeCell ref="Z23:AA23"/>
    <mergeCell ref="Z24:AA24"/>
    <mergeCell ref="Z25:AA25"/>
    <mergeCell ref="A27:AB27"/>
    <mergeCell ref="A11:A25"/>
  </mergeCells>
  <pageMargins left="0.75" right="0.75" top="1" bottom="1" header="0.5" footer="0.5"/>
  <pageSetup paperSize="9"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X86"/>
  <sheetViews>
    <sheetView zoomScale="80" zoomScaleNormal="80" workbookViewId="0">
      <pane xSplit="6" ySplit="1" topLeftCell="G80" activePane="bottomRight" state="frozen"/>
      <selection/>
      <selection pane="topRight"/>
      <selection pane="bottomLeft"/>
      <selection pane="bottomRight" activeCell="A86" sqref="A86:AX86"/>
    </sheetView>
  </sheetViews>
  <sheetFormatPr defaultColWidth="9" defaultRowHeight="13.5"/>
  <cols>
    <col min="1" max="1" width="11.8916666666667" customWidth="1"/>
    <col min="4" max="4" width="17.4416666666667" customWidth="1"/>
    <col min="5" max="5" width="13.1083333333333" customWidth="1"/>
    <col min="6" max="6" width="16.8916666666667" customWidth="1"/>
    <col min="13" max="13" width="13.7583333333333" customWidth="1"/>
    <col min="14" max="14" width="12" customWidth="1"/>
    <col min="67" max="67" width="10.025"/>
  </cols>
  <sheetData>
    <row r="1" s="18" customFormat="1" ht="38" customHeight="1" spans="1:51">
      <c r="A1" s="28" t="s">
        <v>0</v>
      </c>
      <c r="B1" s="29" t="s">
        <v>1</v>
      </c>
      <c r="C1" s="30" t="s">
        <v>4</v>
      </c>
      <c r="D1" s="29" t="s">
        <v>3</v>
      </c>
      <c r="E1" s="29" t="s">
        <v>23</v>
      </c>
      <c r="F1" s="29" t="s">
        <v>7</v>
      </c>
      <c r="G1" s="29" t="s">
        <v>5</v>
      </c>
      <c r="H1" s="29" t="s">
        <v>6</v>
      </c>
      <c r="I1" s="29" t="s">
        <v>8</v>
      </c>
      <c r="J1" s="29" t="s">
        <v>9</v>
      </c>
      <c r="K1" s="29" t="s">
        <v>10</v>
      </c>
      <c r="L1" s="29" t="s">
        <v>11</v>
      </c>
      <c r="M1" s="59" t="s">
        <v>24</v>
      </c>
      <c r="N1" s="60" t="s">
        <v>25</v>
      </c>
      <c r="O1" s="61" t="s">
        <v>6772</v>
      </c>
      <c r="P1" s="62" t="s">
        <v>14</v>
      </c>
      <c r="Q1" s="61" t="s">
        <v>6773</v>
      </c>
      <c r="R1" s="29" t="s">
        <v>16</v>
      </c>
      <c r="S1" s="89" t="s">
        <v>26</v>
      </c>
      <c r="T1" s="29" t="s">
        <v>2</v>
      </c>
      <c r="U1" s="62" t="s">
        <v>15</v>
      </c>
      <c r="V1" s="62" t="s">
        <v>30</v>
      </c>
      <c r="W1" s="90" t="s">
        <v>17</v>
      </c>
      <c r="X1" s="90" t="s">
        <v>19</v>
      </c>
      <c r="Y1" s="130" t="s">
        <v>32</v>
      </c>
      <c r="Z1" s="130" t="s">
        <v>33</v>
      </c>
      <c r="AA1" s="130" t="s">
        <v>35</v>
      </c>
      <c r="AB1" s="130" t="s">
        <v>36</v>
      </c>
      <c r="AC1" s="90" t="s">
        <v>6774</v>
      </c>
      <c r="AD1" s="131" t="s">
        <v>6775</v>
      </c>
      <c r="AE1" s="131" t="s">
        <v>6776</v>
      </c>
      <c r="AF1" s="131" t="s">
        <v>6777</v>
      </c>
      <c r="AG1" s="131" t="s">
        <v>6778</v>
      </c>
      <c r="AH1" s="131" t="s">
        <v>6779</v>
      </c>
      <c r="AI1" s="131" t="s">
        <v>6780</v>
      </c>
      <c r="AJ1" s="131" t="s">
        <v>6781</v>
      </c>
      <c r="AK1" s="131" t="s">
        <v>6782</v>
      </c>
      <c r="AL1" s="162" t="s">
        <v>6783</v>
      </c>
      <c r="AM1" s="131" t="s">
        <v>6784</v>
      </c>
      <c r="AN1" s="131" t="s">
        <v>6785</v>
      </c>
      <c r="AO1" s="131" t="s">
        <v>6786</v>
      </c>
      <c r="AP1" s="131" t="s">
        <v>6787</v>
      </c>
      <c r="AQ1" s="131" t="s">
        <v>6788</v>
      </c>
      <c r="AR1" s="131" t="s">
        <v>6789</v>
      </c>
      <c r="AS1" s="131" t="s">
        <v>6790</v>
      </c>
      <c r="AT1" s="179" t="s">
        <v>6791</v>
      </c>
      <c r="AU1" s="131" t="s">
        <v>6792</v>
      </c>
      <c r="AV1" s="131" t="s">
        <v>6793</v>
      </c>
      <c r="AW1" s="131" t="s">
        <v>6794</v>
      </c>
      <c r="AX1" s="131" t="s">
        <v>6795</v>
      </c>
      <c r="AY1" s="188" t="s">
        <v>22</v>
      </c>
    </row>
    <row r="2" s="19" customFormat="1" ht="31" customHeight="1" spans="1:90">
      <c r="A2" s="31">
        <v>45756</v>
      </c>
      <c r="B2" s="32" t="s">
        <v>6796</v>
      </c>
      <c r="C2" s="33" t="s">
        <v>6797</v>
      </c>
      <c r="D2" s="19">
        <v>4500163069</v>
      </c>
      <c r="E2" s="33"/>
      <c r="F2" s="19" t="s">
        <v>6798</v>
      </c>
      <c r="G2" s="34" t="s">
        <v>3161</v>
      </c>
      <c r="H2" s="34" t="s">
        <v>3221</v>
      </c>
      <c r="I2" s="34">
        <v>500</v>
      </c>
      <c r="J2" s="34">
        <v>0</v>
      </c>
      <c r="K2" s="34">
        <v>50</v>
      </c>
      <c r="L2" s="63">
        <f t="shared" ref="L2:L59" si="0">I2/K2</f>
        <v>10</v>
      </c>
      <c r="M2" s="64">
        <v>45807</v>
      </c>
      <c r="N2" s="64">
        <v>45803</v>
      </c>
      <c r="O2" s="65"/>
      <c r="P2" s="65"/>
      <c r="Q2" s="34"/>
      <c r="R2" s="91">
        <v>45756</v>
      </c>
      <c r="S2" s="91" t="s">
        <v>66</v>
      </c>
      <c r="T2" s="91" t="s">
        <v>66</v>
      </c>
      <c r="U2" s="91"/>
      <c r="V2" s="92" t="s">
        <v>6799</v>
      </c>
      <c r="W2" s="93" t="s">
        <v>196</v>
      </c>
      <c r="X2" s="93">
        <v>0.95</v>
      </c>
      <c r="Y2" s="132">
        <f t="shared" ref="Y2:Y7" si="1">X2*I2</f>
        <v>475</v>
      </c>
      <c r="Z2" s="34"/>
      <c r="AA2" s="34" t="s">
        <v>3161</v>
      </c>
      <c r="AB2" s="133"/>
      <c r="AC2" s="134"/>
      <c r="AD2" s="134"/>
      <c r="AE2" s="135"/>
      <c r="AF2" s="136"/>
      <c r="AG2" s="163"/>
      <c r="AH2" s="136"/>
      <c r="AI2" s="136"/>
      <c r="AJ2" s="34"/>
      <c r="AK2" s="20">
        <f>I2</f>
        <v>500</v>
      </c>
      <c r="AO2" s="19">
        <f>I2</f>
        <v>500</v>
      </c>
      <c r="AP2" s="20"/>
      <c r="AQ2" s="20">
        <f>I2</f>
        <v>500</v>
      </c>
      <c r="AR2" s="180"/>
      <c r="BB2" s="19">
        <f>I2/25</f>
        <v>20</v>
      </c>
      <c r="BX2" s="169"/>
      <c r="BY2" s="169"/>
      <c r="BZ2" s="169"/>
      <c r="CA2" s="169"/>
      <c r="CB2" s="169"/>
      <c r="CC2" s="169"/>
      <c r="CG2" s="169"/>
      <c r="CH2" s="169"/>
      <c r="CI2" s="169"/>
      <c r="CJ2" s="169"/>
      <c r="CK2" s="169"/>
      <c r="CL2" s="169"/>
    </row>
    <row r="3" s="20" customFormat="1" ht="31" customHeight="1" spans="1:46">
      <c r="A3" s="31">
        <v>45707</v>
      </c>
      <c r="B3" s="32" t="s">
        <v>138</v>
      </c>
      <c r="C3" s="33" t="s">
        <v>139</v>
      </c>
      <c r="D3" s="19">
        <v>4500157858</v>
      </c>
      <c r="E3" s="34">
        <v>5200006149</v>
      </c>
      <c r="F3" s="19" t="s">
        <v>6800</v>
      </c>
      <c r="G3" s="35" t="s">
        <v>141</v>
      </c>
      <c r="H3" s="33" t="s">
        <v>94</v>
      </c>
      <c r="I3" s="33">
        <v>1200</v>
      </c>
      <c r="J3" s="33">
        <v>0</v>
      </c>
      <c r="K3" s="33">
        <v>4</v>
      </c>
      <c r="L3" s="66">
        <f t="shared" si="0"/>
        <v>300</v>
      </c>
      <c r="M3" s="64">
        <v>45803</v>
      </c>
      <c r="N3" s="64">
        <v>45799</v>
      </c>
      <c r="O3" s="48"/>
      <c r="P3" s="48"/>
      <c r="Q3" s="33"/>
      <c r="R3" s="94">
        <v>45707</v>
      </c>
      <c r="S3" s="94" t="s">
        <v>66</v>
      </c>
      <c r="T3" s="94">
        <v>45737</v>
      </c>
      <c r="U3" s="94"/>
      <c r="V3" s="46" t="s">
        <v>6801</v>
      </c>
      <c r="W3" s="67" t="s">
        <v>3261</v>
      </c>
      <c r="X3" s="93">
        <v>5.03</v>
      </c>
      <c r="Y3" s="137">
        <f t="shared" si="1"/>
        <v>6036</v>
      </c>
      <c r="Z3" s="33"/>
      <c r="AA3" s="67" t="s">
        <v>141</v>
      </c>
      <c r="AB3" s="33"/>
      <c r="AC3" s="33"/>
      <c r="AD3" s="33"/>
      <c r="AE3" s="138"/>
      <c r="AF3" s="138">
        <f>AE3-I3</f>
        <v>-1200</v>
      </c>
      <c r="AG3" s="164"/>
      <c r="AH3" s="33"/>
      <c r="AI3" s="33"/>
      <c r="AJ3" s="20">
        <f>I3</f>
        <v>1200</v>
      </c>
      <c r="AO3" s="20">
        <f>I3</f>
        <v>1200</v>
      </c>
      <c r="AP3" s="20">
        <f>I3</f>
        <v>1200</v>
      </c>
      <c r="AR3" s="20">
        <f>I3</f>
        <v>1200</v>
      </c>
      <c r="AT3" s="20">
        <f>I3/4</f>
        <v>300</v>
      </c>
    </row>
    <row r="4" s="19" customFormat="1" ht="31" customHeight="1" spans="1:99">
      <c r="A4" s="31">
        <v>45775</v>
      </c>
      <c r="B4" s="32" t="s">
        <v>3866</v>
      </c>
      <c r="C4" s="33" t="s">
        <v>356</v>
      </c>
      <c r="D4" s="19">
        <v>4500165161</v>
      </c>
      <c r="E4" s="33" t="s">
        <v>6802</v>
      </c>
      <c r="F4" s="19" t="s">
        <v>6803</v>
      </c>
      <c r="G4" s="34" t="s">
        <v>3459</v>
      </c>
      <c r="H4" s="34"/>
      <c r="I4" s="34">
        <v>4002</v>
      </c>
      <c r="J4" s="34">
        <v>0</v>
      </c>
      <c r="K4" s="34">
        <v>6</v>
      </c>
      <c r="L4" s="63">
        <f t="shared" si="0"/>
        <v>667</v>
      </c>
      <c r="M4" s="64">
        <v>45813</v>
      </c>
      <c r="N4" s="64">
        <v>45810</v>
      </c>
      <c r="O4" s="65"/>
      <c r="P4" s="65"/>
      <c r="Q4" s="34"/>
      <c r="R4" s="91">
        <v>45785</v>
      </c>
      <c r="S4" s="91" t="s">
        <v>66</v>
      </c>
      <c r="T4" s="91" t="s">
        <v>3441</v>
      </c>
      <c r="U4" s="91"/>
      <c r="V4" s="93" t="s">
        <v>6804</v>
      </c>
      <c r="W4" s="93" t="s">
        <v>391</v>
      </c>
      <c r="X4" s="93">
        <v>8.1</v>
      </c>
      <c r="Y4" s="132">
        <f t="shared" si="1"/>
        <v>32416.2</v>
      </c>
      <c r="Z4" s="34"/>
      <c r="AA4" s="34"/>
      <c r="AB4" s="133"/>
      <c r="AC4" s="133"/>
      <c r="AD4" s="34"/>
      <c r="AE4" s="139"/>
      <c r="AF4" s="34">
        <f>AE4-I4</f>
        <v>-4002</v>
      </c>
      <c r="AG4" s="165"/>
      <c r="AH4" s="34"/>
      <c r="AI4" s="34"/>
      <c r="AJ4" s="34"/>
      <c r="AK4" s="20">
        <f>I4</f>
        <v>4002</v>
      </c>
      <c r="AO4" s="19">
        <f>I4</f>
        <v>4002</v>
      </c>
      <c r="AQ4" s="19">
        <f>I4</f>
        <v>4002</v>
      </c>
      <c r="AT4" s="180">
        <f>I4/24*2</f>
        <v>333.5</v>
      </c>
      <c r="AU4" s="180"/>
      <c r="BO4" s="19">
        <f>I4</f>
        <v>4002</v>
      </c>
      <c r="CG4" s="169"/>
      <c r="CH4" s="169"/>
      <c r="CI4" s="169"/>
      <c r="CJ4" s="169"/>
      <c r="CK4" s="169"/>
      <c r="CL4" s="169"/>
      <c r="CP4" s="169"/>
      <c r="CQ4" s="169"/>
      <c r="CR4" s="169"/>
      <c r="CS4" s="169"/>
      <c r="CT4" s="169"/>
      <c r="CU4" s="169"/>
    </row>
    <row r="5" s="20" customFormat="1" ht="31" customHeight="1" spans="1:53">
      <c r="A5" s="31">
        <v>45775</v>
      </c>
      <c r="B5" s="32" t="s">
        <v>3866</v>
      </c>
      <c r="C5" s="33" t="s">
        <v>356</v>
      </c>
      <c r="D5" s="20">
        <v>4500165161</v>
      </c>
      <c r="E5" s="33">
        <v>5200006637</v>
      </c>
      <c r="F5" s="20" t="s">
        <v>6803</v>
      </c>
      <c r="G5" s="35" t="s">
        <v>423</v>
      </c>
      <c r="H5" s="33" t="s">
        <v>424</v>
      </c>
      <c r="I5" s="33">
        <v>4002</v>
      </c>
      <c r="J5" s="33">
        <v>0</v>
      </c>
      <c r="K5" s="33">
        <v>6</v>
      </c>
      <c r="L5" s="66">
        <f t="shared" si="0"/>
        <v>667</v>
      </c>
      <c r="M5" s="67">
        <v>45813</v>
      </c>
      <c r="N5" s="67">
        <v>45810</v>
      </c>
      <c r="O5" s="48"/>
      <c r="P5" s="48"/>
      <c r="Q5" s="33"/>
      <c r="R5" s="94">
        <v>45785</v>
      </c>
      <c r="S5" s="94" t="s">
        <v>66</v>
      </c>
      <c r="T5" s="94" t="s">
        <v>671</v>
      </c>
      <c r="U5" s="94"/>
      <c r="V5" s="32" t="s">
        <v>6805</v>
      </c>
      <c r="W5" s="67" t="s">
        <v>391</v>
      </c>
      <c r="X5" s="95">
        <v>8.1</v>
      </c>
      <c r="Y5" s="137">
        <f t="shared" si="1"/>
        <v>32416.2</v>
      </c>
      <c r="Z5" s="33"/>
      <c r="AA5" s="140" t="s">
        <v>6806</v>
      </c>
      <c r="AB5" s="33"/>
      <c r="AC5" s="33"/>
      <c r="AD5" s="33"/>
      <c r="AE5" s="138"/>
      <c r="AF5" s="138">
        <f>AE5-I5</f>
        <v>-4002</v>
      </c>
      <c r="AG5" s="164"/>
      <c r="AH5" s="33"/>
      <c r="AI5" s="33"/>
      <c r="AJ5" s="20">
        <f>I5</f>
        <v>4002</v>
      </c>
      <c r="AO5" s="20">
        <f>I5</f>
        <v>4002</v>
      </c>
      <c r="AP5" s="20">
        <f>I5</f>
        <v>4002</v>
      </c>
      <c r="AR5" s="20">
        <f>I5</f>
        <v>4002</v>
      </c>
      <c r="BA5" s="189">
        <f>I5</f>
        <v>4002</v>
      </c>
    </row>
    <row r="6" s="21" customFormat="1" ht="31" customHeight="1" spans="1:99">
      <c r="A6" s="36">
        <v>45796</v>
      </c>
      <c r="B6" s="37" t="s">
        <v>6807</v>
      </c>
      <c r="C6" s="38" t="s">
        <v>90</v>
      </c>
      <c r="D6" s="21">
        <v>4500166848</v>
      </c>
      <c r="E6" s="38" t="s">
        <v>6808</v>
      </c>
      <c r="F6" s="21" t="s">
        <v>6809</v>
      </c>
      <c r="G6" s="39" t="s">
        <v>3272</v>
      </c>
      <c r="H6" s="40" t="s">
        <v>3207</v>
      </c>
      <c r="I6" s="40">
        <v>1300</v>
      </c>
      <c r="J6" s="40">
        <v>0</v>
      </c>
      <c r="K6" s="40">
        <v>13</v>
      </c>
      <c r="L6" s="68">
        <f t="shared" si="0"/>
        <v>100</v>
      </c>
      <c r="M6" s="69">
        <v>45832</v>
      </c>
      <c r="N6" s="69">
        <v>45828</v>
      </c>
      <c r="O6" s="70"/>
      <c r="P6" s="70"/>
      <c r="Q6" s="40"/>
      <c r="R6" s="96"/>
      <c r="S6" s="96"/>
      <c r="T6" s="97"/>
      <c r="U6" s="97"/>
      <c r="V6" s="98" t="s">
        <v>6810</v>
      </c>
      <c r="W6" s="99" t="s">
        <v>586</v>
      </c>
      <c r="X6" s="100">
        <v>0.5426</v>
      </c>
      <c r="Y6" s="141">
        <f t="shared" si="1"/>
        <v>705.38</v>
      </c>
      <c r="Z6" s="40"/>
      <c r="AA6" s="140"/>
      <c r="AB6" s="142"/>
      <c r="AC6" s="142"/>
      <c r="AD6" s="40"/>
      <c r="AE6" s="143"/>
      <c r="AF6" s="40"/>
      <c r="AG6" s="166"/>
      <c r="AH6" s="40"/>
      <c r="AI6" s="40"/>
      <c r="AJ6" s="140">
        <f>I6</f>
        <v>1300</v>
      </c>
      <c r="AK6" s="140"/>
      <c r="AP6" s="140"/>
      <c r="AQ6" s="140"/>
      <c r="AS6" s="140"/>
      <c r="AT6" s="181"/>
      <c r="AU6" s="181"/>
      <c r="CG6" s="192"/>
      <c r="CH6" s="192"/>
      <c r="CI6" s="192"/>
      <c r="CJ6" s="192"/>
      <c r="CK6" s="192"/>
      <c r="CL6" s="192"/>
      <c r="CP6" s="192"/>
      <c r="CQ6" s="192"/>
      <c r="CR6" s="192"/>
      <c r="CS6" s="192"/>
      <c r="CT6" s="192"/>
      <c r="CU6" s="192"/>
    </row>
    <row r="7" s="19" customFormat="1" ht="31" customHeight="1" spans="1:99">
      <c r="A7" s="31">
        <v>45775</v>
      </c>
      <c r="B7" s="32" t="s">
        <v>3866</v>
      </c>
      <c r="C7" s="33" t="s">
        <v>356</v>
      </c>
      <c r="D7" s="19">
        <v>4500165161</v>
      </c>
      <c r="E7" s="33" t="s">
        <v>6802</v>
      </c>
      <c r="F7" s="19" t="s">
        <v>6811</v>
      </c>
      <c r="G7" s="34" t="s">
        <v>3231</v>
      </c>
      <c r="H7" s="34" t="s">
        <v>3207</v>
      </c>
      <c r="I7" s="34">
        <v>6006</v>
      </c>
      <c r="J7" s="34">
        <v>0</v>
      </c>
      <c r="K7" s="34">
        <v>13</v>
      </c>
      <c r="L7" s="63">
        <f t="shared" si="0"/>
        <v>462</v>
      </c>
      <c r="M7" s="64">
        <v>45813</v>
      </c>
      <c r="N7" s="64">
        <v>45810</v>
      </c>
      <c r="O7" s="65" t="s">
        <v>6812</v>
      </c>
      <c r="P7" s="65"/>
      <c r="Q7" s="34"/>
      <c r="R7" s="91">
        <v>45785</v>
      </c>
      <c r="S7" s="91" t="s">
        <v>66</v>
      </c>
      <c r="T7" s="91" t="s">
        <v>3441</v>
      </c>
      <c r="U7" s="91"/>
      <c r="V7" s="93" t="s">
        <v>6813</v>
      </c>
      <c r="W7" s="93" t="s">
        <v>391</v>
      </c>
      <c r="X7" s="93">
        <v>1.16</v>
      </c>
      <c r="Y7" s="132">
        <f t="shared" si="1"/>
        <v>6966.96</v>
      </c>
      <c r="Z7" s="34"/>
      <c r="AA7" s="34" t="s">
        <v>3206</v>
      </c>
      <c r="AB7" s="133" t="s">
        <v>76</v>
      </c>
      <c r="AC7" s="133"/>
      <c r="AD7" s="34"/>
      <c r="AE7" s="139"/>
      <c r="AF7" s="34">
        <f>AE7-I7</f>
        <v>-6006</v>
      </c>
      <c r="AG7" s="165"/>
      <c r="AH7" s="34"/>
      <c r="AI7" s="34"/>
      <c r="AJ7" s="34"/>
      <c r="AK7" s="20">
        <f>I7</f>
        <v>6006</v>
      </c>
      <c r="AO7" s="19">
        <f>I7</f>
        <v>6006</v>
      </c>
      <c r="AQ7" s="19">
        <f>I7</f>
        <v>6006</v>
      </c>
      <c r="AT7" s="180">
        <f>I7/24</f>
        <v>250.25</v>
      </c>
      <c r="AU7" s="180"/>
      <c r="BC7" s="19">
        <f>I7/13</f>
        <v>462</v>
      </c>
      <c r="CG7" s="169"/>
      <c r="CH7" s="169"/>
      <c r="CI7" s="169"/>
      <c r="CJ7" s="169"/>
      <c r="CK7" s="169"/>
      <c r="CL7" s="169"/>
      <c r="CP7" s="169"/>
      <c r="CQ7" s="169"/>
      <c r="CR7" s="169"/>
      <c r="CS7" s="169"/>
      <c r="CT7" s="169"/>
      <c r="CU7" s="169"/>
    </row>
    <row r="8" s="19" customFormat="1" ht="31" customHeight="1" spans="1:99">
      <c r="A8" s="31">
        <v>45775</v>
      </c>
      <c r="B8" s="32" t="s">
        <v>3866</v>
      </c>
      <c r="C8" s="33" t="s">
        <v>356</v>
      </c>
      <c r="D8" s="19">
        <v>4500165161</v>
      </c>
      <c r="E8" s="33" t="s">
        <v>6802</v>
      </c>
      <c r="F8" s="19" t="s">
        <v>6814</v>
      </c>
      <c r="G8" s="34" t="s">
        <v>3560</v>
      </c>
      <c r="H8" s="34" t="s">
        <v>3194</v>
      </c>
      <c r="I8" s="34">
        <v>3000</v>
      </c>
      <c r="J8" s="34">
        <v>0</v>
      </c>
      <c r="K8" s="34">
        <v>30</v>
      </c>
      <c r="L8" s="63">
        <f t="shared" si="0"/>
        <v>100</v>
      </c>
      <c r="M8" s="64">
        <v>45813</v>
      </c>
      <c r="N8" s="64">
        <v>45810</v>
      </c>
      <c r="O8" s="65" t="s">
        <v>6812</v>
      </c>
      <c r="P8" s="65"/>
      <c r="Q8" s="34"/>
      <c r="R8" s="91">
        <v>45785</v>
      </c>
      <c r="S8" s="91" t="s">
        <v>66</v>
      </c>
      <c r="T8" s="91" t="s">
        <v>3441</v>
      </c>
      <c r="U8" s="91"/>
      <c r="V8" s="93" t="s">
        <v>6815</v>
      </c>
      <c r="W8" s="93" t="s">
        <v>391</v>
      </c>
      <c r="X8" s="93">
        <v>35.1</v>
      </c>
      <c r="Y8" s="132">
        <f>X8*L8</f>
        <v>3510</v>
      </c>
      <c r="Z8" s="34"/>
      <c r="AA8" s="40" t="s">
        <v>6806</v>
      </c>
      <c r="AB8" s="133"/>
      <c r="AC8" s="133"/>
      <c r="AD8" s="34"/>
      <c r="AE8" s="139"/>
      <c r="AF8" s="34">
        <f>AE8-I8</f>
        <v>-3000</v>
      </c>
      <c r="AG8" s="165"/>
      <c r="AH8" s="34"/>
      <c r="AI8" s="34"/>
      <c r="AJ8" s="34"/>
      <c r="AK8" s="20">
        <f>I8</f>
        <v>3000</v>
      </c>
      <c r="AO8" s="19">
        <f>I8</f>
        <v>3000</v>
      </c>
      <c r="AQ8" s="19">
        <f>I8</f>
        <v>3000</v>
      </c>
      <c r="AT8" s="180">
        <f>I8/24</f>
        <v>125</v>
      </c>
      <c r="AU8" s="180"/>
      <c r="BX8" s="19">
        <f>I8/30</f>
        <v>100</v>
      </c>
      <c r="CG8" s="169"/>
      <c r="CH8" s="169"/>
      <c r="CI8" s="169"/>
      <c r="CJ8" s="169"/>
      <c r="CK8" s="169"/>
      <c r="CL8" s="169"/>
      <c r="CP8" s="169"/>
      <c r="CQ8" s="169"/>
      <c r="CR8" s="169"/>
      <c r="CS8" s="169"/>
      <c r="CT8" s="169"/>
      <c r="CU8" s="169"/>
    </row>
    <row r="9" s="22" customFormat="1" ht="31" customHeight="1" spans="1:98">
      <c r="A9" s="41">
        <v>45798</v>
      </c>
      <c r="B9" s="42" t="s">
        <v>108</v>
      </c>
      <c r="C9" s="43" t="s">
        <v>90</v>
      </c>
      <c r="D9" s="22">
        <v>4500167444</v>
      </c>
      <c r="E9" s="43">
        <v>5200006828</v>
      </c>
      <c r="F9" s="22" t="s">
        <v>6816</v>
      </c>
      <c r="G9" s="44" t="s">
        <v>3236</v>
      </c>
      <c r="H9" s="44" t="s">
        <v>3237</v>
      </c>
      <c r="I9" s="44">
        <v>1500</v>
      </c>
      <c r="J9" s="44">
        <v>0</v>
      </c>
      <c r="K9" s="44">
        <v>12</v>
      </c>
      <c r="L9" s="71">
        <f t="shared" si="0"/>
        <v>125</v>
      </c>
      <c r="M9" s="72">
        <v>45843</v>
      </c>
      <c r="N9" s="73">
        <v>45848</v>
      </c>
      <c r="O9" s="74" t="s">
        <v>6817</v>
      </c>
      <c r="P9" s="74"/>
      <c r="Q9" s="44"/>
      <c r="R9" s="101">
        <v>45798</v>
      </c>
      <c r="S9" s="102" t="s">
        <v>66</v>
      </c>
      <c r="T9" s="103" t="s">
        <v>66</v>
      </c>
      <c r="U9" s="104"/>
      <c r="V9" s="105" t="s">
        <v>6818</v>
      </c>
      <c r="W9" s="106" t="s">
        <v>113</v>
      </c>
      <c r="X9" s="105">
        <v>1.3094</v>
      </c>
      <c r="Y9" s="144">
        <f>X9*I9</f>
        <v>1964.1</v>
      </c>
      <c r="Z9" s="44"/>
      <c r="AA9" s="145" t="s">
        <v>3236</v>
      </c>
      <c r="AB9" s="146"/>
      <c r="AC9" s="146"/>
      <c r="AD9" s="147"/>
      <c r="AE9" s="147"/>
      <c r="AF9" s="147"/>
      <c r="AG9" s="167"/>
      <c r="AH9" s="147"/>
      <c r="AI9" s="147"/>
      <c r="AJ9" s="44">
        <f>I9*2</f>
        <v>3000</v>
      </c>
      <c r="AM9" s="22">
        <f>I9*2</f>
        <v>3000</v>
      </c>
      <c r="AP9" s="182">
        <f>I9*2</f>
        <v>3000</v>
      </c>
      <c r="AT9" s="183">
        <f>I9/24*2</f>
        <v>125</v>
      </c>
      <c r="AU9" s="183"/>
      <c r="CF9" s="193"/>
      <c r="CG9" s="193"/>
      <c r="CH9" s="193"/>
      <c r="CI9" s="193"/>
      <c r="CJ9" s="193"/>
      <c r="CK9" s="193"/>
      <c r="CO9" s="193"/>
      <c r="CP9" s="193"/>
      <c r="CQ9" s="193"/>
      <c r="CR9" s="193"/>
      <c r="CS9" s="193"/>
      <c r="CT9" s="193"/>
    </row>
    <row r="10" s="19" customFormat="1" ht="31" customHeight="1" spans="1:99">
      <c r="A10" s="45">
        <v>45801</v>
      </c>
      <c r="B10" s="32" t="s">
        <v>4175</v>
      </c>
      <c r="C10" s="33" t="s">
        <v>249</v>
      </c>
      <c r="D10" s="19">
        <v>4500167852</v>
      </c>
      <c r="E10" s="33"/>
      <c r="F10" s="19" t="s">
        <v>6819</v>
      </c>
      <c r="G10" s="34" t="s">
        <v>3206</v>
      </c>
      <c r="H10" s="34" t="s">
        <v>3207</v>
      </c>
      <c r="I10" s="34">
        <v>3120</v>
      </c>
      <c r="J10" s="34">
        <v>0</v>
      </c>
      <c r="K10" s="34">
        <v>13</v>
      </c>
      <c r="L10" s="63">
        <f t="shared" si="0"/>
        <v>240</v>
      </c>
      <c r="M10" s="64">
        <v>45822</v>
      </c>
      <c r="N10" s="64" t="s">
        <v>6820</v>
      </c>
      <c r="O10" s="65"/>
      <c r="P10" s="65"/>
      <c r="Q10" s="34"/>
      <c r="R10" s="94" t="s">
        <v>403</v>
      </c>
      <c r="S10" s="94" t="s">
        <v>66</v>
      </c>
      <c r="T10" s="91" t="s">
        <v>66</v>
      </c>
      <c r="U10" s="107"/>
      <c r="V10" s="93" t="s">
        <v>6821</v>
      </c>
      <c r="W10" s="93" t="s">
        <v>254</v>
      </c>
      <c r="X10" s="93">
        <v>0.9116</v>
      </c>
      <c r="Y10" s="132">
        <f>X10*I10</f>
        <v>2844.192</v>
      </c>
      <c r="Z10" s="34"/>
      <c r="AA10" s="20"/>
      <c r="AB10" s="34"/>
      <c r="AC10" s="34"/>
      <c r="AD10" s="34"/>
      <c r="AE10" s="34"/>
      <c r="AF10" s="139">
        <f>AE10-I10</f>
        <v>-3120</v>
      </c>
      <c r="AG10" s="168"/>
      <c r="AH10" s="34"/>
      <c r="AI10" s="34"/>
      <c r="AJ10" s="34"/>
      <c r="AK10" s="20">
        <f>I10</f>
        <v>3120</v>
      </c>
      <c r="AL10" s="19">
        <f>I10</f>
        <v>3120</v>
      </c>
      <c r="AQ10" s="20">
        <f>I10</f>
        <v>3120</v>
      </c>
      <c r="AS10" s="20"/>
      <c r="AT10" s="180"/>
      <c r="AU10" s="180"/>
      <c r="CG10" s="169"/>
      <c r="CH10" s="169"/>
      <c r="CI10" s="169"/>
      <c r="CJ10" s="169"/>
      <c r="CK10" s="169"/>
      <c r="CL10" s="169"/>
      <c r="CP10" s="169"/>
      <c r="CQ10" s="169"/>
      <c r="CR10" s="169"/>
      <c r="CS10" s="169"/>
      <c r="CT10" s="169"/>
      <c r="CU10" s="169"/>
    </row>
    <row r="11" s="23" customFormat="1" ht="31" customHeight="1" spans="1:64">
      <c r="A11" s="31">
        <v>45827</v>
      </c>
      <c r="B11" s="32" t="s">
        <v>220</v>
      </c>
      <c r="C11" s="33" t="s">
        <v>90</v>
      </c>
      <c r="D11" s="20">
        <v>4500170548</v>
      </c>
      <c r="E11" s="33" t="s">
        <v>6822</v>
      </c>
      <c r="F11" s="20" t="s">
        <v>6823</v>
      </c>
      <c r="G11" s="35" t="s">
        <v>223</v>
      </c>
      <c r="H11" s="33" t="s">
        <v>224</v>
      </c>
      <c r="I11" s="33">
        <v>1232</v>
      </c>
      <c r="J11" s="33">
        <v>0</v>
      </c>
      <c r="K11" s="33">
        <v>4</v>
      </c>
      <c r="L11" s="66">
        <f t="shared" si="0"/>
        <v>308</v>
      </c>
      <c r="M11" s="67">
        <v>45884</v>
      </c>
      <c r="N11" s="67">
        <v>45880</v>
      </c>
      <c r="O11" s="75">
        <v>45884</v>
      </c>
      <c r="P11" s="48"/>
      <c r="Q11" s="48"/>
      <c r="R11" s="33"/>
      <c r="S11" s="94"/>
      <c r="T11" s="94"/>
      <c r="U11" s="94"/>
      <c r="V11" s="94"/>
      <c r="W11" s="94"/>
      <c r="X11" s="32" t="s">
        <v>1160</v>
      </c>
      <c r="Y11" s="67" t="s">
        <v>226</v>
      </c>
      <c r="Z11" s="95">
        <v>2.8095</v>
      </c>
      <c r="AA11" s="137">
        <f>Z11*I11</f>
        <v>3461.304</v>
      </c>
      <c r="AB11" s="33"/>
      <c r="AC11" s="20"/>
      <c r="AD11" s="33"/>
      <c r="AE11" s="33"/>
      <c r="AF11" s="33"/>
      <c r="AG11" s="138"/>
      <c r="AH11" s="138">
        <f>AG11-I11</f>
        <v>-1232</v>
      </c>
      <c r="AI11" s="164"/>
      <c r="AJ11" s="33"/>
      <c r="AK11" s="33"/>
      <c r="AL11" s="20"/>
      <c r="AM11" s="20"/>
      <c r="AN11" s="20">
        <f>I11</f>
        <v>1232</v>
      </c>
      <c r="AO11" s="20"/>
      <c r="AP11" s="20"/>
      <c r="AQ11" s="20"/>
      <c r="AR11" s="20"/>
      <c r="AS11" s="20"/>
      <c r="AT11" s="20">
        <f>I11</f>
        <v>1232</v>
      </c>
      <c r="AU11" s="20"/>
      <c r="AV11" s="20">
        <f>I11</f>
        <v>1232</v>
      </c>
      <c r="AW11" s="20"/>
      <c r="AX11" s="20"/>
      <c r="AY11" s="20"/>
      <c r="AZ11" s="20"/>
      <c r="BA11" s="20"/>
      <c r="BB11" s="20"/>
      <c r="BC11" s="20"/>
      <c r="BD11" s="20"/>
      <c r="BE11" s="20"/>
      <c r="BF11" s="20">
        <f>I11</f>
        <v>1232</v>
      </c>
      <c r="BG11" s="20">
        <f>I11</f>
        <v>1232</v>
      </c>
      <c r="BH11" s="20"/>
      <c r="BI11" s="20"/>
      <c r="BJ11" s="20"/>
      <c r="BK11" s="20"/>
      <c r="BL11" s="20"/>
    </row>
    <row r="12" s="20" customFormat="1" ht="31" customHeight="1" spans="1:59">
      <c r="A12" s="31">
        <v>45827</v>
      </c>
      <c r="B12" s="32" t="s">
        <v>220</v>
      </c>
      <c r="C12" s="33" t="s">
        <v>90</v>
      </c>
      <c r="D12" s="20">
        <v>4500170526</v>
      </c>
      <c r="E12" s="33" t="s">
        <v>6824</v>
      </c>
      <c r="F12" s="20" t="s">
        <v>6825</v>
      </c>
      <c r="G12" s="35" t="s">
        <v>223</v>
      </c>
      <c r="H12" s="33" t="s">
        <v>224</v>
      </c>
      <c r="I12" s="33">
        <v>3780</v>
      </c>
      <c r="J12" s="33">
        <v>0</v>
      </c>
      <c r="K12" s="33">
        <v>4</v>
      </c>
      <c r="L12" s="66">
        <f t="shared" si="0"/>
        <v>945</v>
      </c>
      <c r="M12" s="67">
        <v>45868</v>
      </c>
      <c r="N12" s="67">
        <v>45864</v>
      </c>
      <c r="O12" s="75">
        <v>45868</v>
      </c>
      <c r="P12" s="48"/>
      <c r="Q12" s="48">
        <f>VLOOKUP(D12,取消单!$D$12:$O$12,12,FALSE)</f>
        <v>45868</v>
      </c>
      <c r="R12" s="33"/>
      <c r="S12" s="94" t="s">
        <v>403</v>
      </c>
      <c r="T12" s="94" t="s">
        <v>96</v>
      </c>
      <c r="U12" s="94" t="s">
        <v>403</v>
      </c>
      <c r="V12" s="94"/>
      <c r="W12" s="94"/>
      <c r="X12" s="32" t="s">
        <v>1353</v>
      </c>
      <c r="Y12" s="67" t="s">
        <v>226</v>
      </c>
      <c r="Z12" s="95">
        <v>2.8063</v>
      </c>
      <c r="AA12" s="137">
        <f>Z12*I12</f>
        <v>10607.814</v>
      </c>
      <c r="AB12" s="33"/>
      <c r="AD12" s="33"/>
      <c r="AE12" s="33"/>
      <c r="AF12" s="33"/>
      <c r="AG12" s="138"/>
      <c r="AH12" s="138">
        <f>AG12-I12</f>
        <v>-3780</v>
      </c>
      <c r="AI12" s="164"/>
      <c r="AJ12" s="33"/>
      <c r="AK12" s="33"/>
      <c r="AN12" s="20">
        <f>I12</f>
        <v>3780</v>
      </c>
      <c r="AT12" s="20">
        <f>I12</f>
        <v>3780</v>
      </c>
      <c r="AV12" s="20">
        <f>I12/4</f>
        <v>945</v>
      </c>
      <c r="BF12" s="20">
        <f>I12</f>
        <v>3780</v>
      </c>
      <c r="BG12" s="20">
        <f>I12</f>
        <v>3780</v>
      </c>
    </row>
    <row r="13" s="19" customFormat="1" ht="31" customHeight="1" spans="1:99">
      <c r="A13" s="31">
        <v>45826</v>
      </c>
      <c r="B13" s="32" t="s">
        <v>128</v>
      </c>
      <c r="C13" s="33" t="s">
        <v>90</v>
      </c>
      <c r="D13" s="19">
        <v>4500170460</v>
      </c>
      <c r="E13" s="33" t="s">
        <v>6826</v>
      </c>
      <c r="F13" s="19" t="s">
        <v>6827</v>
      </c>
      <c r="G13" s="34" t="s">
        <v>3884</v>
      </c>
      <c r="H13" s="34" t="s">
        <v>3151</v>
      </c>
      <c r="I13" s="34">
        <v>1376</v>
      </c>
      <c r="J13" s="34">
        <v>0</v>
      </c>
      <c r="K13" s="34">
        <v>16</v>
      </c>
      <c r="L13" s="63">
        <f t="shared" si="0"/>
        <v>86</v>
      </c>
      <c r="M13" s="64">
        <v>45869</v>
      </c>
      <c r="N13" s="64" t="s">
        <v>6828</v>
      </c>
      <c r="O13" s="65"/>
      <c r="P13" s="65"/>
      <c r="Q13" s="34"/>
      <c r="R13" s="91" t="s">
        <v>4194</v>
      </c>
      <c r="S13" s="94" t="s">
        <v>66</v>
      </c>
      <c r="T13" s="91" t="s">
        <v>133</v>
      </c>
      <c r="U13" s="91"/>
      <c r="V13" s="108" t="s">
        <v>6829</v>
      </c>
      <c r="W13" s="93" t="s">
        <v>98</v>
      </c>
      <c r="X13" s="109">
        <v>0.5252</v>
      </c>
      <c r="Y13" s="132">
        <f>X13*I13</f>
        <v>722.6752</v>
      </c>
      <c r="Z13" s="34"/>
      <c r="AA13" s="140" t="s">
        <v>6806</v>
      </c>
      <c r="AB13" s="133"/>
      <c r="AC13" s="133"/>
      <c r="AD13" s="34"/>
      <c r="AE13" s="139"/>
      <c r="AF13" s="34">
        <f>AE13-I13</f>
        <v>-1376</v>
      </c>
      <c r="AG13" s="165"/>
      <c r="AH13" s="34"/>
      <c r="AI13" s="34"/>
      <c r="AJ13" s="34">
        <f>I13</f>
        <v>1376</v>
      </c>
      <c r="AK13" s="20"/>
      <c r="AL13" s="19">
        <f t="shared" ref="AL13:AL20" si="2">I13</f>
        <v>1376</v>
      </c>
      <c r="AN13" s="169"/>
      <c r="AQ13" s="20">
        <f>I13*2</f>
        <v>2752</v>
      </c>
      <c r="AU13" s="180">
        <f>I13/24</f>
        <v>57.3333333333333</v>
      </c>
      <c r="AV13" s="180"/>
      <c r="CH13" s="169"/>
      <c r="CI13" s="169"/>
      <c r="CJ13" s="169"/>
      <c r="CK13" s="169"/>
      <c r="CL13" s="169"/>
      <c r="CP13" s="169"/>
      <c r="CQ13" s="169"/>
      <c r="CR13" s="169"/>
      <c r="CS13" s="169"/>
      <c r="CT13" s="169"/>
      <c r="CU13" s="169"/>
    </row>
    <row r="14" s="19" customFormat="1" ht="31" customHeight="1" spans="1:99">
      <c r="A14" s="31">
        <v>45826</v>
      </c>
      <c r="B14" s="32" t="s">
        <v>128</v>
      </c>
      <c r="C14" s="33" t="s">
        <v>90</v>
      </c>
      <c r="D14" s="19">
        <v>4500170460</v>
      </c>
      <c r="E14" s="33" t="s">
        <v>6830</v>
      </c>
      <c r="F14" s="19" t="s">
        <v>6831</v>
      </c>
      <c r="G14" s="34" t="s">
        <v>3884</v>
      </c>
      <c r="H14" s="34" t="s">
        <v>3151</v>
      </c>
      <c r="I14" s="34">
        <v>1056</v>
      </c>
      <c r="J14" s="34">
        <v>0</v>
      </c>
      <c r="K14" s="34">
        <v>16</v>
      </c>
      <c r="L14" s="63">
        <f t="shared" si="0"/>
        <v>66</v>
      </c>
      <c r="M14" s="64">
        <v>45869</v>
      </c>
      <c r="N14" s="64" t="s">
        <v>6828</v>
      </c>
      <c r="O14" s="65"/>
      <c r="P14" s="65"/>
      <c r="Q14" s="34"/>
      <c r="R14" s="91" t="s">
        <v>4194</v>
      </c>
      <c r="S14" s="94" t="s">
        <v>66</v>
      </c>
      <c r="T14" s="91" t="s">
        <v>133</v>
      </c>
      <c r="U14" s="91"/>
      <c r="V14" s="108" t="s">
        <v>6829</v>
      </c>
      <c r="W14" s="93" t="s">
        <v>98</v>
      </c>
      <c r="X14" s="109">
        <v>0.5252</v>
      </c>
      <c r="Y14" s="132">
        <f>X14*I14</f>
        <v>554.6112</v>
      </c>
      <c r="Z14" s="34"/>
      <c r="AA14" s="140" t="s">
        <v>6806</v>
      </c>
      <c r="AB14" s="133"/>
      <c r="AC14" s="133"/>
      <c r="AD14" s="34"/>
      <c r="AE14" s="139"/>
      <c r="AF14" s="34">
        <f>AE14-I14</f>
        <v>-1056</v>
      </c>
      <c r="AG14" s="165"/>
      <c r="AH14" s="34"/>
      <c r="AI14" s="34"/>
      <c r="AJ14" s="34">
        <f>I14</f>
        <v>1056</v>
      </c>
      <c r="AK14" s="20"/>
      <c r="AL14" s="19">
        <f t="shared" si="2"/>
        <v>1056</v>
      </c>
      <c r="AN14" s="169"/>
      <c r="AQ14" s="20">
        <f>I14*2</f>
        <v>2112</v>
      </c>
      <c r="AU14" s="180">
        <f>I14/24</f>
        <v>44</v>
      </c>
      <c r="AV14" s="180"/>
      <c r="CH14" s="169"/>
      <c r="CI14" s="169"/>
      <c r="CJ14" s="169"/>
      <c r="CK14" s="169"/>
      <c r="CL14" s="169"/>
      <c r="CP14" s="169"/>
      <c r="CQ14" s="169"/>
      <c r="CR14" s="169"/>
      <c r="CS14" s="169"/>
      <c r="CT14" s="169"/>
      <c r="CU14" s="169"/>
    </row>
    <row r="15" s="19" customFormat="1" ht="31" customHeight="1" spans="1:99">
      <c r="A15" s="31">
        <v>45826</v>
      </c>
      <c r="B15" s="32" t="s">
        <v>128</v>
      </c>
      <c r="C15" s="33" t="s">
        <v>90</v>
      </c>
      <c r="D15" s="19">
        <v>4500170460</v>
      </c>
      <c r="E15" s="33" t="s">
        <v>6832</v>
      </c>
      <c r="F15" s="19" t="s">
        <v>6833</v>
      </c>
      <c r="G15" s="34" t="s">
        <v>3884</v>
      </c>
      <c r="H15" s="34" t="s">
        <v>3151</v>
      </c>
      <c r="I15" s="34">
        <v>1152</v>
      </c>
      <c r="J15" s="34">
        <v>0</v>
      </c>
      <c r="K15" s="34">
        <v>16</v>
      </c>
      <c r="L15" s="63">
        <f t="shared" si="0"/>
        <v>72</v>
      </c>
      <c r="M15" s="64">
        <v>45869</v>
      </c>
      <c r="N15" s="64" t="s">
        <v>6828</v>
      </c>
      <c r="O15" s="65"/>
      <c r="P15" s="65"/>
      <c r="Q15" s="34"/>
      <c r="R15" s="91" t="s">
        <v>4194</v>
      </c>
      <c r="S15" s="94" t="s">
        <v>66</v>
      </c>
      <c r="T15" s="91" t="s">
        <v>133</v>
      </c>
      <c r="U15" s="91"/>
      <c r="V15" s="108" t="s">
        <v>6829</v>
      </c>
      <c r="W15" s="93" t="s">
        <v>98</v>
      </c>
      <c r="X15" s="109">
        <v>0.5252</v>
      </c>
      <c r="Y15" s="132">
        <f>X15*I15</f>
        <v>605.0304</v>
      </c>
      <c r="Z15" s="34"/>
      <c r="AA15" s="140" t="s">
        <v>6806</v>
      </c>
      <c r="AB15" s="133"/>
      <c r="AC15" s="133"/>
      <c r="AD15" s="34"/>
      <c r="AE15" s="139"/>
      <c r="AF15" s="34">
        <f>AE15-I15</f>
        <v>-1152</v>
      </c>
      <c r="AG15" s="165"/>
      <c r="AH15" s="34"/>
      <c r="AI15" s="34"/>
      <c r="AJ15" s="34">
        <f>I15</f>
        <v>1152</v>
      </c>
      <c r="AK15" s="20"/>
      <c r="AL15" s="19">
        <f t="shared" si="2"/>
        <v>1152</v>
      </c>
      <c r="AN15" s="169"/>
      <c r="AQ15" s="20">
        <f>I15*2</f>
        <v>2304</v>
      </c>
      <c r="AU15" s="180">
        <f>I15/24</f>
        <v>48</v>
      </c>
      <c r="AV15" s="180"/>
      <c r="CH15" s="169"/>
      <c r="CI15" s="169"/>
      <c r="CJ15" s="169"/>
      <c r="CK15" s="169"/>
      <c r="CL15" s="169"/>
      <c r="CP15" s="169"/>
      <c r="CQ15" s="169"/>
      <c r="CR15" s="169"/>
      <c r="CS15" s="169"/>
      <c r="CT15" s="169"/>
      <c r="CU15" s="169"/>
    </row>
    <row r="16" s="19" customFormat="1" ht="31" customHeight="1" spans="1:99">
      <c r="A16" s="31">
        <v>45826</v>
      </c>
      <c r="B16" s="32" t="s">
        <v>128</v>
      </c>
      <c r="C16" s="33" t="s">
        <v>90</v>
      </c>
      <c r="D16" s="19">
        <v>4500170460</v>
      </c>
      <c r="E16" s="33" t="s">
        <v>6834</v>
      </c>
      <c r="F16" s="19" t="s">
        <v>6835</v>
      </c>
      <c r="G16" s="34" t="s">
        <v>3884</v>
      </c>
      <c r="H16" s="34" t="s">
        <v>3151</v>
      </c>
      <c r="I16" s="34">
        <v>592</v>
      </c>
      <c r="J16" s="34">
        <v>0</v>
      </c>
      <c r="K16" s="34">
        <v>16</v>
      </c>
      <c r="L16" s="63">
        <f t="shared" si="0"/>
        <v>37</v>
      </c>
      <c r="M16" s="64">
        <v>45869</v>
      </c>
      <c r="N16" s="64" t="s">
        <v>6828</v>
      </c>
      <c r="O16" s="65"/>
      <c r="P16" s="65"/>
      <c r="Q16" s="34"/>
      <c r="R16" s="91" t="s">
        <v>4194</v>
      </c>
      <c r="S16" s="94" t="s">
        <v>66</v>
      </c>
      <c r="T16" s="91" t="s">
        <v>133</v>
      </c>
      <c r="U16" s="91"/>
      <c r="V16" s="108" t="s">
        <v>6829</v>
      </c>
      <c r="W16" s="93" t="s">
        <v>98</v>
      </c>
      <c r="X16" s="109">
        <v>0.5252</v>
      </c>
      <c r="Y16" s="132">
        <f>X16*I16</f>
        <v>310.9184</v>
      </c>
      <c r="Z16" s="34"/>
      <c r="AA16" s="140" t="s">
        <v>6806</v>
      </c>
      <c r="AB16" s="133"/>
      <c r="AC16" s="133"/>
      <c r="AD16" s="34"/>
      <c r="AE16" s="139"/>
      <c r="AF16" s="34">
        <f>AE16-I16</f>
        <v>-592</v>
      </c>
      <c r="AG16" s="165"/>
      <c r="AH16" s="34"/>
      <c r="AI16" s="34"/>
      <c r="AJ16" s="34">
        <f>I16</f>
        <v>592</v>
      </c>
      <c r="AK16" s="20"/>
      <c r="AL16" s="19">
        <f t="shared" si="2"/>
        <v>592</v>
      </c>
      <c r="AN16" s="169"/>
      <c r="AQ16" s="20">
        <f>I16*2</f>
        <v>1184</v>
      </c>
      <c r="AU16" s="180">
        <f>I16/24</f>
        <v>24.6666666666667</v>
      </c>
      <c r="AV16" s="180"/>
      <c r="CH16" s="169"/>
      <c r="CI16" s="169"/>
      <c r="CJ16" s="169"/>
      <c r="CK16" s="169"/>
      <c r="CL16" s="169"/>
      <c r="CP16" s="169"/>
      <c r="CQ16" s="169"/>
      <c r="CR16" s="169"/>
      <c r="CS16" s="169"/>
      <c r="CT16" s="169"/>
      <c r="CU16" s="169"/>
    </row>
    <row r="17" s="23" customFormat="1" ht="31" customHeight="1" spans="1:64">
      <c r="A17" s="31">
        <v>45826</v>
      </c>
      <c r="B17" s="32" t="s">
        <v>128</v>
      </c>
      <c r="C17" s="33" t="s">
        <v>90</v>
      </c>
      <c r="D17" s="20">
        <v>4500170460</v>
      </c>
      <c r="E17" s="33" t="s">
        <v>6826</v>
      </c>
      <c r="F17" s="20" t="s">
        <v>6836</v>
      </c>
      <c r="G17" s="35" t="s">
        <v>186</v>
      </c>
      <c r="H17" s="33" t="s">
        <v>94</v>
      </c>
      <c r="I17" s="33">
        <v>272</v>
      </c>
      <c r="J17" s="33">
        <v>0</v>
      </c>
      <c r="K17" s="33">
        <v>4</v>
      </c>
      <c r="L17" s="66">
        <f t="shared" si="0"/>
        <v>68</v>
      </c>
      <c r="M17" s="67">
        <v>45880</v>
      </c>
      <c r="N17" s="67">
        <v>45876</v>
      </c>
      <c r="O17" s="76">
        <v>45887</v>
      </c>
      <c r="P17" s="48"/>
      <c r="Q17" s="76"/>
      <c r="R17" s="33"/>
      <c r="S17" s="94" t="s">
        <v>132</v>
      </c>
      <c r="T17" s="94" t="s">
        <v>66</v>
      </c>
      <c r="U17" s="94" t="s">
        <v>1279</v>
      </c>
      <c r="V17" s="94"/>
      <c r="W17" s="94"/>
      <c r="X17" s="32" t="s">
        <v>6837</v>
      </c>
      <c r="Y17" s="67" t="s">
        <v>98</v>
      </c>
      <c r="Z17" s="95">
        <v>2.5402</v>
      </c>
      <c r="AA17" s="137">
        <f>Z17*I17</f>
        <v>690.9344</v>
      </c>
      <c r="AB17" s="33"/>
      <c r="AC17" s="33" t="s">
        <v>186</v>
      </c>
      <c r="AD17" s="33" t="s">
        <v>76</v>
      </c>
      <c r="AE17" s="33"/>
      <c r="AF17" s="33"/>
      <c r="AG17" s="138"/>
      <c r="AH17" s="138">
        <f>AG17-I17</f>
        <v>-272</v>
      </c>
      <c r="AI17" s="164"/>
      <c r="AJ17" s="33"/>
      <c r="AK17" s="33"/>
      <c r="AL17" s="20">
        <f t="shared" si="2"/>
        <v>272</v>
      </c>
      <c r="AM17" s="20"/>
      <c r="AN17" s="20"/>
      <c r="AO17" s="20"/>
      <c r="AP17" s="20">
        <f>I17</f>
        <v>272</v>
      </c>
      <c r="AQ17" s="20"/>
      <c r="AR17" s="20">
        <f>I17</f>
        <v>272</v>
      </c>
      <c r="AS17" s="20"/>
      <c r="AT17" s="20">
        <f>I17</f>
        <v>272</v>
      </c>
      <c r="AU17" s="20"/>
      <c r="AV17" s="20"/>
      <c r="AW17" s="20"/>
      <c r="AX17" s="20"/>
      <c r="AY17" s="20"/>
      <c r="AZ17" s="20"/>
      <c r="BA17" s="20"/>
      <c r="BB17" s="20"/>
      <c r="BC17" s="20"/>
      <c r="BD17" s="20"/>
      <c r="BE17" s="20"/>
      <c r="BF17" s="20"/>
      <c r="BG17" s="20"/>
      <c r="BH17" s="20"/>
      <c r="BI17" s="20"/>
      <c r="BJ17" s="20"/>
      <c r="BK17" s="20"/>
      <c r="BL17" s="20"/>
    </row>
    <row r="18" s="23" customFormat="1" ht="31" customHeight="1" spans="1:64">
      <c r="A18" s="31">
        <v>45826</v>
      </c>
      <c r="B18" s="32" t="s">
        <v>128</v>
      </c>
      <c r="C18" s="33" t="s">
        <v>90</v>
      </c>
      <c r="D18" s="20">
        <v>4500170460</v>
      </c>
      <c r="E18" s="33" t="s">
        <v>6830</v>
      </c>
      <c r="F18" s="20" t="s">
        <v>6838</v>
      </c>
      <c r="G18" s="35" t="s">
        <v>186</v>
      </c>
      <c r="H18" s="33" t="s">
        <v>94</v>
      </c>
      <c r="I18" s="33">
        <v>208</v>
      </c>
      <c r="J18" s="33">
        <v>0</v>
      </c>
      <c r="K18" s="33">
        <v>4</v>
      </c>
      <c r="L18" s="66">
        <f t="shared" si="0"/>
        <v>52</v>
      </c>
      <c r="M18" s="67">
        <v>45880</v>
      </c>
      <c r="N18" s="67">
        <v>45876</v>
      </c>
      <c r="O18" s="76">
        <v>45887</v>
      </c>
      <c r="P18" s="48"/>
      <c r="Q18" s="76"/>
      <c r="R18" s="33"/>
      <c r="S18" s="94" t="s">
        <v>132</v>
      </c>
      <c r="T18" s="94" t="s">
        <v>66</v>
      </c>
      <c r="U18" s="94" t="s">
        <v>1279</v>
      </c>
      <c r="V18" s="94"/>
      <c r="W18" s="94"/>
      <c r="X18" s="32" t="s">
        <v>6837</v>
      </c>
      <c r="Y18" s="67" t="s">
        <v>98</v>
      </c>
      <c r="Z18" s="95">
        <v>2.5402</v>
      </c>
      <c r="AA18" s="137">
        <f>Z18*I18</f>
        <v>528.3616</v>
      </c>
      <c r="AB18" s="33"/>
      <c r="AC18" s="33" t="s">
        <v>186</v>
      </c>
      <c r="AD18" s="33" t="s">
        <v>76</v>
      </c>
      <c r="AE18" s="33"/>
      <c r="AF18" s="33"/>
      <c r="AG18" s="138"/>
      <c r="AH18" s="138">
        <f>AG18-I18</f>
        <v>-208</v>
      </c>
      <c r="AI18" s="164"/>
      <c r="AJ18" s="33"/>
      <c r="AK18" s="33"/>
      <c r="AL18" s="20">
        <f t="shared" si="2"/>
        <v>208</v>
      </c>
      <c r="AM18" s="20"/>
      <c r="AN18" s="20"/>
      <c r="AO18" s="20"/>
      <c r="AP18" s="20">
        <f>I18</f>
        <v>208</v>
      </c>
      <c r="AQ18" s="20"/>
      <c r="AR18" s="20">
        <f>I18</f>
        <v>208</v>
      </c>
      <c r="AS18" s="20"/>
      <c r="AT18" s="20">
        <f>I18</f>
        <v>208</v>
      </c>
      <c r="AU18" s="20"/>
      <c r="AV18" s="20"/>
      <c r="AW18" s="20"/>
      <c r="AX18" s="20"/>
      <c r="AY18" s="20"/>
      <c r="AZ18" s="20"/>
      <c r="BA18" s="20"/>
      <c r="BB18" s="20"/>
      <c r="BC18" s="20"/>
      <c r="BD18" s="20"/>
      <c r="BE18" s="20"/>
      <c r="BF18" s="20"/>
      <c r="BG18" s="20"/>
      <c r="BH18" s="20"/>
      <c r="BI18" s="20"/>
      <c r="BJ18" s="20"/>
      <c r="BK18" s="20"/>
      <c r="BL18" s="20"/>
    </row>
    <row r="19" s="23" customFormat="1" ht="31" customHeight="1" spans="1:64">
      <c r="A19" s="31">
        <v>45826</v>
      </c>
      <c r="B19" s="32" t="s">
        <v>128</v>
      </c>
      <c r="C19" s="33" t="s">
        <v>90</v>
      </c>
      <c r="D19" s="20">
        <v>4500170460</v>
      </c>
      <c r="E19" s="33" t="s">
        <v>6832</v>
      </c>
      <c r="F19" s="20" t="s">
        <v>6839</v>
      </c>
      <c r="G19" s="35" t="s">
        <v>186</v>
      </c>
      <c r="H19" s="33" t="s">
        <v>94</v>
      </c>
      <c r="I19" s="33">
        <v>228</v>
      </c>
      <c r="J19" s="33">
        <v>0</v>
      </c>
      <c r="K19" s="33">
        <v>4</v>
      </c>
      <c r="L19" s="66">
        <f t="shared" si="0"/>
        <v>57</v>
      </c>
      <c r="M19" s="67">
        <v>45880</v>
      </c>
      <c r="N19" s="67">
        <v>45876</v>
      </c>
      <c r="O19" s="76">
        <v>45887</v>
      </c>
      <c r="P19" s="48"/>
      <c r="Q19" s="76"/>
      <c r="R19" s="33"/>
      <c r="S19" s="94" t="s">
        <v>132</v>
      </c>
      <c r="T19" s="94" t="s">
        <v>66</v>
      </c>
      <c r="U19" s="94" t="s">
        <v>1279</v>
      </c>
      <c r="V19" s="94"/>
      <c r="W19" s="94"/>
      <c r="X19" s="32" t="s">
        <v>6837</v>
      </c>
      <c r="Y19" s="67" t="s">
        <v>98</v>
      </c>
      <c r="Z19" s="95">
        <v>2.5402</v>
      </c>
      <c r="AA19" s="137">
        <f>Z19*I19</f>
        <v>579.1656</v>
      </c>
      <c r="AB19" s="33"/>
      <c r="AC19" s="33" t="s">
        <v>186</v>
      </c>
      <c r="AD19" s="33" t="s">
        <v>76</v>
      </c>
      <c r="AE19" s="33"/>
      <c r="AF19" s="33"/>
      <c r="AG19" s="138"/>
      <c r="AH19" s="138">
        <f t="shared" ref="AH19:AH25" si="3">AG19-I19</f>
        <v>-228</v>
      </c>
      <c r="AI19" s="164"/>
      <c r="AJ19" s="33"/>
      <c r="AK19" s="33"/>
      <c r="AL19" s="20">
        <f t="shared" si="2"/>
        <v>228</v>
      </c>
      <c r="AM19" s="20"/>
      <c r="AN19" s="20"/>
      <c r="AO19" s="20"/>
      <c r="AP19" s="20">
        <f>I19</f>
        <v>228</v>
      </c>
      <c r="AQ19" s="20"/>
      <c r="AR19" s="20">
        <f>I19</f>
        <v>228</v>
      </c>
      <c r="AS19" s="20"/>
      <c r="AT19" s="20">
        <f>I19</f>
        <v>228</v>
      </c>
      <c r="AU19" s="20"/>
      <c r="AV19" s="20"/>
      <c r="AW19" s="20"/>
      <c r="AX19" s="20"/>
      <c r="AY19" s="20"/>
      <c r="AZ19" s="20"/>
      <c r="BA19" s="20"/>
      <c r="BB19" s="20"/>
      <c r="BC19" s="20"/>
      <c r="BD19" s="20"/>
      <c r="BE19" s="20"/>
      <c r="BF19" s="20"/>
      <c r="BG19" s="20"/>
      <c r="BH19" s="20"/>
      <c r="BI19" s="20"/>
      <c r="BJ19" s="20"/>
      <c r="BK19" s="20"/>
      <c r="BL19" s="20"/>
    </row>
    <row r="20" s="23" customFormat="1" ht="31" customHeight="1" spans="1:64">
      <c r="A20" s="31">
        <v>45826</v>
      </c>
      <c r="B20" s="32" t="s">
        <v>128</v>
      </c>
      <c r="C20" s="33" t="s">
        <v>90</v>
      </c>
      <c r="D20" s="20">
        <v>4500170460</v>
      </c>
      <c r="E20" s="33" t="s">
        <v>6834</v>
      </c>
      <c r="F20" s="20" t="s">
        <v>6840</v>
      </c>
      <c r="G20" s="35" t="s">
        <v>186</v>
      </c>
      <c r="H20" s="33" t="s">
        <v>94</v>
      </c>
      <c r="I20" s="33">
        <v>112</v>
      </c>
      <c r="J20" s="33">
        <v>0</v>
      </c>
      <c r="K20" s="33">
        <v>4</v>
      </c>
      <c r="L20" s="66">
        <f t="shared" si="0"/>
        <v>28</v>
      </c>
      <c r="M20" s="67">
        <v>45880</v>
      </c>
      <c r="N20" s="67">
        <v>45876</v>
      </c>
      <c r="O20" s="76">
        <v>45887</v>
      </c>
      <c r="P20" s="48"/>
      <c r="Q20" s="76"/>
      <c r="R20" s="33"/>
      <c r="S20" s="94" t="s">
        <v>132</v>
      </c>
      <c r="T20" s="94" t="s">
        <v>66</v>
      </c>
      <c r="U20" s="94" t="s">
        <v>1279</v>
      </c>
      <c r="V20" s="94"/>
      <c r="W20" s="94"/>
      <c r="X20" s="32" t="s">
        <v>6837</v>
      </c>
      <c r="Y20" s="67" t="s">
        <v>98</v>
      </c>
      <c r="Z20" s="95">
        <v>2.5402</v>
      </c>
      <c r="AA20" s="137">
        <f>Z20*I20</f>
        <v>284.5024</v>
      </c>
      <c r="AB20" s="33"/>
      <c r="AC20" s="33" t="s">
        <v>186</v>
      </c>
      <c r="AD20" s="33" t="s">
        <v>76</v>
      </c>
      <c r="AE20" s="33"/>
      <c r="AF20" s="33"/>
      <c r="AG20" s="138"/>
      <c r="AH20" s="138">
        <f t="shared" si="3"/>
        <v>-112</v>
      </c>
      <c r="AI20" s="164"/>
      <c r="AJ20" s="33"/>
      <c r="AK20" s="33"/>
      <c r="AL20" s="20">
        <f t="shared" si="2"/>
        <v>112</v>
      </c>
      <c r="AM20" s="20"/>
      <c r="AN20" s="20"/>
      <c r="AO20" s="20"/>
      <c r="AP20" s="20">
        <f>I20</f>
        <v>112</v>
      </c>
      <c r="AQ20" s="20"/>
      <c r="AR20" s="20">
        <f>I20</f>
        <v>112</v>
      </c>
      <c r="AS20" s="20"/>
      <c r="AT20" s="20">
        <f>I20</f>
        <v>112</v>
      </c>
      <c r="AU20" s="20"/>
      <c r="AV20" s="20"/>
      <c r="AW20" s="20"/>
      <c r="AX20" s="20"/>
      <c r="AY20" s="20"/>
      <c r="AZ20" s="20"/>
      <c r="BA20" s="20"/>
      <c r="BB20" s="20"/>
      <c r="BC20" s="20"/>
      <c r="BD20" s="20"/>
      <c r="BE20" s="20"/>
      <c r="BF20" s="20"/>
      <c r="BG20" s="20"/>
      <c r="BH20" s="20"/>
      <c r="BI20" s="20"/>
      <c r="BJ20" s="20"/>
      <c r="BK20" s="20"/>
      <c r="BL20" s="20"/>
    </row>
    <row r="21" s="19" customFormat="1" ht="31" customHeight="1" spans="1:99">
      <c r="A21" s="31">
        <v>45678</v>
      </c>
      <c r="B21" s="46" t="s">
        <v>1372</v>
      </c>
      <c r="C21" s="33" t="s">
        <v>90</v>
      </c>
      <c r="D21" s="19">
        <v>4500156320</v>
      </c>
      <c r="E21" s="33"/>
      <c r="F21" s="19" t="s">
        <v>6841</v>
      </c>
      <c r="G21" s="34" t="s">
        <v>819</v>
      </c>
      <c r="H21" s="34" t="s">
        <v>744</v>
      </c>
      <c r="I21" s="34">
        <v>72</v>
      </c>
      <c r="J21" s="34">
        <v>0</v>
      </c>
      <c r="K21" s="34">
        <v>1</v>
      </c>
      <c r="L21" s="63">
        <f t="shared" si="0"/>
        <v>72</v>
      </c>
      <c r="M21" s="77" t="e">
        <f>VLOOKUP(D21,'77673'!D:N,12,FALSE)</f>
        <v>#N/A</v>
      </c>
      <c r="N21" s="77" t="e">
        <f t="shared" ref="N21:N29" si="4">M21-4</f>
        <v>#N/A</v>
      </c>
      <c r="O21" s="65"/>
      <c r="P21" s="65"/>
      <c r="Q21" s="34"/>
      <c r="R21" s="91" t="s">
        <v>403</v>
      </c>
      <c r="S21" s="91" t="s">
        <v>66</v>
      </c>
      <c r="T21" s="91" t="s">
        <v>66</v>
      </c>
      <c r="U21" s="91"/>
      <c r="V21" s="110" t="s">
        <v>820</v>
      </c>
      <c r="W21" s="93" t="s">
        <v>821</v>
      </c>
      <c r="X21" s="93">
        <v>0</v>
      </c>
      <c r="Y21" s="132">
        <f t="shared" ref="Y21:Y29" si="5">X21*L21</f>
        <v>0</v>
      </c>
      <c r="Z21" s="34"/>
      <c r="AA21" s="148" t="s">
        <v>1378</v>
      </c>
      <c r="AB21" s="133" t="s">
        <v>76</v>
      </c>
      <c r="AC21" s="133"/>
      <c r="AD21" s="34"/>
      <c r="AE21" s="139"/>
      <c r="AF21" s="34">
        <v>0</v>
      </c>
      <c r="AG21" s="165"/>
      <c r="AH21" s="34"/>
      <c r="AI21" s="34"/>
      <c r="AJ21" s="34">
        <v>0</v>
      </c>
      <c r="AN21" s="169"/>
      <c r="AU21" s="180"/>
      <c r="AV21" s="180"/>
      <c r="CH21" s="169"/>
      <c r="CI21" s="169"/>
      <c r="CJ21" s="169"/>
      <c r="CK21" s="169"/>
      <c r="CL21" s="169"/>
      <c r="CP21" s="169"/>
      <c r="CQ21" s="169"/>
      <c r="CR21" s="169"/>
      <c r="CS21" s="169"/>
      <c r="CT21" s="169"/>
      <c r="CU21" s="169"/>
    </row>
    <row r="22" s="19" customFormat="1" ht="31" customHeight="1" spans="1:99">
      <c r="A22" s="31">
        <v>45678</v>
      </c>
      <c r="B22" s="46" t="s">
        <v>1372</v>
      </c>
      <c r="C22" s="33" t="s">
        <v>90</v>
      </c>
      <c r="D22" s="19">
        <v>4500156320</v>
      </c>
      <c r="E22" s="33"/>
      <c r="F22" s="19" t="s">
        <v>6841</v>
      </c>
      <c r="G22" s="34">
        <v>77711</v>
      </c>
      <c r="H22" s="34" t="s">
        <v>3151</v>
      </c>
      <c r="I22" s="34">
        <v>5400</v>
      </c>
      <c r="J22" s="34">
        <v>0</v>
      </c>
      <c r="K22" s="34">
        <v>75</v>
      </c>
      <c r="L22" s="63">
        <f t="shared" si="0"/>
        <v>72</v>
      </c>
      <c r="M22" s="77" t="e">
        <f>VLOOKUP(D22,'77673'!D:N,12,FALSE)</f>
        <v>#N/A</v>
      </c>
      <c r="N22" s="77" t="e">
        <f t="shared" si="4"/>
        <v>#N/A</v>
      </c>
      <c r="O22" s="65"/>
      <c r="P22" s="65"/>
      <c r="Q22" s="34"/>
      <c r="R22" s="94" t="s">
        <v>403</v>
      </c>
      <c r="S22" s="94" t="s">
        <v>66</v>
      </c>
      <c r="T22" s="91" t="s">
        <v>66</v>
      </c>
      <c r="U22" s="91"/>
      <c r="V22" s="108"/>
      <c r="W22" s="93" t="s">
        <v>821</v>
      </c>
      <c r="X22" s="93">
        <v>762.5</v>
      </c>
      <c r="Y22" s="132">
        <f t="shared" si="5"/>
        <v>54900</v>
      </c>
      <c r="Z22" s="34"/>
      <c r="AA22" s="148" t="s">
        <v>1378</v>
      </c>
      <c r="AB22" s="133" t="s">
        <v>76</v>
      </c>
      <c r="AC22" s="133"/>
      <c r="AD22" s="34"/>
      <c r="AE22" s="139"/>
      <c r="AF22" s="34">
        <f t="shared" ref="AF22:AF27" si="6">AE22-I22</f>
        <v>-5400</v>
      </c>
      <c r="AG22" s="165"/>
      <c r="AH22" s="34"/>
      <c r="AI22" s="34"/>
      <c r="AJ22" s="34">
        <f>I22*3</f>
        <v>16200</v>
      </c>
      <c r="AN22" s="169"/>
      <c r="AU22" s="180">
        <f>I22/48*3</f>
        <v>337.5</v>
      </c>
      <c r="AV22" s="180"/>
      <c r="AX22" s="19">
        <f>AJ22</f>
        <v>16200</v>
      </c>
      <c r="AY22" s="19">
        <f>AJ22</f>
        <v>16200</v>
      </c>
      <c r="AZ22" s="19">
        <f t="shared" ref="AZ22:AZ27" si="7">I22</f>
        <v>5400</v>
      </c>
      <c r="BA22" s="19">
        <f>I22/5</f>
        <v>1080</v>
      </c>
      <c r="CH22" s="169"/>
      <c r="CI22" s="169"/>
      <c r="CJ22" s="169"/>
      <c r="CK22" s="169"/>
      <c r="CL22" s="169"/>
      <c r="CP22" s="169"/>
      <c r="CQ22" s="169"/>
      <c r="CR22" s="169"/>
      <c r="CS22" s="169"/>
      <c r="CT22" s="169"/>
      <c r="CU22" s="169"/>
    </row>
    <row r="23" s="19" customFormat="1" ht="31" customHeight="1" spans="1:99">
      <c r="A23" s="31">
        <v>45820</v>
      </c>
      <c r="B23" s="32" t="s">
        <v>6842</v>
      </c>
      <c r="C23" s="33" t="s">
        <v>90</v>
      </c>
      <c r="D23" s="19">
        <v>4500169801</v>
      </c>
      <c r="E23" s="33">
        <v>794696</v>
      </c>
      <c r="F23" s="19" t="s">
        <v>6843</v>
      </c>
      <c r="G23" s="34" t="s">
        <v>3272</v>
      </c>
      <c r="H23" s="34" t="s">
        <v>3207</v>
      </c>
      <c r="I23" s="34">
        <v>11544</v>
      </c>
      <c r="J23" s="34">
        <v>0</v>
      </c>
      <c r="K23" s="34">
        <v>13</v>
      </c>
      <c r="L23" s="63">
        <f t="shared" si="0"/>
        <v>888</v>
      </c>
      <c r="M23" s="64">
        <v>45863</v>
      </c>
      <c r="N23" s="77" t="s">
        <v>6844</v>
      </c>
      <c r="O23" s="65"/>
      <c r="P23" s="65"/>
      <c r="Q23" s="34"/>
      <c r="R23" s="91">
        <v>45824</v>
      </c>
      <c r="S23" s="91" t="s">
        <v>66</v>
      </c>
      <c r="T23" s="91" t="s">
        <v>403</v>
      </c>
      <c r="U23" s="91"/>
      <c r="V23" s="108" t="s">
        <v>6845</v>
      </c>
      <c r="W23" s="93" t="s">
        <v>188</v>
      </c>
      <c r="X23" s="109">
        <v>0.5667</v>
      </c>
      <c r="Y23" s="132">
        <f>X23*I23</f>
        <v>6541.9848</v>
      </c>
      <c r="Z23" s="34"/>
      <c r="AA23" s="34" t="s">
        <v>3272</v>
      </c>
      <c r="AB23" s="133" t="s">
        <v>76</v>
      </c>
      <c r="AC23" s="133"/>
      <c r="AD23" s="34"/>
      <c r="AE23" s="139"/>
      <c r="AF23" s="34">
        <f t="shared" si="6"/>
        <v>-11544</v>
      </c>
      <c r="AG23" s="165"/>
      <c r="AH23" s="34"/>
      <c r="AI23" s="34"/>
      <c r="AJ23" s="20">
        <f>I23</f>
        <v>11544</v>
      </c>
      <c r="AK23" s="20"/>
      <c r="AN23" s="169"/>
      <c r="AO23" s="19">
        <f>I23</f>
        <v>11544</v>
      </c>
      <c r="AQ23" s="20">
        <f>I23</f>
        <v>11544</v>
      </c>
      <c r="AU23" s="184">
        <f>I23/24</f>
        <v>481</v>
      </c>
      <c r="AV23" s="180"/>
      <c r="BB23" s="19">
        <f>I23/13</f>
        <v>888</v>
      </c>
      <c r="CH23" s="169"/>
      <c r="CI23" s="169"/>
      <c r="CJ23" s="169"/>
      <c r="CK23" s="169"/>
      <c r="CL23" s="169"/>
      <c r="CP23" s="169"/>
      <c r="CQ23" s="169"/>
      <c r="CR23" s="169"/>
      <c r="CS23" s="169"/>
      <c r="CT23" s="169"/>
      <c r="CU23" s="169"/>
    </row>
    <row r="24" s="20" customFormat="1" ht="31" customHeight="1" spans="1:39">
      <c r="A24" s="31">
        <v>45678</v>
      </c>
      <c r="B24" s="32" t="s">
        <v>1372</v>
      </c>
      <c r="C24" s="33" t="s">
        <v>90</v>
      </c>
      <c r="D24" s="20">
        <v>4500156321</v>
      </c>
      <c r="E24" s="47" t="s">
        <v>6846</v>
      </c>
      <c r="F24" s="20" t="s">
        <v>6847</v>
      </c>
      <c r="G24" s="35" t="s">
        <v>819</v>
      </c>
      <c r="H24" s="33" t="s">
        <v>744</v>
      </c>
      <c r="I24" s="33">
        <v>72</v>
      </c>
      <c r="J24" s="33">
        <v>0</v>
      </c>
      <c r="K24" s="33">
        <v>1</v>
      </c>
      <c r="L24" s="66">
        <f t="shared" si="0"/>
        <v>72</v>
      </c>
      <c r="M24" s="77">
        <v>45912</v>
      </c>
      <c r="N24" s="77">
        <f t="shared" si="4"/>
        <v>45908</v>
      </c>
      <c r="O24" s="76">
        <v>45915</v>
      </c>
      <c r="P24" s="48"/>
      <c r="Q24" s="48"/>
      <c r="R24" s="33"/>
      <c r="S24" s="94" t="s">
        <v>403</v>
      </c>
      <c r="T24" s="94" t="s">
        <v>66</v>
      </c>
      <c r="U24" s="94" t="s">
        <v>403</v>
      </c>
      <c r="V24" s="94"/>
      <c r="W24" s="111"/>
      <c r="X24" s="112" t="s">
        <v>1525</v>
      </c>
      <c r="Y24" s="67" t="s">
        <v>821</v>
      </c>
      <c r="Z24" s="95">
        <v>0</v>
      </c>
      <c r="AA24" s="137">
        <f>Z24*L24</f>
        <v>0</v>
      </c>
      <c r="AB24" s="33"/>
      <c r="AC24" s="149" t="s">
        <v>1378</v>
      </c>
      <c r="AD24" s="33" t="s">
        <v>76</v>
      </c>
      <c r="AE24" s="33"/>
      <c r="AF24" s="33"/>
      <c r="AG24" s="138"/>
      <c r="AH24" s="138">
        <f t="shared" si="3"/>
        <v>-72</v>
      </c>
      <c r="AI24" s="164"/>
      <c r="AJ24" s="33"/>
      <c r="AK24" s="33"/>
      <c r="AM24" s="20">
        <v>0</v>
      </c>
    </row>
    <row r="25" s="20" customFormat="1" ht="31" customHeight="1" spans="1:54">
      <c r="A25" s="31">
        <v>45678</v>
      </c>
      <c r="B25" s="32" t="s">
        <v>1372</v>
      </c>
      <c r="C25" s="33" t="s">
        <v>90</v>
      </c>
      <c r="D25" s="20">
        <v>4500156321</v>
      </c>
      <c r="E25" s="47" t="s">
        <v>6846</v>
      </c>
      <c r="F25" s="20" t="s">
        <v>6847</v>
      </c>
      <c r="G25" s="35">
        <v>77673</v>
      </c>
      <c r="H25" s="33" t="s">
        <v>65</v>
      </c>
      <c r="I25" s="33">
        <v>5400</v>
      </c>
      <c r="J25" s="33">
        <v>0</v>
      </c>
      <c r="K25" s="33">
        <v>75</v>
      </c>
      <c r="L25" s="66">
        <f t="shared" si="0"/>
        <v>72</v>
      </c>
      <c r="M25" s="77">
        <v>45912</v>
      </c>
      <c r="N25" s="77">
        <f t="shared" si="4"/>
        <v>45908</v>
      </c>
      <c r="O25" s="76">
        <v>45915</v>
      </c>
      <c r="P25" s="48"/>
      <c r="Q25" s="48"/>
      <c r="R25" s="33"/>
      <c r="S25" s="94" t="s">
        <v>403</v>
      </c>
      <c r="T25" s="94" t="s">
        <v>66</v>
      </c>
      <c r="U25" s="94" t="s">
        <v>403</v>
      </c>
      <c r="V25" s="94"/>
      <c r="W25" s="113"/>
      <c r="X25" s="114"/>
      <c r="Y25" s="67" t="s">
        <v>821</v>
      </c>
      <c r="Z25" s="95">
        <v>762.5</v>
      </c>
      <c r="AA25" s="137">
        <f>Z25*L25</f>
        <v>54900</v>
      </c>
      <c r="AB25" s="33"/>
      <c r="AC25" s="149" t="s">
        <v>1378</v>
      </c>
      <c r="AD25" s="33" t="s">
        <v>76</v>
      </c>
      <c r="AE25" s="33"/>
      <c r="AF25" s="33"/>
      <c r="AG25" s="138"/>
      <c r="AH25" s="138">
        <f t="shared" si="3"/>
        <v>-5400</v>
      </c>
      <c r="AI25" s="164"/>
      <c r="AJ25" s="33"/>
      <c r="AK25" s="33"/>
      <c r="AM25" s="20">
        <f>I25</f>
        <v>5400</v>
      </c>
      <c r="AX25" s="20">
        <f>I25</f>
        <v>5400</v>
      </c>
      <c r="AY25" s="20">
        <f>I25</f>
        <v>5400</v>
      </c>
      <c r="AZ25" s="190">
        <f t="shared" si="7"/>
        <v>5400</v>
      </c>
      <c r="BA25" s="190">
        <f>I25</f>
        <v>5400</v>
      </c>
      <c r="BB25" s="190">
        <f>I25/5</f>
        <v>1080</v>
      </c>
    </row>
    <row r="26" s="19" customFormat="1" ht="31" customHeight="1" spans="1:97">
      <c r="A26" s="31">
        <v>45678</v>
      </c>
      <c r="B26" s="46" t="s">
        <v>1372</v>
      </c>
      <c r="C26" s="33" t="s">
        <v>90</v>
      </c>
      <c r="D26" s="19">
        <v>4500156321</v>
      </c>
      <c r="E26" s="47" t="s">
        <v>6846</v>
      </c>
      <c r="F26" s="19" t="s">
        <v>6847</v>
      </c>
      <c r="G26" s="34" t="s">
        <v>819</v>
      </c>
      <c r="H26" s="34" t="s">
        <v>744</v>
      </c>
      <c r="I26" s="34">
        <v>72</v>
      </c>
      <c r="J26" s="34">
        <v>0</v>
      </c>
      <c r="K26" s="34">
        <v>1</v>
      </c>
      <c r="L26" s="63">
        <f t="shared" si="0"/>
        <v>72</v>
      </c>
      <c r="M26" s="77">
        <v>45912</v>
      </c>
      <c r="N26" s="77">
        <f t="shared" si="4"/>
        <v>45908</v>
      </c>
      <c r="O26" s="65"/>
      <c r="P26" s="65"/>
      <c r="Q26" s="34"/>
      <c r="R26" s="91">
        <v>45832</v>
      </c>
      <c r="S26" s="91" t="s">
        <v>66</v>
      </c>
      <c r="T26" s="91" t="s">
        <v>66</v>
      </c>
      <c r="U26" s="91"/>
      <c r="V26" s="112" t="s">
        <v>1525</v>
      </c>
      <c r="W26" s="93" t="s">
        <v>821</v>
      </c>
      <c r="X26" s="93">
        <v>0</v>
      </c>
      <c r="Y26" s="132">
        <f t="shared" si="5"/>
        <v>0</v>
      </c>
      <c r="Z26" s="34"/>
      <c r="AA26" s="148" t="s">
        <v>1378</v>
      </c>
      <c r="AB26" s="133" t="s">
        <v>76</v>
      </c>
      <c r="AC26" s="133"/>
      <c r="AD26" s="34"/>
      <c r="AE26" s="139"/>
      <c r="AF26" s="34">
        <f t="shared" si="6"/>
        <v>-72</v>
      </c>
      <c r="AG26" s="165"/>
      <c r="AH26" s="34"/>
      <c r="AI26" s="34"/>
      <c r="AJ26" s="34"/>
      <c r="AN26" s="169"/>
      <c r="AU26" s="185"/>
      <c r="AV26" s="180"/>
      <c r="CF26" s="169"/>
      <c r="CG26" s="169"/>
      <c r="CH26" s="169"/>
      <c r="CI26" s="169"/>
      <c r="CJ26" s="169"/>
      <c r="CN26" s="169"/>
      <c r="CO26" s="169"/>
      <c r="CP26" s="169"/>
      <c r="CQ26" s="169"/>
      <c r="CR26" s="169"/>
      <c r="CS26" s="169"/>
    </row>
    <row r="27" s="19" customFormat="1" ht="31" customHeight="1" spans="1:97">
      <c r="A27" s="31">
        <v>45678</v>
      </c>
      <c r="B27" s="46" t="s">
        <v>1372</v>
      </c>
      <c r="C27" s="33" t="s">
        <v>90</v>
      </c>
      <c r="D27" s="19">
        <v>4500156321</v>
      </c>
      <c r="E27" s="47" t="s">
        <v>6846</v>
      </c>
      <c r="F27" s="19" t="s">
        <v>6847</v>
      </c>
      <c r="G27" s="34">
        <v>77711</v>
      </c>
      <c r="H27" s="34" t="s">
        <v>3151</v>
      </c>
      <c r="I27" s="34">
        <v>5400</v>
      </c>
      <c r="J27" s="34">
        <v>0</v>
      </c>
      <c r="K27" s="34">
        <v>75</v>
      </c>
      <c r="L27" s="63">
        <f t="shared" si="0"/>
        <v>72</v>
      </c>
      <c r="M27" s="77">
        <v>45912</v>
      </c>
      <c r="N27" s="77">
        <f t="shared" si="4"/>
        <v>45908</v>
      </c>
      <c r="O27" s="65"/>
      <c r="P27" s="65"/>
      <c r="Q27" s="34"/>
      <c r="R27" s="91">
        <v>45832</v>
      </c>
      <c r="S27" s="94" t="s">
        <v>66</v>
      </c>
      <c r="T27" s="91" t="s">
        <v>66</v>
      </c>
      <c r="U27" s="91"/>
      <c r="V27" s="114"/>
      <c r="W27" s="93" t="s">
        <v>821</v>
      </c>
      <c r="X27" s="93">
        <v>762.5</v>
      </c>
      <c r="Y27" s="132">
        <f t="shared" si="5"/>
        <v>54900</v>
      </c>
      <c r="Z27" s="34"/>
      <c r="AA27" s="148" t="s">
        <v>1378</v>
      </c>
      <c r="AB27" s="133" t="s">
        <v>76</v>
      </c>
      <c r="AC27" s="133"/>
      <c r="AD27" s="34"/>
      <c r="AE27" s="139"/>
      <c r="AF27" s="34">
        <f t="shared" si="6"/>
        <v>-5400</v>
      </c>
      <c r="AG27" s="165"/>
      <c r="AH27" s="34"/>
      <c r="AI27" s="34"/>
      <c r="AJ27" s="34">
        <f>I27*3</f>
        <v>16200</v>
      </c>
      <c r="AN27" s="169"/>
      <c r="AU27" s="185">
        <f>I27/24*2</f>
        <v>450</v>
      </c>
      <c r="AV27" s="180"/>
      <c r="AX27" s="19">
        <f>AJ27</f>
        <v>16200</v>
      </c>
      <c r="AY27" s="19">
        <f>AJ27</f>
        <v>16200</v>
      </c>
      <c r="AZ27" s="19">
        <f t="shared" si="7"/>
        <v>5400</v>
      </c>
      <c r="BA27" s="19">
        <f>I27/5</f>
        <v>1080</v>
      </c>
      <c r="CF27" s="169"/>
      <c r="CG27" s="169"/>
      <c r="CH27" s="169"/>
      <c r="CI27" s="169"/>
      <c r="CJ27" s="169"/>
      <c r="CN27" s="169"/>
      <c r="CO27" s="169"/>
      <c r="CP27" s="169"/>
      <c r="CQ27" s="169"/>
      <c r="CR27" s="169"/>
      <c r="CS27" s="169"/>
    </row>
    <row r="28" s="19" customFormat="1" ht="31" customHeight="1" spans="1:97">
      <c r="A28" s="31">
        <v>45678</v>
      </c>
      <c r="B28" s="46" t="s">
        <v>1372</v>
      </c>
      <c r="C28" s="33" t="s">
        <v>90</v>
      </c>
      <c r="D28" s="19">
        <v>4500156320</v>
      </c>
      <c r="E28" s="47" t="s">
        <v>6848</v>
      </c>
      <c r="F28" s="19" t="s">
        <v>6841</v>
      </c>
      <c r="G28" s="34" t="s">
        <v>819</v>
      </c>
      <c r="H28" s="34" t="s">
        <v>744</v>
      </c>
      <c r="I28" s="34">
        <v>72</v>
      </c>
      <c r="J28" s="34">
        <v>0</v>
      </c>
      <c r="K28" s="34">
        <v>1</v>
      </c>
      <c r="L28" s="63">
        <f t="shared" si="0"/>
        <v>72</v>
      </c>
      <c r="M28" s="77">
        <v>45924</v>
      </c>
      <c r="N28" s="77">
        <f t="shared" si="4"/>
        <v>45920</v>
      </c>
      <c r="O28" s="65"/>
      <c r="P28" s="65"/>
      <c r="Q28" s="34"/>
      <c r="R28" s="91">
        <v>45832</v>
      </c>
      <c r="S28" s="91" t="s">
        <v>66</v>
      </c>
      <c r="T28" s="91" t="s">
        <v>66</v>
      </c>
      <c r="U28" s="91"/>
      <c r="V28" s="115" t="s">
        <v>1525</v>
      </c>
      <c r="W28" s="93" t="s">
        <v>821</v>
      </c>
      <c r="X28" s="93">
        <v>0</v>
      </c>
      <c r="Y28" s="132">
        <f t="shared" si="5"/>
        <v>0</v>
      </c>
      <c r="Z28" s="34"/>
      <c r="AA28" s="148" t="s">
        <v>1378</v>
      </c>
      <c r="AB28" s="133" t="s">
        <v>76</v>
      </c>
      <c r="AC28" s="133"/>
      <c r="AD28" s="34"/>
      <c r="AE28" s="139"/>
      <c r="AF28" s="34">
        <v>0</v>
      </c>
      <c r="AG28" s="165"/>
      <c r="AH28" s="34"/>
      <c r="AI28" s="34"/>
      <c r="AJ28" s="34"/>
      <c r="AN28" s="169"/>
      <c r="AU28" s="185"/>
      <c r="AV28" s="180"/>
      <c r="CF28" s="169"/>
      <c r="CG28" s="169"/>
      <c r="CH28" s="169"/>
      <c r="CI28" s="169"/>
      <c r="CJ28" s="169"/>
      <c r="CN28" s="169"/>
      <c r="CO28" s="169"/>
      <c r="CP28" s="169"/>
      <c r="CQ28" s="169"/>
      <c r="CR28" s="169"/>
      <c r="CS28" s="169"/>
    </row>
    <row r="29" s="19" customFormat="1" ht="31" customHeight="1" spans="1:97">
      <c r="A29" s="31">
        <v>45678</v>
      </c>
      <c r="B29" s="46" t="s">
        <v>1372</v>
      </c>
      <c r="C29" s="33" t="s">
        <v>90</v>
      </c>
      <c r="D29" s="19">
        <v>4500156320</v>
      </c>
      <c r="E29" s="47" t="s">
        <v>6848</v>
      </c>
      <c r="F29" s="19" t="s">
        <v>6841</v>
      </c>
      <c r="G29" s="34">
        <v>77711</v>
      </c>
      <c r="H29" s="34" t="s">
        <v>3151</v>
      </c>
      <c r="I29" s="34">
        <v>5400</v>
      </c>
      <c r="J29" s="34">
        <v>0</v>
      </c>
      <c r="K29" s="34">
        <v>75</v>
      </c>
      <c r="L29" s="63">
        <f t="shared" si="0"/>
        <v>72</v>
      </c>
      <c r="M29" s="77">
        <v>45924</v>
      </c>
      <c r="N29" s="77">
        <f t="shared" si="4"/>
        <v>45920</v>
      </c>
      <c r="O29" s="65"/>
      <c r="P29" s="65"/>
      <c r="Q29" s="34"/>
      <c r="R29" s="91">
        <v>45832</v>
      </c>
      <c r="S29" s="94" t="s">
        <v>66</v>
      </c>
      <c r="T29" s="91" t="s">
        <v>66</v>
      </c>
      <c r="U29" s="91"/>
      <c r="V29" s="116"/>
      <c r="W29" s="93" t="s">
        <v>821</v>
      </c>
      <c r="X29" s="93">
        <v>762.5</v>
      </c>
      <c r="Y29" s="132">
        <f t="shared" si="5"/>
        <v>54900</v>
      </c>
      <c r="Z29" s="34"/>
      <c r="AA29" s="148" t="s">
        <v>1378</v>
      </c>
      <c r="AB29" s="133" t="s">
        <v>76</v>
      </c>
      <c r="AC29" s="133"/>
      <c r="AD29" s="34"/>
      <c r="AE29" s="139"/>
      <c r="AF29" s="34">
        <f>AE29-I29</f>
        <v>-5400</v>
      </c>
      <c r="AG29" s="165"/>
      <c r="AH29" s="34"/>
      <c r="AI29" s="34"/>
      <c r="AJ29" s="34">
        <f>I29*3</f>
        <v>16200</v>
      </c>
      <c r="AN29" s="169"/>
      <c r="AU29" s="185">
        <f>I29/24*2</f>
        <v>450</v>
      </c>
      <c r="AV29" s="180"/>
      <c r="AX29" s="19">
        <f>AJ29</f>
        <v>16200</v>
      </c>
      <c r="AY29" s="19">
        <f>AJ29</f>
        <v>16200</v>
      </c>
      <c r="AZ29" s="19">
        <f t="shared" ref="AZ29:AZ33" si="8">I29</f>
        <v>5400</v>
      </c>
      <c r="BA29" s="19">
        <f>I29/5</f>
        <v>1080</v>
      </c>
      <c r="CF29" s="169"/>
      <c r="CG29" s="169"/>
      <c r="CH29" s="169"/>
      <c r="CI29" s="169"/>
      <c r="CJ29" s="169"/>
      <c r="CN29" s="169"/>
      <c r="CO29" s="169"/>
      <c r="CP29" s="169"/>
      <c r="CQ29" s="169"/>
      <c r="CR29" s="169"/>
      <c r="CS29" s="169"/>
    </row>
    <row r="30" s="20" customFormat="1" ht="31" customHeight="1" spans="1:39">
      <c r="A30" s="31">
        <v>45678</v>
      </c>
      <c r="B30" s="32" t="s">
        <v>1372</v>
      </c>
      <c r="C30" s="33" t="s">
        <v>90</v>
      </c>
      <c r="D30" s="19">
        <v>4500156320</v>
      </c>
      <c r="E30" s="47" t="s">
        <v>6848</v>
      </c>
      <c r="F30" s="19" t="s">
        <v>6841</v>
      </c>
      <c r="G30" s="35" t="s">
        <v>819</v>
      </c>
      <c r="H30" s="33" t="s">
        <v>744</v>
      </c>
      <c r="I30" s="34">
        <v>72</v>
      </c>
      <c r="J30" s="34">
        <v>0</v>
      </c>
      <c r="K30" s="34">
        <v>1</v>
      </c>
      <c r="L30" s="63">
        <f t="shared" si="0"/>
        <v>72</v>
      </c>
      <c r="M30" s="78">
        <v>45924</v>
      </c>
      <c r="N30" s="78">
        <v>45920</v>
      </c>
      <c r="O30" s="76">
        <v>45912</v>
      </c>
      <c r="P30" s="48"/>
      <c r="Q30" s="48"/>
      <c r="R30" s="33"/>
      <c r="S30" s="94" t="s">
        <v>403</v>
      </c>
      <c r="T30" s="94" t="s">
        <v>66</v>
      </c>
      <c r="U30" s="94" t="s">
        <v>403</v>
      </c>
      <c r="V30" s="94"/>
      <c r="W30" s="111"/>
      <c r="X30" s="115" t="s">
        <v>1525</v>
      </c>
      <c r="Y30" s="67" t="s">
        <v>821</v>
      </c>
      <c r="Z30" s="95">
        <v>0</v>
      </c>
      <c r="AA30" s="137">
        <f t="shared" ref="AA30:AA33" si="9">Z30*L30</f>
        <v>0</v>
      </c>
      <c r="AB30" s="33"/>
      <c r="AC30" s="149" t="s">
        <v>1378</v>
      </c>
      <c r="AD30" s="33" t="s">
        <v>76</v>
      </c>
      <c r="AE30" s="33"/>
      <c r="AF30" s="33"/>
      <c r="AG30" s="138"/>
      <c r="AH30" s="138">
        <f t="shared" ref="AH30:AH33" si="10">AG30-I30</f>
        <v>-72</v>
      </c>
      <c r="AI30" s="164"/>
      <c r="AJ30" s="33"/>
      <c r="AK30" s="33"/>
      <c r="AM30" s="20">
        <v>0</v>
      </c>
    </row>
    <row r="31" s="20" customFormat="1" ht="31" customHeight="1" spans="1:54">
      <c r="A31" s="31">
        <v>45678</v>
      </c>
      <c r="B31" s="32" t="s">
        <v>1372</v>
      </c>
      <c r="C31" s="33" t="s">
        <v>90</v>
      </c>
      <c r="D31" s="19">
        <v>4500156320</v>
      </c>
      <c r="E31" s="47" t="s">
        <v>6848</v>
      </c>
      <c r="F31" s="19" t="s">
        <v>6841</v>
      </c>
      <c r="G31" s="48">
        <v>77673</v>
      </c>
      <c r="H31" s="33" t="s">
        <v>65</v>
      </c>
      <c r="I31" s="34">
        <v>5400</v>
      </c>
      <c r="J31" s="34">
        <v>0</v>
      </c>
      <c r="K31" s="34">
        <v>75</v>
      </c>
      <c r="L31" s="63">
        <f t="shared" si="0"/>
        <v>72</v>
      </c>
      <c r="M31" s="78">
        <v>45924</v>
      </c>
      <c r="N31" s="78">
        <v>45920</v>
      </c>
      <c r="O31" s="76">
        <v>45912</v>
      </c>
      <c r="P31" s="48"/>
      <c r="Q31" s="48"/>
      <c r="R31" s="33"/>
      <c r="S31" s="94" t="s">
        <v>403</v>
      </c>
      <c r="T31" s="94" t="s">
        <v>66</v>
      </c>
      <c r="U31" s="94" t="s">
        <v>403</v>
      </c>
      <c r="V31" s="94"/>
      <c r="W31" s="113"/>
      <c r="X31" s="116"/>
      <c r="Y31" s="67" t="s">
        <v>821</v>
      </c>
      <c r="Z31" s="95">
        <v>762.5</v>
      </c>
      <c r="AA31" s="137">
        <f t="shared" si="9"/>
        <v>54900</v>
      </c>
      <c r="AB31" s="33"/>
      <c r="AC31" s="149" t="s">
        <v>1378</v>
      </c>
      <c r="AD31" s="33" t="s">
        <v>76</v>
      </c>
      <c r="AE31" s="33"/>
      <c r="AF31" s="33"/>
      <c r="AG31" s="138"/>
      <c r="AH31" s="138">
        <f t="shared" si="10"/>
        <v>-5400</v>
      </c>
      <c r="AI31" s="164"/>
      <c r="AJ31" s="33"/>
      <c r="AK31" s="33"/>
      <c r="AM31" s="20">
        <f>I31</f>
        <v>5400</v>
      </c>
      <c r="AX31" s="20">
        <f>I31</f>
        <v>5400</v>
      </c>
      <c r="AY31" s="20">
        <f>I31</f>
        <v>5400</v>
      </c>
      <c r="AZ31" s="190">
        <f t="shared" si="8"/>
        <v>5400</v>
      </c>
      <c r="BA31" s="190">
        <f>I31</f>
        <v>5400</v>
      </c>
      <c r="BB31" s="190">
        <f>I31/5</f>
        <v>1080</v>
      </c>
    </row>
    <row r="32" s="20" customFormat="1" ht="31" customHeight="1" spans="1:39">
      <c r="A32" s="31">
        <v>45678</v>
      </c>
      <c r="B32" s="32" t="s">
        <v>1372</v>
      </c>
      <c r="C32" s="33" t="s">
        <v>90</v>
      </c>
      <c r="D32" s="20">
        <v>4500156327</v>
      </c>
      <c r="E32" s="47" t="s">
        <v>6849</v>
      </c>
      <c r="F32" s="20" t="s">
        <v>6850</v>
      </c>
      <c r="G32" s="35" t="s">
        <v>819</v>
      </c>
      <c r="H32" s="33" t="s">
        <v>744</v>
      </c>
      <c r="I32" s="33">
        <v>72</v>
      </c>
      <c r="J32" s="33">
        <v>0</v>
      </c>
      <c r="K32" s="33">
        <v>1</v>
      </c>
      <c r="L32" s="66">
        <f t="shared" si="0"/>
        <v>72</v>
      </c>
      <c r="M32" s="77">
        <v>45906</v>
      </c>
      <c r="N32" s="77">
        <v>45902</v>
      </c>
      <c r="O32" s="76">
        <v>45902</v>
      </c>
      <c r="P32" s="48"/>
      <c r="Q32" s="48"/>
      <c r="R32" s="33"/>
      <c r="S32" s="94" t="s">
        <v>403</v>
      </c>
      <c r="T32" s="94" t="s">
        <v>66</v>
      </c>
      <c r="U32" s="94" t="s">
        <v>403</v>
      </c>
      <c r="V32" s="94"/>
      <c r="W32" s="111"/>
      <c r="X32" s="117" t="s">
        <v>1471</v>
      </c>
      <c r="Y32" s="67" t="s">
        <v>821</v>
      </c>
      <c r="Z32" s="95">
        <v>0</v>
      </c>
      <c r="AA32" s="137">
        <f t="shared" si="9"/>
        <v>0</v>
      </c>
      <c r="AB32" s="33"/>
      <c r="AC32" s="149" t="s">
        <v>1378</v>
      </c>
      <c r="AD32" s="33" t="s">
        <v>76</v>
      </c>
      <c r="AE32" s="33"/>
      <c r="AF32" s="33"/>
      <c r="AG32" s="138"/>
      <c r="AH32" s="138">
        <f t="shared" si="10"/>
        <v>-72</v>
      </c>
      <c r="AI32" s="164"/>
      <c r="AJ32" s="33"/>
      <c r="AK32" s="33"/>
      <c r="AM32" s="20">
        <v>0</v>
      </c>
    </row>
    <row r="33" s="20" customFormat="1" ht="31" customHeight="1" spans="1:54">
      <c r="A33" s="31">
        <v>45678</v>
      </c>
      <c r="B33" s="32" t="s">
        <v>1372</v>
      </c>
      <c r="C33" s="33" t="s">
        <v>90</v>
      </c>
      <c r="D33" s="20">
        <v>4500156327</v>
      </c>
      <c r="E33" s="47" t="s">
        <v>6849</v>
      </c>
      <c r="F33" s="20" t="s">
        <v>6850</v>
      </c>
      <c r="G33" s="35">
        <v>77673</v>
      </c>
      <c r="H33" s="33" t="s">
        <v>65</v>
      </c>
      <c r="I33" s="33">
        <v>5400</v>
      </c>
      <c r="J33" s="33">
        <v>0</v>
      </c>
      <c r="K33" s="33">
        <v>75</v>
      </c>
      <c r="L33" s="66">
        <f t="shared" si="0"/>
        <v>72</v>
      </c>
      <c r="M33" s="77">
        <v>45906</v>
      </c>
      <c r="N33" s="77">
        <v>45902</v>
      </c>
      <c r="O33" s="76">
        <v>45902</v>
      </c>
      <c r="P33" s="48"/>
      <c r="Q33" s="48"/>
      <c r="R33" s="33"/>
      <c r="S33" s="94" t="s">
        <v>403</v>
      </c>
      <c r="T33" s="94" t="s">
        <v>66</v>
      </c>
      <c r="U33" s="94" t="s">
        <v>403</v>
      </c>
      <c r="V33" s="94"/>
      <c r="W33" s="113"/>
      <c r="X33" s="117"/>
      <c r="Y33" s="67" t="s">
        <v>821</v>
      </c>
      <c r="Z33" s="95">
        <v>762.5</v>
      </c>
      <c r="AA33" s="137">
        <f t="shared" si="9"/>
        <v>54900</v>
      </c>
      <c r="AB33" s="33"/>
      <c r="AC33" s="149" t="s">
        <v>1378</v>
      </c>
      <c r="AD33" s="33" t="s">
        <v>76</v>
      </c>
      <c r="AE33" s="33"/>
      <c r="AF33" s="33"/>
      <c r="AG33" s="138"/>
      <c r="AH33" s="138">
        <f t="shared" si="10"/>
        <v>-5400</v>
      </c>
      <c r="AI33" s="164"/>
      <c r="AJ33" s="33"/>
      <c r="AK33" s="33"/>
      <c r="AM33" s="20">
        <f>I33</f>
        <v>5400</v>
      </c>
      <c r="AX33" s="20">
        <f>I33</f>
        <v>5400</v>
      </c>
      <c r="AY33" s="20">
        <f>I33</f>
        <v>5400</v>
      </c>
      <c r="AZ33" s="190">
        <f t="shared" si="8"/>
        <v>5400</v>
      </c>
      <c r="BA33" s="190">
        <f>I33</f>
        <v>5400</v>
      </c>
      <c r="BB33" s="190">
        <f>I33/5</f>
        <v>1080</v>
      </c>
    </row>
    <row r="34" s="19" customFormat="1" ht="31" customHeight="1" spans="1:97">
      <c r="A34" s="31">
        <v>45678</v>
      </c>
      <c r="B34" s="46" t="s">
        <v>1372</v>
      </c>
      <c r="C34" s="33" t="s">
        <v>90</v>
      </c>
      <c r="D34" s="19">
        <v>4500156327</v>
      </c>
      <c r="E34" s="47" t="s">
        <v>6849</v>
      </c>
      <c r="F34" s="19" t="s">
        <v>6850</v>
      </c>
      <c r="G34" s="34" t="s">
        <v>819</v>
      </c>
      <c r="H34" s="34" t="s">
        <v>744</v>
      </c>
      <c r="I34" s="34">
        <v>72</v>
      </c>
      <c r="J34" s="34">
        <v>0</v>
      </c>
      <c r="K34" s="34">
        <v>1</v>
      </c>
      <c r="L34" s="63">
        <f t="shared" si="0"/>
        <v>72</v>
      </c>
      <c r="M34" s="77">
        <v>45906</v>
      </c>
      <c r="N34" s="77">
        <f t="shared" ref="N34:N43" si="11">M34-4</f>
        <v>45902</v>
      </c>
      <c r="O34" s="65"/>
      <c r="P34" s="65"/>
      <c r="Q34" s="34"/>
      <c r="R34" s="91">
        <v>45832</v>
      </c>
      <c r="S34" s="91" t="s">
        <v>66</v>
      </c>
      <c r="T34" s="91" t="s">
        <v>66</v>
      </c>
      <c r="U34" s="91"/>
      <c r="V34" s="117" t="s">
        <v>1471</v>
      </c>
      <c r="W34" s="93" t="s">
        <v>821</v>
      </c>
      <c r="X34" s="93">
        <v>0</v>
      </c>
      <c r="Y34" s="132">
        <f t="shared" ref="Y34:Y39" si="12">X34*L34</f>
        <v>0</v>
      </c>
      <c r="Z34" s="34"/>
      <c r="AA34" s="148" t="s">
        <v>1378</v>
      </c>
      <c r="AB34" s="133" t="s">
        <v>76</v>
      </c>
      <c r="AC34" s="133"/>
      <c r="AD34" s="34"/>
      <c r="AE34" s="139"/>
      <c r="AF34" s="34">
        <f t="shared" ref="AF34:AF39" si="13">AE34-I34</f>
        <v>-72</v>
      </c>
      <c r="AG34" s="165"/>
      <c r="AH34" s="34"/>
      <c r="AI34" s="34"/>
      <c r="AJ34" s="34"/>
      <c r="AN34" s="169"/>
      <c r="AU34" s="185"/>
      <c r="AV34" s="180"/>
      <c r="CF34" s="169"/>
      <c r="CG34" s="169"/>
      <c r="CH34" s="169"/>
      <c r="CI34" s="169"/>
      <c r="CJ34" s="169"/>
      <c r="CN34" s="169"/>
      <c r="CO34" s="169"/>
      <c r="CP34" s="169"/>
      <c r="CQ34" s="169"/>
      <c r="CR34" s="169"/>
      <c r="CS34" s="169"/>
    </row>
    <row r="35" s="19" customFormat="1" ht="31" customHeight="1" spans="1:97">
      <c r="A35" s="31">
        <v>45678</v>
      </c>
      <c r="B35" s="46" t="s">
        <v>1372</v>
      </c>
      <c r="C35" s="33" t="s">
        <v>90</v>
      </c>
      <c r="D35" s="19">
        <v>4500156327</v>
      </c>
      <c r="E35" s="47" t="s">
        <v>6849</v>
      </c>
      <c r="F35" s="19" t="s">
        <v>6850</v>
      </c>
      <c r="G35" s="34">
        <v>77711</v>
      </c>
      <c r="H35" s="34" t="s">
        <v>3151</v>
      </c>
      <c r="I35" s="34">
        <v>5400</v>
      </c>
      <c r="J35" s="34">
        <v>0</v>
      </c>
      <c r="K35" s="34">
        <v>75</v>
      </c>
      <c r="L35" s="63">
        <f t="shared" si="0"/>
        <v>72</v>
      </c>
      <c r="M35" s="77">
        <v>45906</v>
      </c>
      <c r="N35" s="77">
        <f t="shared" si="11"/>
        <v>45902</v>
      </c>
      <c r="O35" s="65"/>
      <c r="P35" s="65"/>
      <c r="Q35" s="34"/>
      <c r="R35" s="91">
        <v>45832</v>
      </c>
      <c r="S35" s="94" t="s">
        <v>66</v>
      </c>
      <c r="T35" s="91" t="s">
        <v>66</v>
      </c>
      <c r="U35" s="91"/>
      <c r="V35" s="117"/>
      <c r="W35" s="93" t="s">
        <v>821</v>
      </c>
      <c r="X35" s="93">
        <v>762.5</v>
      </c>
      <c r="Y35" s="132">
        <f t="shared" si="12"/>
        <v>54900</v>
      </c>
      <c r="Z35" s="34"/>
      <c r="AA35" s="148" t="s">
        <v>1378</v>
      </c>
      <c r="AB35" s="133" t="s">
        <v>76</v>
      </c>
      <c r="AC35" s="133"/>
      <c r="AD35" s="34"/>
      <c r="AE35" s="139"/>
      <c r="AF35" s="34">
        <f t="shared" si="13"/>
        <v>-5400</v>
      </c>
      <c r="AG35" s="165"/>
      <c r="AH35" s="34"/>
      <c r="AI35" s="34"/>
      <c r="AJ35" s="34">
        <f>I35*3</f>
        <v>16200</v>
      </c>
      <c r="AN35" s="169"/>
      <c r="AU35" s="185">
        <f>I35/24*2</f>
        <v>450</v>
      </c>
      <c r="AV35" s="180"/>
      <c r="AX35" s="19">
        <f>AJ35</f>
        <v>16200</v>
      </c>
      <c r="AY35" s="19">
        <f>AJ35</f>
        <v>16200</v>
      </c>
      <c r="AZ35" s="19">
        <f t="shared" ref="AZ35:AZ39" si="14">I35</f>
        <v>5400</v>
      </c>
      <c r="BA35" s="19">
        <f>I35/5</f>
        <v>1080</v>
      </c>
      <c r="CF35" s="169"/>
      <c r="CG35" s="169"/>
      <c r="CH35" s="169"/>
      <c r="CI35" s="169"/>
      <c r="CJ35" s="169"/>
      <c r="CN35" s="169"/>
      <c r="CO35" s="169"/>
      <c r="CP35" s="169"/>
      <c r="CQ35" s="169"/>
      <c r="CR35" s="169"/>
      <c r="CS35" s="169"/>
    </row>
    <row r="36" s="20" customFormat="1" ht="31" customHeight="1" spans="1:39">
      <c r="A36" s="31">
        <v>45678</v>
      </c>
      <c r="B36" s="32" t="s">
        <v>1372</v>
      </c>
      <c r="C36" s="33" t="s">
        <v>90</v>
      </c>
      <c r="D36" s="20">
        <v>4500156329</v>
      </c>
      <c r="E36" s="47" t="s">
        <v>6851</v>
      </c>
      <c r="F36" s="20" t="s">
        <v>6852</v>
      </c>
      <c r="G36" s="35" t="s">
        <v>819</v>
      </c>
      <c r="H36" s="33" t="s">
        <v>744</v>
      </c>
      <c r="I36" s="33">
        <v>72</v>
      </c>
      <c r="J36" s="33">
        <v>0</v>
      </c>
      <c r="K36" s="33">
        <v>1</v>
      </c>
      <c r="L36" s="66">
        <f t="shared" si="0"/>
        <v>72</v>
      </c>
      <c r="M36" s="77">
        <v>45919</v>
      </c>
      <c r="N36" s="77">
        <f t="shared" si="11"/>
        <v>45915</v>
      </c>
      <c r="O36" s="76">
        <v>45924</v>
      </c>
      <c r="P36" s="48"/>
      <c r="Q36" s="48"/>
      <c r="R36" s="33"/>
      <c r="S36" s="94" t="s">
        <v>403</v>
      </c>
      <c r="T36" s="94" t="s">
        <v>66</v>
      </c>
      <c r="U36" s="94" t="s">
        <v>403</v>
      </c>
      <c r="V36" s="94"/>
      <c r="W36" s="111"/>
      <c r="X36" s="112" t="s">
        <v>6853</v>
      </c>
      <c r="Y36" s="67" t="s">
        <v>821</v>
      </c>
      <c r="Z36" s="95">
        <v>0</v>
      </c>
      <c r="AA36" s="137">
        <f t="shared" ref="AA36:AA41" si="15">Z36*L36</f>
        <v>0</v>
      </c>
      <c r="AB36" s="33"/>
      <c r="AC36" s="149" t="s">
        <v>1378</v>
      </c>
      <c r="AD36" s="33" t="s">
        <v>76</v>
      </c>
      <c r="AE36" s="33"/>
      <c r="AF36" s="33"/>
      <c r="AG36" s="138"/>
      <c r="AH36" s="138">
        <f t="shared" ref="AH36:AH41" si="16">AG36-I36</f>
        <v>-72</v>
      </c>
      <c r="AI36" s="164"/>
      <c r="AJ36" s="33"/>
      <c r="AK36" s="33"/>
      <c r="AM36" s="20">
        <v>0</v>
      </c>
    </row>
    <row r="37" s="20" customFormat="1" ht="31" customHeight="1" spans="1:54">
      <c r="A37" s="31">
        <v>45678</v>
      </c>
      <c r="B37" s="32" t="s">
        <v>1372</v>
      </c>
      <c r="C37" s="33" t="s">
        <v>90</v>
      </c>
      <c r="D37" s="20">
        <v>4500156329</v>
      </c>
      <c r="E37" s="47" t="s">
        <v>6851</v>
      </c>
      <c r="F37" s="20" t="s">
        <v>6852</v>
      </c>
      <c r="G37" s="35">
        <v>77673</v>
      </c>
      <c r="H37" s="33" t="s">
        <v>65</v>
      </c>
      <c r="I37" s="33">
        <v>5400</v>
      </c>
      <c r="J37" s="33">
        <v>0</v>
      </c>
      <c r="K37" s="33">
        <v>75</v>
      </c>
      <c r="L37" s="66">
        <f t="shared" si="0"/>
        <v>72</v>
      </c>
      <c r="M37" s="77">
        <v>45919</v>
      </c>
      <c r="N37" s="77">
        <f t="shared" si="11"/>
        <v>45915</v>
      </c>
      <c r="O37" s="76">
        <v>45924</v>
      </c>
      <c r="P37" s="48"/>
      <c r="Q37" s="48"/>
      <c r="R37" s="33"/>
      <c r="S37" s="94" t="s">
        <v>403</v>
      </c>
      <c r="T37" s="94" t="s">
        <v>66</v>
      </c>
      <c r="U37" s="94" t="s">
        <v>403</v>
      </c>
      <c r="V37" s="94"/>
      <c r="W37" s="113"/>
      <c r="X37" s="114"/>
      <c r="Y37" s="67" t="s">
        <v>821</v>
      </c>
      <c r="Z37" s="95">
        <v>762.5</v>
      </c>
      <c r="AA37" s="137">
        <f t="shared" si="15"/>
        <v>54900</v>
      </c>
      <c r="AB37" s="33"/>
      <c r="AC37" s="149" t="s">
        <v>1378</v>
      </c>
      <c r="AD37" s="33" t="s">
        <v>76</v>
      </c>
      <c r="AE37" s="33"/>
      <c r="AF37" s="33"/>
      <c r="AG37" s="138"/>
      <c r="AH37" s="138">
        <f t="shared" si="16"/>
        <v>-5400</v>
      </c>
      <c r="AI37" s="164"/>
      <c r="AJ37" s="33"/>
      <c r="AK37" s="33"/>
      <c r="AM37" s="20">
        <f>I37</f>
        <v>5400</v>
      </c>
      <c r="AX37" s="20">
        <f>I37</f>
        <v>5400</v>
      </c>
      <c r="AY37" s="20">
        <f>I37</f>
        <v>5400</v>
      </c>
      <c r="AZ37" s="190">
        <f t="shared" si="14"/>
        <v>5400</v>
      </c>
      <c r="BA37" s="190">
        <f>I37</f>
        <v>5400</v>
      </c>
      <c r="BB37" s="190">
        <f>I37/5</f>
        <v>1080</v>
      </c>
    </row>
    <row r="38" s="19" customFormat="1" ht="31" customHeight="1" spans="1:97">
      <c r="A38" s="31">
        <v>45678</v>
      </c>
      <c r="B38" s="46" t="s">
        <v>1372</v>
      </c>
      <c r="C38" s="33" t="s">
        <v>90</v>
      </c>
      <c r="D38" s="19">
        <v>4500156329</v>
      </c>
      <c r="E38" s="47" t="s">
        <v>6851</v>
      </c>
      <c r="F38" s="19" t="s">
        <v>6852</v>
      </c>
      <c r="G38" s="34" t="s">
        <v>819</v>
      </c>
      <c r="H38" s="34" t="s">
        <v>744</v>
      </c>
      <c r="I38" s="34">
        <v>72</v>
      </c>
      <c r="J38" s="34">
        <v>0</v>
      </c>
      <c r="K38" s="34">
        <v>1</v>
      </c>
      <c r="L38" s="63">
        <f t="shared" si="0"/>
        <v>72</v>
      </c>
      <c r="M38" s="77">
        <v>45919</v>
      </c>
      <c r="N38" s="77">
        <f t="shared" si="11"/>
        <v>45915</v>
      </c>
      <c r="O38" s="65"/>
      <c r="P38" s="65"/>
      <c r="Q38" s="34"/>
      <c r="R38" s="91">
        <v>45832</v>
      </c>
      <c r="S38" s="91" t="s">
        <v>66</v>
      </c>
      <c r="T38" s="91" t="s">
        <v>66</v>
      </c>
      <c r="U38" s="91"/>
      <c r="V38" s="112" t="s">
        <v>6853</v>
      </c>
      <c r="W38" s="93" t="s">
        <v>821</v>
      </c>
      <c r="X38" s="93">
        <v>0</v>
      </c>
      <c r="Y38" s="132">
        <f t="shared" si="12"/>
        <v>0</v>
      </c>
      <c r="Z38" s="34"/>
      <c r="AA38" s="148" t="s">
        <v>1378</v>
      </c>
      <c r="AB38" s="133" t="s">
        <v>76</v>
      </c>
      <c r="AC38" s="34"/>
      <c r="AD38" s="34"/>
      <c r="AE38" s="139"/>
      <c r="AF38" s="34">
        <v>0</v>
      </c>
      <c r="AG38" s="165"/>
      <c r="AH38" s="34"/>
      <c r="AI38" s="34"/>
      <c r="AJ38" s="34"/>
      <c r="AN38" s="169"/>
      <c r="AU38" s="185"/>
      <c r="AV38" s="180"/>
      <c r="CF38" s="169"/>
      <c r="CG38" s="169"/>
      <c r="CH38" s="169"/>
      <c r="CI38" s="169"/>
      <c r="CJ38" s="169"/>
      <c r="CN38" s="169"/>
      <c r="CO38" s="169"/>
      <c r="CP38" s="169"/>
      <c r="CQ38" s="169"/>
      <c r="CR38" s="169"/>
      <c r="CS38" s="169"/>
    </row>
    <row r="39" s="19" customFormat="1" ht="31" customHeight="1" spans="1:97">
      <c r="A39" s="31">
        <v>45678</v>
      </c>
      <c r="B39" s="46" t="s">
        <v>1372</v>
      </c>
      <c r="C39" s="33" t="s">
        <v>90</v>
      </c>
      <c r="D39" s="19">
        <v>4500156329</v>
      </c>
      <c r="E39" s="47" t="s">
        <v>6851</v>
      </c>
      <c r="F39" s="19" t="s">
        <v>6852</v>
      </c>
      <c r="G39" s="34">
        <v>77711</v>
      </c>
      <c r="H39" s="34" t="s">
        <v>3151</v>
      </c>
      <c r="I39" s="34">
        <v>5400</v>
      </c>
      <c r="J39" s="34">
        <v>0</v>
      </c>
      <c r="K39" s="34">
        <v>75</v>
      </c>
      <c r="L39" s="63">
        <f t="shared" si="0"/>
        <v>72</v>
      </c>
      <c r="M39" s="77">
        <v>45919</v>
      </c>
      <c r="N39" s="77">
        <f t="shared" si="11"/>
        <v>45915</v>
      </c>
      <c r="O39" s="65"/>
      <c r="P39" s="65"/>
      <c r="Q39" s="34"/>
      <c r="R39" s="91">
        <v>45832</v>
      </c>
      <c r="S39" s="94" t="s">
        <v>66</v>
      </c>
      <c r="T39" s="91" t="s">
        <v>66</v>
      </c>
      <c r="U39" s="91"/>
      <c r="V39" s="114"/>
      <c r="W39" s="93" t="s">
        <v>821</v>
      </c>
      <c r="X39" s="93">
        <v>762.5</v>
      </c>
      <c r="Y39" s="132">
        <f t="shared" si="12"/>
        <v>54900</v>
      </c>
      <c r="Z39" s="34"/>
      <c r="AA39" s="148" t="s">
        <v>1378</v>
      </c>
      <c r="AB39" s="133" t="s">
        <v>76</v>
      </c>
      <c r="AC39" s="34"/>
      <c r="AD39" s="34"/>
      <c r="AE39" s="139"/>
      <c r="AF39" s="34">
        <f t="shared" si="13"/>
        <v>-5400</v>
      </c>
      <c r="AG39" s="165"/>
      <c r="AH39" s="34"/>
      <c r="AI39" s="34"/>
      <c r="AJ39" s="34">
        <f>I39*3</f>
        <v>16200</v>
      </c>
      <c r="AN39" s="169"/>
      <c r="AU39" s="185">
        <f>I39/24*2</f>
        <v>450</v>
      </c>
      <c r="AV39" s="180"/>
      <c r="AX39" s="19">
        <f>AJ39</f>
        <v>16200</v>
      </c>
      <c r="AY39" s="19">
        <f>AJ39</f>
        <v>16200</v>
      </c>
      <c r="AZ39" s="19">
        <f t="shared" si="14"/>
        <v>5400</v>
      </c>
      <c r="BA39" s="19">
        <f>I39/5</f>
        <v>1080</v>
      </c>
      <c r="CF39" s="169"/>
      <c r="CG39" s="169"/>
      <c r="CH39" s="169"/>
      <c r="CI39" s="169"/>
      <c r="CJ39" s="169"/>
      <c r="CN39" s="169"/>
      <c r="CO39" s="169"/>
      <c r="CP39" s="169"/>
      <c r="CQ39" s="169"/>
      <c r="CR39" s="169"/>
      <c r="CS39" s="169"/>
    </row>
    <row r="40" s="20" customFormat="1" ht="31" customHeight="1" spans="1:39">
      <c r="A40" s="31">
        <v>45678</v>
      </c>
      <c r="B40" s="32" t="s">
        <v>1372</v>
      </c>
      <c r="C40" s="33" t="s">
        <v>90</v>
      </c>
      <c r="D40" s="20">
        <v>4500156331</v>
      </c>
      <c r="E40" s="47" t="s">
        <v>6854</v>
      </c>
      <c r="F40" s="20" t="s">
        <v>6855</v>
      </c>
      <c r="G40" s="35" t="s">
        <v>819</v>
      </c>
      <c r="H40" s="33" t="s">
        <v>744</v>
      </c>
      <c r="I40" s="33">
        <v>72</v>
      </c>
      <c r="J40" s="33">
        <v>0</v>
      </c>
      <c r="K40" s="33">
        <v>1</v>
      </c>
      <c r="L40" s="66">
        <f t="shared" si="0"/>
        <v>72</v>
      </c>
      <c r="M40" s="77">
        <v>45915</v>
      </c>
      <c r="N40" s="77">
        <f t="shared" si="11"/>
        <v>45911</v>
      </c>
      <c r="O40" s="76">
        <v>45919</v>
      </c>
      <c r="P40" s="48"/>
      <c r="Q40" s="48"/>
      <c r="R40" s="33"/>
      <c r="S40" s="94" t="s">
        <v>403</v>
      </c>
      <c r="T40" s="94" t="s">
        <v>66</v>
      </c>
      <c r="U40" s="94" t="s">
        <v>403</v>
      </c>
      <c r="V40" s="94"/>
      <c r="W40" s="111"/>
      <c r="X40" s="115" t="s">
        <v>1525</v>
      </c>
      <c r="Y40" s="67" t="s">
        <v>821</v>
      </c>
      <c r="Z40" s="95">
        <v>0</v>
      </c>
      <c r="AA40" s="137">
        <f t="shared" si="15"/>
        <v>0</v>
      </c>
      <c r="AB40" s="33"/>
      <c r="AC40" s="149" t="s">
        <v>1378</v>
      </c>
      <c r="AD40" s="33" t="s">
        <v>76</v>
      </c>
      <c r="AE40" s="33"/>
      <c r="AF40" s="33"/>
      <c r="AG40" s="138"/>
      <c r="AH40" s="138">
        <f t="shared" si="16"/>
        <v>-72</v>
      </c>
      <c r="AI40" s="164"/>
      <c r="AJ40" s="33"/>
      <c r="AK40" s="33"/>
      <c r="AM40" s="20">
        <v>0</v>
      </c>
    </row>
    <row r="41" s="20" customFormat="1" ht="31" customHeight="1" spans="1:54">
      <c r="A41" s="31">
        <v>45678</v>
      </c>
      <c r="B41" s="32" t="s">
        <v>1372</v>
      </c>
      <c r="C41" s="33" t="s">
        <v>90</v>
      </c>
      <c r="D41" s="20">
        <v>4500156331</v>
      </c>
      <c r="E41" s="47" t="s">
        <v>6854</v>
      </c>
      <c r="F41" s="20" t="s">
        <v>6855</v>
      </c>
      <c r="G41" s="35">
        <v>77673</v>
      </c>
      <c r="H41" s="33" t="s">
        <v>65</v>
      </c>
      <c r="I41" s="33">
        <v>5400</v>
      </c>
      <c r="J41" s="33">
        <v>0</v>
      </c>
      <c r="K41" s="33">
        <v>75</v>
      </c>
      <c r="L41" s="66">
        <f t="shared" si="0"/>
        <v>72</v>
      </c>
      <c r="M41" s="77">
        <v>45915</v>
      </c>
      <c r="N41" s="77">
        <f t="shared" si="11"/>
        <v>45911</v>
      </c>
      <c r="O41" s="76">
        <v>45919</v>
      </c>
      <c r="P41" s="48"/>
      <c r="Q41" s="48"/>
      <c r="R41" s="33"/>
      <c r="S41" s="94" t="s">
        <v>403</v>
      </c>
      <c r="T41" s="94" t="s">
        <v>66</v>
      </c>
      <c r="U41" s="94" t="s">
        <v>403</v>
      </c>
      <c r="V41" s="94"/>
      <c r="W41" s="113"/>
      <c r="X41" s="116"/>
      <c r="Y41" s="67" t="s">
        <v>821</v>
      </c>
      <c r="Z41" s="95">
        <v>762.5</v>
      </c>
      <c r="AA41" s="137">
        <f t="shared" si="15"/>
        <v>54900</v>
      </c>
      <c r="AB41" s="33"/>
      <c r="AC41" s="149" t="s">
        <v>1378</v>
      </c>
      <c r="AD41" s="33" t="s">
        <v>76</v>
      </c>
      <c r="AE41" s="33"/>
      <c r="AF41" s="33"/>
      <c r="AG41" s="138"/>
      <c r="AH41" s="138">
        <f t="shared" si="16"/>
        <v>-5400</v>
      </c>
      <c r="AI41" s="164"/>
      <c r="AJ41" s="33"/>
      <c r="AK41" s="33"/>
      <c r="AM41" s="20">
        <f>I41</f>
        <v>5400</v>
      </c>
      <c r="AX41" s="20">
        <f>I41</f>
        <v>5400</v>
      </c>
      <c r="AY41" s="20">
        <f>I41</f>
        <v>5400</v>
      </c>
      <c r="AZ41" s="190">
        <f t="shared" ref="AZ41:AZ45" si="17">I41</f>
        <v>5400</v>
      </c>
      <c r="BA41" s="190">
        <f>I41</f>
        <v>5400</v>
      </c>
      <c r="BB41" s="190">
        <f>I41/5</f>
        <v>1080</v>
      </c>
    </row>
    <row r="42" s="19" customFormat="1" ht="31" customHeight="1" spans="1:97">
      <c r="A42" s="31">
        <v>45678</v>
      </c>
      <c r="B42" s="46" t="s">
        <v>1372</v>
      </c>
      <c r="C42" s="33" t="s">
        <v>90</v>
      </c>
      <c r="D42" s="19">
        <v>4500156331</v>
      </c>
      <c r="E42" s="47" t="s">
        <v>6854</v>
      </c>
      <c r="F42" s="19" t="s">
        <v>6855</v>
      </c>
      <c r="G42" s="34" t="s">
        <v>819</v>
      </c>
      <c r="H42" s="34" t="s">
        <v>744</v>
      </c>
      <c r="I42" s="34">
        <v>72</v>
      </c>
      <c r="J42" s="34">
        <v>0</v>
      </c>
      <c r="K42" s="34">
        <v>1</v>
      </c>
      <c r="L42" s="63">
        <f t="shared" si="0"/>
        <v>72</v>
      </c>
      <c r="M42" s="77">
        <v>45915</v>
      </c>
      <c r="N42" s="77">
        <f t="shared" si="11"/>
        <v>45911</v>
      </c>
      <c r="O42" s="65"/>
      <c r="P42" s="65"/>
      <c r="Q42" s="34"/>
      <c r="R42" s="91">
        <v>45832</v>
      </c>
      <c r="S42" s="91" t="s">
        <v>66</v>
      </c>
      <c r="T42" s="91" t="s">
        <v>66</v>
      </c>
      <c r="U42" s="91"/>
      <c r="V42" s="112" t="s">
        <v>1525</v>
      </c>
      <c r="W42" s="93" t="s">
        <v>821</v>
      </c>
      <c r="X42" s="93">
        <v>0</v>
      </c>
      <c r="Y42" s="132">
        <f t="shared" ref="Y42:Y49" si="18">X42*L42</f>
        <v>0</v>
      </c>
      <c r="Z42" s="34"/>
      <c r="AA42" s="148" t="s">
        <v>1378</v>
      </c>
      <c r="AB42" s="133" t="s">
        <v>76</v>
      </c>
      <c r="AC42" s="34"/>
      <c r="AD42" s="34"/>
      <c r="AE42" s="139"/>
      <c r="AF42" s="34">
        <v>0</v>
      </c>
      <c r="AG42" s="165"/>
      <c r="AH42" s="34"/>
      <c r="AI42" s="34"/>
      <c r="AJ42" s="34"/>
      <c r="AN42" s="169"/>
      <c r="AU42" s="185"/>
      <c r="AV42" s="180"/>
      <c r="CF42" s="169"/>
      <c r="CG42" s="169"/>
      <c r="CH42" s="169"/>
      <c r="CI42" s="169"/>
      <c r="CJ42" s="169"/>
      <c r="CN42" s="169"/>
      <c r="CO42" s="169"/>
      <c r="CP42" s="169"/>
      <c r="CQ42" s="169"/>
      <c r="CR42" s="169"/>
      <c r="CS42" s="169"/>
    </row>
    <row r="43" s="19" customFormat="1" ht="31" customHeight="1" spans="1:97">
      <c r="A43" s="31">
        <v>45678</v>
      </c>
      <c r="B43" s="46" t="s">
        <v>1372</v>
      </c>
      <c r="C43" s="33" t="s">
        <v>90</v>
      </c>
      <c r="D43" s="19">
        <v>4500156331</v>
      </c>
      <c r="E43" s="47" t="s">
        <v>6854</v>
      </c>
      <c r="F43" s="19" t="s">
        <v>6855</v>
      </c>
      <c r="G43" s="34">
        <v>77711</v>
      </c>
      <c r="H43" s="34" t="s">
        <v>3151</v>
      </c>
      <c r="I43" s="34">
        <v>5400</v>
      </c>
      <c r="J43" s="34">
        <v>0</v>
      </c>
      <c r="K43" s="34">
        <v>75</v>
      </c>
      <c r="L43" s="63">
        <f t="shared" si="0"/>
        <v>72</v>
      </c>
      <c r="M43" s="77">
        <v>45915</v>
      </c>
      <c r="N43" s="77">
        <f t="shared" si="11"/>
        <v>45911</v>
      </c>
      <c r="O43" s="65"/>
      <c r="P43" s="65"/>
      <c r="Q43" s="34"/>
      <c r="R43" s="91">
        <v>45832</v>
      </c>
      <c r="S43" s="94" t="s">
        <v>66</v>
      </c>
      <c r="T43" s="91" t="s">
        <v>66</v>
      </c>
      <c r="U43" s="91"/>
      <c r="V43" s="114"/>
      <c r="W43" s="93" t="s">
        <v>821</v>
      </c>
      <c r="X43" s="93">
        <v>762.5</v>
      </c>
      <c r="Y43" s="132">
        <f t="shared" si="18"/>
        <v>54900</v>
      </c>
      <c r="Z43" s="34"/>
      <c r="AA43" s="148" t="s">
        <v>1378</v>
      </c>
      <c r="AB43" s="133" t="s">
        <v>76</v>
      </c>
      <c r="AC43" s="34"/>
      <c r="AD43" s="34"/>
      <c r="AE43" s="139"/>
      <c r="AF43" s="34">
        <f t="shared" ref="AF43:AF49" si="19">AE43-I43</f>
        <v>-5400</v>
      </c>
      <c r="AG43" s="165"/>
      <c r="AH43" s="34"/>
      <c r="AI43" s="34"/>
      <c r="AJ43" s="34">
        <f>I43*3</f>
        <v>16200</v>
      </c>
      <c r="AN43" s="169"/>
      <c r="AU43" s="185">
        <f>I43/24*2</f>
        <v>450</v>
      </c>
      <c r="AV43" s="180"/>
      <c r="AX43" s="19">
        <f>AJ43</f>
        <v>16200</v>
      </c>
      <c r="AY43" s="19">
        <f>AJ43</f>
        <v>16200</v>
      </c>
      <c r="AZ43" s="19">
        <f t="shared" si="17"/>
        <v>5400</v>
      </c>
      <c r="BA43" s="19">
        <f>I43/5</f>
        <v>1080</v>
      </c>
      <c r="CF43" s="169"/>
      <c r="CG43" s="169"/>
      <c r="CH43" s="169"/>
      <c r="CI43" s="169"/>
      <c r="CJ43" s="169"/>
      <c r="CN43" s="169"/>
      <c r="CO43" s="169"/>
      <c r="CP43" s="169"/>
      <c r="CQ43" s="169"/>
      <c r="CR43" s="169"/>
      <c r="CS43" s="169"/>
    </row>
    <row r="44" s="20" customFormat="1" ht="31" customHeight="1" spans="1:39">
      <c r="A44" s="31">
        <v>45678</v>
      </c>
      <c r="B44" s="32" t="s">
        <v>1372</v>
      </c>
      <c r="C44" s="33" t="s">
        <v>90</v>
      </c>
      <c r="D44" s="20">
        <v>4500156333</v>
      </c>
      <c r="E44" s="47" t="s">
        <v>6856</v>
      </c>
      <c r="F44" s="20" t="s">
        <v>6857</v>
      </c>
      <c r="G44" s="35" t="s">
        <v>819</v>
      </c>
      <c r="H44" s="33" t="s">
        <v>744</v>
      </c>
      <c r="I44" s="33">
        <v>72</v>
      </c>
      <c r="J44" s="33">
        <v>0</v>
      </c>
      <c r="K44" s="33">
        <v>1</v>
      </c>
      <c r="L44" s="66">
        <f t="shared" si="0"/>
        <v>72</v>
      </c>
      <c r="M44" s="78">
        <v>45915</v>
      </c>
      <c r="N44" s="78">
        <v>45911</v>
      </c>
      <c r="O44" s="76">
        <v>45919</v>
      </c>
      <c r="P44" s="48"/>
      <c r="Q44" s="48"/>
      <c r="R44" s="33"/>
      <c r="S44" s="94" t="s">
        <v>403</v>
      </c>
      <c r="T44" s="94" t="s">
        <v>66</v>
      </c>
      <c r="U44" s="94" t="s">
        <v>403</v>
      </c>
      <c r="V44" s="94"/>
      <c r="W44" s="111"/>
      <c r="X44" s="115" t="s">
        <v>1471</v>
      </c>
      <c r="Y44" s="67" t="s">
        <v>821</v>
      </c>
      <c r="Z44" s="95">
        <v>0</v>
      </c>
      <c r="AA44" s="137">
        <f>Z44*L44</f>
        <v>0</v>
      </c>
      <c r="AB44" s="33"/>
      <c r="AC44" s="149" t="s">
        <v>1378</v>
      </c>
      <c r="AD44" s="33" t="s">
        <v>76</v>
      </c>
      <c r="AE44" s="33"/>
      <c r="AF44" s="33"/>
      <c r="AG44" s="138"/>
      <c r="AH44" s="138">
        <f>AG44-I44</f>
        <v>-72</v>
      </c>
      <c r="AI44" s="164"/>
      <c r="AJ44" s="33"/>
      <c r="AK44" s="33"/>
      <c r="AM44" s="20">
        <v>0</v>
      </c>
    </row>
    <row r="45" s="20" customFormat="1" ht="31" customHeight="1" spans="1:54">
      <c r="A45" s="31">
        <v>45678</v>
      </c>
      <c r="B45" s="32" t="s">
        <v>1372</v>
      </c>
      <c r="C45" s="33" t="s">
        <v>90</v>
      </c>
      <c r="D45" s="20">
        <v>4500156333</v>
      </c>
      <c r="E45" s="47" t="s">
        <v>6856</v>
      </c>
      <c r="F45" s="20" t="s">
        <v>6857</v>
      </c>
      <c r="G45" s="35">
        <v>77673</v>
      </c>
      <c r="H45" s="33" t="s">
        <v>65</v>
      </c>
      <c r="I45" s="33">
        <v>5400</v>
      </c>
      <c r="J45" s="33">
        <v>0</v>
      </c>
      <c r="K45" s="33">
        <v>75</v>
      </c>
      <c r="L45" s="66">
        <f t="shared" si="0"/>
        <v>72</v>
      </c>
      <c r="M45" s="78">
        <v>45915</v>
      </c>
      <c r="N45" s="78">
        <v>45911</v>
      </c>
      <c r="O45" s="76">
        <v>45919</v>
      </c>
      <c r="P45" s="48"/>
      <c r="Q45" s="48"/>
      <c r="R45" s="33"/>
      <c r="S45" s="94" t="s">
        <v>403</v>
      </c>
      <c r="T45" s="94" t="s">
        <v>66</v>
      </c>
      <c r="U45" s="94" t="s">
        <v>403</v>
      </c>
      <c r="V45" s="94"/>
      <c r="W45" s="113"/>
      <c r="X45" s="116"/>
      <c r="Y45" s="67" t="s">
        <v>821</v>
      </c>
      <c r="Z45" s="95">
        <v>762.5</v>
      </c>
      <c r="AA45" s="137">
        <f>Z45*L45</f>
        <v>54900</v>
      </c>
      <c r="AB45" s="33"/>
      <c r="AC45" s="149" t="s">
        <v>1378</v>
      </c>
      <c r="AD45" s="33" t="s">
        <v>76</v>
      </c>
      <c r="AE45" s="33"/>
      <c r="AF45" s="33"/>
      <c r="AG45" s="138"/>
      <c r="AH45" s="138">
        <f>AG45-I45</f>
        <v>-5400</v>
      </c>
      <c r="AI45" s="164"/>
      <c r="AJ45" s="33"/>
      <c r="AK45" s="33"/>
      <c r="AM45" s="20">
        <f>I45</f>
        <v>5400</v>
      </c>
      <c r="AX45" s="20">
        <f>I45</f>
        <v>5400</v>
      </c>
      <c r="AY45" s="20">
        <f>I45</f>
        <v>5400</v>
      </c>
      <c r="AZ45" s="190">
        <f t="shared" si="17"/>
        <v>5400</v>
      </c>
      <c r="BA45" s="190">
        <f>I45</f>
        <v>5400</v>
      </c>
      <c r="BB45" s="190">
        <f>I45/5</f>
        <v>1080</v>
      </c>
    </row>
    <row r="46" s="19" customFormat="1" ht="31" customHeight="1" spans="1:97">
      <c r="A46" s="31">
        <v>45678</v>
      </c>
      <c r="B46" s="46" t="s">
        <v>1372</v>
      </c>
      <c r="C46" s="33" t="s">
        <v>90</v>
      </c>
      <c r="D46" s="19">
        <v>4500156333</v>
      </c>
      <c r="E46" s="47" t="s">
        <v>6856</v>
      </c>
      <c r="F46" s="19" t="s">
        <v>6857</v>
      </c>
      <c r="G46" s="34" t="s">
        <v>819</v>
      </c>
      <c r="H46" s="34" t="s">
        <v>744</v>
      </c>
      <c r="I46" s="34">
        <v>72</v>
      </c>
      <c r="J46" s="34">
        <v>0</v>
      </c>
      <c r="K46" s="34">
        <v>1</v>
      </c>
      <c r="L46" s="63">
        <f t="shared" si="0"/>
        <v>72</v>
      </c>
      <c r="M46" s="78">
        <v>45915</v>
      </c>
      <c r="N46" s="78">
        <v>45911</v>
      </c>
      <c r="O46" s="65"/>
      <c r="P46" s="65"/>
      <c r="Q46" s="34"/>
      <c r="R46" s="91">
        <v>45832</v>
      </c>
      <c r="S46" s="91" t="s">
        <v>66</v>
      </c>
      <c r="T46" s="91" t="s">
        <v>66</v>
      </c>
      <c r="U46" s="91"/>
      <c r="V46" s="115" t="s">
        <v>1471</v>
      </c>
      <c r="W46" s="93" t="s">
        <v>821</v>
      </c>
      <c r="X46" s="93">
        <v>0</v>
      </c>
      <c r="Y46" s="132">
        <f t="shared" si="18"/>
        <v>0</v>
      </c>
      <c r="Z46" s="34"/>
      <c r="AA46" s="148" t="s">
        <v>1378</v>
      </c>
      <c r="AB46" s="133" t="s">
        <v>76</v>
      </c>
      <c r="AC46" s="34"/>
      <c r="AD46" s="34"/>
      <c r="AE46" s="139"/>
      <c r="AF46" s="34">
        <v>0</v>
      </c>
      <c r="AG46" s="165"/>
      <c r="AH46" s="34"/>
      <c r="AI46" s="34"/>
      <c r="AJ46" s="34"/>
      <c r="AN46" s="169"/>
      <c r="AU46" s="185"/>
      <c r="AV46" s="180"/>
      <c r="CF46" s="169"/>
      <c r="CG46" s="169"/>
      <c r="CH46" s="169"/>
      <c r="CI46" s="169"/>
      <c r="CJ46" s="169"/>
      <c r="CN46" s="169"/>
      <c r="CO46" s="169"/>
      <c r="CP46" s="169"/>
      <c r="CQ46" s="169"/>
      <c r="CR46" s="169"/>
      <c r="CS46" s="169"/>
    </row>
    <row r="47" s="19" customFormat="1" ht="31" customHeight="1" spans="1:97">
      <c r="A47" s="31">
        <v>45678</v>
      </c>
      <c r="B47" s="46" t="s">
        <v>1372</v>
      </c>
      <c r="C47" s="33" t="s">
        <v>90</v>
      </c>
      <c r="D47" s="19">
        <v>4500156333</v>
      </c>
      <c r="E47" s="47" t="s">
        <v>6856</v>
      </c>
      <c r="F47" s="19" t="s">
        <v>6857</v>
      </c>
      <c r="G47" s="34">
        <v>77711</v>
      </c>
      <c r="H47" s="34" t="s">
        <v>3151</v>
      </c>
      <c r="I47" s="34">
        <v>5400</v>
      </c>
      <c r="J47" s="34">
        <v>0</v>
      </c>
      <c r="K47" s="34">
        <v>75</v>
      </c>
      <c r="L47" s="63">
        <f t="shared" si="0"/>
        <v>72</v>
      </c>
      <c r="M47" s="78">
        <v>45915</v>
      </c>
      <c r="N47" s="78">
        <v>45911</v>
      </c>
      <c r="O47" s="65"/>
      <c r="P47" s="65"/>
      <c r="Q47" s="34"/>
      <c r="R47" s="91">
        <v>45832</v>
      </c>
      <c r="S47" s="94" t="s">
        <v>66</v>
      </c>
      <c r="T47" s="91" t="s">
        <v>66</v>
      </c>
      <c r="U47" s="91"/>
      <c r="V47" s="116"/>
      <c r="W47" s="93" t="s">
        <v>821</v>
      </c>
      <c r="X47" s="93">
        <v>762.5</v>
      </c>
      <c r="Y47" s="132">
        <f t="shared" si="18"/>
        <v>54900</v>
      </c>
      <c r="Z47" s="34"/>
      <c r="AA47" s="148" t="s">
        <v>1378</v>
      </c>
      <c r="AB47" s="133" t="s">
        <v>76</v>
      </c>
      <c r="AC47" s="34"/>
      <c r="AD47" s="34"/>
      <c r="AE47" s="139"/>
      <c r="AF47" s="34">
        <f t="shared" si="19"/>
        <v>-5400</v>
      </c>
      <c r="AG47" s="165"/>
      <c r="AH47" s="34"/>
      <c r="AI47" s="34"/>
      <c r="AJ47" s="34">
        <f>I47*3</f>
        <v>16200</v>
      </c>
      <c r="AN47" s="169"/>
      <c r="AU47" s="185">
        <f t="shared" ref="AU47:AU52" si="20">I47/24*2</f>
        <v>450</v>
      </c>
      <c r="AV47" s="180"/>
      <c r="AX47" s="19">
        <f>AJ47</f>
        <v>16200</v>
      </c>
      <c r="AY47" s="19">
        <f>AJ47</f>
        <v>16200</v>
      </c>
      <c r="AZ47" s="19">
        <f t="shared" ref="AZ47:AZ51" si="21">I47</f>
        <v>5400</v>
      </c>
      <c r="BA47" s="19">
        <f>I47/5</f>
        <v>1080</v>
      </c>
      <c r="CF47" s="169"/>
      <c r="CG47" s="169"/>
      <c r="CH47" s="169"/>
      <c r="CI47" s="169"/>
      <c r="CJ47" s="169"/>
      <c r="CN47" s="169"/>
      <c r="CO47" s="169"/>
      <c r="CP47" s="169"/>
      <c r="CQ47" s="169"/>
      <c r="CR47" s="169"/>
      <c r="CS47" s="169"/>
    </row>
    <row r="48" s="19" customFormat="1" ht="31" customHeight="1" spans="1:97">
      <c r="A48" s="31">
        <v>45678</v>
      </c>
      <c r="B48" s="46" t="s">
        <v>1372</v>
      </c>
      <c r="C48" s="33" t="s">
        <v>90</v>
      </c>
      <c r="D48" s="19">
        <v>4500156317</v>
      </c>
      <c r="E48" s="47" t="s">
        <v>6858</v>
      </c>
      <c r="F48" s="19" t="s">
        <v>6859</v>
      </c>
      <c r="G48" s="34" t="s">
        <v>819</v>
      </c>
      <c r="H48" s="34" t="s">
        <v>744</v>
      </c>
      <c r="I48" s="34">
        <v>72</v>
      </c>
      <c r="J48" s="34">
        <v>0</v>
      </c>
      <c r="K48" s="34">
        <v>1</v>
      </c>
      <c r="L48" s="63">
        <f t="shared" si="0"/>
        <v>72</v>
      </c>
      <c r="M48" s="77">
        <v>45902</v>
      </c>
      <c r="N48" s="77">
        <f t="shared" ref="N48:N53" si="22">M48-4</f>
        <v>45898</v>
      </c>
      <c r="O48" s="65"/>
      <c r="P48" s="65"/>
      <c r="Q48" s="34"/>
      <c r="R48" s="91" t="s">
        <v>6860</v>
      </c>
      <c r="S48" s="91" t="s">
        <v>66</v>
      </c>
      <c r="T48" s="91" t="s">
        <v>66</v>
      </c>
      <c r="U48" s="91"/>
      <c r="V48" s="115" t="s">
        <v>1471</v>
      </c>
      <c r="W48" s="93" t="s">
        <v>821</v>
      </c>
      <c r="X48" s="93">
        <v>0</v>
      </c>
      <c r="Y48" s="132">
        <f t="shared" si="18"/>
        <v>0</v>
      </c>
      <c r="Z48" s="34"/>
      <c r="AA48" s="148" t="s">
        <v>1378</v>
      </c>
      <c r="AB48" s="133" t="s">
        <v>76</v>
      </c>
      <c r="AC48" s="133"/>
      <c r="AD48" s="34"/>
      <c r="AE48" s="139"/>
      <c r="AF48" s="34">
        <f t="shared" si="19"/>
        <v>-72</v>
      </c>
      <c r="AG48" s="165"/>
      <c r="AH48" s="34"/>
      <c r="AI48" s="34"/>
      <c r="AJ48" s="34"/>
      <c r="AN48" s="169"/>
      <c r="AU48" s="185"/>
      <c r="AV48" s="180"/>
      <c r="CF48" s="169"/>
      <c r="CG48" s="169"/>
      <c r="CH48" s="169"/>
      <c r="CI48" s="169"/>
      <c r="CJ48" s="169"/>
      <c r="CN48" s="169"/>
      <c r="CO48" s="169"/>
      <c r="CP48" s="169"/>
      <c r="CQ48" s="169"/>
      <c r="CR48" s="169"/>
      <c r="CS48" s="169"/>
    </row>
    <row r="49" s="19" customFormat="1" ht="31" customHeight="1" spans="1:97">
      <c r="A49" s="31">
        <v>45678</v>
      </c>
      <c r="B49" s="46" t="s">
        <v>1372</v>
      </c>
      <c r="C49" s="33" t="s">
        <v>90</v>
      </c>
      <c r="D49" s="19">
        <v>4500156317</v>
      </c>
      <c r="E49" s="47" t="s">
        <v>6858</v>
      </c>
      <c r="F49" s="19" t="s">
        <v>6859</v>
      </c>
      <c r="G49" s="34">
        <v>77711</v>
      </c>
      <c r="H49" s="34" t="s">
        <v>3151</v>
      </c>
      <c r="I49" s="34">
        <v>5400</v>
      </c>
      <c r="J49" s="34">
        <v>0</v>
      </c>
      <c r="K49" s="34">
        <v>75</v>
      </c>
      <c r="L49" s="63">
        <f t="shared" si="0"/>
        <v>72</v>
      </c>
      <c r="M49" s="77">
        <v>45902</v>
      </c>
      <c r="N49" s="77">
        <f t="shared" si="22"/>
        <v>45898</v>
      </c>
      <c r="O49" s="65"/>
      <c r="P49" s="65"/>
      <c r="Q49" s="34"/>
      <c r="R49" s="91">
        <v>45832</v>
      </c>
      <c r="S49" s="94" t="s">
        <v>66</v>
      </c>
      <c r="T49" s="91" t="s">
        <v>66</v>
      </c>
      <c r="U49" s="91"/>
      <c r="V49" s="116"/>
      <c r="W49" s="93" t="s">
        <v>821</v>
      </c>
      <c r="X49" s="93">
        <v>762.5</v>
      </c>
      <c r="Y49" s="132">
        <f t="shared" si="18"/>
        <v>54900</v>
      </c>
      <c r="Z49" s="34"/>
      <c r="AA49" s="148" t="s">
        <v>1378</v>
      </c>
      <c r="AB49" s="133" t="s">
        <v>76</v>
      </c>
      <c r="AC49" s="133"/>
      <c r="AD49" s="34"/>
      <c r="AE49" s="139"/>
      <c r="AF49" s="34">
        <f t="shared" si="19"/>
        <v>-5400</v>
      </c>
      <c r="AG49" s="165"/>
      <c r="AH49" s="34"/>
      <c r="AI49" s="34"/>
      <c r="AJ49" s="34">
        <f>I49*3</f>
        <v>16200</v>
      </c>
      <c r="AN49" s="169"/>
      <c r="AU49" s="185">
        <f t="shared" si="20"/>
        <v>450</v>
      </c>
      <c r="AV49" s="180"/>
      <c r="AX49" s="19">
        <f>AJ49</f>
        <v>16200</v>
      </c>
      <c r="AY49" s="19">
        <f>AJ49</f>
        <v>16200</v>
      </c>
      <c r="AZ49" s="19">
        <f t="shared" si="21"/>
        <v>5400</v>
      </c>
      <c r="BA49" s="19">
        <f>I49/5</f>
        <v>1080</v>
      </c>
      <c r="CF49" s="169"/>
      <c r="CG49" s="169"/>
      <c r="CH49" s="169"/>
      <c r="CI49" s="169"/>
      <c r="CJ49" s="169"/>
      <c r="CN49" s="169"/>
      <c r="CO49" s="169"/>
      <c r="CP49" s="169"/>
      <c r="CQ49" s="169"/>
      <c r="CR49" s="169"/>
      <c r="CS49" s="169"/>
    </row>
    <row r="50" s="20" customFormat="1" ht="31" customHeight="1" spans="1:39">
      <c r="A50" s="31">
        <v>45678</v>
      </c>
      <c r="B50" s="32" t="s">
        <v>1372</v>
      </c>
      <c r="C50" s="33" t="s">
        <v>90</v>
      </c>
      <c r="D50" s="20">
        <v>4500156317</v>
      </c>
      <c r="E50" s="47" t="s">
        <v>6858</v>
      </c>
      <c r="F50" s="20" t="s">
        <v>6859</v>
      </c>
      <c r="G50" s="35" t="s">
        <v>819</v>
      </c>
      <c r="H50" s="33" t="s">
        <v>744</v>
      </c>
      <c r="I50" s="33">
        <v>72</v>
      </c>
      <c r="J50" s="33">
        <v>0</v>
      </c>
      <c r="K50" s="33">
        <v>1</v>
      </c>
      <c r="L50" s="66">
        <f t="shared" si="0"/>
        <v>72</v>
      </c>
      <c r="M50" s="78">
        <v>45902</v>
      </c>
      <c r="N50" s="78">
        <v>45898</v>
      </c>
      <c r="O50" s="76">
        <v>45912</v>
      </c>
      <c r="P50" s="48"/>
      <c r="Q50" s="48"/>
      <c r="R50" s="33"/>
      <c r="S50" s="94">
        <v>45827</v>
      </c>
      <c r="T50" s="94" t="s">
        <v>66</v>
      </c>
      <c r="U50" s="94" t="s">
        <v>66</v>
      </c>
      <c r="V50" s="94"/>
      <c r="W50" s="94"/>
      <c r="X50" s="115" t="s">
        <v>1471</v>
      </c>
      <c r="Y50" s="67" t="s">
        <v>821</v>
      </c>
      <c r="Z50" s="95">
        <v>0</v>
      </c>
      <c r="AA50" s="137">
        <f>Z50*L50</f>
        <v>0</v>
      </c>
      <c r="AB50" s="33"/>
      <c r="AC50" s="149" t="s">
        <v>1378</v>
      </c>
      <c r="AD50" s="33" t="s">
        <v>76</v>
      </c>
      <c r="AE50" s="33"/>
      <c r="AF50" s="33"/>
      <c r="AG50" s="138"/>
      <c r="AH50" s="138">
        <f t="shared" ref="AH50:AH54" si="23">AG50-I50</f>
        <v>-72</v>
      </c>
      <c r="AI50" s="164"/>
      <c r="AJ50" s="33"/>
      <c r="AK50" s="33"/>
      <c r="AM50" s="20">
        <v>0</v>
      </c>
    </row>
    <row r="51" s="20" customFormat="1" ht="31" customHeight="1" spans="1:54">
      <c r="A51" s="31">
        <v>45678</v>
      </c>
      <c r="B51" s="32" t="s">
        <v>1372</v>
      </c>
      <c r="C51" s="33" t="s">
        <v>90</v>
      </c>
      <c r="D51" s="20">
        <v>4500156317</v>
      </c>
      <c r="E51" s="47" t="s">
        <v>6858</v>
      </c>
      <c r="F51" s="20" t="s">
        <v>6859</v>
      </c>
      <c r="G51" s="35">
        <v>77673</v>
      </c>
      <c r="H51" s="33" t="s">
        <v>65</v>
      </c>
      <c r="I51" s="33">
        <v>5400</v>
      </c>
      <c r="J51" s="33">
        <v>0</v>
      </c>
      <c r="K51" s="33">
        <v>75</v>
      </c>
      <c r="L51" s="66">
        <f t="shared" si="0"/>
        <v>72</v>
      </c>
      <c r="M51" s="78">
        <v>45902</v>
      </c>
      <c r="N51" s="78">
        <v>45898</v>
      </c>
      <c r="O51" s="76">
        <v>45912</v>
      </c>
      <c r="P51" s="48"/>
      <c r="Q51" s="48"/>
      <c r="R51" s="33"/>
      <c r="S51" s="94">
        <v>45827</v>
      </c>
      <c r="T51" s="94" t="s">
        <v>66</v>
      </c>
      <c r="U51" s="94" t="s">
        <v>66</v>
      </c>
      <c r="V51" s="94"/>
      <c r="W51" s="94"/>
      <c r="X51" s="116"/>
      <c r="Y51" s="67" t="s">
        <v>821</v>
      </c>
      <c r="Z51" s="95">
        <v>762.5</v>
      </c>
      <c r="AA51" s="137">
        <f>Z51*L51</f>
        <v>54900</v>
      </c>
      <c r="AB51" s="33"/>
      <c r="AC51" s="149" t="s">
        <v>1378</v>
      </c>
      <c r="AD51" s="33" t="s">
        <v>76</v>
      </c>
      <c r="AE51" s="33"/>
      <c r="AF51" s="33"/>
      <c r="AG51" s="138"/>
      <c r="AH51" s="138">
        <f t="shared" si="23"/>
        <v>-5400</v>
      </c>
      <c r="AI51" s="164"/>
      <c r="AJ51" s="33"/>
      <c r="AK51" s="33"/>
      <c r="AM51" s="20">
        <f>I51</f>
        <v>5400</v>
      </c>
      <c r="AX51" s="20">
        <f>I51</f>
        <v>5400</v>
      </c>
      <c r="AY51" s="20">
        <f>I51</f>
        <v>5400</v>
      </c>
      <c r="AZ51" s="190">
        <f t="shared" si="21"/>
        <v>5400</v>
      </c>
      <c r="BA51" s="190">
        <f>I51</f>
        <v>5400</v>
      </c>
      <c r="BB51" s="190">
        <f>I51/5</f>
        <v>1080</v>
      </c>
    </row>
    <row r="52" s="19" customFormat="1" ht="31" customHeight="1" spans="1:97">
      <c r="A52" s="31">
        <v>45854</v>
      </c>
      <c r="B52" s="32" t="s">
        <v>220</v>
      </c>
      <c r="C52" s="33" t="s">
        <v>90</v>
      </c>
      <c r="D52" s="20">
        <v>4500173996</v>
      </c>
      <c r="E52" s="33" t="s">
        <v>6861</v>
      </c>
      <c r="F52" s="19" t="s">
        <v>6862</v>
      </c>
      <c r="G52" s="34" t="s">
        <v>3198</v>
      </c>
      <c r="H52" s="34" t="s">
        <v>3303</v>
      </c>
      <c r="I52" s="34">
        <v>15000</v>
      </c>
      <c r="J52" s="34">
        <v>0</v>
      </c>
      <c r="K52" s="34">
        <v>25</v>
      </c>
      <c r="L52" s="63">
        <f t="shared" si="0"/>
        <v>600</v>
      </c>
      <c r="M52" s="64">
        <v>45889</v>
      </c>
      <c r="N52" s="64">
        <v>45885</v>
      </c>
      <c r="O52" s="65"/>
      <c r="P52" s="65"/>
      <c r="Q52" s="34"/>
      <c r="R52" s="91" t="s">
        <v>403</v>
      </c>
      <c r="S52" s="111" t="s">
        <v>96</v>
      </c>
      <c r="T52" s="91" t="s">
        <v>403</v>
      </c>
      <c r="U52" s="91"/>
      <c r="V52" s="110" t="s">
        <v>4456</v>
      </c>
      <c r="W52" s="93" t="s">
        <v>226</v>
      </c>
      <c r="X52" s="109">
        <v>0.5543</v>
      </c>
      <c r="Y52" s="132">
        <f>X52*I52</f>
        <v>8314.5</v>
      </c>
      <c r="Z52" s="34"/>
      <c r="AA52" s="20" t="s">
        <v>3198</v>
      </c>
      <c r="AB52" s="150" t="s">
        <v>76</v>
      </c>
      <c r="AC52" s="133"/>
      <c r="AD52" s="34"/>
      <c r="AE52" s="139"/>
      <c r="AF52" s="34">
        <f t="shared" ref="AF52:AF56" si="24">AE52-I52</f>
        <v>-15000</v>
      </c>
      <c r="AG52" s="165"/>
      <c r="AH52" s="34"/>
      <c r="AI52" s="34"/>
      <c r="AJ52" s="34">
        <f>I52</f>
        <v>15000</v>
      </c>
      <c r="AK52" s="20"/>
      <c r="AL52" s="19">
        <f t="shared" ref="AL52:AL54" si="25">I52</f>
        <v>15000</v>
      </c>
      <c r="AQ52" s="20">
        <f>I52*2</f>
        <v>30000</v>
      </c>
      <c r="AU52" s="185">
        <f t="shared" si="20"/>
        <v>1250</v>
      </c>
      <c r="AV52" s="180"/>
      <c r="BE52" s="19">
        <f>I52/25</f>
        <v>600</v>
      </c>
      <c r="CF52" s="169"/>
      <c r="CG52" s="169"/>
      <c r="CH52" s="169"/>
      <c r="CI52" s="169"/>
      <c r="CJ52" s="169"/>
      <c r="CN52" s="169"/>
      <c r="CO52" s="169"/>
      <c r="CP52" s="169"/>
      <c r="CQ52" s="169"/>
      <c r="CR52" s="169"/>
      <c r="CS52" s="169"/>
    </row>
    <row r="53" s="24" customFormat="1" ht="31" customHeight="1" spans="1:99">
      <c r="A53" s="49">
        <v>45848</v>
      </c>
      <c r="B53" s="50" t="s">
        <v>6863</v>
      </c>
      <c r="C53" s="51"/>
      <c r="D53" s="25" t="s">
        <v>6864</v>
      </c>
      <c r="E53" s="51" t="s">
        <v>6865</v>
      </c>
      <c r="G53" s="52" t="s">
        <v>3180</v>
      </c>
      <c r="H53" s="52" t="s">
        <v>3181</v>
      </c>
      <c r="I53" s="52">
        <v>119856</v>
      </c>
      <c r="J53" s="52">
        <v>0</v>
      </c>
      <c r="K53" s="52">
        <v>16</v>
      </c>
      <c r="L53" s="79">
        <f t="shared" si="0"/>
        <v>7491</v>
      </c>
      <c r="M53" s="80">
        <v>45877</v>
      </c>
      <c r="N53" s="80">
        <f t="shared" si="22"/>
        <v>45873</v>
      </c>
      <c r="O53" s="81"/>
      <c r="P53" s="81" t="s">
        <v>6866</v>
      </c>
      <c r="Q53" s="52"/>
      <c r="R53" s="118" t="s">
        <v>6867</v>
      </c>
      <c r="S53" s="119" t="s">
        <v>66</v>
      </c>
      <c r="T53" s="119" t="s">
        <v>66</v>
      </c>
      <c r="U53" s="119"/>
      <c r="V53" s="120" t="s">
        <v>6868</v>
      </c>
      <c r="W53" s="121" t="s">
        <v>6865</v>
      </c>
      <c r="X53" s="121"/>
      <c r="Y53" s="151"/>
      <c r="Z53" s="52"/>
      <c r="AA53" s="50" t="s">
        <v>3180</v>
      </c>
      <c r="AB53" s="25" t="s">
        <v>76</v>
      </c>
      <c r="AC53" s="152"/>
      <c r="AD53" s="52"/>
      <c r="AE53" s="153"/>
      <c r="AF53" s="52"/>
      <c r="AG53" s="170"/>
      <c r="AH53" s="52"/>
      <c r="AI53" s="52"/>
      <c r="AJ53" s="25">
        <f>I53</f>
        <v>119856</v>
      </c>
      <c r="AK53" s="25"/>
      <c r="AL53" s="24">
        <f t="shared" si="25"/>
        <v>119856</v>
      </c>
      <c r="AN53" s="171"/>
      <c r="AQ53" s="25">
        <f>I53</f>
        <v>119856</v>
      </c>
      <c r="AR53" s="25"/>
      <c r="AS53" s="25"/>
      <c r="AU53" s="25"/>
      <c r="AV53" s="25"/>
      <c r="AW53" s="191">
        <f>I53/48</f>
        <v>2497</v>
      </c>
      <c r="AX53" s="186"/>
      <c r="BJ53" s="24">
        <f>I53/16</f>
        <v>7491</v>
      </c>
      <c r="CE53" s="24">
        <f>BJ53+BI53+BH53+BG53</f>
        <v>7491</v>
      </c>
      <c r="CF53" s="24">
        <f>BU53+BV53+BW53+BX53+BY53+CA53+BZ53</f>
        <v>0</v>
      </c>
      <c r="CG53" s="24">
        <f>BS53+BT53</f>
        <v>0</v>
      </c>
      <c r="CH53" s="171"/>
      <c r="CI53" s="171"/>
      <c r="CJ53" s="171"/>
      <c r="CK53" s="171"/>
      <c r="CL53" s="171"/>
      <c r="CP53" s="171"/>
      <c r="CQ53" s="171"/>
      <c r="CR53" s="171"/>
      <c r="CS53" s="171"/>
      <c r="CT53" s="171"/>
      <c r="CU53" s="171"/>
    </row>
    <row r="54" s="25" customFormat="1" ht="31" customHeight="1" spans="1:48">
      <c r="A54" s="49">
        <v>45828</v>
      </c>
      <c r="B54" s="51" t="s">
        <v>6869</v>
      </c>
      <c r="C54" s="51"/>
      <c r="D54" s="25" t="s">
        <v>6870</v>
      </c>
      <c r="E54" s="25" t="s">
        <v>6865</v>
      </c>
      <c r="G54" s="53" t="s">
        <v>93</v>
      </c>
      <c r="H54" s="51" t="s">
        <v>94</v>
      </c>
      <c r="I54" s="51">
        <v>23536</v>
      </c>
      <c r="J54" s="51">
        <v>0</v>
      </c>
      <c r="K54" s="51">
        <v>4</v>
      </c>
      <c r="L54" s="82">
        <f t="shared" si="0"/>
        <v>5884</v>
      </c>
      <c r="M54" s="83">
        <v>45908</v>
      </c>
      <c r="N54" s="83">
        <v>45904</v>
      </c>
      <c r="O54" s="84">
        <v>45880</v>
      </c>
      <c r="P54" s="81" t="s">
        <v>6866</v>
      </c>
      <c r="Q54" s="84"/>
      <c r="R54" s="51"/>
      <c r="S54" s="122">
        <v>45876</v>
      </c>
      <c r="T54" s="122" t="s">
        <v>66</v>
      </c>
      <c r="U54" s="122" t="s">
        <v>6871</v>
      </c>
      <c r="V54" s="122"/>
      <c r="W54" s="122"/>
      <c r="X54" s="50" t="s">
        <v>6872</v>
      </c>
      <c r="Y54" s="85" t="s">
        <v>6865</v>
      </c>
      <c r="Z54" s="154"/>
      <c r="AA54" s="155"/>
      <c r="AB54" s="51"/>
      <c r="AC54" s="51" t="s">
        <v>93</v>
      </c>
      <c r="AD54" s="51" t="s">
        <v>76</v>
      </c>
      <c r="AE54" s="51"/>
      <c r="AF54" s="51"/>
      <c r="AG54" s="172"/>
      <c r="AH54" s="172">
        <f t="shared" si="23"/>
        <v>-23536</v>
      </c>
      <c r="AI54" s="173"/>
      <c r="AJ54" s="51"/>
      <c r="AK54" s="51"/>
      <c r="AL54" s="25">
        <f t="shared" si="25"/>
        <v>23536</v>
      </c>
      <c r="AP54" s="25">
        <f>I54</f>
        <v>23536</v>
      </c>
      <c r="AR54" s="25">
        <f>I54</f>
        <v>23536</v>
      </c>
      <c r="AT54" s="25">
        <f>I54</f>
        <v>23536</v>
      </c>
      <c r="AV54" s="25">
        <f>I54/4</f>
        <v>5884</v>
      </c>
    </row>
    <row r="55" s="24" customFormat="1" ht="31" customHeight="1" spans="1:99">
      <c r="A55" s="49">
        <v>45904</v>
      </c>
      <c r="B55" s="50" t="s">
        <v>741</v>
      </c>
      <c r="C55" s="51" t="s">
        <v>468</v>
      </c>
      <c r="D55" s="24">
        <v>4500178828</v>
      </c>
      <c r="E55" s="51">
        <v>7950903135</v>
      </c>
      <c r="F55" s="24" t="s">
        <v>6873</v>
      </c>
      <c r="G55" s="52" t="s">
        <v>743</v>
      </c>
      <c r="H55" s="52" t="s">
        <v>744</v>
      </c>
      <c r="I55" s="52">
        <v>64</v>
      </c>
      <c r="J55" s="52">
        <v>0</v>
      </c>
      <c r="K55" s="52">
        <v>1</v>
      </c>
      <c r="L55" s="79">
        <f t="shared" si="0"/>
        <v>64</v>
      </c>
      <c r="M55" s="80">
        <v>45940</v>
      </c>
      <c r="N55" s="80">
        <v>45936</v>
      </c>
      <c r="O55" s="81"/>
      <c r="P55" s="81"/>
      <c r="Q55" s="52"/>
      <c r="R55" s="119">
        <v>45904</v>
      </c>
      <c r="S55" s="119" t="s">
        <v>66</v>
      </c>
      <c r="T55" s="119" t="s">
        <v>1820</v>
      </c>
      <c r="U55" s="119"/>
      <c r="V55" s="123" t="s">
        <v>1821</v>
      </c>
      <c r="W55" s="121" t="s">
        <v>473</v>
      </c>
      <c r="X55" s="121">
        <v>0</v>
      </c>
      <c r="Y55" s="151">
        <f>X55*J55</f>
        <v>0</v>
      </c>
      <c r="Z55" s="52"/>
      <c r="AA55" s="52" t="s">
        <v>743</v>
      </c>
      <c r="AB55" s="152" t="s">
        <v>76</v>
      </c>
      <c r="AC55" s="152"/>
      <c r="AD55" s="52"/>
      <c r="AE55" s="153"/>
      <c r="AF55" s="52">
        <f t="shared" si="24"/>
        <v>-64</v>
      </c>
      <c r="AG55" s="170"/>
      <c r="AH55" s="52"/>
      <c r="AI55" s="52"/>
      <c r="AJ55" s="52"/>
      <c r="AK55" s="25"/>
      <c r="AQ55" s="25"/>
      <c r="AS55" s="25"/>
      <c r="AW55" s="191"/>
      <c r="AX55" s="186"/>
      <c r="CH55" s="171"/>
      <c r="CI55" s="171"/>
      <c r="CJ55" s="171"/>
      <c r="CK55" s="171"/>
      <c r="CL55" s="171"/>
      <c r="CP55" s="171"/>
      <c r="CQ55" s="171"/>
      <c r="CR55" s="171"/>
      <c r="CS55" s="171"/>
      <c r="CT55" s="171"/>
      <c r="CU55" s="171"/>
    </row>
    <row r="56" s="24" customFormat="1" ht="31" customHeight="1" spans="1:99">
      <c r="A56" s="49">
        <v>45904</v>
      </c>
      <c r="B56" s="50" t="s">
        <v>741</v>
      </c>
      <c r="C56" s="51" t="s">
        <v>468</v>
      </c>
      <c r="D56" s="24">
        <v>4500178828</v>
      </c>
      <c r="E56" s="51">
        <v>7950903135</v>
      </c>
      <c r="F56" s="24" t="s">
        <v>6873</v>
      </c>
      <c r="G56" s="52">
        <v>77711</v>
      </c>
      <c r="H56" s="52" t="s">
        <v>3151</v>
      </c>
      <c r="I56" s="52">
        <v>4800</v>
      </c>
      <c r="J56" s="52">
        <v>0</v>
      </c>
      <c r="K56" s="52">
        <v>75</v>
      </c>
      <c r="L56" s="79">
        <f t="shared" si="0"/>
        <v>64</v>
      </c>
      <c r="M56" s="80">
        <v>45940</v>
      </c>
      <c r="N56" s="80">
        <v>45936</v>
      </c>
      <c r="O56" s="81"/>
      <c r="P56" s="81"/>
      <c r="Q56" s="52"/>
      <c r="R56" s="119">
        <v>45904</v>
      </c>
      <c r="S56" s="119" t="s">
        <v>66</v>
      </c>
      <c r="T56" s="119" t="s">
        <v>1820</v>
      </c>
      <c r="U56" s="119"/>
      <c r="V56" s="123" t="s">
        <v>1821</v>
      </c>
      <c r="W56" s="121" t="s">
        <v>473</v>
      </c>
      <c r="X56" s="121">
        <v>596.7236</v>
      </c>
      <c r="Y56" s="151">
        <f>X56*L56</f>
        <v>38190.3104</v>
      </c>
      <c r="Z56" s="52"/>
      <c r="AA56" s="52" t="s">
        <v>743</v>
      </c>
      <c r="AB56" s="152" t="s">
        <v>76</v>
      </c>
      <c r="AC56" s="152"/>
      <c r="AD56" s="52"/>
      <c r="AE56" s="153"/>
      <c r="AF56" s="52">
        <f t="shared" si="24"/>
        <v>-4800</v>
      </c>
      <c r="AG56" s="170"/>
      <c r="AH56" s="52"/>
      <c r="AI56" s="52"/>
      <c r="AJ56" s="52">
        <f>I56*3</f>
        <v>14400</v>
      </c>
      <c r="AK56" s="25"/>
      <c r="AQ56" s="25"/>
      <c r="AS56" s="25"/>
      <c r="AW56" s="191"/>
      <c r="AX56" s="186"/>
      <c r="AZ56" s="24">
        <f>I56</f>
        <v>4800</v>
      </c>
      <c r="BA56" s="24">
        <f>I56</f>
        <v>4800</v>
      </c>
      <c r="BB56" s="24">
        <f>I56</f>
        <v>4800</v>
      </c>
      <c r="BC56" s="24">
        <f>I56/5</f>
        <v>960</v>
      </c>
      <c r="CH56" s="171"/>
      <c r="CI56" s="171"/>
      <c r="CJ56" s="171"/>
      <c r="CK56" s="171"/>
      <c r="CL56" s="171"/>
      <c r="CP56" s="171"/>
      <c r="CQ56" s="171"/>
      <c r="CR56" s="171"/>
      <c r="CS56" s="171"/>
      <c r="CT56" s="171"/>
      <c r="CU56" s="171"/>
    </row>
    <row r="57" s="24" customFormat="1" ht="31" customHeight="1" spans="1:97">
      <c r="A57" s="54">
        <v>45904</v>
      </c>
      <c r="B57" s="50" t="s">
        <v>741</v>
      </c>
      <c r="C57" s="51" t="s">
        <v>468</v>
      </c>
      <c r="D57" s="24">
        <v>4500178828</v>
      </c>
      <c r="E57" s="51">
        <v>7950903135</v>
      </c>
      <c r="F57" s="24" t="s">
        <v>6873</v>
      </c>
      <c r="G57" s="52" t="s">
        <v>743</v>
      </c>
      <c r="H57" s="51" t="s">
        <v>744</v>
      </c>
      <c r="I57" s="51">
        <v>64</v>
      </c>
      <c r="J57" s="51">
        <v>0</v>
      </c>
      <c r="K57" s="51">
        <v>1</v>
      </c>
      <c r="L57" s="82">
        <f t="shared" si="0"/>
        <v>64</v>
      </c>
      <c r="M57" s="85">
        <v>45940</v>
      </c>
      <c r="N57" s="85">
        <v>45936</v>
      </c>
      <c r="O57" s="81"/>
      <c r="P57" s="81"/>
      <c r="Q57" s="52"/>
      <c r="R57" s="119"/>
      <c r="S57" s="118">
        <v>45904</v>
      </c>
      <c r="T57" s="118" t="s">
        <v>66</v>
      </c>
      <c r="U57" s="119" t="s">
        <v>1820</v>
      </c>
      <c r="V57" s="118"/>
      <c r="W57" s="121"/>
      <c r="X57" s="121" t="s">
        <v>1821</v>
      </c>
      <c r="Y57" s="151" t="s">
        <v>473</v>
      </c>
      <c r="Z57" s="154">
        <v>0</v>
      </c>
      <c r="AA57" s="155">
        <f>Z57*L57</f>
        <v>0</v>
      </c>
      <c r="AB57" s="51"/>
      <c r="AC57" s="51" t="s">
        <v>743</v>
      </c>
      <c r="AD57" s="156" t="s">
        <v>76</v>
      </c>
      <c r="AE57" s="153"/>
      <c r="AF57" s="52"/>
      <c r="AG57" s="170"/>
      <c r="AH57" s="172">
        <f t="shared" ref="AH57:AH61" si="26">AG57-I57</f>
        <v>-64</v>
      </c>
      <c r="AI57" s="52"/>
      <c r="AJ57" s="52"/>
      <c r="AK57" s="25"/>
      <c r="AL57" s="25"/>
      <c r="AP57" s="25"/>
      <c r="AQ57" s="25"/>
      <c r="AR57" s="25"/>
      <c r="AS57" s="25"/>
      <c r="AT57" s="25"/>
      <c r="AU57" s="25"/>
      <c r="AV57" s="25"/>
      <c r="CF57" s="171"/>
      <c r="CG57" s="171"/>
      <c r="CH57" s="171"/>
      <c r="CI57" s="171"/>
      <c r="CJ57" s="171"/>
      <c r="CN57" s="171"/>
      <c r="CO57" s="171"/>
      <c r="CP57" s="171"/>
      <c r="CQ57" s="171"/>
      <c r="CR57" s="171"/>
      <c r="CS57" s="171"/>
    </row>
    <row r="58" s="24" customFormat="1" ht="31" customHeight="1" spans="1:97">
      <c r="A58" s="54">
        <v>45904</v>
      </c>
      <c r="B58" s="50" t="s">
        <v>741</v>
      </c>
      <c r="C58" s="51" t="s">
        <v>468</v>
      </c>
      <c r="D58" s="24">
        <v>4500178828</v>
      </c>
      <c r="E58" s="51">
        <v>7950903135</v>
      </c>
      <c r="F58" s="24" t="s">
        <v>6873</v>
      </c>
      <c r="G58" s="52">
        <v>77673</v>
      </c>
      <c r="H58" s="51" t="s">
        <v>65</v>
      </c>
      <c r="I58" s="52">
        <v>4800</v>
      </c>
      <c r="J58" s="52">
        <v>0</v>
      </c>
      <c r="K58" s="52">
        <v>75</v>
      </c>
      <c r="L58" s="79">
        <f t="shared" si="0"/>
        <v>64</v>
      </c>
      <c r="M58" s="85">
        <v>45940</v>
      </c>
      <c r="N58" s="85">
        <v>45936</v>
      </c>
      <c r="O58" s="81"/>
      <c r="P58" s="81"/>
      <c r="Q58" s="52"/>
      <c r="R58" s="119"/>
      <c r="S58" s="118">
        <v>45904</v>
      </c>
      <c r="T58" s="118" t="s">
        <v>66</v>
      </c>
      <c r="U58" s="119" t="s">
        <v>1820</v>
      </c>
      <c r="V58" s="118"/>
      <c r="W58" s="121"/>
      <c r="X58" s="121" t="s">
        <v>1821</v>
      </c>
      <c r="Y58" s="151" t="s">
        <v>473</v>
      </c>
      <c r="Z58" s="154">
        <v>596.7236</v>
      </c>
      <c r="AA58" s="155">
        <f>Z58*L58</f>
        <v>38190.3104</v>
      </c>
      <c r="AB58" s="51"/>
      <c r="AC58" s="51" t="s">
        <v>743</v>
      </c>
      <c r="AD58" s="156" t="s">
        <v>76</v>
      </c>
      <c r="AE58" s="153"/>
      <c r="AF58" s="52"/>
      <c r="AG58" s="170"/>
      <c r="AH58" s="172">
        <f t="shared" si="26"/>
        <v>-4800</v>
      </c>
      <c r="AI58" s="52"/>
      <c r="AJ58" s="52"/>
      <c r="AK58" s="25"/>
      <c r="AL58" s="25"/>
      <c r="AM58" s="25"/>
      <c r="AO58" s="24">
        <f>I58</f>
        <v>4800</v>
      </c>
      <c r="AP58" s="25"/>
      <c r="AQ58" s="25"/>
      <c r="AR58" s="25"/>
      <c r="AS58" s="25"/>
      <c r="AT58" s="25"/>
      <c r="AU58" s="25"/>
      <c r="AV58" s="25"/>
      <c r="AX58" s="24">
        <f>I58</f>
        <v>4800</v>
      </c>
      <c r="AY58" s="24">
        <f>I58</f>
        <v>4800</v>
      </c>
      <c r="AZ58" s="24">
        <f>I58</f>
        <v>4800</v>
      </c>
      <c r="BA58" s="24">
        <f>I58</f>
        <v>4800</v>
      </c>
      <c r="BB58" s="24">
        <f>I58/5</f>
        <v>960</v>
      </c>
      <c r="CF58" s="171"/>
      <c r="CG58" s="171"/>
      <c r="CH58" s="171"/>
      <c r="CI58" s="171"/>
      <c r="CJ58" s="171"/>
      <c r="CN58" s="171"/>
      <c r="CO58" s="171"/>
      <c r="CP58" s="171"/>
      <c r="CQ58" s="171"/>
      <c r="CR58" s="171"/>
      <c r="CS58" s="171"/>
    </row>
    <row r="59" s="24" customFormat="1" ht="31" customHeight="1" spans="1:99">
      <c r="A59" s="49">
        <v>45904</v>
      </c>
      <c r="B59" s="50" t="s">
        <v>6863</v>
      </c>
      <c r="C59" s="51" t="s">
        <v>90</v>
      </c>
      <c r="D59" s="24" t="s">
        <v>6874</v>
      </c>
      <c r="E59" s="51" t="s">
        <v>6865</v>
      </c>
      <c r="G59" s="52" t="s">
        <v>3180</v>
      </c>
      <c r="H59" s="52" t="s">
        <v>3181</v>
      </c>
      <c r="I59" s="52">
        <v>0</v>
      </c>
      <c r="J59" s="52">
        <v>0</v>
      </c>
      <c r="K59" s="52">
        <v>0</v>
      </c>
      <c r="L59" s="79" t="e">
        <f t="shared" si="0"/>
        <v>#DIV/0!</v>
      </c>
      <c r="M59" s="80">
        <v>45945</v>
      </c>
      <c r="N59" s="80">
        <v>45943</v>
      </c>
      <c r="O59" s="81"/>
      <c r="P59" s="81"/>
      <c r="Q59" s="52"/>
      <c r="R59" s="119" t="s">
        <v>4194</v>
      </c>
      <c r="S59" s="119" t="s">
        <v>66</v>
      </c>
      <c r="T59" s="119" t="s">
        <v>133</v>
      </c>
      <c r="U59" s="119"/>
      <c r="V59" s="123" t="s">
        <v>6875</v>
      </c>
      <c r="W59" s="121" t="s">
        <v>6865</v>
      </c>
      <c r="X59" s="121"/>
      <c r="Y59" s="151"/>
      <c r="Z59" s="52"/>
      <c r="AA59" s="52"/>
      <c r="AB59" s="152"/>
      <c r="AC59" s="152"/>
      <c r="AD59" s="52"/>
      <c r="AE59" s="153"/>
      <c r="AF59" s="52">
        <f>AE59-I59</f>
        <v>0</v>
      </c>
      <c r="AG59" s="170"/>
      <c r="AH59" s="52"/>
      <c r="AI59" s="52"/>
      <c r="AJ59" s="52">
        <f>I59</f>
        <v>0</v>
      </c>
      <c r="AK59" s="25"/>
      <c r="AL59" s="24">
        <f t="shared" ref="AL59:AL65" si="27">I59</f>
        <v>0</v>
      </c>
      <c r="AQ59" s="24">
        <f t="shared" ref="AQ59:AQ62" si="28">I59</f>
        <v>0</v>
      </c>
      <c r="AR59" s="25"/>
      <c r="AS59" s="25"/>
      <c r="AW59" s="191">
        <f>I59/24</f>
        <v>0</v>
      </c>
      <c r="AX59" s="186"/>
      <c r="BJ59" s="24">
        <f>I59/16</f>
        <v>0</v>
      </c>
      <c r="CH59" s="171"/>
      <c r="CI59" s="171"/>
      <c r="CJ59" s="171"/>
      <c r="CK59" s="171"/>
      <c r="CL59" s="171"/>
      <c r="CP59" s="171"/>
      <c r="CQ59" s="171"/>
      <c r="CR59" s="171"/>
      <c r="CS59" s="171"/>
      <c r="CT59" s="171"/>
      <c r="CU59" s="171"/>
    </row>
    <row r="60" s="24" customFormat="1" ht="31" customHeight="1" spans="1:97">
      <c r="A60" s="54">
        <v>45904</v>
      </c>
      <c r="B60" s="50" t="s">
        <v>6863</v>
      </c>
      <c r="C60" s="51" t="s">
        <v>90</v>
      </c>
      <c r="D60" s="24" t="s">
        <v>6874</v>
      </c>
      <c r="E60" s="51" t="s">
        <v>6865</v>
      </c>
      <c r="G60" s="52" t="s">
        <v>93</v>
      </c>
      <c r="H60" s="51" t="s">
        <v>94</v>
      </c>
      <c r="I60" s="51">
        <v>0</v>
      </c>
      <c r="J60" s="51">
        <v>0</v>
      </c>
      <c r="K60" s="51">
        <v>0</v>
      </c>
      <c r="L60" s="82">
        <v>0</v>
      </c>
      <c r="M60" s="85">
        <v>45945</v>
      </c>
      <c r="N60" s="85">
        <v>45943</v>
      </c>
      <c r="O60" s="81"/>
      <c r="P60" s="81"/>
      <c r="Q60" s="52"/>
      <c r="R60" s="119"/>
      <c r="S60" s="119" t="s">
        <v>6876</v>
      </c>
      <c r="T60" s="119" t="s">
        <v>66</v>
      </c>
      <c r="U60" s="119" t="s">
        <v>6871</v>
      </c>
      <c r="V60" s="123"/>
      <c r="W60" s="121"/>
      <c r="X60" s="121" t="s">
        <v>6877</v>
      </c>
      <c r="Y60" s="151" t="s">
        <v>6865</v>
      </c>
      <c r="Z60" s="154"/>
      <c r="AA60" s="155"/>
      <c r="AB60" s="152"/>
      <c r="AC60" s="51" t="s">
        <v>93</v>
      </c>
      <c r="AD60" s="51" t="s">
        <v>76</v>
      </c>
      <c r="AE60" s="153"/>
      <c r="AF60" s="52"/>
      <c r="AG60" s="52"/>
      <c r="AH60" s="52">
        <f t="shared" si="26"/>
        <v>0</v>
      </c>
      <c r="AI60" s="52"/>
      <c r="AJ60" s="52"/>
      <c r="AK60" s="25"/>
      <c r="AL60" s="25">
        <f t="shared" si="27"/>
        <v>0</v>
      </c>
      <c r="AN60" s="25"/>
      <c r="AP60" s="25">
        <f>I60</f>
        <v>0</v>
      </c>
      <c r="AQ60" s="25"/>
      <c r="AR60" s="25">
        <f t="shared" ref="AR60:AR66" si="29">I60</f>
        <v>0</v>
      </c>
      <c r="AS60" s="25"/>
      <c r="AT60" s="25">
        <f t="shared" ref="AT60:AT65" si="30">I60</f>
        <v>0</v>
      </c>
      <c r="AU60" s="25"/>
      <c r="AV60" s="25">
        <f>I60/4</f>
        <v>0</v>
      </c>
      <c r="BF60" s="25"/>
      <c r="BG60" s="25"/>
      <c r="CF60" s="171"/>
      <c r="CG60" s="171"/>
      <c r="CH60" s="171"/>
      <c r="CI60" s="171"/>
      <c r="CJ60" s="171"/>
      <c r="CN60" s="171"/>
      <c r="CO60" s="171"/>
      <c r="CP60" s="171"/>
      <c r="CQ60" s="171"/>
      <c r="CR60" s="171"/>
      <c r="CS60" s="171"/>
    </row>
    <row r="61" s="24" customFormat="1" ht="31" customHeight="1" spans="1:97">
      <c r="A61" s="54">
        <v>45912</v>
      </c>
      <c r="B61" s="50" t="s">
        <v>152</v>
      </c>
      <c r="C61" s="51" t="s">
        <v>153</v>
      </c>
      <c r="D61" s="24">
        <v>4500179455</v>
      </c>
      <c r="E61" s="51"/>
      <c r="F61" s="24" t="s">
        <v>6878</v>
      </c>
      <c r="G61" s="52" t="s">
        <v>155</v>
      </c>
      <c r="H61" s="51" t="s">
        <v>65</v>
      </c>
      <c r="I61" s="51">
        <v>10000</v>
      </c>
      <c r="J61" s="51">
        <v>0</v>
      </c>
      <c r="K61" s="51">
        <v>2</v>
      </c>
      <c r="L61" s="82">
        <f t="shared" ref="L61:L82" si="31">I61/K61</f>
        <v>5000</v>
      </c>
      <c r="M61" s="85">
        <v>45996</v>
      </c>
      <c r="N61" s="85">
        <v>45992</v>
      </c>
      <c r="O61" s="81"/>
      <c r="P61" s="81"/>
      <c r="Q61" s="52"/>
      <c r="R61" s="119"/>
      <c r="S61" s="119" t="s">
        <v>403</v>
      </c>
      <c r="T61" s="118" t="s">
        <v>66</v>
      </c>
      <c r="U61" s="122" t="s">
        <v>1830</v>
      </c>
      <c r="V61" s="123"/>
      <c r="W61" s="121"/>
      <c r="X61" s="121" t="s">
        <v>1911</v>
      </c>
      <c r="Y61" s="151" t="s">
        <v>1912</v>
      </c>
      <c r="Z61" s="154">
        <v>4.2472</v>
      </c>
      <c r="AA61" s="155">
        <f t="shared" ref="AA61:AA65" si="32">Z61*I61</f>
        <v>42472</v>
      </c>
      <c r="AB61" s="152"/>
      <c r="AC61" s="51" t="s">
        <v>155</v>
      </c>
      <c r="AD61" s="51" t="s">
        <v>76</v>
      </c>
      <c r="AE61" s="153"/>
      <c r="AF61" s="52"/>
      <c r="AG61" s="170"/>
      <c r="AH61" s="172">
        <f t="shared" si="26"/>
        <v>-10000</v>
      </c>
      <c r="AI61" s="152"/>
      <c r="AJ61" s="152"/>
      <c r="AK61" s="25"/>
      <c r="AL61" s="174">
        <f t="shared" si="27"/>
        <v>10000</v>
      </c>
      <c r="AP61" s="25"/>
      <c r="AQ61" s="25">
        <f t="shared" si="28"/>
        <v>10000</v>
      </c>
      <c r="AR61" s="25">
        <f t="shared" si="29"/>
        <v>10000</v>
      </c>
      <c r="AS61" s="25"/>
      <c r="AT61" s="25">
        <f t="shared" si="30"/>
        <v>10000</v>
      </c>
      <c r="AU61" s="186"/>
      <c r="AV61" s="25"/>
      <c r="AW61" s="25"/>
      <c r="BD61" s="25"/>
      <c r="BE61" s="25"/>
      <c r="CF61" s="171"/>
      <c r="CG61" s="171"/>
      <c r="CH61" s="171"/>
      <c r="CI61" s="171"/>
      <c r="CJ61" s="171"/>
      <c r="CN61" s="171"/>
      <c r="CO61" s="171"/>
      <c r="CP61" s="171"/>
      <c r="CQ61" s="171"/>
      <c r="CR61" s="171"/>
      <c r="CS61" s="171"/>
    </row>
    <row r="62" s="24" customFormat="1" ht="31" customHeight="1" spans="1:99">
      <c r="A62" s="49">
        <v>45912</v>
      </c>
      <c r="B62" s="50" t="s">
        <v>6863</v>
      </c>
      <c r="C62" s="51" t="s">
        <v>90</v>
      </c>
      <c r="D62" s="24" t="s">
        <v>6879</v>
      </c>
      <c r="E62" s="51" t="s">
        <v>6865</v>
      </c>
      <c r="G62" s="52" t="s">
        <v>3180</v>
      </c>
      <c r="H62" s="52" t="s">
        <v>3181</v>
      </c>
      <c r="I62" s="52">
        <v>300000</v>
      </c>
      <c r="J62" s="52">
        <v>0</v>
      </c>
      <c r="K62" s="52">
        <v>16</v>
      </c>
      <c r="L62" s="79">
        <f t="shared" si="31"/>
        <v>18750</v>
      </c>
      <c r="M62" s="80">
        <v>45958</v>
      </c>
      <c r="N62" s="80">
        <v>45954</v>
      </c>
      <c r="O62" s="81"/>
      <c r="P62" s="81" t="s">
        <v>6880</v>
      </c>
      <c r="Q62" s="52"/>
      <c r="R62" s="119" t="s">
        <v>403</v>
      </c>
      <c r="S62" s="119" t="s">
        <v>6881</v>
      </c>
      <c r="T62" s="119" t="s">
        <v>133</v>
      </c>
      <c r="U62" s="119"/>
      <c r="V62" s="123" t="s">
        <v>6868</v>
      </c>
      <c r="W62" s="121" t="s">
        <v>6865</v>
      </c>
      <c r="X62" s="124"/>
      <c r="Y62" s="151"/>
      <c r="Z62" s="52"/>
      <c r="AA62" s="52"/>
      <c r="AB62" s="152"/>
      <c r="AC62" s="152"/>
      <c r="AD62" s="52"/>
      <c r="AE62" s="153"/>
      <c r="AF62" s="52">
        <f t="shared" ref="AF62:AF67" si="33">AE62-I62</f>
        <v>-300000</v>
      </c>
      <c r="AG62" s="170"/>
      <c r="AH62" s="52"/>
      <c r="AI62" s="52"/>
      <c r="AJ62" s="52">
        <f>I62</f>
        <v>300000</v>
      </c>
      <c r="AK62" s="25"/>
      <c r="AL62" s="24">
        <f t="shared" si="27"/>
        <v>300000</v>
      </c>
      <c r="AQ62" s="24">
        <f t="shared" si="28"/>
        <v>300000</v>
      </c>
      <c r="AS62" s="25"/>
      <c r="AW62" s="191">
        <f t="shared" ref="AW62:AW67" si="34">I62/24</f>
        <v>12500</v>
      </c>
      <c r="AX62" s="186"/>
      <c r="BJ62" s="24">
        <f>I62/16</f>
        <v>18750</v>
      </c>
      <c r="CE62" s="24">
        <f>BJ62+BI62+BH62+BG62</f>
        <v>18750</v>
      </c>
      <c r="CF62" s="24">
        <f>BU62+BV62+BW62+BX62+BY62+CA62+BZ62</f>
        <v>0</v>
      </c>
      <c r="CG62" s="24">
        <f>BS62+BT62</f>
        <v>0</v>
      </c>
      <c r="CH62" s="171"/>
      <c r="CI62" s="171"/>
      <c r="CJ62" s="171"/>
      <c r="CK62" s="171"/>
      <c r="CL62" s="171"/>
      <c r="CP62" s="171"/>
      <c r="CQ62" s="171"/>
      <c r="CR62" s="171"/>
      <c r="CS62" s="171"/>
      <c r="CT62" s="171"/>
      <c r="CU62" s="171"/>
    </row>
    <row r="63" s="26" customFormat="1" ht="31" customHeight="1" spans="1:97">
      <c r="A63" s="55">
        <v>45915</v>
      </c>
      <c r="B63" s="56" t="s">
        <v>1877</v>
      </c>
      <c r="C63" s="57" t="s">
        <v>356</v>
      </c>
      <c r="D63" s="26">
        <v>4500179469</v>
      </c>
      <c r="E63" s="57">
        <v>5200007748</v>
      </c>
      <c r="F63" s="26" t="s">
        <v>6882</v>
      </c>
      <c r="G63" s="58" t="s">
        <v>344</v>
      </c>
      <c r="H63" s="57" t="s">
        <v>65</v>
      </c>
      <c r="I63" s="57">
        <v>5000</v>
      </c>
      <c r="J63" s="57">
        <v>0</v>
      </c>
      <c r="K63" s="57">
        <v>4</v>
      </c>
      <c r="L63" s="86">
        <f t="shared" si="31"/>
        <v>1250</v>
      </c>
      <c r="M63" s="87">
        <v>45993</v>
      </c>
      <c r="N63" s="87">
        <v>45989</v>
      </c>
      <c r="O63" s="88"/>
      <c r="P63" s="88"/>
      <c r="Q63" s="58"/>
      <c r="R63" s="125"/>
      <c r="S63" s="125"/>
      <c r="T63" s="126"/>
      <c r="U63" s="127"/>
      <c r="V63" s="128"/>
      <c r="W63" s="129"/>
      <c r="X63" s="129" t="s">
        <v>1880</v>
      </c>
      <c r="Y63" s="157" t="s">
        <v>391</v>
      </c>
      <c r="Z63" s="158">
        <v>4.1739</v>
      </c>
      <c r="AA63" s="159">
        <f t="shared" si="32"/>
        <v>20869.5</v>
      </c>
      <c r="AB63" s="160"/>
      <c r="AC63" s="57"/>
      <c r="AD63" s="57"/>
      <c r="AE63" s="161"/>
      <c r="AF63" s="58"/>
      <c r="AG63" s="175"/>
      <c r="AH63" s="176"/>
      <c r="AI63" s="58"/>
      <c r="AJ63" s="58"/>
      <c r="AK63" s="177"/>
      <c r="AL63" s="178">
        <f t="shared" si="27"/>
        <v>5000</v>
      </c>
      <c r="AP63" s="177"/>
      <c r="AQ63" s="177"/>
      <c r="AR63" s="177"/>
      <c r="AS63" s="177"/>
      <c r="AT63" s="177"/>
      <c r="AU63" s="187"/>
      <c r="AV63" s="177"/>
      <c r="AW63" s="177"/>
      <c r="BD63" s="177"/>
      <c r="BE63" s="177"/>
      <c r="CF63" s="194"/>
      <c r="CG63" s="194"/>
      <c r="CH63" s="194"/>
      <c r="CI63" s="194"/>
      <c r="CJ63" s="194"/>
      <c r="CN63" s="194"/>
      <c r="CO63" s="194"/>
      <c r="CP63" s="194"/>
      <c r="CQ63" s="194"/>
      <c r="CR63" s="194"/>
      <c r="CS63" s="194"/>
    </row>
    <row r="64" s="24" customFormat="1" ht="31" customHeight="1" spans="1:97">
      <c r="A64" s="54">
        <v>45896</v>
      </c>
      <c r="B64" s="50" t="s">
        <v>1419</v>
      </c>
      <c r="C64" s="51" t="s">
        <v>231</v>
      </c>
      <c r="D64" s="24">
        <v>4500177872</v>
      </c>
      <c r="E64" s="51">
        <v>4400505157</v>
      </c>
      <c r="F64" s="24" t="s">
        <v>6883</v>
      </c>
      <c r="G64" s="52" t="s">
        <v>148</v>
      </c>
      <c r="H64" s="51" t="s">
        <v>65</v>
      </c>
      <c r="I64" s="51">
        <v>1504</v>
      </c>
      <c r="J64" s="51">
        <v>0</v>
      </c>
      <c r="K64" s="51">
        <v>8</v>
      </c>
      <c r="L64" s="82">
        <f t="shared" si="31"/>
        <v>188</v>
      </c>
      <c r="M64" s="85">
        <v>45950</v>
      </c>
      <c r="N64" s="85">
        <v>45946</v>
      </c>
      <c r="O64" s="81"/>
      <c r="P64" s="81"/>
      <c r="Q64" s="52"/>
      <c r="R64" s="119"/>
      <c r="S64" s="119">
        <v>45896</v>
      </c>
      <c r="T64" s="119" t="s">
        <v>66</v>
      </c>
      <c r="U64" s="119" t="s">
        <v>1799</v>
      </c>
      <c r="V64" s="123"/>
      <c r="W64" s="121"/>
      <c r="X64" s="121" t="s">
        <v>6884</v>
      </c>
      <c r="Y64" s="151" t="s">
        <v>1424</v>
      </c>
      <c r="Z64" s="154">
        <v>4.3748</v>
      </c>
      <c r="AA64" s="155">
        <f t="shared" si="32"/>
        <v>6579.6992</v>
      </c>
      <c r="AB64" s="152"/>
      <c r="AC64" s="25" t="s">
        <v>148</v>
      </c>
      <c r="AD64" s="156" t="s">
        <v>76</v>
      </c>
      <c r="AE64" s="153"/>
      <c r="AF64" s="52"/>
      <c r="AG64" s="170"/>
      <c r="AH64" s="172">
        <f t="shared" ref="AH64:AH69" si="35">AG64-I64</f>
        <v>-1504</v>
      </c>
      <c r="AI64" s="52"/>
      <c r="AJ64" s="52"/>
      <c r="AK64" s="25"/>
      <c r="AL64" s="25">
        <f t="shared" si="27"/>
        <v>1504</v>
      </c>
      <c r="AP64" s="25"/>
      <c r="AQ64" s="25"/>
      <c r="AR64" s="25"/>
      <c r="AS64" s="25"/>
      <c r="AT64" s="25">
        <f t="shared" si="30"/>
        <v>1504</v>
      </c>
      <c r="AU64" s="25"/>
      <c r="AV64" s="25"/>
      <c r="AW64" s="25">
        <f>I64/4</f>
        <v>376</v>
      </c>
      <c r="BD64" s="25">
        <f>I64</f>
        <v>1504</v>
      </c>
      <c r="BE64" s="25">
        <f>I64</f>
        <v>1504</v>
      </c>
      <c r="CF64" s="171"/>
      <c r="CG64" s="171"/>
      <c r="CH64" s="171"/>
      <c r="CI64" s="171"/>
      <c r="CJ64" s="171"/>
      <c r="CN64" s="171"/>
      <c r="CO64" s="171"/>
      <c r="CP64" s="171"/>
      <c r="CQ64" s="171"/>
      <c r="CR64" s="171"/>
      <c r="CS64" s="171"/>
    </row>
    <row r="65" s="27" customFormat="1" ht="31" customHeight="1" spans="1:97">
      <c r="A65" s="54">
        <v>45896</v>
      </c>
      <c r="B65" s="50" t="s">
        <v>152</v>
      </c>
      <c r="C65" s="51" t="s">
        <v>153</v>
      </c>
      <c r="D65" s="24">
        <v>4500177985</v>
      </c>
      <c r="E65" s="51">
        <v>2700954663</v>
      </c>
      <c r="F65" s="24" t="s">
        <v>6885</v>
      </c>
      <c r="G65" s="52" t="s">
        <v>155</v>
      </c>
      <c r="H65" s="51" t="s">
        <v>65</v>
      </c>
      <c r="I65" s="51">
        <v>5000</v>
      </c>
      <c r="J65" s="51">
        <v>0</v>
      </c>
      <c r="K65" s="51">
        <v>2</v>
      </c>
      <c r="L65" s="82">
        <f t="shared" si="31"/>
        <v>2500</v>
      </c>
      <c r="M65" s="85">
        <v>45940</v>
      </c>
      <c r="N65" s="85">
        <v>45936</v>
      </c>
      <c r="O65" s="81" t="s">
        <v>6886</v>
      </c>
      <c r="P65" s="81" t="s">
        <v>6887</v>
      </c>
      <c r="Q65" s="81" t="s">
        <v>103</v>
      </c>
      <c r="R65" s="119"/>
      <c r="S65" s="118">
        <v>45896</v>
      </c>
      <c r="T65" s="118" t="s">
        <v>66</v>
      </c>
      <c r="U65" s="119" t="s">
        <v>1830</v>
      </c>
      <c r="V65" s="118"/>
      <c r="W65" s="121"/>
      <c r="X65" s="121" t="s">
        <v>1911</v>
      </c>
      <c r="Y65" s="151" t="s">
        <v>1912</v>
      </c>
      <c r="Z65" s="154">
        <v>4.2525</v>
      </c>
      <c r="AA65" s="155">
        <f t="shared" si="32"/>
        <v>21262.5</v>
      </c>
      <c r="AB65" s="51"/>
      <c r="AC65" s="52" t="s">
        <v>155</v>
      </c>
      <c r="AD65" s="156" t="s">
        <v>76</v>
      </c>
      <c r="AE65" s="153"/>
      <c r="AF65" s="52"/>
      <c r="AG65" s="52">
        <f>4976+24</f>
        <v>5000</v>
      </c>
      <c r="AH65" s="172">
        <f t="shared" si="35"/>
        <v>0</v>
      </c>
      <c r="AI65" s="52"/>
      <c r="AJ65" s="52"/>
      <c r="AK65" s="25"/>
      <c r="AL65" s="174">
        <f t="shared" si="27"/>
        <v>5000</v>
      </c>
      <c r="AM65" s="25"/>
      <c r="AP65" s="25"/>
      <c r="AQ65" s="25">
        <f t="shared" ref="AQ65:AQ69" si="36">I65</f>
        <v>5000</v>
      </c>
      <c r="AR65" s="25">
        <f t="shared" si="29"/>
        <v>5000</v>
      </c>
      <c r="AT65" s="25">
        <f t="shared" si="30"/>
        <v>5000</v>
      </c>
      <c r="AU65" s="25"/>
      <c r="AY65" s="218"/>
      <c r="AZ65" s="218"/>
      <c r="BC65" s="25"/>
      <c r="BD65" s="218"/>
      <c r="BG65" s="218"/>
      <c r="CF65" s="171"/>
      <c r="CG65" s="171"/>
      <c r="CH65" s="171"/>
      <c r="CI65" s="171"/>
      <c r="CJ65" s="171"/>
      <c r="CN65" s="171"/>
      <c r="CO65" s="171"/>
      <c r="CP65" s="171"/>
      <c r="CQ65" s="171"/>
      <c r="CR65" s="171"/>
      <c r="CS65" s="171"/>
    </row>
    <row r="66" s="24" customFormat="1" ht="31" customHeight="1" spans="1:99">
      <c r="A66" s="49">
        <v>45926</v>
      </c>
      <c r="B66" s="50" t="s">
        <v>122</v>
      </c>
      <c r="C66" s="51" t="s">
        <v>116</v>
      </c>
      <c r="D66" s="24">
        <v>4500180534</v>
      </c>
      <c r="E66" s="51">
        <v>21184019</v>
      </c>
      <c r="F66" s="24" t="s">
        <v>6888</v>
      </c>
      <c r="G66" s="52" t="s">
        <v>3206</v>
      </c>
      <c r="H66" s="52" t="s">
        <v>3207</v>
      </c>
      <c r="I66" s="52">
        <v>12597</v>
      </c>
      <c r="J66" s="52">
        <v>0</v>
      </c>
      <c r="K66" s="52">
        <v>13</v>
      </c>
      <c r="L66" s="79">
        <f t="shared" si="31"/>
        <v>969</v>
      </c>
      <c r="M66" s="80">
        <v>45971</v>
      </c>
      <c r="N66" s="80">
        <v>45967</v>
      </c>
      <c r="O66" s="81"/>
      <c r="P66" s="81"/>
      <c r="Q66" s="52"/>
      <c r="R66" s="119">
        <v>45940</v>
      </c>
      <c r="S66" s="119" t="s">
        <v>96</v>
      </c>
      <c r="T66" s="119" t="s">
        <v>4897</v>
      </c>
      <c r="U66" s="119"/>
      <c r="V66" s="123" t="s">
        <v>3390</v>
      </c>
      <c r="W66" s="121" t="s">
        <v>121</v>
      </c>
      <c r="X66" s="121">
        <v>0.9348</v>
      </c>
      <c r="Y66" s="151">
        <f t="shared" ref="Y66:Y74" si="37">X66*I66</f>
        <v>11775.6756</v>
      </c>
      <c r="Z66" s="52"/>
      <c r="AA66" s="50" t="s">
        <v>3206</v>
      </c>
      <c r="AB66" s="152" t="s">
        <v>76</v>
      </c>
      <c r="AC66" s="152"/>
      <c r="AD66" s="52"/>
      <c r="AE66" s="153"/>
      <c r="AF66" s="52">
        <f t="shared" si="33"/>
        <v>-12597</v>
      </c>
      <c r="AG66" s="170"/>
      <c r="AH66" s="52"/>
      <c r="AI66" s="52"/>
      <c r="AJ66" s="52"/>
      <c r="AK66" s="25">
        <f>I66</f>
        <v>12597</v>
      </c>
      <c r="AP66" s="24">
        <f>I66</f>
        <v>12597</v>
      </c>
      <c r="AR66" s="213">
        <f t="shared" si="29"/>
        <v>12597</v>
      </c>
      <c r="AS66" s="25"/>
      <c r="AW66" s="219">
        <f t="shared" si="34"/>
        <v>524.875</v>
      </c>
      <c r="AX66" s="186"/>
      <c r="BF66" s="24">
        <f>I66/13</f>
        <v>969</v>
      </c>
      <c r="CE66" s="24">
        <f>BJ66+BI66+BH66+BG66+BO66</f>
        <v>0</v>
      </c>
      <c r="CF66" s="24">
        <f>BU66+BV66+BW66+BX66+BY66+CA66+BZ66</f>
        <v>0</v>
      </c>
      <c r="CG66" s="24">
        <f>BS66+BT66</f>
        <v>0</v>
      </c>
      <c r="CH66" s="171"/>
      <c r="CI66" s="171"/>
      <c r="CJ66" s="171"/>
      <c r="CK66" s="171"/>
      <c r="CL66" s="171"/>
      <c r="CP66" s="171"/>
      <c r="CQ66" s="171"/>
      <c r="CR66" s="171"/>
      <c r="CS66" s="171"/>
      <c r="CT66" s="171"/>
      <c r="CU66" s="171"/>
    </row>
    <row r="67" s="24" customFormat="1" ht="31" customHeight="1" spans="1:100">
      <c r="A67" s="49">
        <v>45946</v>
      </c>
      <c r="B67" s="50" t="s">
        <v>220</v>
      </c>
      <c r="C67" s="51" t="s">
        <v>90</v>
      </c>
      <c r="D67" s="24">
        <v>4500182103</v>
      </c>
      <c r="E67" s="51" t="s">
        <v>6889</v>
      </c>
      <c r="F67" s="24" t="s">
        <v>6890</v>
      </c>
      <c r="G67" s="52" t="s">
        <v>3198</v>
      </c>
      <c r="H67" s="52" t="s">
        <v>3303</v>
      </c>
      <c r="I67" s="52">
        <v>26500</v>
      </c>
      <c r="J67" s="52">
        <v>0</v>
      </c>
      <c r="K67" s="52">
        <v>25</v>
      </c>
      <c r="L67" s="79">
        <f t="shared" si="31"/>
        <v>1060</v>
      </c>
      <c r="M67" s="80">
        <v>45992</v>
      </c>
      <c r="N67" s="80">
        <f>M67-4</f>
        <v>45988</v>
      </c>
      <c r="O67" s="81"/>
      <c r="P67" s="81"/>
      <c r="Q67" s="52"/>
      <c r="R67" s="119" t="s">
        <v>403</v>
      </c>
      <c r="S67" s="119" t="s">
        <v>96</v>
      </c>
      <c r="T67" s="119" t="s">
        <v>6891</v>
      </c>
      <c r="U67" s="119"/>
      <c r="V67" s="123" t="s">
        <v>6892</v>
      </c>
      <c r="W67" s="121" t="s">
        <v>226</v>
      </c>
      <c r="X67" s="124">
        <v>0.5488</v>
      </c>
      <c r="Y67" s="151">
        <f t="shared" si="37"/>
        <v>14543.2</v>
      </c>
      <c r="Z67" s="52"/>
      <c r="AA67" s="52" t="s">
        <v>3198</v>
      </c>
      <c r="AB67" s="152" t="s">
        <v>76</v>
      </c>
      <c r="AC67" s="152"/>
      <c r="AD67" s="52"/>
      <c r="AE67" s="153"/>
      <c r="AF67" s="52">
        <f t="shared" si="33"/>
        <v>-26500</v>
      </c>
      <c r="AG67" s="170"/>
      <c r="AH67" s="52"/>
      <c r="AI67" s="52"/>
      <c r="AJ67" s="52">
        <f t="shared" ref="AJ67:AJ80" si="38">I67</f>
        <v>26500</v>
      </c>
      <c r="AK67" s="25"/>
      <c r="AL67" s="24">
        <f t="shared" ref="AL67:AL74" si="39">I67</f>
        <v>26500</v>
      </c>
      <c r="AQ67" s="24">
        <f t="shared" si="36"/>
        <v>26500</v>
      </c>
      <c r="AR67" s="25"/>
      <c r="AS67" s="25"/>
      <c r="AW67" s="191">
        <f t="shared" si="34"/>
        <v>1104.16666666667</v>
      </c>
      <c r="AX67" s="186"/>
      <c r="BH67" s="24">
        <f>I67/25</f>
        <v>1060</v>
      </c>
      <c r="CF67" s="24">
        <f>BK67+BJ67+BI67+BH67+BP67</f>
        <v>1060</v>
      </c>
      <c r="CG67" s="24">
        <f>BV67+BW67+BX67+BY67+BZ67+CB67+CA67</f>
        <v>0</v>
      </c>
      <c r="CH67" s="24">
        <f>BT67+BU67</f>
        <v>0</v>
      </c>
      <c r="CI67" s="171"/>
      <c r="CJ67" s="171"/>
      <c r="CK67" s="171"/>
      <c r="CL67" s="171"/>
      <c r="CM67" s="171"/>
      <c r="CQ67" s="171"/>
      <c r="CR67" s="171"/>
      <c r="CS67" s="171"/>
      <c r="CT67" s="171"/>
      <c r="CU67" s="171"/>
      <c r="CV67" s="171"/>
    </row>
    <row r="68" s="27" customFormat="1" ht="34" customHeight="1" spans="1:97">
      <c r="A68" s="54">
        <v>45946</v>
      </c>
      <c r="B68" s="50" t="s">
        <v>220</v>
      </c>
      <c r="C68" s="51" t="s">
        <v>90</v>
      </c>
      <c r="D68" s="24">
        <v>4500182103</v>
      </c>
      <c r="E68" s="51" t="s">
        <v>6889</v>
      </c>
      <c r="F68" s="24" t="s">
        <v>6893</v>
      </c>
      <c r="G68" s="52" t="s">
        <v>223</v>
      </c>
      <c r="H68" s="51" t="s">
        <v>224</v>
      </c>
      <c r="I68" s="51">
        <v>10516</v>
      </c>
      <c r="J68" s="51">
        <v>0</v>
      </c>
      <c r="K68" s="51">
        <v>4</v>
      </c>
      <c r="L68" s="82">
        <f t="shared" si="31"/>
        <v>2629</v>
      </c>
      <c r="M68" s="85">
        <v>45992</v>
      </c>
      <c r="N68" s="85">
        <f>M68-4</f>
        <v>45988</v>
      </c>
      <c r="O68" s="81"/>
      <c r="P68" s="81"/>
      <c r="Q68" s="52"/>
      <c r="R68" s="204"/>
      <c r="S68" s="122" t="s">
        <v>403</v>
      </c>
      <c r="T68" s="122" t="s">
        <v>66</v>
      </c>
      <c r="U68" s="122" t="s">
        <v>403</v>
      </c>
      <c r="V68" s="122" t="s">
        <v>66</v>
      </c>
      <c r="W68" s="121"/>
      <c r="X68" s="121" t="s">
        <v>6894</v>
      </c>
      <c r="Y68" s="151" t="s">
        <v>226</v>
      </c>
      <c r="Z68" s="154">
        <v>2.7832</v>
      </c>
      <c r="AA68" s="155">
        <f>Z68*I68</f>
        <v>29268.1312</v>
      </c>
      <c r="AB68" s="52"/>
      <c r="AC68" s="51" t="s">
        <v>223</v>
      </c>
      <c r="AD68" s="51" t="s">
        <v>76</v>
      </c>
      <c r="AE68" s="52"/>
      <c r="AF68" s="52"/>
      <c r="AG68" s="52"/>
      <c r="AH68" s="52">
        <f t="shared" si="35"/>
        <v>-10516</v>
      </c>
      <c r="AI68" s="52"/>
      <c r="AJ68" s="52"/>
      <c r="AK68" s="25"/>
      <c r="AL68" s="25"/>
      <c r="AM68" s="24"/>
      <c r="AN68" s="25">
        <f>I68</f>
        <v>10516</v>
      </c>
      <c r="AO68" s="24"/>
      <c r="AP68" s="25"/>
      <c r="AQ68" s="25"/>
      <c r="AR68" s="25"/>
      <c r="AS68" s="25"/>
      <c r="AT68" s="25"/>
      <c r="AU68" s="186"/>
      <c r="AV68" s="216"/>
      <c r="AW68" s="24"/>
      <c r="AX68" s="24"/>
      <c r="AY68" s="24"/>
      <c r="AZ68" s="25"/>
      <c r="BA68" s="25"/>
      <c r="BB68" s="24">
        <f>I68</f>
        <v>10516</v>
      </c>
      <c r="BC68" s="24">
        <f>I68</f>
        <v>10516</v>
      </c>
      <c r="BD68" s="25">
        <f>I68/4</f>
        <v>2629</v>
      </c>
      <c r="BE68" s="25"/>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171"/>
      <c r="CG68" s="171"/>
      <c r="CH68" s="171"/>
      <c r="CI68" s="171"/>
      <c r="CJ68" s="171"/>
      <c r="CK68" s="24"/>
      <c r="CL68" s="24"/>
      <c r="CM68" s="24"/>
      <c r="CN68" s="171"/>
      <c r="CO68" s="171"/>
      <c r="CP68" s="171"/>
      <c r="CQ68" s="171"/>
      <c r="CR68" s="171"/>
      <c r="CS68" s="171"/>
    </row>
    <row r="69" s="27" customFormat="1" ht="31" customHeight="1" spans="1:97">
      <c r="A69" s="54">
        <v>45965</v>
      </c>
      <c r="B69" s="50" t="s">
        <v>2258</v>
      </c>
      <c r="C69" s="51" t="s">
        <v>699</v>
      </c>
      <c r="D69" s="24">
        <v>4500184399</v>
      </c>
      <c r="E69" s="51"/>
      <c r="F69" s="24" t="s">
        <v>6895</v>
      </c>
      <c r="G69" s="52" t="s">
        <v>64</v>
      </c>
      <c r="H69" s="51" t="s">
        <v>65</v>
      </c>
      <c r="I69" s="51">
        <v>72</v>
      </c>
      <c r="J69" s="51">
        <v>0</v>
      </c>
      <c r="K69" s="51">
        <v>12</v>
      </c>
      <c r="L69" s="82">
        <f t="shared" si="31"/>
        <v>6</v>
      </c>
      <c r="M69" s="85">
        <v>46013</v>
      </c>
      <c r="N69" s="85">
        <v>46009</v>
      </c>
      <c r="O69" s="81"/>
      <c r="P69" s="81"/>
      <c r="Q69" s="52"/>
      <c r="R69" s="204"/>
      <c r="S69" s="204" t="s">
        <v>403</v>
      </c>
      <c r="T69" s="122" t="s">
        <v>66</v>
      </c>
      <c r="U69" s="122" t="s">
        <v>2260</v>
      </c>
      <c r="V69" s="121"/>
      <c r="W69" s="121"/>
      <c r="X69" s="121" t="s">
        <v>2261</v>
      </c>
      <c r="Y69" s="151" t="s">
        <v>304</v>
      </c>
      <c r="Z69" s="154">
        <v>4.1623</v>
      </c>
      <c r="AA69" s="155">
        <f>Z69*I69</f>
        <v>299.6856</v>
      </c>
      <c r="AB69" s="52"/>
      <c r="AC69" s="51" t="s">
        <v>165</v>
      </c>
      <c r="AD69" s="51" t="s">
        <v>76</v>
      </c>
      <c r="AE69" s="52"/>
      <c r="AF69" s="52"/>
      <c r="AG69" s="52"/>
      <c r="AH69" s="212">
        <f t="shared" si="35"/>
        <v>-72</v>
      </c>
      <c r="AI69" s="52"/>
      <c r="AJ69" s="52"/>
      <c r="AK69" s="25"/>
      <c r="AL69" s="25">
        <f t="shared" si="39"/>
        <v>72</v>
      </c>
      <c r="AM69" s="24"/>
      <c r="AN69" s="25"/>
      <c r="AO69" s="24"/>
      <c r="AP69" s="25"/>
      <c r="AQ69" s="25">
        <f t="shared" si="36"/>
        <v>72</v>
      </c>
      <c r="AR69" s="25">
        <f>I69</f>
        <v>72</v>
      </c>
      <c r="AS69" s="25"/>
      <c r="AT69" s="25">
        <f>I69</f>
        <v>72</v>
      </c>
      <c r="AU69" s="186"/>
      <c r="AV69" s="216"/>
      <c r="AW69" s="24"/>
      <c r="AX69" s="24"/>
      <c r="AY69" s="24"/>
      <c r="AZ69" s="25"/>
      <c r="BA69" s="25"/>
      <c r="BB69" s="24"/>
      <c r="BC69" s="24"/>
      <c r="BD69" s="25"/>
      <c r="BE69" s="25"/>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171"/>
      <c r="CG69" s="171"/>
      <c r="CH69" s="171"/>
      <c r="CI69" s="171"/>
      <c r="CJ69" s="171"/>
      <c r="CK69" s="24"/>
      <c r="CL69" s="24"/>
      <c r="CM69" s="24"/>
      <c r="CN69" s="171"/>
      <c r="CO69" s="171"/>
      <c r="CP69" s="171"/>
      <c r="CQ69" s="171"/>
      <c r="CR69" s="171"/>
      <c r="CS69" s="171"/>
    </row>
    <row r="70" s="24" customFormat="1" ht="31" customHeight="1" spans="1:100">
      <c r="A70" s="49">
        <v>45965</v>
      </c>
      <c r="B70" s="50" t="s">
        <v>2258</v>
      </c>
      <c r="C70" s="51" t="s">
        <v>699</v>
      </c>
      <c r="D70" s="24">
        <v>4500184399</v>
      </c>
      <c r="E70" s="51"/>
      <c r="F70" s="24" t="s">
        <v>6896</v>
      </c>
      <c r="G70" s="52" t="s">
        <v>3378</v>
      </c>
      <c r="H70" s="52" t="s">
        <v>3379</v>
      </c>
      <c r="I70" s="52">
        <v>300</v>
      </c>
      <c r="J70" s="52">
        <v>0</v>
      </c>
      <c r="K70" s="52">
        <v>50</v>
      </c>
      <c r="L70" s="79">
        <f t="shared" si="31"/>
        <v>6</v>
      </c>
      <c r="M70" s="80">
        <v>46009</v>
      </c>
      <c r="N70" s="80">
        <v>46006</v>
      </c>
      <c r="O70" s="81"/>
      <c r="P70" s="81"/>
      <c r="Q70" s="52"/>
      <c r="R70" s="119" t="s">
        <v>403</v>
      </c>
      <c r="S70" s="119" t="s">
        <v>66</v>
      </c>
      <c r="T70" s="119" t="s">
        <v>3381</v>
      </c>
      <c r="U70" s="119"/>
      <c r="V70" s="123" t="s">
        <v>5407</v>
      </c>
      <c r="W70" s="121" t="s">
        <v>304</v>
      </c>
      <c r="X70" s="121">
        <v>0.9292</v>
      </c>
      <c r="Y70" s="151">
        <v>464.6</v>
      </c>
      <c r="Z70" s="52"/>
      <c r="AA70" s="52" t="s">
        <v>3378</v>
      </c>
      <c r="AB70" s="152" t="s">
        <v>76</v>
      </c>
      <c r="AC70" s="152"/>
      <c r="AD70" s="50"/>
      <c r="AE70" s="153"/>
      <c r="AF70" s="52">
        <f t="shared" ref="AF70:AF80" si="40">AE70-I70</f>
        <v>-300</v>
      </c>
      <c r="AG70" s="170"/>
      <c r="AH70" s="52"/>
      <c r="AI70" s="52"/>
      <c r="AJ70" s="52"/>
      <c r="AK70" s="25">
        <v>500</v>
      </c>
      <c r="AR70" s="25"/>
      <c r="AW70" s="191">
        <v>41.6666666666667</v>
      </c>
      <c r="AX70" s="186"/>
      <c r="BN70" s="24">
        <f>I70</f>
        <v>300</v>
      </c>
      <c r="BO70" s="24">
        <v>500</v>
      </c>
      <c r="BP70" s="24">
        <v>20</v>
      </c>
      <c r="CF70" s="24">
        <v>20</v>
      </c>
      <c r="CG70" s="24">
        <v>0</v>
      </c>
      <c r="CH70" s="24">
        <v>0</v>
      </c>
      <c r="CI70" s="171"/>
      <c r="CJ70" s="171"/>
      <c r="CK70" s="171"/>
      <c r="CL70" s="171"/>
      <c r="CM70" s="171"/>
      <c r="CQ70" s="171"/>
      <c r="CR70" s="171"/>
      <c r="CS70" s="171"/>
      <c r="CT70" s="171"/>
      <c r="CU70" s="171"/>
      <c r="CV70" s="171"/>
    </row>
    <row r="71" s="24" customFormat="1" ht="31" customHeight="1" spans="1:101">
      <c r="A71" s="49">
        <v>45965</v>
      </c>
      <c r="B71" s="50" t="s">
        <v>128</v>
      </c>
      <c r="C71" s="51" t="s">
        <v>90</v>
      </c>
      <c r="D71" s="24">
        <v>4500184391</v>
      </c>
      <c r="E71" s="51" t="s">
        <v>6897</v>
      </c>
      <c r="F71" s="24" t="s">
        <v>6898</v>
      </c>
      <c r="G71" s="52" t="s">
        <v>3180</v>
      </c>
      <c r="H71" s="52" t="s">
        <v>3181</v>
      </c>
      <c r="I71" s="52">
        <v>25920</v>
      </c>
      <c r="J71" s="52">
        <v>0</v>
      </c>
      <c r="K71" s="52">
        <v>16</v>
      </c>
      <c r="L71" s="79">
        <f t="shared" si="31"/>
        <v>1620</v>
      </c>
      <c r="M71" s="80">
        <v>46013</v>
      </c>
      <c r="N71" s="80">
        <v>46009</v>
      </c>
      <c r="O71" s="81"/>
      <c r="P71" s="81"/>
      <c r="Q71" s="52"/>
      <c r="R71" s="119" t="s">
        <v>4194</v>
      </c>
      <c r="S71" s="119" t="s">
        <v>66</v>
      </c>
      <c r="T71" s="119" t="s">
        <v>133</v>
      </c>
      <c r="U71" s="119"/>
      <c r="V71" s="123" t="s">
        <v>4195</v>
      </c>
      <c r="W71" s="121" t="s">
        <v>98</v>
      </c>
      <c r="X71" s="121">
        <v>0.5837</v>
      </c>
      <c r="Y71" s="151">
        <f t="shared" si="37"/>
        <v>15129.504</v>
      </c>
      <c r="Z71" s="52"/>
      <c r="AA71" s="52" t="s">
        <v>3180</v>
      </c>
      <c r="AB71" s="152" t="s">
        <v>76</v>
      </c>
      <c r="AC71" s="152"/>
      <c r="AD71" s="50"/>
      <c r="AE71" s="153"/>
      <c r="AF71" s="52">
        <f t="shared" si="40"/>
        <v>-25920</v>
      </c>
      <c r="AG71" s="170"/>
      <c r="AH71" s="52"/>
      <c r="AI71" s="52"/>
      <c r="AJ71" s="52">
        <f t="shared" si="38"/>
        <v>25920</v>
      </c>
      <c r="AK71" s="25"/>
      <c r="AL71" s="24">
        <f t="shared" si="39"/>
        <v>25920</v>
      </c>
      <c r="AQ71" s="24">
        <f t="shared" ref="AQ71:AQ82" si="41">I71</f>
        <v>25920</v>
      </c>
      <c r="AR71" s="25"/>
      <c r="AW71" s="191">
        <f t="shared" ref="AW71:AW80" si="42">I71/24</f>
        <v>1080</v>
      </c>
      <c r="AX71" s="186"/>
      <c r="BK71" s="24">
        <f t="shared" ref="BK71:BK74" si="43">I71/16</f>
        <v>1620</v>
      </c>
      <c r="CG71" s="24">
        <f t="shared" ref="CG71:CG80" si="44">BK71+BJ71+BI71+BH71+BQ71</f>
        <v>1620</v>
      </c>
      <c r="CH71" s="24">
        <f t="shared" ref="CH71:CH80" si="45">BW71+BX71+BY71+BZ71+CA71+CC71+CB71</f>
        <v>0</v>
      </c>
      <c r="CI71" s="24">
        <f t="shared" ref="CI71:CI80" si="46">BU71+BV71</f>
        <v>0</v>
      </c>
      <c r="CJ71" s="171"/>
      <c r="CK71" s="171"/>
      <c r="CL71" s="171"/>
      <c r="CM71" s="171"/>
      <c r="CN71" s="171"/>
      <c r="CR71" s="171"/>
      <c r="CS71" s="171"/>
      <c r="CT71" s="171"/>
      <c r="CU71" s="171"/>
      <c r="CV71" s="171"/>
      <c r="CW71" s="171"/>
    </row>
    <row r="72" s="24" customFormat="1" ht="31" customHeight="1" spans="1:101">
      <c r="A72" s="49">
        <v>45965</v>
      </c>
      <c r="B72" s="50" t="s">
        <v>128</v>
      </c>
      <c r="C72" s="51" t="s">
        <v>90</v>
      </c>
      <c r="D72" s="24">
        <v>4500184391</v>
      </c>
      <c r="E72" s="51" t="s">
        <v>6899</v>
      </c>
      <c r="F72" s="24" t="s">
        <v>6900</v>
      </c>
      <c r="G72" s="52" t="s">
        <v>3180</v>
      </c>
      <c r="H72" s="52" t="s">
        <v>3181</v>
      </c>
      <c r="I72" s="52">
        <v>21120</v>
      </c>
      <c r="J72" s="52">
        <v>0</v>
      </c>
      <c r="K72" s="52">
        <v>16</v>
      </c>
      <c r="L72" s="79">
        <f t="shared" si="31"/>
        <v>1320</v>
      </c>
      <c r="M72" s="80">
        <v>46013</v>
      </c>
      <c r="N72" s="80">
        <v>46009</v>
      </c>
      <c r="O72" s="81"/>
      <c r="P72" s="81"/>
      <c r="Q72" s="52"/>
      <c r="R72" s="119" t="s">
        <v>4194</v>
      </c>
      <c r="S72" s="119" t="s">
        <v>66</v>
      </c>
      <c r="T72" s="119" t="s">
        <v>133</v>
      </c>
      <c r="U72" s="119"/>
      <c r="V72" s="123" t="s">
        <v>4195</v>
      </c>
      <c r="W72" s="121" t="s">
        <v>98</v>
      </c>
      <c r="X72" s="121">
        <v>0.5837</v>
      </c>
      <c r="Y72" s="151">
        <f t="shared" si="37"/>
        <v>12327.744</v>
      </c>
      <c r="Z72" s="52"/>
      <c r="AA72" s="52" t="s">
        <v>3180</v>
      </c>
      <c r="AB72" s="152" t="s">
        <v>76</v>
      </c>
      <c r="AC72" s="152"/>
      <c r="AD72" s="50"/>
      <c r="AE72" s="153"/>
      <c r="AF72" s="52">
        <f t="shared" si="40"/>
        <v>-21120</v>
      </c>
      <c r="AG72" s="170"/>
      <c r="AH72" s="52"/>
      <c r="AI72" s="52"/>
      <c r="AJ72" s="52">
        <f t="shared" si="38"/>
        <v>21120</v>
      </c>
      <c r="AK72" s="25"/>
      <c r="AL72" s="24">
        <f t="shared" si="39"/>
        <v>21120</v>
      </c>
      <c r="AQ72" s="24">
        <f t="shared" si="41"/>
        <v>21120</v>
      </c>
      <c r="AR72" s="25"/>
      <c r="AW72" s="191">
        <f t="shared" si="42"/>
        <v>880</v>
      </c>
      <c r="AX72" s="186"/>
      <c r="BK72" s="24">
        <f t="shared" si="43"/>
        <v>1320</v>
      </c>
      <c r="CG72" s="24">
        <f t="shared" si="44"/>
        <v>1320</v>
      </c>
      <c r="CH72" s="24">
        <f t="shared" si="45"/>
        <v>0</v>
      </c>
      <c r="CI72" s="24">
        <f t="shared" si="46"/>
        <v>0</v>
      </c>
      <c r="CJ72" s="171"/>
      <c r="CK72" s="171"/>
      <c r="CL72" s="171"/>
      <c r="CM72" s="171"/>
      <c r="CN72" s="171"/>
      <c r="CR72" s="171"/>
      <c r="CS72" s="171"/>
      <c r="CT72" s="171"/>
      <c r="CU72" s="171"/>
      <c r="CV72" s="171"/>
      <c r="CW72" s="171"/>
    </row>
    <row r="73" s="24" customFormat="1" ht="31" customHeight="1" spans="1:101">
      <c r="A73" s="49">
        <v>45965</v>
      </c>
      <c r="B73" s="50" t="s">
        <v>128</v>
      </c>
      <c r="C73" s="51" t="s">
        <v>90</v>
      </c>
      <c r="D73" s="24">
        <v>4500184387</v>
      </c>
      <c r="E73" s="51" t="s">
        <v>6901</v>
      </c>
      <c r="F73" s="24" t="s">
        <v>6902</v>
      </c>
      <c r="G73" s="52" t="s">
        <v>3180</v>
      </c>
      <c r="H73" s="52" t="s">
        <v>3181</v>
      </c>
      <c r="I73" s="52">
        <v>74880</v>
      </c>
      <c r="J73" s="52">
        <v>0</v>
      </c>
      <c r="K73" s="52">
        <v>16</v>
      </c>
      <c r="L73" s="79">
        <f t="shared" si="31"/>
        <v>4680</v>
      </c>
      <c r="M73" s="80">
        <v>46003</v>
      </c>
      <c r="N73" s="80">
        <v>45999</v>
      </c>
      <c r="O73" s="81"/>
      <c r="P73" s="81"/>
      <c r="Q73" s="52"/>
      <c r="R73" s="119" t="s">
        <v>4194</v>
      </c>
      <c r="S73" s="119" t="s">
        <v>66</v>
      </c>
      <c r="T73" s="119" t="s">
        <v>133</v>
      </c>
      <c r="U73" s="119"/>
      <c r="V73" s="123" t="s">
        <v>4195</v>
      </c>
      <c r="W73" s="121" t="s">
        <v>98</v>
      </c>
      <c r="X73" s="121">
        <v>0.5783</v>
      </c>
      <c r="Y73" s="151">
        <f t="shared" si="37"/>
        <v>43303.104</v>
      </c>
      <c r="Z73" s="52"/>
      <c r="AA73" s="52" t="s">
        <v>3180</v>
      </c>
      <c r="AB73" s="152" t="s">
        <v>76</v>
      </c>
      <c r="AC73" s="152"/>
      <c r="AD73" s="52"/>
      <c r="AE73" s="153"/>
      <c r="AF73" s="52">
        <f t="shared" si="40"/>
        <v>-74880</v>
      </c>
      <c r="AG73" s="170"/>
      <c r="AH73" s="52"/>
      <c r="AI73" s="52"/>
      <c r="AJ73" s="52">
        <f t="shared" si="38"/>
        <v>74880</v>
      </c>
      <c r="AK73" s="25"/>
      <c r="AL73" s="24">
        <f t="shared" si="39"/>
        <v>74880</v>
      </c>
      <c r="AQ73" s="24">
        <f t="shared" si="41"/>
        <v>74880</v>
      </c>
      <c r="AR73" s="25"/>
      <c r="AW73" s="191">
        <f t="shared" si="42"/>
        <v>3120</v>
      </c>
      <c r="AX73" s="186"/>
      <c r="BK73" s="24">
        <f t="shared" si="43"/>
        <v>4680</v>
      </c>
      <c r="CG73" s="24">
        <f t="shared" si="44"/>
        <v>4680</v>
      </c>
      <c r="CH73" s="24">
        <f t="shared" si="45"/>
        <v>0</v>
      </c>
      <c r="CI73" s="24">
        <f t="shared" si="46"/>
        <v>0</v>
      </c>
      <c r="CJ73" s="171"/>
      <c r="CK73" s="171"/>
      <c r="CL73" s="171"/>
      <c r="CM73" s="171"/>
      <c r="CN73" s="171"/>
      <c r="CR73" s="171"/>
      <c r="CS73" s="171"/>
      <c r="CT73" s="171"/>
      <c r="CU73" s="171"/>
      <c r="CV73" s="171"/>
      <c r="CW73" s="171"/>
    </row>
    <row r="74" s="24" customFormat="1" ht="31" customHeight="1" spans="1:101">
      <c r="A74" s="49">
        <v>45960</v>
      </c>
      <c r="B74" s="50" t="s">
        <v>128</v>
      </c>
      <c r="C74" s="51" t="s">
        <v>90</v>
      </c>
      <c r="D74" s="24">
        <v>4500183718</v>
      </c>
      <c r="E74" s="51" t="s">
        <v>6903</v>
      </c>
      <c r="F74" s="24" t="s">
        <v>6904</v>
      </c>
      <c r="G74" s="52" t="s">
        <v>3180</v>
      </c>
      <c r="H74" s="52" t="s">
        <v>3181</v>
      </c>
      <c r="I74" s="52">
        <v>33600</v>
      </c>
      <c r="J74" s="52">
        <v>0</v>
      </c>
      <c r="K74" s="52">
        <v>16</v>
      </c>
      <c r="L74" s="79">
        <f t="shared" si="31"/>
        <v>2100</v>
      </c>
      <c r="M74" s="80">
        <v>46001</v>
      </c>
      <c r="N74" s="80">
        <v>45997</v>
      </c>
      <c r="O74" s="81"/>
      <c r="P74" s="81"/>
      <c r="Q74" s="52"/>
      <c r="R74" s="119" t="s">
        <v>4194</v>
      </c>
      <c r="S74" s="119" t="s">
        <v>66</v>
      </c>
      <c r="T74" s="119" t="s">
        <v>133</v>
      </c>
      <c r="U74" s="119"/>
      <c r="V74" s="123" t="s">
        <v>4195</v>
      </c>
      <c r="W74" s="121" t="s">
        <v>98</v>
      </c>
      <c r="X74" s="121">
        <v>0.5783</v>
      </c>
      <c r="Y74" s="151">
        <f t="shared" si="37"/>
        <v>19430.88</v>
      </c>
      <c r="Z74" s="52"/>
      <c r="AA74" s="52" t="s">
        <v>3180</v>
      </c>
      <c r="AB74" s="152" t="s">
        <v>76</v>
      </c>
      <c r="AC74" s="152"/>
      <c r="AD74" s="52"/>
      <c r="AE74" s="153"/>
      <c r="AF74" s="52">
        <f t="shared" si="40"/>
        <v>-33600</v>
      </c>
      <c r="AG74" s="170"/>
      <c r="AH74" s="52"/>
      <c r="AI74" s="52"/>
      <c r="AJ74" s="52">
        <f t="shared" si="38"/>
        <v>33600</v>
      </c>
      <c r="AK74" s="25"/>
      <c r="AL74" s="24">
        <f t="shared" si="39"/>
        <v>33600</v>
      </c>
      <c r="AQ74" s="24">
        <f t="shared" si="41"/>
        <v>33600</v>
      </c>
      <c r="AR74" s="25"/>
      <c r="AS74" s="25"/>
      <c r="AW74" s="191">
        <f t="shared" si="42"/>
        <v>1400</v>
      </c>
      <c r="AX74" s="186"/>
      <c r="BK74" s="24">
        <f t="shared" si="43"/>
        <v>2100</v>
      </c>
      <c r="CG74" s="24">
        <f t="shared" si="44"/>
        <v>2100</v>
      </c>
      <c r="CH74" s="24">
        <f t="shared" si="45"/>
        <v>0</v>
      </c>
      <c r="CI74" s="24">
        <f t="shared" si="46"/>
        <v>0</v>
      </c>
      <c r="CJ74" s="171"/>
      <c r="CK74" s="171"/>
      <c r="CL74" s="171"/>
      <c r="CM74" s="171"/>
      <c r="CN74" s="171"/>
      <c r="CR74" s="171"/>
      <c r="CS74" s="171"/>
      <c r="CT74" s="171"/>
      <c r="CU74" s="171"/>
      <c r="CV74" s="171"/>
      <c r="CW74" s="171"/>
    </row>
    <row r="75" s="24" customFormat="1" ht="31" customHeight="1" spans="1:101">
      <c r="A75" s="49">
        <v>45957</v>
      </c>
      <c r="B75" s="50" t="s">
        <v>3526</v>
      </c>
      <c r="C75" s="51" t="s">
        <v>90</v>
      </c>
      <c r="D75" s="24">
        <v>4500183277</v>
      </c>
      <c r="E75" s="51" t="s">
        <v>6905</v>
      </c>
      <c r="F75" s="24" t="s">
        <v>6906</v>
      </c>
      <c r="G75" s="52" t="s">
        <v>3518</v>
      </c>
      <c r="H75" s="52" t="s">
        <v>3519</v>
      </c>
      <c r="I75" s="52">
        <v>9648</v>
      </c>
      <c r="J75" s="52">
        <v>0</v>
      </c>
      <c r="K75" s="52">
        <v>48</v>
      </c>
      <c r="L75" s="79">
        <f t="shared" si="31"/>
        <v>201</v>
      </c>
      <c r="M75" s="80">
        <v>45992</v>
      </c>
      <c r="N75" s="80">
        <v>45988</v>
      </c>
      <c r="O75" s="81" t="s">
        <v>6907</v>
      </c>
      <c r="P75" s="81"/>
      <c r="Q75" s="52"/>
      <c r="R75" s="119" t="s">
        <v>6908</v>
      </c>
      <c r="S75" s="119" t="s">
        <v>66</v>
      </c>
      <c r="T75" s="119" t="s">
        <v>66</v>
      </c>
      <c r="U75" s="119"/>
      <c r="V75" s="123" t="s">
        <v>6909</v>
      </c>
      <c r="W75" s="121" t="s">
        <v>1590</v>
      </c>
      <c r="X75" s="124">
        <v>0.544</v>
      </c>
      <c r="Y75" s="151">
        <f t="shared" ref="Y75:Y80" si="47">I75*X75</f>
        <v>5248.512</v>
      </c>
      <c r="Z75" s="52"/>
      <c r="AA75" s="52" t="s">
        <v>3518</v>
      </c>
      <c r="AB75" s="152" t="s">
        <v>76</v>
      </c>
      <c r="AC75" s="152"/>
      <c r="AD75" s="52"/>
      <c r="AE75" s="153"/>
      <c r="AF75" s="52">
        <f t="shared" si="40"/>
        <v>-9648</v>
      </c>
      <c r="AG75" s="170"/>
      <c r="AH75" s="52"/>
      <c r="AI75" s="52"/>
      <c r="AJ75" s="52">
        <f t="shared" si="38"/>
        <v>9648</v>
      </c>
      <c r="AK75" s="213"/>
      <c r="AQ75" s="25">
        <f t="shared" si="41"/>
        <v>9648</v>
      </c>
      <c r="AR75" s="25"/>
      <c r="AS75" s="25"/>
      <c r="AW75" s="191">
        <f t="shared" si="42"/>
        <v>402</v>
      </c>
      <c r="AX75" s="186">
        <f t="shared" ref="AX75:AX80" si="48">I75</f>
        <v>9648</v>
      </c>
      <c r="CG75" s="24">
        <f t="shared" si="44"/>
        <v>0</v>
      </c>
      <c r="CH75" s="24">
        <f t="shared" si="45"/>
        <v>0</v>
      </c>
      <c r="CI75" s="24">
        <f t="shared" si="46"/>
        <v>0</v>
      </c>
      <c r="CJ75" s="171"/>
      <c r="CK75" s="171"/>
      <c r="CL75" s="171"/>
      <c r="CM75" s="171"/>
      <c r="CN75" s="171"/>
      <c r="CR75" s="171"/>
      <c r="CS75" s="171"/>
      <c r="CT75" s="171"/>
      <c r="CU75" s="171"/>
      <c r="CV75" s="171"/>
      <c r="CW75" s="171"/>
    </row>
    <row r="76" s="24" customFormat="1" ht="31" customHeight="1" spans="1:101">
      <c r="A76" s="49">
        <v>45957</v>
      </c>
      <c r="B76" s="50" t="s">
        <v>3526</v>
      </c>
      <c r="C76" s="51" t="s">
        <v>90</v>
      </c>
      <c r="D76" s="24">
        <v>4500183277</v>
      </c>
      <c r="E76" s="51" t="s">
        <v>6910</v>
      </c>
      <c r="F76" s="24" t="s">
        <v>6911</v>
      </c>
      <c r="G76" s="52" t="s">
        <v>3518</v>
      </c>
      <c r="H76" s="52" t="s">
        <v>3519</v>
      </c>
      <c r="I76" s="52">
        <v>22800</v>
      </c>
      <c r="J76" s="52">
        <v>0</v>
      </c>
      <c r="K76" s="52">
        <v>48</v>
      </c>
      <c r="L76" s="79">
        <f t="shared" si="31"/>
        <v>475</v>
      </c>
      <c r="M76" s="80">
        <v>45992</v>
      </c>
      <c r="N76" s="80">
        <v>45988</v>
      </c>
      <c r="O76" s="81" t="s">
        <v>6907</v>
      </c>
      <c r="P76" s="81"/>
      <c r="Q76" s="52"/>
      <c r="R76" s="119" t="s">
        <v>6908</v>
      </c>
      <c r="S76" s="119" t="s">
        <v>66</v>
      </c>
      <c r="T76" s="119" t="s">
        <v>66</v>
      </c>
      <c r="U76" s="119"/>
      <c r="V76" s="123" t="s">
        <v>6909</v>
      </c>
      <c r="W76" s="121" t="s">
        <v>1590</v>
      </c>
      <c r="X76" s="124">
        <v>0.544</v>
      </c>
      <c r="Y76" s="151">
        <f t="shared" si="47"/>
        <v>12403.2</v>
      </c>
      <c r="Z76" s="52"/>
      <c r="AA76" s="52" t="s">
        <v>3518</v>
      </c>
      <c r="AB76" s="152" t="s">
        <v>76</v>
      </c>
      <c r="AC76" s="152"/>
      <c r="AD76" s="52"/>
      <c r="AE76" s="153"/>
      <c r="AF76" s="52">
        <f t="shared" si="40"/>
        <v>-22800</v>
      </c>
      <c r="AG76" s="170"/>
      <c r="AH76" s="52"/>
      <c r="AI76" s="52"/>
      <c r="AJ76" s="52">
        <f t="shared" si="38"/>
        <v>22800</v>
      </c>
      <c r="AK76" s="213"/>
      <c r="AQ76" s="25">
        <f t="shared" si="41"/>
        <v>22800</v>
      </c>
      <c r="AR76" s="25"/>
      <c r="AS76" s="25"/>
      <c r="AW76" s="191">
        <f t="shared" si="42"/>
        <v>950</v>
      </c>
      <c r="AX76" s="186">
        <f t="shared" si="48"/>
        <v>22800</v>
      </c>
      <c r="CG76" s="24">
        <f t="shared" si="44"/>
        <v>0</v>
      </c>
      <c r="CH76" s="24">
        <f t="shared" si="45"/>
        <v>0</v>
      </c>
      <c r="CI76" s="24">
        <f t="shared" si="46"/>
        <v>0</v>
      </c>
      <c r="CJ76" s="171"/>
      <c r="CK76" s="171"/>
      <c r="CL76" s="171"/>
      <c r="CM76" s="171"/>
      <c r="CN76" s="171"/>
      <c r="CR76" s="171"/>
      <c r="CS76" s="171"/>
      <c r="CT76" s="171"/>
      <c r="CU76" s="171"/>
      <c r="CV76" s="171"/>
      <c r="CW76" s="171"/>
    </row>
    <row r="77" s="24" customFormat="1" ht="31" customHeight="1" spans="1:101">
      <c r="A77" s="49">
        <v>45944</v>
      </c>
      <c r="B77" s="50" t="s">
        <v>3526</v>
      </c>
      <c r="C77" s="51" t="s">
        <v>90</v>
      </c>
      <c r="D77" s="24">
        <v>4500181793</v>
      </c>
      <c r="E77" s="51" t="s">
        <v>6912</v>
      </c>
      <c r="F77" s="24" t="s">
        <v>6913</v>
      </c>
      <c r="G77" s="52" t="s">
        <v>3518</v>
      </c>
      <c r="H77" s="52" t="s">
        <v>3519</v>
      </c>
      <c r="I77" s="52">
        <v>10368</v>
      </c>
      <c r="J77" s="52">
        <v>0</v>
      </c>
      <c r="K77" s="52">
        <v>48</v>
      </c>
      <c r="L77" s="79">
        <f t="shared" si="31"/>
        <v>216</v>
      </c>
      <c r="M77" s="80">
        <v>45992</v>
      </c>
      <c r="N77" s="80">
        <f t="shared" ref="N77:N80" si="49">M77-4</f>
        <v>45988</v>
      </c>
      <c r="O77" s="81" t="s">
        <v>6914</v>
      </c>
      <c r="P77" s="81"/>
      <c r="Q77" s="52"/>
      <c r="R77" s="119" t="s">
        <v>6908</v>
      </c>
      <c r="S77" s="119" t="s">
        <v>66</v>
      </c>
      <c r="T77" s="119" t="s">
        <v>66</v>
      </c>
      <c r="U77" s="119"/>
      <c r="V77" s="205" t="s">
        <v>6915</v>
      </c>
      <c r="W77" s="121" t="s">
        <v>1590</v>
      </c>
      <c r="X77" s="124">
        <v>0.5847</v>
      </c>
      <c r="Y77" s="151">
        <f t="shared" si="47"/>
        <v>6062.1696</v>
      </c>
      <c r="Z77" s="52"/>
      <c r="AA77" s="52" t="s">
        <v>3518</v>
      </c>
      <c r="AB77" s="152" t="s">
        <v>76</v>
      </c>
      <c r="AC77" s="152"/>
      <c r="AD77" s="52"/>
      <c r="AE77" s="153"/>
      <c r="AF77" s="52">
        <f t="shared" si="40"/>
        <v>-10368</v>
      </c>
      <c r="AG77" s="170"/>
      <c r="AH77" s="52"/>
      <c r="AI77" s="52"/>
      <c r="AJ77" s="52">
        <f t="shared" si="38"/>
        <v>10368</v>
      </c>
      <c r="AK77" s="25"/>
      <c r="AQ77" s="25">
        <f t="shared" si="41"/>
        <v>10368</v>
      </c>
      <c r="AR77" s="25"/>
      <c r="AS77" s="25"/>
      <c r="AW77" s="191">
        <f t="shared" si="42"/>
        <v>432</v>
      </c>
      <c r="AX77" s="186">
        <f t="shared" si="48"/>
        <v>10368</v>
      </c>
      <c r="CG77" s="24">
        <f t="shared" si="44"/>
        <v>0</v>
      </c>
      <c r="CH77" s="24">
        <f t="shared" si="45"/>
        <v>0</v>
      </c>
      <c r="CI77" s="24">
        <f t="shared" si="46"/>
        <v>0</v>
      </c>
      <c r="CJ77" s="171"/>
      <c r="CK77" s="171"/>
      <c r="CL77" s="171"/>
      <c r="CM77" s="171"/>
      <c r="CN77" s="171"/>
      <c r="CR77" s="171"/>
      <c r="CS77" s="171"/>
      <c r="CT77" s="171"/>
      <c r="CU77" s="171"/>
      <c r="CV77" s="171"/>
      <c r="CW77" s="171"/>
    </row>
    <row r="78" s="24" customFormat="1" ht="31" customHeight="1" spans="1:101">
      <c r="A78" s="49">
        <v>45944</v>
      </c>
      <c r="B78" s="50" t="s">
        <v>3526</v>
      </c>
      <c r="C78" s="51" t="s">
        <v>90</v>
      </c>
      <c r="D78" s="24">
        <v>4500181793</v>
      </c>
      <c r="E78" s="51" t="s">
        <v>6916</v>
      </c>
      <c r="F78" s="24" t="s">
        <v>6917</v>
      </c>
      <c r="G78" s="52" t="s">
        <v>3518</v>
      </c>
      <c r="H78" s="52" t="s">
        <v>3519</v>
      </c>
      <c r="I78" s="52">
        <v>576</v>
      </c>
      <c r="J78" s="52">
        <v>0</v>
      </c>
      <c r="K78" s="52">
        <v>48</v>
      </c>
      <c r="L78" s="79">
        <f t="shared" si="31"/>
        <v>12</v>
      </c>
      <c r="M78" s="80">
        <v>45992</v>
      </c>
      <c r="N78" s="80">
        <f t="shared" si="49"/>
        <v>45988</v>
      </c>
      <c r="O78" s="81" t="s">
        <v>6914</v>
      </c>
      <c r="P78" s="81"/>
      <c r="Q78" s="52"/>
      <c r="R78" s="119" t="s">
        <v>6908</v>
      </c>
      <c r="S78" s="119" t="s">
        <v>66</v>
      </c>
      <c r="T78" s="119" t="s">
        <v>66</v>
      </c>
      <c r="U78" s="119"/>
      <c r="V78" s="205" t="s">
        <v>6915</v>
      </c>
      <c r="W78" s="121" t="s">
        <v>1590</v>
      </c>
      <c r="X78" s="124">
        <v>0.5847</v>
      </c>
      <c r="Y78" s="151">
        <f t="shared" si="47"/>
        <v>336.7872</v>
      </c>
      <c r="Z78" s="52"/>
      <c r="AA78" s="52" t="s">
        <v>3518</v>
      </c>
      <c r="AB78" s="152" t="s">
        <v>76</v>
      </c>
      <c r="AC78" s="152"/>
      <c r="AD78" s="52"/>
      <c r="AE78" s="153"/>
      <c r="AF78" s="52">
        <f t="shared" si="40"/>
        <v>-576</v>
      </c>
      <c r="AG78" s="170"/>
      <c r="AH78" s="52"/>
      <c r="AI78" s="52"/>
      <c r="AJ78" s="52">
        <f t="shared" si="38"/>
        <v>576</v>
      </c>
      <c r="AK78" s="25"/>
      <c r="AQ78" s="25">
        <f t="shared" si="41"/>
        <v>576</v>
      </c>
      <c r="AR78" s="25"/>
      <c r="AS78" s="25"/>
      <c r="AW78" s="191">
        <f t="shared" si="42"/>
        <v>24</v>
      </c>
      <c r="AX78" s="186">
        <f t="shared" si="48"/>
        <v>576</v>
      </c>
      <c r="CG78" s="24">
        <f t="shared" si="44"/>
        <v>0</v>
      </c>
      <c r="CH78" s="24">
        <f t="shared" si="45"/>
        <v>0</v>
      </c>
      <c r="CI78" s="24">
        <f t="shared" si="46"/>
        <v>0</v>
      </c>
      <c r="CJ78" s="171"/>
      <c r="CK78" s="171"/>
      <c r="CL78" s="171"/>
      <c r="CM78" s="171"/>
      <c r="CN78" s="171"/>
      <c r="CR78" s="171"/>
      <c r="CS78" s="171"/>
      <c r="CT78" s="171"/>
      <c r="CU78" s="171"/>
      <c r="CV78" s="171"/>
      <c r="CW78" s="171"/>
    </row>
    <row r="79" s="24" customFormat="1" ht="31" customHeight="1" spans="1:101">
      <c r="A79" s="49">
        <v>45951</v>
      </c>
      <c r="B79" s="50" t="s">
        <v>3526</v>
      </c>
      <c r="C79" s="51" t="s">
        <v>90</v>
      </c>
      <c r="D79" s="24">
        <v>4500182514</v>
      </c>
      <c r="E79" s="51" t="s">
        <v>6918</v>
      </c>
      <c r="F79" s="24" t="s">
        <v>6919</v>
      </c>
      <c r="G79" s="52" t="s">
        <v>3518</v>
      </c>
      <c r="H79" s="52" t="s">
        <v>3519</v>
      </c>
      <c r="I79" s="52">
        <v>23904</v>
      </c>
      <c r="J79" s="52">
        <v>0</v>
      </c>
      <c r="K79" s="52">
        <v>48</v>
      </c>
      <c r="L79" s="79">
        <f t="shared" si="31"/>
        <v>498</v>
      </c>
      <c r="M79" s="80">
        <v>45995</v>
      </c>
      <c r="N79" s="80">
        <v>45992</v>
      </c>
      <c r="O79" s="81" t="s">
        <v>6914</v>
      </c>
      <c r="P79" s="81"/>
      <c r="Q79" s="52"/>
      <c r="R79" s="119" t="s">
        <v>6908</v>
      </c>
      <c r="S79" s="119" t="s">
        <v>66</v>
      </c>
      <c r="T79" s="119" t="s">
        <v>66</v>
      </c>
      <c r="U79" s="119"/>
      <c r="V79" s="123" t="s">
        <v>6920</v>
      </c>
      <c r="W79" s="121" t="s">
        <v>1590</v>
      </c>
      <c r="X79" s="124">
        <v>0.5804</v>
      </c>
      <c r="Y79" s="151">
        <f t="shared" si="47"/>
        <v>13873.8816</v>
      </c>
      <c r="Z79" s="52"/>
      <c r="AA79" s="52" t="s">
        <v>3518</v>
      </c>
      <c r="AB79" s="152" t="s">
        <v>76</v>
      </c>
      <c r="AC79" s="152"/>
      <c r="AD79" s="52"/>
      <c r="AE79" s="153"/>
      <c r="AF79" s="52">
        <f t="shared" si="40"/>
        <v>-23904</v>
      </c>
      <c r="AG79" s="170"/>
      <c r="AH79" s="52"/>
      <c r="AI79" s="52"/>
      <c r="AJ79" s="52">
        <f t="shared" si="38"/>
        <v>23904</v>
      </c>
      <c r="AK79" s="25"/>
      <c r="AQ79" s="25">
        <f t="shared" si="41"/>
        <v>23904</v>
      </c>
      <c r="AR79" s="25"/>
      <c r="AS79" s="25"/>
      <c r="AW79" s="191">
        <f t="shared" si="42"/>
        <v>996</v>
      </c>
      <c r="AX79" s="186">
        <f t="shared" si="48"/>
        <v>23904</v>
      </c>
      <c r="CG79" s="24">
        <f t="shared" si="44"/>
        <v>0</v>
      </c>
      <c r="CH79" s="24">
        <f t="shared" si="45"/>
        <v>0</v>
      </c>
      <c r="CI79" s="24">
        <f t="shared" si="46"/>
        <v>0</v>
      </c>
      <c r="CJ79" s="171"/>
      <c r="CK79" s="171"/>
      <c r="CL79" s="171"/>
      <c r="CM79" s="171"/>
      <c r="CN79" s="171"/>
      <c r="CR79" s="171"/>
      <c r="CS79" s="171"/>
      <c r="CT79" s="171"/>
      <c r="CU79" s="171"/>
      <c r="CV79" s="171"/>
      <c r="CW79" s="171"/>
    </row>
    <row r="80" s="24" customFormat="1" ht="31" customHeight="1" spans="1:101">
      <c r="A80" s="49">
        <v>45944</v>
      </c>
      <c r="B80" s="50" t="s">
        <v>3526</v>
      </c>
      <c r="C80" s="51" t="s">
        <v>90</v>
      </c>
      <c r="D80" s="24">
        <v>4500181787</v>
      </c>
      <c r="E80" s="51" t="s">
        <v>6921</v>
      </c>
      <c r="F80" s="24" t="s">
        <v>6922</v>
      </c>
      <c r="G80" s="52" t="s">
        <v>3518</v>
      </c>
      <c r="H80" s="52" t="s">
        <v>3519</v>
      </c>
      <c r="I80" s="52">
        <v>30096</v>
      </c>
      <c r="J80" s="197">
        <v>8</v>
      </c>
      <c r="K80" s="52">
        <v>48</v>
      </c>
      <c r="L80" s="79">
        <f t="shared" si="31"/>
        <v>627</v>
      </c>
      <c r="M80" s="198">
        <v>45992</v>
      </c>
      <c r="N80" s="198">
        <f t="shared" si="49"/>
        <v>45988</v>
      </c>
      <c r="O80" s="81" t="s">
        <v>6914</v>
      </c>
      <c r="P80" s="81"/>
      <c r="Q80" s="52"/>
      <c r="R80" s="119" t="s">
        <v>6908</v>
      </c>
      <c r="S80" s="119" t="s">
        <v>66</v>
      </c>
      <c r="T80" s="119" t="s">
        <v>66</v>
      </c>
      <c r="U80" s="119"/>
      <c r="V80" s="205" t="s">
        <v>6923</v>
      </c>
      <c r="W80" s="121" t="s">
        <v>1590</v>
      </c>
      <c r="X80" s="124">
        <v>0.5804</v>
      </c>
      <c r="Y80" s="151">
        <f t="shared" si="47"/>
        <v>17467.7184</v>
      </c>
      <c r="Z80" s="52"/>
      <c r="AA80" s="52" t="s">
        <v>3518</v>
      </c>
      <c r="AB80" s="152" t="s">
        <v>76</v>
      </c>
      <c r="AC80" s="152"/>
      <c r="AD80" s="52"/>
      <c r="AE80" s="153"/>
      <c r="AF80" s="52">
        <f t="shared" si="40"/>
        <v>-30096</v>
      </c>
      <c r="AG80" s="170"/>
      <c r="AH80" s="52"/>
      <c r="AI80" s="52"/>
      <c r="AJ80" s="52">
        <f t="shared" si="38"/>
        <v>30096</v>
      </c>
      <c r="AK80" s="25"/>
      <c r="AQ80" s="25">
        <f t="shared" si="41"/>
        <v>30096</v>
      </c>
      <c r="AR80" s="25"/>
      <c r="AS80" s="25"/>
      <c r="AW80" s="191">
        <f t="shared" si="42"/>
        <v>1254</v>
      </c>
      <c r="AX80" s="186">
        <f t="shared" si="48"/>
        <v>30096</v>
      </c>
      <c r="CG80" s="24">
        <f t="shared" si="44"/>
        <v>0</v>
      </c>
      <c r="CH80" s="24">
        <f t="shared" si="45"/>
        <v>0</v>
      </c>
      <c r="CI80" s="24">
        <f t="shared" si="46"/>
        <v>0</v>
      </c>
      <c r="CJ80" s="171"/>
      <c r="CK80" s="171"/>
      <c r="CL80" s="171"/>
      <c r="CM80" s="171"/>
      <c r="CN80" s="171"/>
      <c r="CR80" s="171"/>
      <c r="CS80" s="171"/>
      <c r="CT80" s="171"/>
      <c r="CU80" s="171"/>
      <c r="CV80" s="171"/>
      <c r="CW80" s="171"/>
    </row>
    <row r="81" s="24" customFormat="1" ht="31" customHeight="1" spans="1:102">
      <c r="A81" s="49">
        <v>45971</v>
      </c>
      <c r="B81" s="50" t="s">
        <v>1514</v>
      </c>
      <c r="C81" s="51" t="s">
        <v>645</v>
      </c>
      <c r="D81" s="24">
        <v>4500185103</v>
      </c>
      <c r="E81" s="51" t="s">
        <v>6924</v>
      </c>
      <c r="F81" s="24" t="s">
        <v>6925</v>
      </c>
      <c r="G81" s="52" t="s">
        <v>3158</v>
      </c>
      <c r="H81" s="52" t="s">
        <v>3159</v>
      </c>
      <c r="I81" s="52">
        <v>780</v>
      </c>
      <c r="J81" s="52">
        <v>0</v>
      </c>
      <c r="K81" s="52">
        <v>52</v>
      </c>
      <c r="L81" s="79">
        <f t="shared" si="31"/>
        <v>15</v>
      </c>
      <c r="M81" s="198">
        <v>46048</v>
      </c>
      <c r="N81" s="198">
        <v>46044</v>
      </c>
      <c r="O81" s="81"/>
      <c r="P81" s="81"/>
      <c r="Q81" s="52"/>
      <c r="R81" s="119">
        <v>45971</v>
      </c>
      <c r="S81" s="119" t="s">
        <v>66</v>
      </c>
      <c r="T81" s="119" t="s">
        <v>5772</v>
      </c>
      <c r="U81" s="119"/>
      <c r="V81" s="123" t="s">
        <v>6926</v>
      </c>
      <c r="W81" s="121" t="s">
        <v>1663</v>
      </c>
      <c r="X81" s="124">
        <v>0.9003</v>
      </c>
      <c r="Y81" s="151">
        <f t="shared" ref="Y81:Y86" si="50">X81*I81</f>
        <v>702.234</v>
      </c>
      <c r="Z81" s="52"/>
      <c r="AA81" s="208" t="s">
        <v>3158</v>
      </c>
      <c r="AB81" s="209" t="s">
        <v>76</v>
      </c>
      <c r="AC81" s="152"/>
      <c r="AD81" s="50"/>
      <c r="AE81" s="210">
        <v>1</v>
      </c>
      <c r="AF81" s="153"/>
      <c r="AG81" s="52">
        <f>AF81-I81</f>
        <v>-780</v>
      </c>
      <c r="AH81" s="170"/>
      <c r="AI81" s="52" t="s">
        <v>2191</v>
      </c>
      <c r="AJ81" s="52"/>
      <c r="AK81" s="52"/>
      <c r="AL81" s="25">
        <f>I81</f>
        <v>780</v>
      </c>
      <c r="AQ81" s="24">
        <f t="shared" si="41"/>
        <v>780</v>
      </c>
      <c r="AS81" s="213">
        <f>I81</f>
        <v>780</v>
      </c>
      <c r="AX81" s="191">
        <f>I81/24</f>
        <v>32.5</v>
      </c>
      <c r="AY81" s="186"/>
      <c r="BH81" s="24">
        <f>I81/13</f>
        <v>60</v>
      </c>
      <c r="CH81" s="24">
        <f>BL81+BK81+BJ81+BI81+BR81</f>
        <v>0</v>
      </c>
      <c r="CI81" s="24">
        <f>BX81+BY81+BZ81+CA81+CB81+CD81+CC81</f>
        <v>0</v>
      </c>
      <c r="CJ81" s="24">
        <f>BV81+BW81</f>
        <v>0</v>
      </c>
      <c r="CK81" s="171"/>
      <c r="CL81" s="171"/>
      <c r="CM81" s="171"/>
      <c r="CN81" s="171"/>
      <c r="CO81" s="171"/>
      <c r="CS81" s="171"/>
      <c r="CT81" s="171"/>
      <c r="CU81" s="171"/>
      <c r="CV81" s="171"/>
      <c r="CW81" s="171"/>
      <c r="CX81" s="171"/>
    </row>
    <row r="82" s="27" customFormat="1" ht="31" customHeight="1" spans="1:98">
      <c r="A82" s="54">
        <v>45971</v>
      </c>
      <c r="B82" s="50" t="s">
        <v>1514</v>
      </c>
      <c r="C82" s="51" t="s">
        <v>645</v>
      </c>
      <c r="D82" s="24">
        <v>4500185103</v>
      </c>
      <c r="E82" s="51" t="s">
        <v>6924</v>
      </c>
      <c r="F82" s="24" t="s">
        <v>6927</v>
      </c>
      <c r="G82" s="52" t="s">
        <v>102</v>
      </c>
      <c r="H82" s="51" t="s">
        <v>65</v>
      </c>
      <c r="I82" s="51">
        <v>400</v>
      </c>
      <c r="J82" s="51">
        <v>0</v>
      </c>
      <c r="K82" s="51">
        <v>16</v>
      </c>
      <c r="L82" s="82">
        <f t="shared" si="31"/>
        <v>25</v>
      </c>
      <c r="M82" s="85">
        <v>46048</v>
      </c>
      <c r="N82" s="85">
        <v>46044</v>
      </c>
      <c r="O82" s="81"/>
      <c r="P82" s="81"/>
      <c r="Q82" s="52"/>
      <c r="R82" s="204"/>
      <c r="S82" s="204">
        <v>45971</v>
      </c>
      <c r="T82" s="122" t="s">
        <v>66</v>
      </c>
      <c r="U82" s="122" t="s">
        <v>2708</v>
      </c>
      <c r="V82" s="121"/>
      <c r="W82" s="121"/>
      <c r="X82" s="121" t="s">
        <v>6928</v>
      </c>
      <c r="Y82" s="151" t="s">
        <v>1663</v>
      </c>
      <c r="Z82" s="154">
        <v>4.3451</v>
      </c>
      <c r="AA82" s="155">
        <f>Z82*I82</f>
        <v>1738.04</v>
      </c>
      <c r="AB82" s="52"/>
      <c r="AC82" s="52" t="s">
        <v>102</v>
      </c>
      <c r="AD82" s="51" t="s">
        <v>76</v>
      </c>
      <c r="AE82" s="52"/>
      <c r="AF82" s="52"/>
      <c r="AG82" s="52"/>
      <c r="AH82" s="52"/>
      <c r="AI82" s="212">
        <f>AH82-I82</f>
        <v>-400</v>
      </c>
      <c r="AJ82" s="52"/>
      <c r="AK82" s="52" t="s">
        <v>2191</v>
      </c>
      <c r="AL82" s="25"/>
      <c r="AM82" s="25">
        <f>I82</f>
        <v>400</v>
      </c>
      <c r="AO82" s="25"/>
      <c r="AQ82" s="25">
        <f t="shared" si="41"/>
        <v>400</v>
      </c>
      <c r="AR82" s="25"/>
      <c r="AS82" s="25">
        <f>I82</f>
        <v>400</v>
      </c>
      <c r="AT82" s="25"/>
      <c r="AU82" s="25">
        <f>I82</f>
        <v>400</v>
      </c>
      <c r="AV82" s="186"/>
      <c r="AW82" s="216"/>
      <c r="BA82" s="25"/>
      <c r="BB82" s="25"/>
      <c r="BE82" s="25">
        <f>I82/4</f>
        <v>100</v>
      </c>
      <c r="BF82" s="25"/>
      <c r="BK82" s="218"/>
      <c r="CG82" s="171"/>
      <c r="CH82" s="171"/>
      <c r="CI82" s="171"/>
      <c r="CJ82" s="171"/>
      <c r="CK82" s="171"/>
      <c r="CO82" s="171"/>
      <c r="CP82" s="171"/>
      <c r="CQ82" s="171"/>
      <c r="CR82" s="171"/>
      <c r="CS82" s="171"/>
      <c r="CT82" s="171"/>
    </row>
    <row r="83" s="24" customFormat="1" ht="31" customHeight="1" spans="1:102">
      <c r="A83" s="49">
        <v>46038</v>
      </c>
      <c r="B83" s="50" t="s">
        <v>6929</v>
      </c>
      <c r="C83" s="51" t="s">
        <v>116</v>
      </c>
      <c r="D83" s="24" t="s">
        <v>6930</v>
      </c>
      <c r="E83" s="51" t="s">
        <v>6930</v>
      </c>
      <c r="G83" s="52" t="s">
        <v>3206</v>
      </c>
      <c r="H83" s="52" t="s">
        <v>4939</v>
      </c>
      <c r="I83" s="52">
        <v>0</v>
      </c>
      <c r="J83" s="52">
        <v>0</v>
      </c>
      <c r="K83" s="52">
        <v>0</v>
      </c>
      <c r="L83" s="79">
        <v>0</v>
      </c>
      <c r="M83" s="198">
        <v>46093</v>
      </c>
      <c r="N83" s="198">
        <v>46090</v>
      </c>
      <c r="O83" s="81" t="s">
        <v>6866</v>
      </c>
      <c r="P83" s="81"/>
      <c r="Q83" s="52"/>
      <c r="R83" s="119"/>
      <c r="S83" s="119"/>
      <c r="T83" s="119"/>
      <c r="U83" s="119"/>
      <c r="V83" s="123" t="s">
        <v>6931</v>
      </c>
      <c r="W83" s="121" t="s">
        <v>2893</v>
      </c>
      <c r="X83" s="124"/>
      <c r="Y83" s="151"/>
      <c r="Z83" s="52"/>
      <c r="AA83" s="208"/>
      <c r="AB83" s="209" t="s">
        <v>5500</v>
      </c>
      <c r="AC83" s="152"/>
      <c r="AD83" s="50"/>
      <c r="AE83" s="210"/>
      <c r="AF83" s="153"/>
      <c r="AG83" s="52"/>
      <c r="AH83" s="170"/>
      <c r="AI83" s="52"/>
      <c r="AJ83" s="52"/>
      <c r="AK83" s="52"/>
      <c r="AL83" s="25">
        <f>I83</f>
        <v>0</v>
      </c>
      <c r="AS83" s="213"/>
      <c r="AX83" s="191"/>
      <c r="AY83" s="186"/>
      <c r="CK83" s="171"/>
      <c r="CL83" s="171"/>
      <c r="CM83" s="171"/>
      <c r="CN83" s="171"/>
      <c r="CO83" s="171"/>
      <c r="CS83" s="171"/>
      <c r="CT83" s="171"/>
      <c r="CU83" s="171"/>
      <c r="CV83" s="171"/>
      <c r="CW83" s="171"/>
      <c r="CX83" s="171"/>
    </row>
    <row r="84" s="27" customFormat="1" ht="31" customHeight="1" spans="1:98">
      <c r="A84" s="54">
        <v>46038</v>
      </c>
      <c r="B84" s="50" t="s">
        <v>220</v>
      </c>
      <c r="C84" s="51" t="s">
        <v>90</v>
      </c>
      <c r="D84" s="24">
        <v>4500191621</v>
      </c>
      <c r="E84" s="51" t="s">
        <v>6932</v>
      </c>
      <c r="F84" s="24" t="s">
        <v>6933</v>
      </c>
      <c r="G84" s="52" t="s">
        <v>223</v>
      </c>
      <c r="H84" s="51" t="s">
        <v>224</v>
      </c>
      <c r="I84" s="51">
        <v>5000</v>
      </c>
      <c r="J84" s="51">
        <v>0</v>
      </c>
      <c r="K84" s="51">
        <v>4</v>
      </c>
      <c r="L84" s="82">
        <f t="shared" ref="L84:L86" si="51">I84/K84</f>
        <v>1250</v>
      </c>
      <c r="M84" s="85">
        <v>46112</v>
      </c>
      <c r="N84" s="85">
        <v>46108</v>
      </c>
      <c r="O84" s="81"/>
      <c r="P84" s="81"/>
      <c r="Q84" s="52"/>
      <c r="R84" s="204" t="s">
        <v>403</v>
      </c>
      <c r="S84" s="204" t="s">
        <v>96</v>
      </c>
      <c r="T84" s="122" t="s">
        <v>2848</v>
      </c>
      <c r="U84" s="122"/>
      <c r="V84" s="121"/>
      <c r="W84" s="121" t="s">
        <v>2518</v>
      </c>
      <c r="X84" s="121" t="s">
        <v>226</v>
      </c>
      <c r="Y84" s="151">
        <v>2.7734</v>
      </c>
      <c r="Z84" s="154">
        <f>Y84*I84</f>
        <v>13867</v>
      </c>
      <c r="AA84" s="155"/>
      <c r="AB84" s="52" t="s">
        <v>223</v>
      </c>
      <c r="AC84" s="52" t="s">
        <v>76</v>
      </c>
      <c r="AD84" s="51"/>
      <c r="AE84" s="52"/>
      <c r="AF84" s="52"/>
      <c r="AG84" s="52"/>
      <c r="AH84" s="52"/>
      <c r="AI84" s="212"/>
      <c r="AJ84" s="52"/>
      <c r="AK84" s="52"/>
      <c r="AL84" s="25"/>
      <c r="AM84" s="25"/>
      <c r="AN84" s="27">
        <f>I84</f>
        <v>5000</v>
      </c>
      <c r="AO84" s="25"/>
      <c r="AQ84" s="25"/>
      <c r="AR84" s="25"/>
      <c r="AS84" s="25"/>
      <c r="AT84" s="25">
        <f>I84</f>
        <v>5000</v>
      </c>
      <c r="AU84" s="25"/>
      <c r="AV84" s="186"/>
      <c r="AW84" s="216"/>
      <c r="BA84" s="25"/>
      <c r="BB84" s="25">
        <f>I84</f>
        <v>5000</v>
      </c>
      <c r="BC84" s="27">
        <f>I84</f>
        <v>5000</v>
      </c>
      <c r="BD84" s="27">
        <f>I84/4</f>
        <v>1250</v>
      </c>
      <c r="BE84" s="25"/>
      <c r="BF84" s="25"/>
      <c r="BK84" s="218"/>
      <c r="CG84" s="171"/>
      <c r="CH84" s="171"/>
      <c r="CI84" s="171"/>
      <c r="CJ84" s="171"/>
      <c r="CK84" s="171"/>
      <c r="CO84" s="171"/>
      <c r="CP84" s="171"/>
      <c r="CQ84" s="171"/>
      <c r="CR84" s="171"/>
      <c r="CS84" s="171"/>
      <c r="CT84" s="171"/>
    </row>
    <row r="85" ht="342" spans="1:50">
      <c r="A85" s="55">
        <v>46055</v>
      </c>
      <c r="B85" s="56" t="s">
        <v>4728</v>
      </c>
      <c r="C85" s="57" t="s">
        <v>153</v>
      </c>
      <c r="D85" s="26">
        <v>4500192935</v>
      </c>
      <c r="E85" s="898" t="s">
        <v>6934</v>
      </c>
      <c r="F85" s="26" t="s">
        <v>5993</v>
      </c>
      <c r="G85" s="58" t="s">
        <v>3272</v>
      </c>
      <c r="H85" s="58" t="s">
        <v>3207</v>
      </c>
      <c r="I85" s="199">
        <v>2015</v>
      </c>
      <c r="J85" s="58">
        <v>0</v>
      </c>
      <c r="K85" s="58">
        <v>13</v>
      </c>
      <c r="L85" s="200">
        <f t="shared" si="51"/>
        <v>155</v>
      </c>
      <c r="M85" s="201">
        <v>46113</v>
      </c>
      <c r="N85" s="201">
        <v>46109</v>
      </c>
      <c r="O85" s="88"/>
      <c r="P85" s="88"/>
      <c r="Q85" s="58"/>
      <c r="R85" s="206">
        <v>46055</v>
      </c>
      <c r="S85" s="206" t="s">
        <v>66</v>
      </c>
      <c r="T85" s="206" t="s">
        <v>66</v>
      </c>
      <c r="U85" s="206"/>
      <c r="V85" s="129" t="s">
        <v>5812</v>
      </c>
      <c r="W85" s="129" t="s">
        <v>1055</v>
      </c>
      <c r="X85" s="207">
        <v>0.9213</v>
      </c>
      <c r="Y85" s="157">
        <f t="shared" si="50"/>
        <v>1856.4195</v>
      </c>
      <c r="Z85" s="58"/>
      <c r="AA85" s="58" t="s">
        <v>3272</v>
      </c>
      <c r="AB85" s="58" t="s">
        <v>76</v>
      </c>
      <c r="AC85" s="58"/>
      <c r="AD85" s="56"/>
      <c r="AE85" s="56"/>
      <c r="AF85" s="58"/>
      <c r="AG85" s="58">
        <f>AF85-I85</f>
        <v>-2015</v>
      </c>
      <c r="AH85" s="214"/>
      <c r="AI85" s="58"/>
      <c r="AJ85" s="58"/>
      <c r="AK85" s="58">
        <f>I85</f>
        <v>2015</v>
      </c>
      <c r="AL85" s="177"/>
      <c r="AM85" s="215"/>
      <c r="AN85" s="215"/>
      <c r="AO85" s="217"/>
      <c r="AP85" s="26">
        <f>I85</f>
        <v>2015</v>
      </c>
      <c r="AQ85" s="26"/>
      <c r="AR85" s="26">
        <f>I85</f>
        <v>2015</v>
      </c>
      <c r="AS85" s="177"/>
      <c r="AT85" s="194"/>
      <c r="AU85" s="215"/>
      <c r="AV85" s="215"/>
      <c r="AW85" s="215"/>
      <c r="AX85" s="215"/>
    </row>
    <row r="86" ht="342" spans="1:50">
      <c r="A86" s="195">
        <v>46077.6666666667</v>
      </c>
      <c r="B86" s="56" t="s">
        <v>4728</v>
      </c>
      <c r="C86" s="38" t="s">
        <v>153</v>
      </c>
      <c r="D86" s="26">
        <v>4500192935</v>
      </c>
      <c r="E86" s="57">
        <v>1591515</v>
      </c>
      <c r="F86" s="196" t="s">
        <v>5993</v>
      </c>
      <c r="G86" s="58" t="s">
        <v>3272</v>
      </c>
      <c r="H86" s="58" t="s">
        <v>3214</v>
      </c>
      <c r="I86" s="202">
        <v>2015</v>
      </c>
      <c r="J86" s="58">
        <v>0</v>
      </c>
      <c r="K86" s="58">
        <v>13</v>
      </c>
      <c r="L86" s="200">
        <f t="shared" si="51"/>
        <v>155</v>
      </c>
      <c r="M86" s="203">
        <v>46107.6666666667</v>
      </c>
      <c r="N86" s="203">
        <v>46103.6666666667</v>
      </c>
      <c r="O86" s="88"/>
      <c r="P86" s="88"/>
      <c r="Q86" s="58"/>
      <c r="R86" s="206"/>
      <c r="S86" s="206"/>
      <c r="T86" s="206"/>
      <c r="U86" s="206"/>
      <c r="V86" s="129" t="s">
        <v>5812</v>
      </c>
      <c r="W86" s="69" t="s">
        <v>1055</v>
      </c>
      <c r="X86" s="129">
        <v>0.9213</v>
      </c>
      <c r="Y86" s="157">
        <f t="shared" si="50"/>
        <v>1856.4195</v>
      </c>
      <c r="Z86" s="58"/>
      <c r="AA86" s="58"/>
      <c r="AB86" s="58"/>
      <c r="AC86" s="58"/>
      <c r="AD86" s="56"/>
      <c r="AE86" s="211"/>
      <c r="AF86" s="58"/>
      <c r="AG86" s="58"/>
      <c r="AH86" s="214"/>
      <c r="AI86" s="58"/>
      <c r="AJ86" s="58"/>
      <c r="AK86" s="58">
        <f>I86</f>
        <v>2015</v>
      </c>
      <c r="AL86" s="177"/>
      <c r="AM86" s="215"/>
      <c r="AN86" s="215"/>
      <c r="AO86" s="217"/>
      <c r="AP86" s="215"/>
      <c r="AQ86" s="215"/>
      <c r="AR86" s="215"/>
      <c r="AS86" s="177"/>
      <c r="AT86" s="194"/>
      <c r="AU86" s="215"/>
      <c r="AV86" s="215"/>
      <c r="AW86" s="215"/>
      <c r="AX86" s="215"/>
    </row>
  </sheetData>
  <autoFilter xmlns:etc="http://www.wps.cn/officeDocument/2017/etCustomData" ref="A1:CS85" etc:filterBottomFollowUsedRange="0">
    <extLst/>
  </autoFilter>
  <mergeCells count="15">
    <mergeCell ref="V21:V22"/>
    <mergeCell ref="V26:V27"/>
    <mergeCell ref="V28:V29"/>
    <mergeCell ref="V34:V35"/>
    <mergeCell ref="V38:V39"/>
    <mergeCell ref="V42:V43"/>
    <mergeCell ref="V46:V47"/>
    <mergeCell ref="V48:V49"/>
    <mergeCell ref="X24:X25"/>
    <mergeCell ref="X30:X31"/>
    <mergeCell ref="X32:X33"/>
    <mergeCell ref="X36:X37"/>
    <mergeCell ref="X40:X41"/>
    <mergeCell ref="X44:X45"/>
    <mergeCell ref="X50:X51"/>
  </mergeCells>
  <conditionalFormatting sqref="V1">
    <cfRule type="cellIs" dxfId="0" priority="1812" operator="equal">
      <formula>"未完成"</formula>
    </cfRule>
  </conditionalFormatting>
  <conditionalFormatting sqref="Y1:AB1">
    <cfRule type="cellIs" dxfId="1" priority="1813" operator="equal">
      <formula>"未完成"</formula>
    </cfRule>
    <cfRule type="cellIs" dxfId="0" priority="1814" operator="equal">
      <formula>"未完成"</formula>
    </cfRule>
  </conditionalFormatting>
  <conditionalFormatting sqref="S2">
    <cfRule type="cellIs" dxfId="0" priority="574" operator="equal">
      <formula>"欠"</formula>
    </cfRule>
  </conditionalFormatting>
  <conditionalFormatting sqref="AD2">
    <cfRule type="cellIs" dxfId="0" priority="575" operator="equal">
      <formula>"未完成"</formula>
    </cfRule>
  </conditionalFormatting>
  <conditionalFormatting sqref="AH2:AI2">
    <cfRule type="cellIs" dxfId="0" priority="577" operator="equal">
      <formula>"未完成"</formula>
    </cfRule>
    <cfRule type="cellIs" dxfId="1" priority="576" operator="equal">
      <formula>"未完成"</formula>
    </cfRule>
  </conditionalFormatting>
  <conditionalFormatting sqref="AJ2">
    <cfRule type="cellIs" dxfId="0" priority="578" operator="equal">
      <formula>"欠"</formula>
    </cfRule>
  </conditionalFormatting>
  <conditionalFormatting sqref="R3">
    <cfRule type="cellIs" dxfId="0" priority="572" operator="equal">
      <formula>"欠"</formula>
    </cfRule>
  </conditionalFormatting>
  <conditionalFormatting sqref="S3">
    <cfRule type="cellIs" dxfId="0" priority="571" operator="equal">
      <formula>"欠"</formula>
    </cfRule>
  </conditionalFormatting>
  <conditionalFormatting sqref="T3:U3">
    <cfRule type="cellIs" dxfId="0" priority="568" operator="equal">
      <formula>"欠"</formula>
    </cfRule>
  </conditionalFormatting>
  <conditionalFormatting sqref="AD3">
    <cfRule type="cellIs" dxfId="0" priority="567" operator="equal">
      <formula>"未完成"</formula>
    </cfRule>
  </conditionalFormatting>
  <conditionalFormatting sqref="AH3:AI3">
    <cfRule type="cellIs" dxfId="0" priority="570" operator="equal">
      <formula>"未完成"</formula>
    </cfRule>
    <cfRule type="cellIs" dxfId="1" priority="569" operator="equal">
      <formula>"未完成"</formula>
    </cfRule>
  </conditionalFormatting>
  <conditionalFormatting sqref="R4">
    <cfRule type="cellIs" dxfId="0" priority="564" operator="equal">
      <formula>"欠"</formula>
    </cfRule>
  </conditionalFormatting>
  <conditionalFormatting sqref="S4">
    <cfRule type="cellIs" dxfId="0" priority="565" operator="equal">
      <formula>"欠"</formula>
    </cfRule>
  </conditionalFormatting>
  <conditionalFormatting sqref="T4:U4">
    <cfRule type="cellIs" dxfId="0" priority="563" operator="equal">
      <formula>"欠"</formula>
    </cfRule>
  </conditionalFormatting>
  <conditionalFormatting sqref="AD4">
    <cfRule type="cellIs" dxfId="0" priority="560" operator="equal">
      <formula>"未完成"</formula>
    </cfRule>
  </conditionalFormatting>
  <conditionalFormatting sqref="AH4:AI4">
    <cfRule type="cellIs" dxfId="0" priority="562" operator="equal">
      <formula>"未完成"</formula>
    </cfRule>
    <cfRule type="cellIs" dxfId="1" priority="561" operator="equal">
      <formula>"未完成"</formula>
    </cfRule>
  </conditionalFormatting>
  <conditionalFormatting sqref="AJ4">
    <cfRule type="cellIs" dxfId="0" priority="566" operator="equal">
      <formula>"欠"</formula>
    </cfRule>
  </conditionalFormatting>
  <conditionalFormatting sqref="R5">
    <cfRule type="cellIs" dxfId="0" priority="559" operator="equal">
      <formula>"欠"</formula>
    </cfRule>
  </conditionalFormatting>
  <conditionalFormatting sqref="S5">
    <cfRule type="cellIs" dxfId="0" priority="558" operator="equal">
      <formula>"欠"</formula>
    </cfRule>
  </conditionalFormatting>
  <conditionalFormatting sqref="T5">
    <cfRule type="cellIs" dxfId="0" priority="557" operator="equal">
      <formula>"欠"</formula>
    </cfRule>
  </conditionalFormatting>
  <conditionalFormatting sqref="U5">
    <cfRule type="cellIs" dxfId="0" priority="556" operator="equal">
      <formula>"欠"</formula>
    </cfRule>
  </conditionalFormatting>
  <conditionalFormatting sqref="AD5">
    <cfRule type="cellIs" dxfId="0" priority="553" operator="equal">
      <formula>"未完成"</formula>
    </cfRule>
  </conditionalFormatting>
  <conditionalFormatting sqref="AH5:AI5">
    <cfRule type="cellIs" dxfId="0" priority="555" operator="equal">
      <formula>"未完成"</formula>
    </cfRule>
    <cfRule type="cellIs" dxfId="1" priority="554" operator="equal">
      <formula>"未完成"</formula>
    </cfRule>
  </conditionalFormatting>
  <conditionalFormatting sqref="R6">
    <cfRule type="cellIs" dxfId="0" priority="552" operator="equal">
      <formula>"欠"</formula>
    </cfRule>
  </conditionalFormatting>
  <conditionalFormatting sqref="S6">
    <cfRule type="cellIs" dxfId="0" priority="546" operator="equal">
      <formula>"欠"</formula>
    </cfRule>
  </conditionalFormatting>
  <conditionalFormatting sqref="T6">
    <cfRule type="cellIs" dxfId="0" priority="545" operator="equal">
      <formula>"欠"</formula>
    </cfRule>
  </conditionalFormatting>
  <conditionalFormatting sqref="U6">
    <cfRule type="cellIs" dxfId="0" priority="547" operator="equal">
      <formula>"欠"</formula>
    </cfRule>
  </conditionalFormatting>
  <conditionalFormatting sqref="AD6">
    <cfRule type="cellIs" dxfId="0" priority="548" operator="equal">
      <formula>"未完成"</formula>
    </cfRule>
  </conditionalFormatting>
  <conditionalFormatting sqref="AH6:AI6">
    <cfRule type="cellIs" dxfId="0" priority="550" operator="equal">
      <formula>"未完成"</formula>
    </cfRule>
    <cfRule type="cellIs" dxfId="1" priority="549" operator="equal">
      <formula>"未完成"</formula>
    </cfRule>
  </conditionalFormatting>
  <conditionalFormatting sqref="AJ6">
    <cfRule type="cellIs" dxfId="0" priority="551" operator="equal">
      <formula>"欠"</formula>
    </cfRule>
  </conditionalFormatting>
  <conditionalFormatting sqref="R9">
    <cfRule type="cellIs" dxfId="0" priority="532" operator="equal">
      <formula>"欠"</formula>
    </cfRule>
  </conditionalFormatting>
  <conditionalFormatting sqref="S9">
    <cfRule type="cellIs" dxfId="0" priority="531" operator="equal">
      <formula>"欠"</formula>
    </cfRule>
  </conditionalFormatting>
  <conditionalFormatting sqref="T9">
    <cfRule type="cellIs" dxfId="0" priority="533" operator="equal">
      <formula>"欠"</formula>
    </cfRule>
  </conditionalFormatting>
  <conditionalFormatting sqref="U9">
    <cfRule type="cellIs" dxfId="0" priority="534" operator="equal">
      <formula>"欠"</formula>
    </cfRule>
  </conditionalFormatting>
  <conditionalFormatting sqref="AD9">
    <cfRule type="cellIs" dxfId="0" priority="535" operator="equal">
      <formula>"未完成"</formula>
    </cfRule>
  </conditionalFormatting>
  <conditionalFormatting sqref="AH9:AI9">
    <cfRule type="cellIs" dxfId="0" priority="537" operator="equal">
      <formula>"未完成"</formula>
    </cfRule>
    <cfRule type="cellIs" dxfId="1" priority="536" operator="equal">
      <formula>"未完成"</formula>
    </cfRule>
  </conditionalFormatting>
  <conditionalFormatting sqref="R10">
    <cfRule type="cellIs" dxfId="0" priority="526" operator="equal">
      <formula>"欠"</formula>
    </cfRule>
  </conditionalFormatting>
  <conditionalFormatting sqref="S10">
    <cfRule type="cellIs" dxfId="0" priority="524" operator="equal">
      <formula>"欠"</formula>
    </cfRule>
  </conditionalFormatting>
  <conditionalFormatting sqref="T10">
    <cfRule type="cellIs" dxfId="0" priority="523" operator="equal">
      <formula>"欠"</formula>
    </cfRule>
  </conditionalFormatting>
  <conditionalFormatting sqref="U10">
    <cfRule type="cellIs" dxfId="0" priority="527" operator="equal">
      <formula>"欠"</formula>
    </cfRule>
  </conditionalFormatting>
  <conditionalFormatting sqref="AD10">
    <cfRule type="cellIs" dxfId="0" priority="528" operator="equal">
      <formula>"未完成"</formula>
    </cfRule>
  </conditionalFormatting>
  <conditionalFormatting sqref="AH10:AI10">
    <cfRule type="cellIs" dxfId="0" priority="530" operator="equal">
      <formula>"未完成"</formula>
    </cfRule>
    <cfRule type="cellIs" dxfId="1" priority="529" operator="equal">
      <formula>"未完成"</formula>
    </cfRule>
  </conditionalFormatting>
  <conditionalFormatting sqref="AJ10">
    <cfRule type="cellIs" dxfId="0" priority="525" operator="equal">
      <formula>"欠"</formula>
    </cfRule>
  </conditionalFormatting>
  <conditionalFormatting sqref="S11">
    <cfRule type="cellIs" dxfId="0" priority="521" operator="equal">
      <formula>"欠"</formula>
    </cfRule>
  </conditionalFormatting>
  <conditionalFormatting sqref="T11">
    <cfRule type="cellIs" dxfId="0" priority="520" operator="equal">
      <formula>"欠"</formula>
    </cfRule>
  </conditionalFormatting>
  <conditionalFormatting sqref="U11">
    <cfRule type="cellIs" dxfId="0" priority="522" operator="equal">
      <formula>"欠"</formula>
    </cfRule>
  </conditionalFormatting>
  <conditionalFormatting sqref="V11:W11">
    <cfRule type="cellIs" dxfId="0" priority="519" operator="equal">
      <formula>"欠"</formula>
    </cfRule>
  </conditionalFormatting>
  <conditionalFormatting sqref="AF11">
    <cfRule type="cellIs" dxfId="0" priority="516" operator="equal">
      <formula>"未完成"</formula>
    </cfRule>
  </conditionalFormatting>
  <conditionalFormatting sqref="AJ11:AK11">
    <cfRule type="cellIs" dxfId="0" priority="518" operator="equal">
      <formula>"未完成"</formula>
    </cfRule>
    <cfRule type="cellIs" dxfId="1" priority="517" operator="equal">
      <formula>"未完成"</formula>
    </cfRule>
  </conditionalFormatting>
  <conditionalFormatting sqref="S12">
    <cfRule type="cellIs" dxfId="0" priority="510" operator="equal">
      <formula>"欠"</formula>
    </cfRule>
  </conditionalFormatting>
  <conditionalFormatting sqref="T12">
    <cfRule type="cellIs" dxfId="0" priority="511" operator="equal">
      <formula>"欠"</formula>
    </cfRule>
  </conditionalFormatting>
  <conditionalFormatting sqref="U12">
    <cfRule type="cellIs" dxfId="0" priority="509" operator="equal">
      <formula>"欠"</formula>
    </cfRule>
  </conditionalFormatting>
  <conditionalFormatting sqref="V12:W12">
    <cfRule type="cellIs" dxfId="0" priority="512" operator="equal">
      <formula>"欠"</formula>
    </cfRule>
  </conditionalFormatting>
  <conditionalFormatting sqref="AF12">
    <cfRule type="cellIs" dxfId="0" priority="513" operator="equal">
      <formula>"未完成"</formula>
    </cfRule>
  </conditionalFormatting>
  <conditionalFormatting sqref="AJ12:AK12">
    <cfRule type="cellIs" dxfId="0" priority="515" operator="equal">
      <formula>"未完成"</formula>
    </cfRule>
    <cfRule type="cellIs" dxfId="1" priority="514" operator="equal">
      <formula>"未完成"</formula>
    </cfRule>
  </conditionalFormatting>
  <conditionalFormatting sqref="V17:W17">
    <cfRule type="cellIs" dxfId="0" priority="500" operator="equal">
      <formula>"欠"</formula>
    </cfRule>
  </conditionalFormatting>
  <conditionalFormatting sqref="AF17">
    <cfRule type="cellIs" dxfId="0" priority="488" operator="equal">
      <formula>"未完成"</formula>
    </cfRule>
  </conditionalFormatting>
  <conditionalFormatting sqref="AJ17:AK17">
    <cfRule type="cellIs" dxfId="0" priority="496" operator="equal">
      <formula>"未完成"</formula>
    </cfRule>
    <cfRule type="cellIs" dxfId="1" priority="492" operator="equal">
      <formula>"未完成"</formula>
    </cfRule>
  </conditionalFormatting>
  <conditionalFormatting sqref="V18:W18">
    <cfRule type="cellIs" dxfId="0" priority="499" operator="equal">
      <formula>"欠"</formula>
    </cfRule>
  </conditionalFormatting>
  <conditionalFormatting sqref="AF18">
    <cfRule type="cellIs" dxfId="0" priority="487" operator="equal">
      <formula>"未完成"</formula>
    </cfRule>
  </conditionalFormatting>
  <conditionalFormatting sqref="AJ18:AK18">
    <cfRule type="cellIs" dxfId="0" priority="495" operator="equal">
      <formula>"未完成"</formula>
    </cfRule>
    <cfRule type="cellIs" dxfId="1" priority="491" operator="equal">
      <formula>"未完成"</formula>
    </cfRule>
  </conditionalFormatting>
  <conditionalFormatting sqref="V19:W19">
    <cfRule type="cellIs" dxfId="0" priority="498" operator="equal">
      <formula>"欠"</formula>
    </cfRule>
  </conditionalFormatting>
  <conditionalFormatting sqref="AF19">
    <cfRule type="cellIs" dxfId="0" priority="486" operator="equal">
      <formula>"未完成"</formula>
    </cfRule>
  </conditionalFormatting>
  <conditionalFormatting sqref="AJ19:AK19">
    <cfRule type="cellIs" dxfId="0" priority="494" operator="equal">
      <formula>"未完成"</formula>
    </cfRule>
    <cfRule type="cellIs" dxfId="1" priority="490" operator="equal">
      <formula>"未完成"</formula>
    </cfRule>
  </conditionalFormatting>
  <conditionalFormatting sqref="V20:W20">
    <cfRule type="cellIs" dxfId="0" priority="497" operator="equal">
      <formula>"欠"</formula>
    </cfRule>
  </conditionalFormatting>
  <conditionalFormatting sqref="AF20">
    <cfRule type="cellIs" dxfId="0" priority="485" operator="equal">
      <formula>"未完成"</formula>
    </cfRule>
  </conditionalFormatting>
  <conditionalFormatting sqref="AJ20:AK20">
    <cfRule type="cellIs" dxfId="0" priority="493" operator="equal">
      <formula>"未完成"</formula>
    </cfRule>
    <cfRule type="cellIs" dxfId="1" priority="489" operator="equal">
      <formula>"未完成"</formula>
    </cfRule>
  </conditionalFormatting>
  <conditionalFormatting sqref="R21">
    <cfRule type="cellIs" dxfId="0" priority="478" operator="equal">
      <formula>"欠"</formula>
    </cfRule>
  </conditionalFormatting>
  <conditionalFormatting sqref="S21">
    <cfRule type="cellIs" dxfId="0" priority="477" operator="equal">
      <formula>"欠"</formula>
    </cfRule>
  </conditionalFormatting>
  <conditionalFormatting sqref="AJ21">
    <cfRule type="cellIs" dxfId="0" priority="475" operator="equal">
      <formula>"欠"</formula>
    </cfRule>
  </conditionalFormatting>
  <conditionalFormatting sqref="R22">
    <cfRule type="cellIs" dxfId="0" priority="474" operator="equal">
      <formula>"欠"</formula>
    </cfRule>
  </conditionalFormatting>
  <conditionalFormatting sqref="S22">
    <cfRule type="cellIs" dxfId="0" priority="473" operator="equal">
      <formula>"欠"</formula>
    </cfRule>
  </conditionalFormatting>
  <conditionalFormatting sqref="AJ22">
    <cfRule type="cellIs" dxfId="0" priority="472" operator="equal">
      <formula>"欠"</formula>
    </cfRule>
  </conditionalFormatting>
  <conditionalFormatting sqref="R23">
    <cfRule type="cellIs" dxfId="0" priority="465" operator="equal">
      <formula>"欠"</formula>
    </cfRule>
  </conditionalFormatting>
  <conditionalFormatting sqref="S23">
    <cfRule type="cellIs" dxfId="0" priority="464" operator="equal">
      <formula>"欠"</formula>
    </cfRule>
  </conditionalFormatting>
  <conditionalFormatting sqref="T23">
    <cfRule type="cellIs" dxfId="0" priority="466" operator="equal">
      <formula>"欠"</formula>
    </cfRule>
  </conditionalFormatting>
  <conditionalFormatting sqref="U23">
    <cfRule type="cellIs" dxfId="0" priority="470" operator="equal">
      <formula>"欠"</formula>
    </cfRule>
  </conditionalFormatting>
  <conditionalFormatting sqref="AD23">
    <cfRule type="cellIs" dxfId="0" priority="471" operator="equal">
      <formula>"未完成"</formula>
    </cfRule>
  </conditionalFormatting>
  <conditionalFormatting sqref="AH23:AI23">
    <cfRule type="cellIs" dxfId="0" priority="469" operator="equal">
      <formula>"未完成"</formula>
    </cfRule>
    <cfRule type="cellIs" dxfId="1" priority="468" operator="equal">
      <formula>"未完成"</formula>
    </cfRule>
  </conditionalFormatting>
  <conditionalFormatting sqref="AJ23">
    <cfRule type="cellIs" dxfId="0" priority="467" operator="equal">
      <formula>"欠"</formula>
    </cfRule>
  </conditionalFormatting>
  <conditionalFormatting sqref="S26">
    <cfRule type="cellIs" dxfId="0" priority="453" operator="equal">
      <formula>"欠"</formula>
    </cfRule>
  </conditionalFormatting>
  <conditionalFormatting sqref="AJ26">
    <cfRule type="cellIs" dxfId="0" priority="451" operator="equal">
      <formula>"欠"</formula>
    </cfRule>
  </conditionalFormatting>
  <conditionalFormatting sqref="S27">
    <cfRule type="cellIs" dxfId="0" priority="450" operator="equal">
      <formula>"欠"</formula>
    </cfRule>
  </conditionalFormatting>
  <conditionalFormatting sqref="AJ27">
    <cfRule type="cellIs" dxfId="0" priority="449" operator="equal">
      <formula>"欠"</formula>
    </cfRule>
  </conditionalFormatting>
  <conditionalFormatting sqref="S28">
    <cfRule type="cellIs" dxfId="0" priority="443" operator="equal">
      <formula>"欠"</formula>
    </cfRule>
  </conditionalFormatting>
  <conditionalFormatting sqref="AJ28">
    <cfRule type="cellIs" dxfId="0" priority="441" operator="equal">
      <formula>"欠"</formula>
    </cfRule>
  </conditionalFormatting>
  <conditionalFormatting sqref="S29">
    <cfRule type="cellIs" dxfId="0" priority="440" operator="equal">
      <formula>"欠"</formula>
    </cfRule>
  </conditionalFormatting>
  <conditionalFormatting sqref="AJ29">
    <cfRule type="cellIs" dxfId="0" priority="439" operator="equal">
      <formula>"欠"</formula>
    </cfRule>
  </conditionalFormatting>
  <conditionalFormatting sqref="S34">
    <cfRule type="cellIs" dxfId="0" priority="422" operator="equal">
      <formula>"欠"</formula>
    </cfRule>
  </conditionalFormatting>
  <conditionalFormatting sqref="AJ34">
    <cfRule type="cellIs" dxfId="0" priority="417" operator="equal">
      <formula>"欠"</formula>
    </cfRule>
  </conditionalFormatting>
  <conditionalFormatting sqref="S35">
    <cfRule type="cellIs" dxfId="0" priority="416" operator="equal">
      <formula>"欠"</formula>
    </cfRule>
  </conditionalFormatting>
  <conditionalFormatting sqref="AJ35">
    <cfRule type="cellIs" dxfId="0" priority="415" operator="equal">
      <formula>"欠"</formula>
    </cfRule>
  </conditionalFormatting>
  <conditionalFormatting sqref="S38">
    <cfRule type="cellIs" dxfId="0" priority="402" operator="equal">
      <formula>"欠"</formula>
    </cfRule>
  </conditionalFormatting>
  <conditionalFormatting sqref="AJ38">
    <cfRule type="cellIs" dxfId="0" priority="398" operator="equal">
      <formula>"欠"</formula>
    </cfRule>
  </conditionalFormatting>
  <conditionalFormatting sqref="S39">
    <cfRule type="cellIs" dxfId="0" priority="397" operator="equal">
      <formula>"欠"</formula>
    </cfRule>
  </conditionalFormatting>
  <conditionalFormatting sqref="AJ39">
    <cfRule type="cellIs" dxfId="0" priority="396" operator="equal">
      <formula>"欠"</formula>
    </cfRule>
  </conditionalFormatting>
  <conditionalFormatting sqref="S42">
    <cfRule type="cellIs" dxfId="0" priority="383" operator="equal">
      <formula>"欠"</formula>
    </cfRule>
  </conditionalFormatting>
  <conditionalFormatting sqref="AJ42">
    <cfRule type="cellIs" dxfId="0" priority="379" operator="equal">
      <formula>"欠"</formula>
    </cfRule>
  </conditionalFormatting>
  <conditionalFormatting sqref="S43">
    <cfRule type="cellIs" dxfId="0" priority="378" operator="equal">
      <formula>"欠"</formula>
    </cfRule>
  </conditionalFormatting>
  <conditionalFormatting sqref="AJ43">
    <cfRule type="cellIs" dxfId="0" priority="377" operator="equal">
      <formula>"欠"</formula>
    </cfRule>
  </conditionalFormatting>
  <conditionalFormatting sqref="V45:W45">
    <cfRule type="cellIs" dxfId="0" priority="372" operator="equal">
      <formula>"欠"</formula>
    </cfRule>
  </conditionalFormatting>
  <conditionalFormatting sqref="S46">
    <cfRule type="cellIs" dxfId="0" priority="363" operator="equal">
      <formula>"欠"</formula>
    </cfRule>
  </conditionalFormatting>
  <conditionalFormatting sqref="AJ46">
    <cfRule type="cellIs" dxfId="0" priority="359" operator="equal">
      <formula>"欠"</formula>
    </cfRule>
  </conditionalFormatting>
  <conditionalFormatting sqref="S47">
    <cfRule type="cellIs" dxfId="0" priority="358" operator="equal">
      <formula>"欠"</formula>
    </cfRule>
  </conditionalFormatting>
  <conditionalFormatting sqref="AJ47">
    <cfRule type="cellIs" dxfId="0" priority="357" operator="equal">
      <formula>"欠"</formula>
    </cfRule>
  </conditionalFormatting>
  <conditionalFormatting sqref="R48">
    <cfRule type="cellIs" dxfId="0" priority="342" operator="equal">
      <formula>"欠"</formula>
    </cfRule>
  </conditionalFormatting>
  <conditionalFormatting sqref="S48">
    <cfRule type="cellIs" dxfId="0" priority="351" operator="equal">
      <formula>"欠"</formula>
    </cfRule>
  </conditionalFormatting>
  <conditionalFormatting sqref="AH48:AI48">
    <cfRule type="cellIs" dxfId="0" priority="354" operator="equal">
      <formula>"未完成"</formula>
    </cfRule>
    <cfRule type="cellIs" dxfId="1" priority="353" operator="equal">
      <formula>"未完成"</formula>
    </cfRule>
  </conditionalFormatting>
  <conditionalFormatting sqref="AJ48">
    <cfRule type="cellIs" dxfId="0" priority="349" operator="equal">
      <formula>"欠"</formula>
    </cfRule>
  </conditionalFormatting>
  <conditionalFormatting sqref="R49">
    <cfRule type="cellIs" dxfId="0" priority="343" operator="equal">
      <formula>"欠"</formula>
    </cfRule>
  </conditionalFormatting>
  <conditionalFormatting sqref="S49">
    <cfRule type="cellIs" dxfId="0" priority="348" operator="equal">
      <formula>"欠"</formula>
    </cfRule>
  </conditionalFormatting>
  <conditionalFormatting sqref="AH49:AI49">
    <cfRule type="cellIs" dxfId="0" priority="347" operator="equal">
      <formula>"未完成"</formula>
    </cfRule>
    <cfRule type="cellIs" dxfId="1" priority="346" operator="equal">
      <formula>"未完成"</formula>
    </cfRule>
  </conditionalFormatting>
  <conditionalFormatting sqref="AJ49">
    <cfRule type="cellIs" dxfId="0" priority="345" operator="equal">
      <formula>"欠"</formula>
    </cfRule>
  </conditionalFormatting>
  <conditionalFormatting sqref="R52">
    <cfRule type="cellIs" dxfId="0" priority="326" operator="equal">
      <formula>"欠"</formula>
    </cfRule>
  </conditionalFormatting>
  <conditionalFormatting sqref="S52">
    <cfRule type="cellIs" dxfId="0" priority="327" operator="equal">
      <formula>"欠"</formula>
    </cfRule>
  </conditionalFormatting>
  <conditionalFormatting sqref="T52">
    <cfRule type="cellIs" dxfId="0" priority="328" operator="equal">
      <formula>"欠"</formula>
    </cfRule>
    <cfRule type="containsText" dxfId="2" priority="325" operator="between" text="欠">
      <formula>NOT(ISERROR(SEARCH("欠",T52)))</formula>
    </cfRule>
  </conditionalFormatting>
  <conditionalFormatting sqref="U52">
    <cfRule type="cellIs" dxfId="0" priority="330" operator="equal">
      <formula>"欠"</formula>
    </cfRule>
  </conditionalFormatting>
  <conditionalFormatting sqref="AD52">
    <cfRule type="cellIs" dxfId="0" priority="331" operator="equal">
      <formula>"未完成"</formula>
    </cfRule>
  </conditionalFormatting>
  <conditionalFormatting sqref="AH52:AI52">
    <cfRule type="cellIs" dxfId="0" priority="333" operator="equal">
      <formula>"未完成"</formula>
    </cfRule>
    <cfRule type="cellIs" dxfId="1" priority="332" operator="equal">
      <formula>"未完成"</formula>
    </cfRule>
  </conditionalFormatting>
  <conditionalFormatting sqref="AJ52">
    <cfRule type="cellIs" dxfId="0" priority="329" operator="equal">
      <formula>"欠"</formula>
    </cfRule>
  </conditionalFormatting>
  <conditionalFormatting sqref="R53">
    <cfRule type="cellIs" dxfId="0" priority="320" operator="equal">
      <formula>"欠"</formula>
    </cfRule>
  </conditionalFormatting>
  <conditionalFormatting sqref="S53">
    <cfRule type="cellIs" dxfId="0" priority="319" operator="equal">
      <formula>"欠"</formula>
    </cfRule>
  </conditionalFormatting>
  <conditionalFormatting sqref="T53">
    <cfRule type="cellIs" dxfId="0" priority="318" operator="equal">
      <formula>"欠"</formula>
    </cfRule>
    <cfRule type="containsText" dxfId="2" priority="316" operator="between" text="欠">
      <formula>NOT(ISERROR(SEARCH("欠",T53)))</formula>
    </cfRule>
  </conditionalFormatting>
  <conditionalFormatting sqref="U53">
    <cfRule type="cellIs" dxfId="0" priority="321" operator="equal">
      <formula>"欠"</formula>
    </cfRule>
  </conditionalFormatting>
  <conditionalFormatting sqref="AD53">
    <cfRule type="cellIs" dxfId="0" priority="322" operator="equal">
      <formula>"未完成"</formula>
    </cfRule>
  </conditionalFormatting>
  <conditionalFormatting sqref="AH53:AI53">
    <cfRule type="cellIs" dxfId="0" priority="324" operator="equal">
      <formula>"未完成"</formula>
    </cfRule>
    <cfRule type="cellIs" dxfId="1" priority="323" operator="equal">
      <formula>"未完成"</formula>
    </cfRule>
  </conditionalFormatting>
  <conditionalFormatting sqref="AJ53">
    <cfRule type="cellIs" dxfId="0" priority="317" operator="equal">
      <formula>"欠"</formula>
    </cfRule>
  </conditionalFormatting>
  <conditionalFormatting sqref="S54:V54">
    <cfRule type="cellIs" dxfId="0" priority="309" operator="equal">
      <formula>"欠"</formula>
    </cfRule>
  </conditionalFormatting>
  <conditionalFormatting sqref="U54">
    <cfRule type="containsText" dxfId="2" priority="308" operator="between" text="欠">
      <formula>NOT(ISERROR(SEARCH("欠",U54)))</formula>
    </cfRule>
  </conditionalFormatting>
  <conditionalFormatting sqref="W54">
    <cfRule type="cellIs" dxfId="0" priority="310" operator="equal">
      <formula>"欠"</formula>
    </cfRule>
  </conditionalFormatting>
  <conditionalFormatting sqref="AF54">
    <cfRule type="cellIs" dxfId="0" priority="311" operator="equal">
      <formula>"未完成"</formula>
    </cfRule>
  </conditionalFormatting>
  <conditionalFormatting sqref="AJ54">
    <cfRule type="cellIs" dxfId="0" priority="313" operator="equal">
      <formula>"未完成"</formula>
    </cfRule>
    <cfRule type="cellIs" dxfId="1" priority="312" operator="equal">
      <formula>"未完成"</formula>
    </cfRule>
  </conditionalFormatting>
  <conditionalFormatting sqref="AK54">
    <cfRule type="cellIs" dxfId="0" priority="315" operator="equal">
      <formula>"未完成"</formula>
    </cfRule>
    <cfRule type="cellIs" dxfId="1" priority="314" operator="equal">
      <formula>"未完成"</formula>
    </cfRule>
  </conditionalFormatting>
  <conditionalFormatting sqref="U55">
    <cfRule type="cellIs" dxfId="0" priority="297" operator="equal">
      <formula>"欠"</formula>
    </cfRule>
  </conditionalFormatting>
  <conditionalFormatting sqref="AD55">
    <cfRule type="cellIs" dxfId="0" priority="300" operator="equal">
      <formula>"未完成"</formula>
    </cfRule>
  </conditionalFormatting>
  <conditionalFormatting sqref="AH55:AI55">
    <cfRule type="cellIs" dxfId="0" priority="304" operator="equal">
      <formula>"未完成"</formula>
    </cfRule>
    <cfRule type="cellIs" dxfId="1" priority="302" operator="equal">
      <formula>"未完成"</formula>
    </cfRule>
  </conditionalFormatting>
  <conditionalFormatting sqref="AJ55">
    <cfRule type="cellIs" dxfId="0" priority="305" operator="equal">
      <formula>"欠"</formula>
    </cfRule>
  </conditionalFormatting>
  <conditionalFormatting sqref="U56">
    <cfRule type="cellIs" dxfId="0" priority="296" operator="equal">
      <formula>"欠"</formula>
    </cfRule>
  </conditionalFormatting>
  <conditionalFormatting sqref="AD56">
    <cfRule type="cellIs" dxfId="0" priority="299" operator="equal">
      <formula>"未完成"</formula>
    </cfRule>
  </conditionalFormatting>
  <conditionalFormatting sqref="AH56:AI56">
    <cfRule type="cellIs" dxfId="0" priority="303" operator="equal">
      <formula>"未完成"</formula>
    </cfRule>
    <cfRule type="cellIs" dxfId="1" priority="301" operator="equal">
      <formula>"未完成"</formula>
    </cfRule>
  </conditionalFormatting>
  <conditionalFormatting sqref="AJ56">
    <cfRule type="cellIs" dxfId="0" priority="307" operator="equal">
      <formula>"欠"</formula>
    </cfRule>
  </conditionalFormatting>
  <conditionalFormatting sqref="R59">
    <cfRule type="cellIs" dxfId="0" priority="282" operator="equal">
      <formula>"欠"</formula>
    </cfRule>
  </conditionalFormatting>
  <conditionalFormatting sqref="S59">
    <cfRule type="cellIs" dxfId="0" priority="281" operator="equal">
      <formula>"欠"</formula>
    </cfRule>
  </conditionalFormatting>
  <conditionalFormatting sqref="T59">
    <cfRule type="cellIs" dxfId="0" priority="280" operator="equal">
      <formula>"欠"</formula>
    </cfRule>
    <cfRule type="containsText" dxfId="2" priority="279" operator="between" text="欠">
      <formula>NOT(ISERROR(SEARCH("欠",T59)))</formula>
    </cfRule>
  </conditionalFormatting>
  <conditionalFormatting sqref="U59">
    <cfRule type="cellIs" dxfId="0" priority="275" operator="equal">
      <formula>"欠"</formula>
    </cfRule>
  </conditionalFormatting>
  <conditionalFormatting sqref="AD59">
    <cfRule type="cellIs" dxfId="0" priority="276" operator="equal">
      <formula>"未完成"</formula>
    </cfRule>
  </conditionalFormatting>
  <conditionalFormatting sqref="AH59">
    <cfRule type="cellIs" dxfId="0" priority="278" operator="equal">
      <formula>"未完成"</formula>
    </cfRule>
    <cfRule type="cellIs" dxfId="1" priority="277" operator="equal">
      <formula>"未完成"</formula>
    </cfRule>
  </conditionalFormatting>
  <conditionalFormatting sqref="AI59">
    <cfRule type="cellIs" dxfId="0" priority="284" operator="equal">
      <formula>"未完成"</formula>
    </cfRule>
    <cfRule type="cellIs" dxfId="1" priority="283" operator="equal">
      <formula>"未完成"</formula>
    </cfRule>
  </conditionalFormatting>
  <conditionalFormatting sqref="R60">
    <cfRule type="cellIs" dxfId="0" priority="272" operator="equal">
      <formula>"欠"</formula>
    </cfRule>
  </conditionalFormatting>
  <conditionalFormatting sqref="S60">
    <cfRule type="cellIs" dxfId="0" priority="267" operator="equal">
      <formula>"欠"</formula>
    </cfRule>
    <cfRule type="containsText" dxfId="2" priority="264" operator="between" text="欠">
      <formula>NOT(ISERROR(SEARCH("欠",S60)))</formula>
    </cfRule>
  </conditionalFormatting>
  <conditionalFormatting sqref="T60">
    <cfRule type="cellIs" dxfId="0" priority="266" operator="equal">
      <formula>"欠"</formula>
    </cfRule>
  </conditionalFormatting>
  <conditionalFormatting sqref="U60">
    <cfRule type="containsText" dxfId="2" priority="268" operator="between" text="欠">
      <formula>NOT(ISERROR(SEARCH("欠",U60)))</formula>
    </cfRule>
    <cfRule type="cellIs" dxfId="0" priority="265" operator="equal">
      <formula>"欠"</formula>
    </cfRule>
  </conditionalFormatting>
  <conditionalFormatting sqref="AI60">
    <cfRule type="cellIs" dxfId="0" priority="271" operator="equal">
      <formula>"未完成"</formula>
    </cfRule>
    <cfRule type="cellIs" dxfId="1" priority="270" operator="equal">
      <formula>"未完成"</formula>
    </cfRule>
  </conditionalFormatting>
  <conditionalFormatting sqref="AJ60">
    <cfRule type="cellIs" dxfId="0" priority="269" operator="equal">
      <formula>"欠"</formula>
    </cfRule>
  </conditionalFormatting>
  <conditionalFormatting sqref="R61">
    <cfRule type="cellIs" dxfId="0" priority="262" operator="equal">
      <formula>"欠"</formula>
    </cfRule>
  </conditionalFormatting>
  <conditionalFormatting sqref="S61">
    <cfRule type="containsText" dxfId="2" priority="255" operator="between" text="欠">
      <formula>NOT(ISERROR(SEARCH("欠",S61)))</formula>
    </cfRule>
    <cfRule type="cellIs" dxfId="0" priority="254" operator="equal">
      <formula>"欠"</formula>
    </cfRule>
  </conditionalFormatting>
  <conditionalFormatting sqref="T61">
    <cfRule type="cellIs" dxfId="0" priority="263" operator="equal">
      <formula>"欠"</formula>
    </cfRule>
  </conditionalFormatting>
  <conditionalFormatting sqref="U61">
    <cfRule type="cellIs" dxfId="0" priority="258" operator="equal">
      <formula>"欠"</formula>
    </cfRule>
    <cfRule type="containsText" dxfId="3" priority="257" operator="between" text="欠">
      <formula>NOT(ISERROR(SEARCH("欠",U61)))</formula>
    </cfRule>
    <cfRule type="containsText" dxfId="2" priority="256" operator="between" text="欠">
      <formula>NOT(ISERROR(SEARCH("欠",U61)))</formula>
    </cfRule>
  </conditionalFormatting>
  <conditionalFormatting sqref="AI61">
    <cfRule type="cellIs" dxfId="0" priority="261" operator="equal">
      <formula>"未完成"</formula>
    </cfRule>
    <cfRule type="cellIs" dxfId="1" priority="260" operator="equal">
      <formula>"未完成"</formula>
    </cfRule>
  </conditionalFormatting>
  <conditionalFormatting sqref="AJ61">
    <cfRule type="cellIs" dxfId="0" priority="259" operator="equal">
      <formula>"欠"</formula>
    </cfRule>
  </conditionalFormatting>
  <conditionalFormatting sqref="S62">
    <cfRule type="cellIs" dxfId="0" priority="250" operator="equal">
      <formula>"欠"</formula>
    </cfRule>
  </conditionalFormatting>
  <conditionalFormatting sqref="T62">
    <cfRule type="cellIs" dxfId="0" priority="249" operator="equal">
      <formula>"欠"</formula>
    </cfRule>
    <cfRule type="containsText" dxfId="2" priority="248" operator="between" text="欠">
      <formula>NOT(ISERROR(SEARCH("欠",T62)))</formula>
    </cfRule>
  </conditionalFormatting>
  <conditionalFormatting sqref="AD62">
    <cfRule type="cellIs" dxfId="0" priority="251" operator="equal">
      <formula>"未完成"</formula>
    </cfRule>
  </conditionalFormatting>
  <conditionalFormatting sqref="AH62:AI62">
    <cfRule type="cellIs" dxfId="0" priority="253" operator="equal">
      <formula>"未完成"</formula>
    </cfRule>
    <cfRule type="cellIs" dxfId="1" priority="252" operator="equal">
      <formula>"未完成"</formula>
    </cfRule>
  </conditionalFormatting>
  <conditionalFormatting sqref="R63">
    <cfRule type="cellIs" dxfId="0" priority="243" operator="equal">
      <formula>"欠"</formula>
    </cfRule>
  </conditionalFormatting>
  <conditionalFormatting sqref="S63">
    <cfRule type="cellIs" dxfId="0" priority="236" operator="equal">
      <formula>"欠"</formula>
    </cfRule>
    <cfRule type="containsText" dxfId="2" priority="235" operator="between" text="欠">
      <formula>NOT(ISERROR(SEARCH("欠",S63)))</formula>
    </cfRule>
  </conditionalFormatting>
  <conditionalFormatting sqref="T63">
    <cfRule type="cellIs" dxfId="0" priority="244" operator="equal">
      <formula>"欠"</formula>
    </cfRule>
  </conditionalFormatting>
  <conditionalFormatting sqref="U63">
    <cfRule type="cellIs" dxfId="0" priority="239" operator="equal">
      <formula>"欠"</formula>
    </cfRule>
    <cfRule type="containsText" dxfId="3" priority="238" operator="between" text="欠">
      <formula>NOT(ISERROR(SEARCH("欠",U63)))</formula>
    </cfRule>
    <cfRule type="containsText" dxfId="2" priority="237" operator="between" text="欠">
      <formula>NOT(ISERROR(SEARCH("欠",U63)))</formula>
    </cfRule>
  </conditionalFormatting>
  <conditionalFormatting sqref="AI63">
    <cfRule type="cellIs" dxfId="0" priority="242" operator="equal">
      <formula>"未完成"</formula>
    </cfRule>
    <cfRule type="cellIs" dxfId="1" priority="241" operator="equal">
      <formula>"未完成"</formula>
    </cfRule>
  </conditionalFormatting>
  <conditionalFormatting sqref="AJ63">
    <cfRule type="cellIs" dxfId="0" priority="240" operator="equal">
      <formula>"欠"</formula>
    </cfRule>
  </conditionalFormatting>
  <conditionalFormatting sqref="R64">
    <cfRule type="cellIs" dxfId="0" priority="234" operator="equal">
      <formula>"欠"</formula>
    </cfRule>
  </conditionalFormatting>
  <conditionalFormatting sqref="S64">
    <cfRule type="cellIs" dxfId="0" priority="233" operator="equal">
      <formula>"欠"</formula>
    </cfRule>
    <cfRule type="containsText" dxfId="2" priority="225" operator="between" text="欠">
      <formula>NOT(ISERROR(SEARCH("欠",S64)))</formula>
    </cfRule>
  </conditionalFormatting>
  <conditionalFormatting sqref="T64">
    <cfRule type="cellIs" dxfId="0" priority="229" operator="equal">
      <formula>"欠"</formula>
    </cfRule>
    <cfRule type="containsText" dxfId="2" priority="228" operator="between" text="欠">
      <formula>NOT(ISERROR(SEARCH("欠",T64)))</formula>
    </cfRule>
  </conditionalFormatting>
  <conditionalFormatting sqref="U64">
    <cfRule type="cellIs" dxfId="0" priority="227" operator="equal">
      <formula>"欠"</formula>
    </cfRule>
    <cfRule type="containsText" dxfId="2" priority="226" operator="between" text="欠">
      <formula>NOT(ISERROR(SEARCH("欠",U64)))</formula>
    </cfRule>
  </conditionalFormatting>
  <conditionalFormatting sqref="AI64">
    <cfRule type="cellIs" dxfId="0" priority="232" operator="equal">
      <formula>"未完成"</formula>
    </cfRule>
    <cfRule type="cellIs" dxfId="1" priority="231" operator="equal">
      <formula>"未完成"</formula>
    </cfRule>
  </conditionalFormatting>
  <conditionalFormatting sqref="AJ64">
    <cfRule type="cellIs" dxfId="0" priority="230" operator="equal">
      <formula>"欠"</formula>
    </cfRule>
  </conditionalFormatting>
  <conditionalFormatting sqref="R65">
    <cfRule type="cellIs" dxfId="0" priority="224" operator="equal">
      <formula>"欠"</formula>
    </cfRule>
  </conditionalFormatting>
  <conditionalFormatting sqref="S65:T65">
    <cfRule type="cellIs" dxfId="0" priority="219" operator="equal">
      <formula>"欠"</formula>
    </cfRule>
  </conditionalFormatting>
  <conditionalFormatting sqref="S65">
    <cfRule type="containsText" dxfId="2" priority="216" operator="between" text="欠">
      <formula>NOT(ISERROR(SEARCH("欠",S65)))</formula>
    </cfRule>
  </conditionalFormatting>
  <conditionalFormatting sqref="U65">
    <cfRule type="cellIs" dxfId="0" priority="221" operator="equal">
      <formula>"欠"</formula>
    </cfRule>
    <cfRule type="containsText" dxfId="2" priority="217" operator="between" text="欠">
      <formula>NOT(ISERROR(SEARCH("欠",U65)))</formula>
    </cfRule>
  </conditionalFormatting>
  <conditionalFormatting sqref="V65">
    <cfRule type="cellIs" dxfId="0" priority="218" operator="equal">
      <formula>"欠"</formula>
    </cfRule>
  </conditionalFormatting>
  <conditionalFormatting sqref="AI65">
    <cfRule type="cellIs" dxfId="0" priority="223" operator="equal">
      <formula>"未完成"</formula>
    </cfRule>
    <cfRule type="cellIs" dxfId="1" priority="222" operator="equal">
      <formula>"未完成"</formula>
    </cfRule>
  </conditionalFormatting>
  <conditionalFormatting sqref="AJ65">
    <cfRule type="cellIs" dxfId="0" priority="220" operator="equal">
      <formula>"欠"</formula>
    </cfRule>
  </conditionalFormatting>
  <conditionalFormatting sqref="R66">
    <cfRule type="cellIs" dxfId="0" priority="206" operator="equal">
      <formula>"欠"</formula>
    </cfRule>
    <cfRule type="containsText" dxfId="2" priority="205" operator="between" text="欠">
      <formula>NOT(ISERROR(SEARCH("欠",R66)))</formula>
    </cfRule>
  </conditionalFormatting>
  <conditionalFormatting sqref="S66">
    <cfRule type="cellIs" dxfId="0" priority="214" operator="equal">
      <formula>"欠"</formula>
    </cfRule>
  </conditionalFormatting>
  <conditionalFormatting sqref="T66">
    <cfRule type="cellIs" dxfId="0" priority="213" operator="equal">
      <formula>"欠"</formula>
    </cfRule>
    <cfRule type="containsText" dxfId="2" priority="212" operator="between" text="欠">
      <formula>NOT(ISERROR(SEARCH("欠",T66)))</formula>
    </cfRule>
  </conditionalFormatting>
  <conditionalFormatting sqref="U66">
    <cfRule type="cellIs" dxfId="0" priority="208" operator="equal">
      <formula>"欠"</formula>
    </cfRule>
  </conditionalFormatting>
  <conditionalFormatting sqref="AD66">
    <cfRule type="cellIs" dxfId="0" priority="209" operator="equal">
      <formula>"未完成"</formula>
    </cfRule>
  </conditionalFormatting>
  <conditionalFormatting sqref="AF66">
    <cfRule type="cellIs" dxfId="0" priority="207" operator="equal">
      <formula>"未完成"</formula>
    </cfRule>
  </conditionalFormatting>
  <conditionalFormatting sqref="AH66:AI66">
    <cfRule type="cellIs" dxfId="0" priority="211" operator="equal">
      <formula>"未完成"</formula>
    </cfRule>
    <cfRule type="cellIs" dxfId="1" priority="210" operator="equal">
      <formula>"未完成"</formula>
    </cfRule>
  </conditionalFormatting>
  <conditionalFormatting sqref="AJ66">
    <cfRule type="cellIs" dxfId="0" priority="215" operator="equal">
      <formula>"欠"</formula>
    </cfRule>
  </conditionalFormatting>
  <conditionalFormatting sqref="R67">
    <cfRule type="cellIs" dxfId="0" priority="201" operator="equal">
      <formula>"欠"</formula>
    </cfRule>
    <cfRule type="containsText" dxfId="2" priority="196" operator="between" text="欠">
      <formula>NOT(ISERROR(SEARCH("欠",R67)))</formula>
    </cfRule>
  </conditionalFormatting>
  <conditionalFormatting sqref="S67">
    <cfRule type="cellIs" dxfId="0" priority="202" operator="equal">
      <formula>"欠"</formula>
    </cfRule>
  </conditionalFormatting>
  <conditionalFormatting sqref="T67">
    <cfRule type="cellIs" dxfId="0" priority="195" operator="equal">
      <formula>"欠"</formula>
    </cfRule>
    <cfRule type="containsText" dxfId="2" priority="194" operator="between" text="欠">
      <formula>NOT(ISERROR(SEARCH("欠",T67)))</formula>
    </cfRule>
  </conditionalFormatting>
  <conditionalFormatting sqref="U67">
    <cfRule type="cellIs" dxfId="0" priority="197" operator="equal">
      <formula>"欠"</formula>
    </cfRule>
  </conditionalFormatting>
  <conditionalFormatting sqref="AD67">
    <cfRule type="cellIs" dxfId="0" priority="198" operator="equal">
      <formula>"未完成"</formula>
    </cfRule>
  </conditionalFormatting>
  <conditionalFormatting sqref="AH67:AI67">
    <cfRule type="cellIs" dxfId="0" priority="200" operator="equal">
      <formula>"未完成"</formula>
    </cfRule>
    <cfRule type="cellIs" dxfId="1" priority="199" operator="equal">
      <formula>"未完成"</formula>
    </cfRule>
  </conditionalFormatting>
  <conditionalFormatting sqref="AJ67">
    <cfRule type="cellIs" dxfId="0" priority="203" operator="equal">
      <formula>"欠"</formula>
    </cfRule>
  </conditionalFormatting>
  <conditionalFormatting sqref="R68">
    <cfRule type="cellIs" dxfId="0" priority="191" operator="equal">
      <formula>"欠"</formula>
    </cfRule>
  </conditionalFormatting>
  <conditionalFormatting sqref="S68">
    <cfRule type="cellIs" dxfId="0" priority="186" operator="equal">
      <formula>"欠"</formula>
    </cfRule>
    <cfRule type="containsText" dxfId="2" priority="185" operator="between" text="欠">
      <formula>NOT(ISERROR(SEARCH("欠",S68)))</formula>
    </cfRule>
  </conditionalFormatting>
  <conditionalFormatting sqref="T68:U68">
    <cfRule type="cellIs" dxfId="0" priority="193" operator="equal">
      <formula>"欠"</formula>
    </cfRule>
  </conditionalFormatting>
  <conditionalFormatting sqref="U68">
    <cfRule type="containsText" dxfId="2" priority="192" operator="between" text="欠">
      <formula>NOT(ISERROR(SEARCH("欠",U68)))</formula>
    </cfRule>
  </conditionalFormatting>
  <conditionalFormatting sqref="V68">
    <cfRule type="cellIs" dxfId="0" priority="187" operator="equal">
      <formula>"欠"</formula>
    </cfRule>
  </conditionalFormatting>
  <conditionalFormatting sqref="AI68">
    <cfRule type="cellIs" dxfId="0" priority="190" operator="equal">
      <formula>"未完成"</formula>
    </cfRule>
    <cfRule type="cellIs" dxfId="1" priority="189" operator="equal">
      <formula>"未完成"</formula>
    </cfRule>
  </conditionalFormatting>
  <conditionalFormatting sqref="AJ68">
    <cfRule type="cellIs" dxfId="0" priority="188" operator="equal">
      <formula>"欠"</formula>
    </cfRule>
  </conditionalFormatting>
  <conditionalFormatting sqref="R69">
    <cfRule type="cellIs" dxfId="0" priority="183" operator="equal">
      <formula>"欠"</formula>
    </cfRule>
  </conditionalFormatting>
  <conditionalFormatting sqref="S69">
    <cfRule type="cellIs" dxfId="0" priority="176" operator="equal">
      <formula>"欠"</formula>
    </cfRule>
    <cfRule type="containsText" dxfId="2" priority="175" operator="between" text="欠">
      <formula>NOT(ISERROR(SEARCH("欠",S69)))</formula>
    </cfRule>
  </conditionalFormatting>
  <conditionalFormatting sqref="T69">
    <cfRule type="cellIs" dxfId="0" priority="184" operator="equal">
      <formula>"欠"</formula>
    </cfRule>
  </conditionalFormatting>
  <conditionalFormatting sqref="U69">
    <cfRule type="cellIs" dxfId="0" priority="179" operator="equal">
      <formula>"欠"</formula>
    </cfRule>
    <cfRule type="containsText" dxfId="3" priority="178" operator="between" text="欠">
      <formula>NOT(ISERROR(SEARCH("欠",U69)))</formula>
    </cfRule>
    <cfRule type="containsText" dxfId="2" priority="177" operator="between" text="欠">
      <formula>NOT(ISERROR(SEARCH("欠",U69)))</formula>
    </cfRule>
  </conditionalFormatting>
  <conditionalFormatting sqref="AI69">
    <cfRule type="cellIs" dxfId="0" priority="182" operator="equal">
      <formula>"未完成"</formula>
    </cfRule>
    <cfRule type="cellIs" dxfId="1" priority="181" operator="equal">
      <formula>"未完成"</formula>
    </cfRule>
  </conditionalFormatting>
  <conditionalFormatting sqref="AJ69">
    <cfRule type="cellIs" dxfId="0" priority="180" operator="equal">
      <formula>"欠"</formula>
    </cfRule>
  </conditionalFormatting>
  <conditionalFormatting sqref="R70">
    <cfRule type="cellIs" dxfId="0" priority="167" operator="equal">
      <formula>"欠"</formula>
    </cfRule>
    <cfRule type="containsText" dxfId="2" priority="166" operator="between" text="欠">
      <formula>NOT(ISERROR(SEARCH("欠",R70)))</formula>
    </cfRule>
  </conditionalFormatting>
  <conditionalFormatting sqref="S70">
    <cfRule type="cellIs" dxfId="0" priority="174" operator="equal">
      <formula>"欠"</formula>
    </cfRule>
  </conditionalFormatting>
  <conditionalFormatting sqref="T70">
    <cfRule type="cellIs" dxfId="0" priority="168" operator="equal">
      <formula>"欠"</formula>
    </cfRule>
  </conditionalFormatting>
  <conditionalFormatting sqref="U70">
    <cfRule type="cellIs" dxfId="0" priority="169" operator="equal">
      <formula>"欠"</formula>
    </cfRule>
  </conditionalFormatting>
  <conditionalFormatting sqref="AF70">
    <cfRule type="cellIs" dxfId="0" priority="173" operator="equal">
      <formula>"未完成"</formula>
    </cfRule>
  </conditionalFormatting>
  <conditionalFormatting sqref="AH70:AI70">
    <cfRule type="cellIs" dxfId="0" priority="171" operator="equal">
      <formula>"未完成"</formula>
    </cfRule>
    <cfRule type="cellIs" dxfId="1" priority="170" operator="equal">
      <formula>"未完成"</formula>
    </cfRule>
  </conditionalFormatting>
  <conditionalFormatting sqref="AJ70">
    <cfRule type="cellIs" dxfId="0" priority="172" operator="equal">
      <formula>"欠"</formula>
    </cfRule>
  </conditionalFormatting>
  <conditionalFormatting sqref="R73">
    <cfRule type="cellIs" dxfId="0" priority="146" operator="equal">
      <formula>"欠"</formula>
    </cfRule>
    <cfRule type="containsText" dxfId="2" priority="145" operator="between" text="欠">
      <formula>NOT(ISERROR(SEARCH("欠",R73)))</formula>
    </cfRule>
  </conditionalFormatting>
  <conditionalFormatting sqref="S73">
    <cfRule type="cellIs" dxfId="0" priority="148" operator="equal">
      <formula>"欠"</formula>
    </cfRule>
  </conditionalFormatting>
  <conditionalFormatting sqref="T73">
    <cfRule type="cellIs" dxfId="0" priority="152" operator="equal">
      <formula>"欠"</formula>
    </cfRule>
    <cfRule type="containsText" dxfId="2" priority="151" operator="between" text="欠">
      <formula>NOT(ISERROR(SEARCH("欠",T73)))</formula>
    </cfRule>
  </conditionalFormatting>
  <conditionalFormatting sqref="U73">
    <cfRule type="cellIs" dxfId="0" priority="143" operator="equal">
      <formula>"欠"</formula>
    </cfRule>
  </conditionalFormatting>
  <conditionalFormatting sqref="AF73">
    <cfRule type="cellIs" dxfId="0" priority="147" operator="equal">
      <formula>"未完成"</formula>
    </cfRule>
  </conditionalFormatting>
  <conditionalFormatting sqref="AH73:AI73">
    <cfRule type="cellIs" dxfId="0" priority="142" operator="equal">
      <formula>"未完成"</formula>
    </cfRule>
    <cfRule type="cellIs" dxfId="1" priority="141" operator="equal">
      <formula>"未完成"</formula>
    </cfRule>
  </conditionalFormatting>
  <conditionalFormatting sqref="R74">
    <cfRule type="cellIs" dxfId="0" priority="133" operator="equal">
      <formula>"欠"</formula>
    </cfRule>
    <cfRule type="containsText" dxfId="2" priority="132" operator="between" text="欠">
      <formula>NOT(ISERROR(SEARCH("欠",R74)))</formula>
    </cfRule>
  </conditionalFormatting>
  <conditionalFormatting sqref="S74">
    <cfRule type="cellIs" dxfId="0" priority="135" operator="equal">
      <formula>"欠"</formula>
    </cfRule>
  </conditionalFormatting>
  <conditionalFormatting sqref="T74">
    <cfRule type="cellIs" dxfId="0" priority="140" operator="equal">
      <formula>"欠"</formula>
    </cfRule>
    <cfRule type="containsText" dxfId="2" priority="139" operator="between" text="欠">
      <formula>NOT(ISERROR(SEARCH("欠",T74)))</formula>
    </cfRule>
  </conditionalFormatting>
  <conditionalFormatting sqref="U74">
    <cfRule type="cellIs" dxfId="0" priority="138" operator="equal">
      <formula>"欠"</formula>
    </cfRule>
  </conditionalFormatting>
  <conditionalFormatting sqref="AF74">
    <cfRule type="cellIs" dxfId="0" priority="134" operator="equal">
      <formula>"未完成"</formula>
    </cfRule>
  </conditionalFormatting>
  <conditionalFormatting sqref="AH74:AI74">
    <cfRule type="cellIs" dxfId="0" priority="130" operator="equal">
      <formula>"未完成"</formula>
    </cfRule>
    <cfRule type="cellIs" dxfId="1" priority="129" operator="equal">
      <formula>"未完成"</formula>
    </cfRule>
  </conditionalFormatting>
  <conditionalFormatting sqref="R79:T79">
    <cfRule type="cellIs" dxfId="0" priority="108" operator="equal">
      <formula>"欠"</formula>
    </cfRule>
  </conditionalFormatting>
  <conditionalFormatting sqref="R79">
    <cfRule type="containsText" dxfId="2" priority="104" operator="between" text="欠">
      <formula>NOT(ISERROR(SEARCH("欠",R79)))</formula>
    </cfRule>
  </conditionalFormatting>
  <conditionalFormatting sqref="T79">
    <cfRule type="containsText" dxfId="2" priority="107" operator="between" text="欠">
      <formula>NOT(ISERROR(SEARCH("欠",T79)))</formula>
    </cfRule>
  </conditionalFormatting>
  <conditionalFormatting sqref="U79">
    <cfRule type="cellIs" dxfId="0" priority="99" operator="equal">
      <formula>"欠"</formula>
    </cfRule>
  </conditionalFormatting>
  <conditionalFormatting sqref="AD79">
    <cfRule type="cellIs" dxfId="0" priority="100" operator="equal">
      <formula>"未完成"</formula>
    </cfRule>
  </conditionalFormatting>
  <conditionalFormatting sqref="AF79">
    <cfRule type="cellIs" dxfId="0" priority="105" operator="equal">
      <formula>"未完成"</formula>
    </cfRule>
  </conditionalFormatting>
  <conditionalFormatting sqref="AH79:AI79">
    <cfRule type="cellIs" dxfId="0" priority="102" operator="equal">
      <formula>"未完成"</formula>
    </cfRule>
    <cfRule type="cellIs" dxfId="1" priority="101" operator="equal">
      <formula>"未完成"</formula>
    </cfRule>
  </conditionalFormatting>
  <conditionalFormatting sqref="R80:T80">
    <cfRule type="cellIs" dxfId="0" priority="98" operator="equal">
      <formula>"欠"</formula>
    </cfRule>
  </conditionalFormatting>
  <conditionalFormatting sqref="R80">
    <cfRule type="containsText" dxfId="2" priority="90" operator="between" text="欠">
      <formula>NOT(ISERROR(SEARCH("欠",R80)))</formula>
    </cfRule>
  </conditionalFormatting>
  <conditionalFormatting sqref="T80">
    <cfRule type="containsText" dxfId="2" priority="97" operator="between" text="欠">
      <formula>NOT(ISERROR(SEARCH("欠",T80)))</formula>
    </cfRule>
  </conditionalFormatting>
  <conditionalFormatting sqref="U80">
    <cfRule type="cellIs" dxfId="0" priority="92" operator="equal">
      <formula>"欠"</formula>
    </cfRule>
  </conditionalFormatting>
  <conditionalFormatting sqref="AD80">
    <cfRule type="cellIs" dxfId="0" priority="93" operator="equal">
      <formula>"未完成"</formula>
    </cfRule>
  </conditionalFormatting>
  <conditionalFormatting sqref="AF80">
    <cfRule type="cellIs" dxfId="0" priority="91" operator="equal">
      <formula>"未完成"</formula>
    </cfRule>
  </conditionalFormatting>
  <conditionalFormatting sqref="AH80:AI80">
    <cfRule type="cellIs" dxfId="0" priority="95" operator="equal">
      <formula>"未完成"</formula>
    </cfRule>
    <cfRule type="cellIs" dxfId="1" priority="94" operator="equal">
      <formula>"未完成"</formula>
    </cfRule>
  </conditionalFormatting>
  <conditionalFormatting sqref="R81">
    <cfRule type="cellIs" dxfId="0" priority="82" operator="equal">
      <formula>"欠"</formula>
    </cfRule>
    <cfRule type="containsText" dxfId="2" priority="78" operator="between" text="欠">
      <formula>NOT(ISERROR(SEARCH("欠",R81)))</formula>
    </cfRule>
  </conditionalFormatting>
  <conditionalFormatting sqref="S81">
    <cfRule type="cellIs" dxfId="0" priority="77" operator="equal">
      <formula>"欠"</formula>
    </cfRule>
  </conditionalFormatting>
  <conditionalFormatting sqref="T81">
    <cfRule type="cellIs" dxfId="0" priority="87" operator="equal">
      <formula>"欠"</formula>
    </cfRule>
    <cfRule type="containsText" dxfId="2" priority="86" operator="between" text="欠">
      <formula>NOT(ISERROR(SEARCH("欠",T81)))</formula>
    </cfRule>
  </conditionalFormatting>
  <conditionalFormatting sqref="U81">
    <cfRule type="cellIs" dxfId="0" priority="79" operator="equal">
      <formula>"欠"</formula>
    </cfRule>
  </conditionalFormatting>
  <conditionalFormatting sqref="AG81">
    <cfRule type="cellIs" dxfId="0" priority="84" operator="equal">
      <formula>"未完成"</formula>
    </cfRule>
  </conditionalFormatting>
  <conditionalFormatting sqref="AI81:AJ81">
    <cfRule type="cellIs" dxfId="0" priority="81" operator="equal">
      <formula>"未完成"</formula>
    </cfRule>
    <cfRule type="cellIs" dxfId="1" priority="80" operator="equal">
      <formula>"未完成"</formula>
    </cfRule>
  </conditionalFormatting>
  <conditionalFormatting sqref="AK81">
    <cfRule type="cellIs" dxfId="0" priority="88" operator="equal">
      <formula>"欠"</formula>
    </cfRule>
  </conditionalFormatting>
  <conditionalFormatting sqref="R82">
    <cfRule type="cellIs" dxfId="0" priority="75" operator="equal">
      <formula>"欠"</formula>
    </cfRule>
  </conditionalFormatting>
  <conditionalFormatting sqref="S82">
    <cfRule type="containsText" dxfId="2" priority="67" operator="between" text="欠">
      <formula>NOT(ISERROR(SEARCH("欠",S82)))</formula>
    </cfRule>
    <cfRule type="cellIs" dxfId="0" priority="68" operator="equal">
      <formula>"欠"</formula>
    </cfRule>
  </conditionalFormatting>
  <conditionalFormatting sqref="T82">
    <cfRule type="cellIs" dxfId="0" priority="76" operator="equal">
      <formula>"欠"</formula>
    </cfRule>
  </conditionalFormatting>
  <conditionalFormatting sqref="U82">
    <cfRule type="containsText" dxfId="2" priority="69" operator="between" text="欠">
      <formula>NOT(ISERROR(SEARCH("欠",U82)))</formula>
    </cfRule>
    <cfRule type="containsText" dxfId="3" priority="70" operator="between" text="欠">
      <formula>NOT(ISERROR(SEARCH("欠",U82)))</formula>
    </cfRule>
    <cfRule type="cellIs" dxfId="0" priority="71" operator="equal">
      <formula>"欠"</formula>
    </cfRule>
  </conditionalFormatting>
  <conditionalFormatting sqref="AJ82">
    <cfRule type="cellIs" dxfId="1" priority="73" operator="equal">
      <formula>"未完成"</formula>
    </cfRule>
    <cfRule type="cellIs" dxfId="0" priority="74" operator="equal">
      <formula>"未完成"</formula>
    </cfRule>
  </conditionalFormatting>
  <conditionalFormatting sqref="AK82">
    <cfRule type="cellIs" dxfId="0" priority="72" operator="equal">
      <formula>"欠"</formula>
    </cfRule>
  </conditionalFormatting>
  <conditionalFormatting sqref="R83">
    <cfRule type="containsText" dxfId="2" priority="44" operator="between" text="欠">
      <formula>NOT(ISERROR(SEARCH("欠",R83)))</formula>
    </cfRule>
    <cfRule type="cellIs" dxfId="0" priority="48" operator="equal">
      <formula>"欠"</formula>
    </cfRule>
  </conditionalFormatting>
  <conditionalFormatting sqref="S83">
    <cfRule type="cellIs" dxfId="0" priority="43" operator="equal">
      <formula>"欠"</formula>
    </cfRule>
  </conditionalFormatting>
  <conditionalFormatting sqref="T83">
    <cfRule type="containsText" dxfId="2" priority="50" operator="between" text="欠">
      <formula>NOT(ISERROR(SEARCH("欠",T83)))</formula>
    </cfRule>
    <cfRule type="cellIs" dxfId="0" priority="51" operator="equal">
      <formula>"欠"</formula>
    </cfRule>
  </conditionalFormatting>
  <conditionalFormatting sqref="U83">
    <cfRule type="cellIs" dxfId="0" priority="45" operator="equal">
      <formula>"欠"</formula>
    </cfRule>
  </conditionalFormatting>
  <conditionalFormatting sqref="AG83">
    <cfRule type="cellIs" dxfId="0" priority="49" operator="equal">
      <formula>"未完成"</formula>
    </cfRule>
  </conditionalFormatting>
  <conditionalFormatting sqref="AI83:AJ83">
    <cfRule type="cellIs" dxfId="1" priority="46" operator="equal">
      <formula>"未完成"</formula>
    </cfRule>
    <cfRule type="cellIs" dxfId="0" priority="47" operator="equal">
      <formula>"未完成"</formula>
    </cfRule>
  </conditionalFormatting>
  <conditionalFormatting sqref="AK83">
    <cfRule type="cellIs" dxfId="0" priority="52" operator="equal">
      <formula>"欠"</formula>
    </cfRule>
  </conditionalFormatting>
  <conditionalFormatting sqref="R84">
    <cfRule type="cellIs" dxfId="0" priority="30" operator="equal">
      <formula>"欠"</formula>
    </cfRule>
  </conditionalFormatting>
  <conditionalFormatting sqref="S84">
    <cfRule type="cellIs" dxfId="0" priority="23" operator="equal">
      <formula>"欠"</formula>
    </cfRule>
    <cfRule type="containsText" dxfId="2" priority="22" operator="between" text="欠">
      <formula>NOT(ISERROR(SEARCH("欠",S84)))</formula>
    </cfRule>
  </conditionalFormatting>
  <conditionalFormatting sqref="T84">
    <cfRule type="cellIs" dxfId="0" priority="31" operator="equal">
      <formula>"欠"</formula>
    </cfRule>
  </conditionalFormatting>
  <conditionalFormatting sqref="U84">
    <cfRule type="cellIs" dxfId="0" priority="26" operator="equal">
      <formula>"欠"</formula>
    </cfRule>
    <cfRule type="containsText" dxfId="3" priority="25" operator="between" text="欠">
      <formula>NOT(ISERROR(SEARCH("欠",U84)))</formula>
    </cfRule>
    <cfRule type="containsText" dxfId="2" priority="24" operator="between" text="欠">
      <formula>NOT(ISERROR(SEARCH("欠",U84)))</formula>
    </cfRule>
  </conditionalFormatting>
  <conditionalFormatting sqref="AJ84">
    <cfRule type="cellIs" dxfId="0" priority="29" operator="equal">
      <formula>"未完成"</formula>
    </cfRule>
    <cfRule type="cellIs" dxfId="1" priority="28" operator="equal">
      <formula>"未完成"</formula>
    </cfRule>
  </conditionalFormatting>
  <conditionalFormatting sqref="AK84">
    <cfRule type="cellIs" dxfId="0" priority="27" operator="equal">
      <formula>"欠"</formula>
    </cfRule>
  </conditionalFormatting>
  <conditionalFormatting sqref="R85">
    <cfRule type="cellIs" dxfId="0" priority="13" operator="equal">
      <formula>"欠"</formula>
    </cfRule>
    <cfRule type="containsText" dxfId="2" priority="12" operator="between" text="欠">
      <formula>NOT(ISERROR(SEARCH("欠",R85)))</formula>
    </cfRule>
  </conditionalFormatting>
  <conditionalFormatting sqref="S85">
    <cfRule type="cellIs" dxfId="0" priority="20" operator="equal">
      <formula>"欠"</formula>
    </cfRule>
  </conditionalFormatting>
  <conditionalFormatting sqref="T85">
    <cfRule type="cellIs" dxfId="0" priority="19" operator="equal">
      <formula>"欠"</formula>
    </cfRule>
    <cfRule type="containsText" dxfId="2" priority="17" operator="between" text="欠">
      <formula>NOT(ISERROR(SEARCH("欠",T85)))</formula>
    </cfRule>
  </conditionalFormatting>
  <conditionalFormatting sqref="U85">
    <cfRule type="cellIs" dxfId="0" priority="14" operator="equal">
      <formula>"欠"</formula>
    </cfRule>
  </conditionalFormatting>
  <conditionalFormatting sqref="AG85">
    <cfRule type="cellIs" dxfId="0" priority="21" operator="equal">
      <formula>"未完成"</formula>
    </cfRule>
  </conditionalFormatting>
  <conditionalFormatting sqref="AI85:AJ85">
    <cfRule type="cellIs" dxfId="0" priority="16" operator="equal">
      <formula>"未完成"</formula>
    </cfRule>
    <cfRule type="cellIs" dxfId="1" priority="15" operator="equal">
      <formula>"未完成"</formula>
    </cfRule>
  </conditionalFormatting>
  <conditionalFormatting sqref="AK85">
    <cfRule type="cellIs" dxfId="0" priority="18" operator="equal">
      <formula>"欠"</formula>
    </cfRule>
  </conditionalFormatting>
  <conditionalFormatting sqref="R86">
    <cfRule type="cellIs" dxfId="0" priority="4" operator="equal">
      <formula>"欠"</formula>
    </cfRule>
    <cfRule type="containsText" dxfId="2" priority="3" operator="between" text="欠">
      <formula>NOT(ISERROR(SEARCH("欠",R86)))</formula>
    </cfRule>
  </conditionalFormatting>
  <conditionalFormatting sqref="S86:T86">
    <cfRule type="cellIs" dxfId="0" priority="6" operator="equal">
      <formula>"欠"</formula>
    </cfRule>
  </conditionalFormatting>
  <conditionalFormatting sqref="T86">
    <cfRule type="containsText" dxfId="2" priority="5" operator="between" text="欠">
      <formula>NOT(ISERROR(SEARCH("欠",T86)))</formula>
    </cfRule>
  </conditionalFormatting>
  <conditionalFormatting sqref="U86">
    <cfRule type="cellIs" dxfId="0" priority="7" operator="equal">
      <formula>"欠"</formula>
    </cfRule>
  </conditionalFormatting>
  <conditionalFormatting sqref="AG86">
    <cfRule type="cellIs" dxfId="0" priority="10" operator="equal">
      <formula>"未完成"</formula>
    </cfRule>
  </conditionalFormatting>
  <conditionalFormatting sqref="AI86:AJ86">
    <cfRule type="cellIs" dxfId="0" priority="9" operator="equal">
      <formula>"未完成"</formula>
    </cfRule>
    <cfRule type="cellIs" dxfId="1" priority="8" operator="equal">
      <formula>"未完成"</formula>
    </cfRule>
  </conditionalFormatting>
  <conditionalFormatting sqref="AK86">
    <cfRule type="cellIs" dxfId="0" priority="1" operator="equal">
      <formula>"欠"</formula>
    </cfRule>
  </conditionalFormatting>
  <conditionalFormatting sqref="R7:R8">
    <cfRule type="cellIs" dxfId="0" priority="542" operator="equal">
      <formula>"欠"</formula>
    </cfRule>
  </conditionalFormatting>
  <conditionalFormatting sqref="R13:R16">
    <cfRule type="cellIs" dxfId="0" priority="506" operator="equal">
      <formula>"欠"</formula>
    </cfRule>
  </conditionalFormatting>
  <conditionalFormatting sqref="R26:R27">
    <cfRule type="cellIs" dxfId="0" priority="447" operator="equal">
      <formula>"欠"</formula>
    </cfRule>
  </conditionalFormatting>
  <conditionalFormatting sqref="R28:R29">
    <cfRule type="cellIs" dxfId="0" priority="437" operator="equal">
      <formula>"欠"</formula>
    </cfRule>
  </conditionalFormatting>
  <conditionalFormatting sqref="R34:R35">
    <cfRule type="cellIs" dxfId="0" priority="413" operator="equal">
      <formula>"欠"</formula>
    </cfRule>
  </conditionalFormatting>
  <conditionalFormatting sqref="R38:R39">
    <cfRule type="cellIs" dxfId="0" priority="394" operator="equal">
      <formula>"欠"</formula>
    </cfRule>
  </conditionalFormatting>
  <conditionalFormatting sqref="R42:R43">
    <cfRule type="cellIs" dxfId="0" priority="375" operator="equal">
      <formula>"欠"</formula>
    </cfRule>
  </conditionalFormatting>
  <conditionalFormatting sqref="R46:R47">
    <cfRule type="cellIs" dxfId="0" priority="355" operator="equal">
      <formula>"欠"</formula>
    </cfRule>
  </conditionalFormatting>
  <conditionalFormatting sqref="R57:R58">
    <cfRule type="cellIs" dxfId="0" priority="293" operator="equal">
      <formula>"欠"</formula>
    </cfRule>
  </conditionalFormatting>
  <conditionalFormatting sqref="R71:R72">
    <cfRule type="cellIs" dxfId="0" priority="158" operator="equal">
      <formula>"欠"</formula>
    </cfRule>
    <cfRule type="containsText" dxfId="2" priority="157" operator="between" text="欠">
      <formula>NOT(ISERROR(SEARCH("欠",R71)))</formula>
    </cfRule>
  </conditionalFormatting>
  <conditionalFormatting sqref="R75:R76">
    <cfRule type="containsText" dxfId="2" priority="124" operator="between" text="欠">
      <formula>NOT(ISERROR(SEARCH("欠",R75)))</formula>
    </cfRule>
  </conditionalFormatting>
  <conditionalFormatting sqref="R77:R78">
    <cfRule type="containsText" dxfId="2" priority="110" operator="between" text="欠">
      <formula>NOT(ISERROR(SEARCH("欠",R77)))</formula>
    </cfRule>
  </conditionalFormatting>
  <conditionalFormatting sqref="S7:S8">
    <cfRule type="cellIs" dxfId="0" priority="543" operator="equal">
      <formula>"欠"</formula>
    </cfRule>
  </conditionalFormatting>
  <conditionalFormatting sqref="S13:S16">
    <cfRule type="cellIs" dxfId="0" priority="508" operator="equal">
      <formula>"欠"</formula>
    </cfRule>
  </conditionalFormatting>
  <conditionalFormatting sqref="S17:S20">
    <cfRule type="cellIs" dxfId="0" priority="483" operator="equal">
      <formula>"欠"</formula>
    </cfRule>
  </conditionalFormatting>
  <conditionalFormatting sqref="S24:S25">
    <cfRule type="cellIs" dxfId="0" priority="460" operator="equal">
      <formula>"欠"</formula>
    </cfRule>
  </conditionalFormatting>
  <conditionalFormatting sqref="S30:S31">
    <cfRule type="cellIs" dxfId="0" priority="433" operator="equal">
      <formula>"欠"</formula>
    </cfRule>
  </conditionalFormatting>
  <conditionalFormatting sqref="S32:S33">
    <cfRule type="cellIs" dxfId="0" priority="426" operator="equal">
      <formula>"欠"</formula>
    </cfRule>
  </conditionalFormatting>
  <conditionalFormatting sqref="S36:S37">
    <cfRule type="cellIs" dxfId="0" priority="409" operator="equal">
      <formula>"欠"</formula>
    </cfRule>
  </conditionalFormatting>
  <conditionalFormatting sqref="S40:S41">
    <cfRule type="cellIs" dxfId="0" priority="390" operator="equal">
      <formula>"欠"</formula>
    </cfRule>
  </conditionalFormatting>
  <conditionalFormatting sqref="S44:S45">
    <cfRule type="cellIs" dxfId="0" priority="370" operator="equal">
      <formula>"欠"</formula>
    </cfRule>
  </conditionalFormatting>
  <conditionalFormatting sqref="S50:S51">
    <cfRule type="cellIs" dxfId="0" priority="338" operator="equal">
      <formula>"欠"</formula>
    </cfRule>
  </conditionalFormatting>
  <conditionalFormatting sqref="S55:S56">
    <cfRule type="cellIs" dxfId="0" priority="306" operator="equal">
      <formula>"欠"</formula>
    </cfRule>
  </conditionalFormatting>
  <conditionalFormatting sqref="S57:S58">
    <cfRule type="containsText" dxfId="2" priority="285" operator="between" text="欠">
      <formula>NOT(ISERROR(SEARCH("欠",S57)))</formula>
    </cfRule>
  </conditionalFormatting>
  <conditionalFormatting sqref="S71:S72">
    <cfRule type="cellIs" dxfId="0" priority="160" operator="equal">
      <formula>"欠"</formula>
    </cfRule>
  </conditionalFormatting>
  <conditionalFormatting sqref="T13:T16">
    <cfRule type="cellIs" dxfId="0" priority="507" operator="equal">
      <formula>"欠"</formula>
    </cfRule>
  </conditionalFormatting>
  <conditionalFormatting sqref="T17:T20">
    <cfRule type="cellIs" dxfId="0" priority="484" operator="equal">
      <formula>"欠"</formula>
    </cfRule>
  </conditionalFormatting>
  <conditionalFormatting sqref="T24:T25">
    <cfRule type="cellIs" dxfId="0" priority="459" operator="equal">
      <formula>"欠"</formula>
    </cfRule>
  </conditionalFormatting>
  <conditionalFormatting sqref="T26:T27">
    <cfRule type="containsText" dxfId="2" priority="448" operator="between" text="欠">
      <formula>NOT(ISERROR(SEARCH("欠",T26)))</formula>
    </cfRule>
  </conditionalFormatting>
  <conditionalFormatting sqref="T28:T29">
    <cfRule type="containsText" dxfId="2" priority="438" operator="between" text="欠">
      <formula>NOT(ISERROR(SEARCH("欠",T28)))</formula>
    </cfRule>
  </conditionalFormatting>
  <conditionalFormatting sqref="T30:T31">
    <cfRule type="cellIs" dxfId="0" priority="432" operator="equal">
      <formula>"欠"</formula>
    </cfRule>
  </conditionalFormatting>
  <conditionalFormatting sqref="T32:T33">
    <cfRule type="cellIs" dxfId="0" priority="425" operator="equal">
      <formula>"欠"</formula>
    </cfRule>
  </conditionalFormatting>
  <conditionalFormatting sqref="T34:T35">
    <cfRule type="containsText" dxfId="2" priority="414" operator="between" text="欠">
      <formula>NOT(ISERROR(SEARCH("欠",T34)))</formula>
    </cfRule>
  </conditionalFormatting>
  <conditionalFormatting sqref="T36:T37">
    <cfRule type="cellIs" dxfId="0" priority="408" operator="equal">
      <formula>"欠"</formula>
    </cfRule>
  </conditionalFormatting>
  <conditionalFormatting sqref="T38:T39">
    <cfRule type="containsText" dxfId="2" priority="395" operator="between" text="欠">
      <formula>NOT(ISERROR(SEARCH("欠",T38)))</formula>
    </cfRule>
  </conditionalFormatting>
  <conditionalFormatting sqref="T40:T41">
    <cfRule type="cellIs" dxfId="0" priority="389" operator="equal">
      <formula>"欠"</formula>
    </cfRule>
  </conditionalFormatting>
  <conditionalFormatting sqref="T42:T43">
    <cfRule type="containsText" dxfId="2" priority="376" operator="between" text="欠">
      <formula>NOT(ISERROR(SEARCH("欠",T42)))</formula>
    </cfRule>
  </conditionalFormatting>
  <conditionalFormatting sqref="T44:T45">
    <cfRule type="cellIs" dxfId="0" priority="369" operator="equal">
      <formula>"欠"</formula>
    </cfRule>
  </conditionalFormatting>
  <conditionalFormatting sqref="T46:T47">
    <cfRule type="containsText" dxfId="2" priority="356" operator="between" text="欠">
      <formula>NOT(ISERROR(SEARCH("欠",T46)))</formula>
    </cfRule>
  </conditionalFormatting>
  <conditionalFormatting sqref="T48:T49">
    <cfRule type="containsText" dxfId="2" priority="344" operator="between" text="欠">
      <formula>NOT(ISERROR(SEARCH("欠",T48)))</formula>
    </cfRule>
  </conditionalFormatting>
  <conditionalFormatting sqref="T50:T51">
    <cfRule type="cellIs" dxfId="0" priority="337" operator="equal">
      <formula>"欠"</formula>
    </cfRule>
  </conditionalFormatting>
  <conditionalFormatting sqref="T55:T56">
    <cfRule type="containsText" dxfId="2" priority="295" operator="between" text="欠">
      <formula>NOT(ISERROR(SEARCH("欠",T55)))</formula>
    </cfRule>
  </conditionalFormatting>
  <conditionalFormatting sqref="T71:T72">
    <cfRule type="cellIs" dxfId="0" priority="164" operator="equal">
      <formula>"欠"</formula>
    </cfRule>
    <cfRule type="containsText" dxfId="2" priority="163" operator="between" text="欠">
      <formula>NOT(ISERROR(SEARCH("欠",T71)))</formula>
    </cfRule>
  </conditionalFormatting>
  <conditionalFormatting sqref="T75:T76">
    <cfRule type="containsText" dxfId="2" priority="127" operator="between" text="欠">
      <formula>NOT(ISERROR(SEARCH("欠",T75)))</formula>
    </cfRule>
  </conditionalFormatting>
  <conditionalFormatting sqref="T77:T78">
    <cfRule type="containsText" dxfId="2" priority="117" operator="between" text="欠">
      <formula>NOT(ISERROR(SEARCH("欠",T77)))</formula>
    </cfRule>
  </conditionalFormatting>
  <conditionalFormatting sqref="U13:U16">
    <cfRule type="cellIs" dxfId="0" priority="504" operator="equal">
      <formula>"欠"</formula>
    </cfRule>
  </conditionalFormatting>
  <conditionalFormatting sqref="U17:U20">
    <cfRule type="cellIs" dxfId="0" priority="482" operator="equal">
      <formula>"欠"</formula>
    </cfRule>
  </conditionalFormatting>
  <conditionalFormatting sqref="U24:U25">
    <cfRule type="containsText" dxfId="3" priority="457" operator="between" text="欠">
      <formula>NOT(ISERROR(SEARCH("欠",U24)))</formula>
    </cfRule>
  </conditionalFormatting>
  <conditionalFormatting sqref="U30:U31">
    <cfRule type="containsText" dxfId="3" priority="430" operator="between" text="欠">
      <formula>NOT(ISERROR(SEARCH("欠",U30)))</formula>
    </cfRule>
  </conditionalFormatting>
  <conditionalFormatting sqref="U32:U33">
    <cfRule type="containsText" dxfId="3" priority="423" operator="between" text="欠">
      <formula>NOT(ISERROR(SEARCH("欠",U32)))</formula>
    </cfRule>
  </conditionalFormatting>
  <conditionalFormatting sqref="U36:U37">
    <cfRule type="containsText" dxfId="3" priority="406" operator="between" text="欠">
      <formula>NOT(ISERROR(SEARCH("欠",U36)))</formula>
    </cfRule>
  </conditionalFormatting>
  <conditionalFormatting sqref="U40:U41">
    <cfRule type="containsText" dxfId="3" priority="387" operator="between" text="欠">
      <formula>NOT(ISERROR(SEARCH("欠",U40)))</formula>
    </cfRule>
  </conditionalFormatting>
  <conditionalFormatting sqref="U44:U45">
    <cfRule type="containsText" dxfId="3" priority="367" operator="between" text="欠">
      <formula>NOT(ISERROR(SEARCH("欠",U44)))</formula>
    </cfRule>
  </conditionalFormatting>
  <conditionalFormatting sqref="U50:U51">
    <cfRule type="containsText" dxfId="3" priority="334" operator="between" text="欠">
      <formula>NOT(ISERROR(SEARCH("欠",U50)))</formula>
    </cfRule>
  </conditionalFormatting>
  <conditionalFormatting sqref="U57:U58">
    <cfRule type="cellIs" dxfId="0" priority="290" operator="equal">
      <formula>"欠"</formula>
    </cfRule>
    <cfRule type="containsText" dxfId="2" priority="286" operator="between" text="欠">
      <formula>NOT(ISERROR(SEARCH("欠",U57)))</formula>
    </cfRule>
  </conditionalFormatting>
  <conditionalFormatting sqref="U71:U72">
    <cfRule type="cellIs" dxfId="0" priority="153" operator="equal">
      <formula>"欠"</formula>
    </cfRule>
  </conditionalFormatting>
  <conditionalFormatting sqref="U75:U76">
    <cfRule type="cellIs" dxfId="0" priority="119" operator="equal">
      <formula>"欠"</formula>
    </cfRule>
  </conditionalFormatting>
  <conditionalFormatting sqref="U77:U78">
    <cfRule type="cellIs" dxfId="0" priority="112" operator="equal">
      <formula>"欠"</formula>
    </cfRule>
  </conditionalFormatting>
  <conditionalFormatting sqref="V57:V58">
    <cfRule type="cellIs" dxfId="0" priority="287" operator="equal">
      <formula>"欠"</formula>
    </cfRule>
  </conditionalFormatting>
  <conditionalFormatting sqref="W50:W51">
    <cfRule type="cellIs" dxfId="0" priority="335" operator="equal">
      <formula>"欠"</formula>
    </cfRule>
  </conditionalFormatting>
  <conditionalFormatting sqref="AD7:AD8">
    <cfRule type="cellIs" dxfId="0" priority="538" operator="equal">
      <formula>"未完成"</formula>
    </cfRule>
  </conditionalFormatting>
  <conditionalFormatting sqref="AD13:AD16">
    <cfRule type="cellIs" dxfId="0" priority="505" operator="equal">
      <formula>"未完成"</formula>
    </cfRule>
  </conditionalFormatting>
  <conditionalFormatting sqref="AD21:AD22">
    <cfRule type="cellIs" dxfId="0" priority="479" operator="equal">
      <formula>"未完成"</formula>
    </cfRule>
  </conditionalFormatting>
  <conditionalFormatting sqref="AD26:AD27">
    <cfRule type="cellIs" dxfId="0" priority="454" operator="equal">
      <formula>"未完成"</formula>
    </cfRule>
  </conditionalFormatting>
  <conditionalFormatting sqref="AD28:AD29">
    <cfRule type="cellIs" dxfId="0" priority="444" operator="equal">
      <formula>"未完成"</formula>
    </cfRule>
  </conditionalFormatting>
  <conditionalFormatting sqref="AD34:AD35">
    <cfRule type="cellIs" dxfId="0" priority="418" operator="equal">
      <formula>"未完成"</formula>
    </cfRule>
  </conditionalFormatting>
  <conditionalFormatting sqref="AD38:AD39">
    <cfRule type="cellIs" dxfId="0" priority="403" operator="equal">
      <formula>"未完成"</formula>
    </cfRule>
  </conditionalFormatting>
  <conditionalFormatting sqref="AD42:AD43">
    <cfRule type="cellIs" dxfId="0" priority="384" operator="equal">
      <formula>"未完成"</formula>
    </cfRule>
  </conditionalFormatting>
  <conditionalFormatting sqref="AD46:AD47">
    <cfRule type="cellIs" dxfId="0" priority="364" operator="equal">
      <formula>"未完成"</formula>
    </cfRule>
  </conditionalFormatting>
  <conditionalFormatting sqref="AD48:AD49">
    <cfRule type="cellIs" dxfId="0" priority="352" operator="equal">
      <formula>"未完成"</formula>
    </cfRule>
  </conditionalFormatting>
  <conditionalFormatting sqref="AD75:AD76">
    <cfRule type="cellIs" dxfId="0" priority="120" operator="equal">
      <formula>"未完成"</formula>
    </cfRule>
  </conditionalFormatting>
  <conditionalFormatting sqref="AD77:AD78">
    <cfRule type="cellIs" dxfId="0" priority="113" operator="equal">
      <formula>"未完成"</formula>
    </cfRule>
  </conditionalFormatting>
  <conditionalFormatting sqref="AF24:AF25">
    <cfRule type="cellIs" dxfId="0" priority="461" operator="equal">
      <formula>"未完成"</formula>
    </cfRule>
  </conditionalFormatting>
  <conditionalFormatting sqref="AF30:AF31">
    <cfRule type="cellIs" dxfId="0" priority="434" operator="equal">
      <formula>"未完成"</formula>
    </cfRule>
  </conditionalFormatting>
  <conditionalFormatting sqref="AF32:AF33">
    <cfRule type="cellIs" dxfId="0" priority="427" operator="equal">
      <formula>"未完成"</formula>
    </cfRule>
  </conditionalFormatting>
  <conditionalFormatting sqref="AF36:AF37">
    <cfRule type="cellIs" dxfId="0" priority="410" operator="equal">
      <formula>"未完成"</formula>
    </cfRule>
  </conditionalFormatting>
  <conditionalFormatting sqref="AF40:AF41">
    <cfRule type="cellIs" dxfId="0" priority="391" operator="equal">
      <formula>"未完成"</formula>
    </cfRule>
  </conditionalFormatting>
  <conditionalFormatting sqref="AF44:AF45">
    <cfRule type="cellIs" dxfId="0" priority="371" operator="equal">
      <formula>"未完成"</formula>
    </cfRule>
  </conditionalFormatting>
  <conditionalFormatting sqref="AF50:AF51">
    <cfRule type="cellIs" dxfId="0" priority="339" operator="equal">
      <formula>"未完成"</formula>
    </cfRule>
  </conditionalFormatting>
  <conditionalFormatting sqref="AF71:AF72">
    <cfRule type="cellIs" dxfId="0" priority="159" operator="equal">
      <formula>"未完成"</formula>
    </cfRule>
  </conditionalFormatting>
  <conditionalFormatting sqref="AF75:AF76">
    <cfRule type="cellIs" dxfId="0" priority="125" operator="equal">
      <formula>"未完成"</formula>
    </cfRule>
  </conditionalFormatting>
  <conditionalFormatting sqref="AF77:AF78">
    <cfRule type="cellIs" dxfId="0" priority="111" operator="equal">
      <formula>"未完成"</formula>
    </cfRule>
  </conditionalFormatting>
  <conditionalFormatting sqref="AI57:AI58">
    <cfRule type="cellIs" dxfId="0" priority="292" operator="equal">
      <formula>"未完成"</formula>
    </cfRule>
    <cfRule type="cellIs" dxfId="1" priority="291" operator="equal">
      <formula>"未完成"</formula>
    </cfRule>
  </conditionalFormatting>
  <conditionalFormatting sqref="AJ7:AJ8">
    <cfRule type="cellIs" dxfId="0" priority="544" operator="equal">
      <formula>"欠"</formula>
    </cfRule>
  </conditionalFormatting>
  <conditionalFormatting sqref="AJ13:AJ16">
    <cfRule type="cellIs" dxfId="0" priority="501" operator="equal">
      <formula>"欠"</formula>
    </cfRule>
  </conditionalFormatting>
  <conditionalFormatting sqref="AJ57:AJ58">
    <cfRule type="cellIs" dxfId="0" priority="289" operator="equal">
      <formula>"欠"</formula>
    </cfRule>
  </conditionalFormatting>
  <conditionalFormatting sqref="AC1 W1:X1">
    <cfRule type="cellIs" dxfId="0" priority="1815" operator="equal">
      <formula>"欠"</formula>
    </cfRule>
  </conditionalFormatting>
  <conditionalFormatting sqref="R2 T2:U2">
    <cfRule type="cellIs" dxfId="0" priority="573" operator="equal">
      <formula>"欠"</formula>
    </cfRule>
  </conditionalFormatting>
  <conditionalFormatting sqref="T7:U8">
    <cfRule type="cellIs" dxfId="0" priority="541" operator="equal">
      <formula>"欠"</formula>
    </cfRule>
  </conditionalFormatting>
  <conditionalFormatting sqref="AH7:AI8">
    <cfRule type="cellIs" dxfId="0" priority="540" operator="equal">
      <formula>"未完成"</formula>
    </cfRule>
    <cfRule type="cellIs" dxfId="1" priority="539" operator="equal">
      <formula>"未完成"</formula>
    </cfRule>
  </conditionalFormatting>
  <conditionalFormatting sqref="AH13:AI16">
    <cfRule type="cellIs" dxfId="0" priority="503" operator="equal">
      <formula>"未完成"</formula>
    </cfRule>
    <cfRule type="cellIs" dxfId="1" priority="502" operator="equal">
      <formula>"未完成"</formula>
    </cfRule>
  </conditionalFormatting>
  <conditionalFormatting sqref="T21:U22">
    <cfRule type="cellIs" dxfId="0" priority="476" operator="equal">
      <formula>"欠"</formula>
    </cfRule>
  </conditionalFormatting>
  <conditionalFormatting sqref="AH21:AI22">
    <cfRule type="cellIs" dxfId="0" priority="481" operator="equal">
      <formula>"未完成"</formula>
    </cfRule>
    <cfRule type="cellIs" dxfId="1" priority="480" operator="equal">
      <formula>"未完成"</formula>
    </cfRule>
  </conditionalFormatting>
  <conditionalFormatting sqref="U24:W25">
    <cfRule type="cellIs" dxfId="0" priority="458" operator="equal">
      <formula>"欠"</formula>
    </cfRule>
  </conditionalFormatting>
  <conditionalFormatting sqref="AJ24:AK25">
    <cfRule type="cellIs" dxfId="0" priority="463" operator="equal">
      <formula>"未完成"</formula>
    </cfRule>
    <cfRule type="cellIs" dxfId="1" priority="462" operator="equal">
      <formula>"未完成"</formula>
    </cfRule>
  </conditionalFormatting>
  <conditionalFormatting sqref="T26:U27">
    <cfRule type="cellIs" dxfId="0" priority="452" operator="equal">
      <formula>"欠"</formula>
    </cfRule>
  </conditionalFormatting>
  <conditionalFormatting sqref="AH26:AI27">
    <cfRule type="cellIs" dxfId="0" priority="456" operator="equal">
      <formula>"未完成"</formula>
    </cfRule>
    <cfRule type="cellIs" dxfId="1" priority="455" operator="equal">
      <formula>"未完成"</formula>
    </cfRule>
  </conditionalFormatting>
  <conditionalFormatting sqref="T28:U29">
    <cfRule type="cellIs" dxfId="0" priority="442" operator="equal">
      <formula>"欠"</formula>
    </cfRule>
  </conditionalFormatting>
  <conditionalFormatting sqref="AH28:AI29">
    <cfRule type="cellIs" dxfId="0" priority="446" operator="equal">
      <formula>"未完成"</formula>
    </cfRule>
    <cfRule type="cellIs" dxfId="1" priority="445" operator="equal">
      <formula>"未完成"</formula>
    </cfRule>
  </conditionalFormatting>
  <conditionalFormatting sqref="U30:W31">
    <cfRule type="cellIs" dxfId="0" priority="431" operator="equal">
      <formula>"欠"</formula>
    </cfRule>
  </conditionalFormatting>
  <conditionalFormatting sqref="AJ30:AK31">
    <cfRule type="cellIs" dxfId="0" priority="436" operator="equal">
      <formula>"未完成"</formula>
    </cfRule>
    <cfRule type="cellIs" dxfId="1" priority="435" operator="equal">
      <formula>"未完成"</formula>
    </cfRule>
  </conditionalFormatting>
  <conditionalFormatting sqref="U32:W33">
    <cfRule type="cellIs" dxfId="0" priority="424" operator="equal">
      <formula>"欠"</formula>
    </cfRule>
  </conditionalFormatting>
  <conditionalFormatting sqref="AJ32:AK33">
    <cfRule type="cellIs" dxfId="0" priority="429" operator="equal">
      <formula>"未完成"</formula>
    </cfRule>
    <cfRule type="cellIs" dxfId="1" priority="428" operator="equal">
      <formula>"未完成"</formula>
    </cfRule>
  </conditionalFormatting>
  <conditionalFormatting sqref="T34:U35">
    <cfRule type="cellIs" dxfId="0" priority="421" operator="equal">
      <formula>"欠"</formula>
    </cfRule>
  </conditionalFormatting>
  <conditionalFormatting sqref="AH34:AI35">
    <cfRule type="cellIs" dxfId="0" priority="420" operator="equal">
      <formula>"未完成"</formula>
    </cfRule>
    <cfRule type="cellIs" dxfId="1" priority="419" operator="equal">
      <formula>"未完成"</formula>
    </cfRule>
  </conditionalFormatting>
  <conditionalFormatting sqref="U36:W37">
    <cfRule type="cellIs" dxfId="0" priority="407" operator="equal">
      <formula>"欠"</formula>
    </cfRule>
  </conditionalFormatting>
  <conditionalFormatting sqref="AJ36:AK37">
    <cfRule type="cellIs" dxfId="0" priority="412" operator="equal">
      <formula>"未完成"</formula>
    </cfRule>
    <cfRule type="cellIs" dxfId="1" priority="411" operator="equal">
      <formula>"未完成"</formula>
    </cfRule>
  </conditionalFormatting>
  <conditionalFormatting sqref="T38:U39">
    <cfRule type="cellIs" dxfId="0" priority="401" operator="equal">
      <formula>"欠"</formula>
    </cfRule>
  </conditionalFormatting>
  <conditionalFormatting sqref="AE38:AF39">
    <cfRule type="cellIs" dxfId="0" priority="405" operator="equal">
      <formula>"未完成"</formula>
    </cfRule>
    <cfRule type="cellIs" dxfId="1" priority="404" operator="equal">
      <formula>"未完成"</formula>
    </cfRule>
  </conditionalFormatting>
  <conditionalFormatting sqref="AH38:AI39">
    <cfRule type="cellIs" dxfId="0" priority="400" operator="equal">
      <formula>"未完成"</formula>
    </cfRule>
    <cfRule type="cellIs" dxfId="1" priority="399" operator="equal">
      <formula>"未完成"</formula>
    </cfRule>
  </conditionalFormatting>
  <conditionalFormatting sqref="U40:W41">
    <cfRule type="cellIs" dxfId="0" priority="388" operator="equal">
      <formula>"欠"</formula>
    </cfRule>
  </conditionalFormatting>
  <conditionalFormatting sqref="AJ40:AK41">
    <cfRule type="cellIs" dxfId="0" priority="393" operator="equal">
      <formula>"未完成"</formula>
    </cfRule>
    <cfRule type="cellIs" dxfId="1" priority="392" operator="equal">
      <formula>"未完成"</formula>
    </cfRule>
  </conditionalFormatting>
  <conditionalFormatting sqref="T42:U43">
    <cfRule type="cellIs" dxfId="0" priority="382" operator="equal">
      <formula>"欠"</formula>
    </cfRule>
  </conditionalFormatting>
  <conditionalFormatting sqref="AE42:AF43">
    <cfRule type="cellIs" dxfId="0" priority="386" operator="equal">
      <formula>"未完成"</formula>
    </cfRule>
    <cfRule type="cellIs" dxfId="1" priority="385" operator="equal">
      <formula>"未完成"</formula>
    </cfRule>
  </conditionalFormatting>
  <conditionalFormatting sqref="AH42:AI43">
    <cfRule type="cellIs" dxfId="0" priority="381" operator="equal">
      <formula>"未完成"</formula>
    </cfRule>
    <cfRule type="cellIs" dxfId="1" priority="380" operator="equal">
      <formula>"未完成"</formula>
    </cfRule>
  </conditionalFormatting>
  <conditionalFormatting sqref="U44:W44 U45">
    <cfRule type="cellIs" dxfId="0" priority="368" operator="equal">
      <formula>"欠"</formula>
    </cfRule>
  </conditionalFormatting>
  <conditionalFormatting sqref="AJ44:AK45">
    <cfRule type="cellIs" dxfId="0" priority="374" operator="equal">
      <formula>"未完成"</formula>
    </cfRule>
    <cfRule type="cellIs" dxfId="1" priority="373" operator="equal">
      <formula>"未完成"</formula>
    </cfRule>
  </conditionalFormatting>
  <conditionalFormatting sqref="T46:U47">
    <cfRule type="cellIs" dxfId="0" priority="362" operator="equal">
      <formula>"欠"</formula>
    </cfRule>
  </conditionalFormatting>
  <conditionalFormatting sqref="AE46:AF47">
    <cfRule type="cellIs" dxfId="0" priority="366" operator="equal">
      <formula>"未完成"</formula>
    </cfRule>
    <cfRule type="cellIs" dxfId="1" priority="365" operator="equal">
      <formula>"未完成"</formula>
    </cfRule>
  </conditionalFormatting>
  <conditionalFormatting sqref="AH46:AI47">
    <cfRule type="cellIs" dxfId="0" priority="361" operator="equal">
      <formula>"未完成"</formula>
    </cfRule>
    <cfRule type="cellIs" dxfId="1" priority="360" operator="equal">
      <formula>"未完成"</formula>
    </cfRule>
  </conditionalFormatting>
  <conditionalFormatting sqref="T48:U49">
    <cfRule type="cellIs" dxfId="0" priority="350" operator="equal">
      <formula>"欠"</formula>
    </cfRule>
  </conditionalFormatting>
  <conditionalFormatting sqref="U50:V51">
    <cfRule type="cellIs" dxfId="0" priority="336" operator="equal">
      <formula>"欠"</formula>
    </cfRule>
  </conditionalFormatting>
  <conditionalFormatting sqref="AJ50:AK51">
    <cfRule type="cellIs" dxfId="0" priority="341" operator="equal">
      <formula>"未完成"</formula>
    </cfRule>
    <cfRule type="cellIs" dxfId="1" priority="340" operator="equal">
      <formula>"未完成"</formula>
    </cfRule>
  </conditionalFormatting>
  <conditionalFormatting sqref="R55:R56 T55:T56">
    <cfRule type="cellIs" dxfId="0" priority="298" operator="equal">
      <formula>"欠"</formula>
    </cfRule>
    <cfRule type="containsText" dxfId="2" priority="294" operator="between" text="欠">
      <formula>NOT(ISERROR(SEARCH("欠",R55)))</formula>
    </cfRule>
  </conditionalFormatting>
  <conditionalFormatting sqref="S57:T58">
    <cfRule type="cellIs" dxfId="0" priority="288" operator="equal">
      <formula>"欠"</formula>
    </cfRule>
  </conditionalFormatting>
  <conditionalFormatting sqref="R59 T59">
    <cfRule type="containsText" dxfId="2" priority="273" operator="between" text="欠">
      <formula>NOT(ISERROR(SEARCH("欠",R59)))</formula>
    </cfRule>
  </conditionalFormatting>
  <conditionalFormatting sqref="R62 U62">
    <cfRule type="cellIs" dxfId="0" priority="247" operator="equal">
      <formula>"欠"</formula>
    </cfRule>
  </conditionalFormatting>
  <conditionalFormatting sqref="T62 R62">
    <cfRule type="containsText" dxfId="2" priority="245" operator="between" text="欠">
      <formula>NOT(ISERROR(SEARCH("欠",R62)))</formula>
    </cfRule>
  </conditionalFormatting>
  <conditionalFormatting sqref="T71:T72 R71:R72">
    <cfRule type="containsText" dxfId="2" priority="161" operator="between" text="欠">
      <formula>NOT(ISERROR(SEARCH("欠",R71)))</formula>
    </cfRule>
  </conditionalFormatting>
  <conditionalFormatting sqref="AH71:AI72">
    <cfRule type="cellIs" dxfId="0" priority="155" operator="equal">
      <formula>"未完成"</formula>
    </cfRule>
    <cfRule type="cellIs" dxfId="1" priority="154" operator="equal">
      <formula>"未完成"</formula>
    </cfRule>
  </conditionalFormatting>
  <conditionalFormatting sqref="T73 R73">
    <cfRule type="containsText" dxfId="2" priority="149" operator="between" text="欠">
      <formula>NOT(ISERROR(SEARCH("欠",R73)))</formula>
    </cfRule>
  </conditionalFormatting>
  <conditionalFormatting sqref="R74 T74">
    <cfRule type="containsText" dxfId="2" priority="136" operator="between" text="欠">
      <formula>NOT(ISERROR(SEARCH("欠",R74)))</formula>
    </cfRule>
  </conditionalFormatting>
  <conditionalFormatting sqref="R75:T76">
    <cfRule type="cellIs" dxfId="0" priority="128" operator="equal">
      <formula>"欠"</formula>
    </cfRule>
  </conditionalFormatting>
  <conditionalFormatting sqref="R75:R76 T75:T76">
    <cfRule type="containsText" dxfId="2" priority="126" operator="between" text="欠">
      <formula>NOT(ISERROR(SEARCH("欠",R75)))</formula>
    </cfRule>
  </conditionalFormatting>
  <conditionalFormatting sqref="AH75:AI76">
    <cfRule type="cellIs" dxfId="0" priority="122" operator="equal">
      <formula>"未完成"</formula>
    </cfRule>
    <cfRule type="cellIs" dxfId="1" priority="121" operator="equal">
      <formula>"未完成"</formula>
    </cfRule>
  </conditionalFormatting>
  <conditionalFormatting sqref="R77:T78">
    <cfRule type="cellIs" dxfId="0" priority="118" operator="equal">
      <formula>"欠"</formula>
    </cfRule>
  </conditionalFormatting>
  <conditionalFormatting sqref="T77:T78 R77:R78">
    <cfRule type="containsText" dxfId="2" priority="116" operator="between" text="欠">
      <formula>NOT(ISERROR(SEARCH("欠",R77)))</formula>
    </cfRule>
  </conditionalFormatting>
  <conditionalFormatting sqref="AH77:AI78">
    <cfRule type="cellIs" dxfId="0" priority="115" operator="equal">
      <formula>"未完成"</formula>
    </cfRule>
    <cfRule type="cellIs" dxfId="1" priority="114" operator="equal">
      <formula>"未完成"</formula>
    </cfRule>
  </conditionalFormatting>
  <conditionalFormatting sqref="T79 R79">
    <cfRule type="containsText" dxfId="2" priority="106" operator="between" text="欠">
      <formula>NOT(ISERROR(SEARCH("欠",R79)))</formula>
    </cfRule>
  </conditionalFormatting>
  <conditionalFormatting sqref="T80 R80">
    <cfRule type="containsText" dxfId="2" priority="96" operator="between" text="欠">
      <formula>NOT(ISERROR(SEARCH("欠",R80)))</formula>
    </cfRule>
  </conditionalFormatting>
  <conditionalFormatting sqref="R85 T85">
    <cfRule type="containsText" dxfId="2" priority="11" operator="between" text="欠">
      <formula>NOT(ISERROR(SEARCH("欠",R85)))</formula>
    </cfRule>
  </conditionalFormatting>
  <conditionalFormatting sqref="T86 R86">
    <cfRule type="containsText" dxfId="2" priority="2" operator="between" text="欠">
      <formula>NOT(ISERROR(SEARCH("欠",R86)))</formula>
    </cfRule>
  </conditionalFormatting>
  <dataValidations count="1">
    <dataValidation type="list" allowBlank="1" showInputMessage="1" showErrorMessage="1" sqref="AF54 AD59 AD62 AE84:AF84 AD2:AD10 AD13:AD16 AD21:AD23 AD26:AD29 AD34:AD35 AD38:AD39 AD42:AD43 AD46:AD49 AD52:AD53 AD55:AD56 AD66:AD67 AD75:AD80 AF11:AF12 AF17:AF20 AF24:AF25 AF30:AF33 AF36:AF37 AF40:AF41 AF44:AF45 AF50:AF51">
      <formula1>"未完成,已完成,OK"</formula1>
    </dataValidation>
  </dataValidations>
  <pageMargins left="0.75" right="0.75" top="1" bottom="1" header="0.5" footer="0.5"/>
  <pageSetup paperSize="9" orientation="portrait"/>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61"/>
  <sheetViews>
    <sheetView zoomScale="85" zoomScaleNormal="85" workbookViewId="0">
      <selection activeCell="K2" sqref="K2"/>
    </sheetView>
  </sheetViews>
  <sheetFormatPr defaultColWidth="9" defaultRowHeight="13.5"/>
  <cols>
    <col min="7" max="7" width="12.35" customWidth="1"/>
    <col min="8" max="8" width="25.8833333333333" customWidth="1"/>
    <col min="11" max="11" width="15.2916666666667" customWidth="1"/>
    <col min="12" max="12" width="16.6083333333333" customWidth="1"/>
  </cols>
  <sheetData>
    <row r="1" ht="39" spans="1:26">
      <c r="A1" s="1" t="s">
        <v>6935</v>
      </c>
      <c r="B1" s="2" t="s">
        <v>6936</v>
      </c>
      <c r="C1" s="3" t="s">
        <v>6937</v>
      </c>
      <c r="D1" s="1" t="s">
        <v>6938</v>
      </c>
      <c r="E1" s="2" t="s">
        <v>6939</v>
      </c>
      <c r="F1" s="2" t="s">
        <v>6940</v>
      </c>
      <c r="G1" s="2" t="s">
        <v>6941</v>
      </c>
      <c r="H1" s="2" t="s">
        <v>6942</v>
      </c>
      <c r="I1" s="11" t="s">
        <v>6943</v>
      </c>
      <c r="J1" s="12" t="s">
        <v>6944</v>
      </c>
      <c r="K1" s="1" t="s">
        <v>6945</v>
      </c>
      <c r="L1" s="2" t="s">
        <v>6946</v>
      </c>
      <c r="M1" s="2" t="s">
        <v>6947</v>
      </c>
      <c r="N1" s="2" t="s">
        <v>6948</v>
      </c>
      <c r="O1" s="2" t="s">
        <v>6949</v>
      </c>
      <c r="P1" s="2" t="s">
        <v>6950</v>
      </c>
      <c r="Q1" s="2" t="s">
        <v>6951</v>
      </c>
      <c r="R1" s="2" t="s">
        <v>6952</v>
      </c>
      <c r="S1" s="2" t="s">
        <v>6953</v>
      </c>
      <c r="T1" s="2" t="s">
        <v>6954</v>
      </c>
      <c r="U1" s="12" t="s">
        <v>6955</v>
      </c>
      <c r="V1" s="1" t="s">
        <v>6956</v>
      </c>
      <c r="W1" s="11" t="s">
        <v>6957</v>
      </c>
      <c r="X1" s="12" t="s">
        <v>6958</v>
      </c>
      <c r="Y1" s="1" t="s">
        <v>6959</v>
      </c>
      <c r="Z1" s="11" t="s">
        <v>6960</v>
      </c>
    </row>
    <row r="2" ht="26.25" spans="1:26">
      <c r="A2" s="4" t="s">
        <v>6961</v>
      </c>
      <c r="B2" s="5" t="s">
        <v>6962</v>
      </c>
      <c r="C2" s="5" t="s">
        <v>721</v>
      </c>
      <c r="D2" s="5" t="s">
        <v>6963</v>
      </c>
      <c r="E2" s="5" t="s">
        <v>6964</v>
      </c>
      <c r="F2" s="5">
        <v>923154380</v>
      </c>
      <c r="G2" s="5" t="s">
        <v>6965</v>
      </c>
      <c r="H2" s="5">
        <v>1800105891</v>
      </c>
      <c r="I2" s="5">
        <v>10</v>
      </c>
      <c r="J2" s="5">
        <v>1900098158</v>
      </c>
      <c r="K2" s="5">
        <v>4500177002</v>
      </c>
      <c r="L2" s="5" t="s">
        <v>6966</v>
      </c>
      <c r="M2" s="5">
        <v>71152</v>
      </c>
      <c r="N2" s="5" t="s">
        <v>6967</v>
      </c>
      <c r="O2" s="5">
        <v>674196060</v>
      </c>
      <c r="P2" s="5">
        <v>501</v>
      </c>
      <c r="Q2" s="5">
        <v>3</v>
      </c>
      <c r="R2" s="5">
        <v>167</v>
      </c>
      <c r="S2" s="14"/>
      <c r="T2" s="5" t="s">
        <v>6968</v>
      </c>
      <c r="U2" s="5" t="s">
        <v>6969</v>
      </c>
      <c r="V2" s="5" t="s">
        <v>6970</v>
      </c>
      <c r="W2" s="5">
        <v>7078</v>
      </c>
      <c r="X2" s="6" t="s">
        <v>6971</v>
      </c>
      <c r="Y2" s="15">
        <v>45929</v>
      </c>
      <c r="Z2" s="16">
        <v>45930</v>
      </c>
    </row>
    <row r="3" ht="26.25" spans="1:26">
      <c r="A3" s="4" t="s">
        <v>6961</v>
      </c>
      <c r="B3" s="5" t="s">
        <v>6962</v>
      </c>
      <c r="C3" s="5" t="s">
        <v>721</v>
      </c>
      <c r="D3" s="5" t="s">
        <v>6963</v>
      </c>
      <c r="E3" s="5" t="s">
        <v>6964</v>
      </c>
      <c r="F3" s="5">
        <v>923154419</v>
      </c>
      <c r="G3" s="5" t="s">
        <v>6965</v>
      </c>
      <c r="H3" s="5">
        <v>1800105881</v>
      </c>
      <c r="I3" s="5">
        <v>10</v>
      </c>
      <c r="J3" s="5">
        <v>1900098148</v>
      </c>
      <c r="K3" s="5">
        <v>4500177002</v>
      </c>
      <c r="L3" s="5" t="s">
        <v>6972</v>
      </c>
      <c r="M3" s="5">
        <v>71137</v>
      </c>
      <c r="N3" s="5" t="s">
        <v>6973</v>
      </c>
      <c r="O3" s="5">
        <v>675292524</v>
      </c>
      <c r="P3" s="5">
        <v>648</v>
      </c>
      <c r="Q3" s="5">
        <v>216</v>
      </c>
      <c r="R3" s="5">
        <v>3</v>
      </c>
      <c r="S3" s="5">
        <v>324</v>
      </c>
      <c r="T3" s="5" t="s">
        <v>6974</v>
      </c>
      <c r="U3" s="5" t="s">
        <v>6969</v>
      </c>
      <c r="V3" s="5" t="s">
        <v>6975</v>
      </c>
      <c r="W3" s="5">
        <v>7042</v>
      </c>
      <c r="X3" s="6" t="s">
        <v>6976</v>
      </c>
      <c r="Y3" s="15">
        <v>45929</v>
      </c>
      <c r="Z3" s="16">
        <v>45930</v>
      </c>
    </row>
    <row r="4" ht="26.25" spans="1:26">
      <c r="A4" s="4" t="s">
        <v>6961</v>
      </c>
      <c r="B4" s="5" t="s">
        <v>6962</v>
      </c>
      <c r="C4" s="5" t="s">
        <v>721</v>
      </c>
      <c r="D4" s="5" t="s">
        <v>6963</v>
      </c>
      <c r="E4" s="5" t="s">
        <v>6964</v>
      </c>
      <c r="F4" s="5">
        <v>923154455</v>
      </c>
      <c r="G4" s="5" t="s">
        <v>6965</v>
      </c>
      <c r="H4" s="5">
        <v>1800105886</v>
      </c>
      <c r="I4" s="5">
        <v>10</v>
      </c>
      <c r="J4" s="5">
        <v>1900098153</v>
      </c>
      <c r="K4" s="5">
        <v>4500177002</v>
      </c>
      <c r="L4" s="5" t="s">
        <v>6972</v>
      </c>
      <c r="M4" s="5">
        <v>71137</v>
      </c>
      <c r="N4" s="5" t="s">
        <v>6973</v>
      </c>
      <c r="O4" s="5">
        <v>675292524</v>
      </c>
      <c r="P4" s="5">
        <v>648</v>
      </c>
      <c r="Q4" s="5">
        <v>216</v>
      </c>
      <c r="R4" s="5">
        <v>3</v>
      </c>
      <c r="S4" s="5">
        <v>324</v>
      </c>
      <c r="T4" s="5" t="s">
        <v>6974</v>
      </c>
      <c r="U4" s="5" t="s">
        <v>6969</v>
      </c>
      <c r="V4" s="5" t="s">
        <v>6977</v>
      </c>
      <c r="W4" s="5">
        <v>7067</v>
      </c>
      <c r="X4" s="6" t="s">
        <v>6978</v>
      </c>
      <c r="Y4" s="15">
        <v>45929</v>
      </c>
      <c r="Z4" s="16">
        <v>45930</v>
      </c>
    </row>
    <row r="5" ht="26.25" spans="1:26">
      <c r="A5" s="4" t="s">
        <v>6961</v>
      </c>
      <c r="B5" s="5" t="s">
        <v>6962</v>
      </c>
      <c r="C5" s="5" t="s">
        <v>721</v>
      </c>
      <c r="D5" s="5" t="s">
        <v>6963</v>
      </c>
      <c r="E5" s="5" t="s">
        <v>6964</v>
      </c>
      <c r="F5" s="5">
        <v>923154458</v>
      </c>
      <c r="G5" s="5" t="s">
        <v>6965</v>
      </c>
      <c r="H5" s="5">
        <v>1800105887</v>
      </c>
      <c r="I5" s="5">
        <v>10</v>
      </c>
      <c r="J5" s="5">
        <v>1900098154</v>
      </c>
      <c r="K5" s="5">
        <v>4500177002</v>
      </c>
      <c r="L5" s="5" t="s">
        <v>6972</v>
      </c>
      <c r="M5" s="5">
        <v>71137</v>
      </c>
      <c r="N5" s="5" t="s">
        <v>6973</v>
      </c>
      <c r="O5" s="5">
        <v>675292524</v>
      </c>
      <c r="P5" s="5">
        <v>648</v>
      </c>
      <c r="Q5" s="5">
        <v>216</v>
      </c>
      <c r="R5" s="5">
        <v>3</v>
      </c>
      <c r="S5" s="5">
        <v>324</v>
      </c>
      <c r="T5" s="5" t="s">
        <v>6974</v>
      </c>
      <c r="U5" s="5" t="s">
        <v>6969</v>
      </c>
      <c r="V5" s="5" t="s">
        <v>6970</v>
      </c>
      <c r="W5" s="5">
        <v>7078</v>
      </c>
      <c r="X5" s="6" t="s">
        <v>6971</v>
      </c>
      <c r="Y5" s="15">
        <v>45929</v>
      </c>
      <c r="Z5" s="16">
        <v>45930</v>
      </c>
    </row>
    <row r="6" ht="26.25" spans="1:26">
      <c r="A6" s="4" t="s">
        <v>6961</v>
      </c>
      <c r="B6" s="5" t="s">
        <v>6962</v>
      </c>
      <c r="C6" s="5" t="s">
        <v>721</v>
      </c>
      <c r="D6" s="5" t="s">
        <v>6963</v>
      </c>
      <c r="E6" s="5" t="s">
        <v>6964</v>
      </c>
      <c r="F6" s="5">
        <v>923154474</v>
      </c>
      <c r="G6" s="5" t="s">
        <v>6965</v>
      </c>
      <c r="H6" s="5">
        <v>1800105900</v>
      </c>
      <c r="I6" s="5">
        <v>10</v>
      </c>
      <c r="J6" s="5">
        <v>1900098167</v>
      </c>
      <c r="K6" s="5">
        <v>4500177002</v>
      </c>
      <c r="L6" s="5" t="s">
        <v>6966</v>
      </c>
      <c r="M6" s="5">
        <v>71152</v>
      </c>
      <c r="N6" s="5" t="s">
        <v>6967</v>
      </c>
      <c r="O6" s="5">
        <v>674196060</v>
      </c>
      <c r="P6" s="5">
        <v>501</v>
      </c>
      <c r="Q6" s="5">
        <v>3</v>
      </c>
      <c r="R6" s="5">
        <v>167</v>
      </c>
      <c r="S6" s="14"/>
      <c r="T6" s="5" t="s">
        <v>6968</v>
      </c>
      <c r="U6" s="5" t="s">
        <v>6969</v>
      </c>
      <c r="V6" s="5" t="s">
        <v>6975</v>
      </c>
      <c r="W6" s="5">
        <v>7042</v>
      </c>
      <c r="X6" s="6" t="s">
        <v>6976</v>
      </c>
      <c r="Y6" s="15">
        <v>45929</v>
      </c>
      <c r="Z6" s="16">
        <v>45930</v>
      </c>
    </row>
    <row r="7" ht="26.25" hidden="1" spans="1:26">
      <c r="A7" s="4" t="s">
        <v>6961</v>
      </c>
      <c r="B7" s="5" t="s">
        <v>6979</v>
      </c>
      <c r="C7" s="5" t="s">
        <v>721</v>
      </c>
      <c r="D7" s="5" t="s">
        <v>6963</v>
      </c>
      <c r="E7" s="5" t="s">
        <v>6980</v>
      </c>
      <c r="F7" s="5">
        <v>924387100</v>
      </c>
      <c r="G7" s="5" t="s">
        <v>6965</v>
      </c>
      <c r="H7" s="5">
        <v>1800101231</v>
      </c>
      <c r="I7" s="5">
        <v>10</v>
      </c>
      <c r="J7" s="5">
        <v>1900093772</v>
      </c>
      <c r="K7" s="5">
        <v>4500174270</v>
      </c>
      <c r="L7" s="5" t="s">
        <v>6981</v>
      </c>
      <c r="M7" s="5">
        <v>15731</v>
      </c>
      <c r="N7" s="5" t="s">
        <v>6982</v>
      </c>
      <c r="O7" s="5">
        <v>675158273</v>
      </c>
      <c r="P7" s="5">
        <v>3872</v>
      </c>
      <c r="Q7" s="5">
        <v>352</v>
      </c>
      <c r="R7" s="5">
        <v>11</v>
      </c>
      <c r="S7" s="5">
        <v>968</v>
      </c>
      <c r="T7" s="5" t="s">
        <v>6983</v>
      </c>
      <c r="U7" s="5" t="s">
        <v>6969</v>
      </c>
      <c r="V7" s="5" t="s">
        <v>6984</v>
      </c>
      <c r="W7" s="5">
        <v>6060</v>
      </c>
      <c r="X7" s="6" t="s">
        <v>6985</v>
      </c>
      <c r="Y7" s="15">
        <v>45926</v>
      </c>
      <c r="Z7" s="16">
        <v>45930</v>
      </c>
    </row>
    <row r="8" ht="26.25" hidden="1" spans="1:26">
      <c r="A8" s="4" t="s">
        <v>6961</v>
      </c>
      <c r="B8" s="5" t="s">
        <v>6979</v>
      </c>
      <c r="C8" s="5" t="s">
        <v>721</v>
      </c>
      <c r="D8" s="5" t="s">
        <v>6963</v>
      </c>
      <c r="E8" s="5" t="s">
        <v>6980</v>
      </c>
      <c r="F8" s="5">
        <v>924387121</v>
      </c>
      <c r="G8" s="5" t="s">
        <v>6965</v>
      </c>
      <c r="H8" s="5">
        <v>1800101231</v>
      </c>
      <c r="I8" s="5">
        <v>70</v>
      </c>
      <c r="J8" s="5">
        <v>1900093772</v>
      </c>
      <c r="K8" s="5">
        <v>4500174270</v>
      </c>
      <c r="L8" s="5" t="s">
        <v>6981</v>
      </c>
      <c r="M8" s="5">
        <v>15731</v>
      </c>
      <c r="N8" s="5" t="s">
        <v>6982</v>
      </c>
      <c r="O8" s="5">
        <v>675158273</v>
      </c>
      <c r="P8" s="5">
        <v>5632</v>
      </c>
      <c r="Q8" s="5">
        <v>352</v>
      </c>
      <c r="R8" s="5">
        <v>16</v>
      </c>
      <c r="S8" s="5">
        <v>1408</v>
      </c>
      <c r="T8" s="5" t="s">
        <v>6983</v>
      </c>
      <c r="U8" s="5" t="s">
        <v>6969</v>
      </c>
      <c r="V8" s="5" t="s">
        <v>6975</v>
      </c>
      <c r="W8" s="5">
        <v>7042</v>
      </c>
      <c r="X8" s="6" t="s">
        <v>6976</v>
      </c>
      <c r="Y8" s="15">
        <v>45924</v>
      </c>
      <c r="Z8" s="16">
        <v>45930</v>
      </c>
    </row>
    <row r="9" ht="26.25" hidden="1" spans="1:26">
      <c r="A9" s="4" t="s">
        <v>6961</v>
      </c>
      <c r="B9" s="5" t="s">
        <v>6979</v>
      </c>
      <c r="C9" s="5" t="s">
        <v>721</v>
      </c>
      <c r="D9" s="5" t="s">
        <v>6963</v>
      </c>
      <c r="E9" s="5" t="s">
        <v>6980</v>
      </c>
      <c r="F9" s="5">
        <v>924387159</v>
      </c>
      <c r="G9" s="5" t="s">
        <v>6965</v>
      </c>
      <c r="H9" s="5">
        <v>1800101231</v>
      </c>
      <c r="I9" s="5">
        <v>250</v>
      </c>
      <c r="J9" s="5">
        <v>1900093772</v>
      </c>
      <c r="K9" s="5">
        <v>4500174270</v>
      </c>
      <c r="L9" s="5" t="s">
        <v>6981</v>
      </c>
      <c r="M9" s="5">
        <v>15731</v>
      </c>
      <c r="N9" s="5" t="s">
        <v>6982</v>
      </c>
      <c r="O9" s="5">
        <v>675158273</v>
      </c>
      <c r="P9" s="5">
        <v>1056</v>
      </c>
      <c r="Q9" s="5">
        <v>352</v>
      </c>
      <c r="R9" s="5">
        <v>3</v>
      </c>
      <c r="S9" s="5">
        <v>264</v>
      </c>
      <c r="T9" s="5" t="s">
        <v>6983</v>
      </c>
      <c r="U9" s="5" t="s">
        <v>6969</v>
      </c>
      <c r="V9" s="5" t="s">
        <v>6986</v>
      </c>
      <c r="W9" s="5">
        <v>6088</v>
      </c>
      <c r="X9" s="6" t="s">
        <v>6987</v>
      </c>
      <c r="Y9" s="15">
        <v>45926</v>
      </c>
      <c r="Z9" s="16">
        <v>45930</v>
      </c>
    </row>
    <row r="10" ht="26.25" hidden="1" spans="1:26">
      <c r="A10" s="4" t="s">
        <v>6961</v>
      </c>
      <c r="B10" s="5" t="s">
        <v>6979</v>
      </c>
      <c r="C10" s="5" t="s">
        <v>721</v>
      </c>
      <c r="D10" s="5" t="s">
        <v>6963</v>
      </c>
      <c r="E10" s="5" t="s">
        <v>6980</v>
      </c>
      <c r="F10" s="5">
        <v>924387180</v>
      </c>
      <c r="G10" s="5" t="s">
        <v>6965</v>
      </c>
      <c r="H10" s="5">
        <v>1800101231</v>
      </c>
      <c r="I10" s="5">
        <v>400</v>
      </c>
      <c r="J10" s="5">
        <v>1900093772</v>
      </c>
      <c r="K10" s="5">
        <v>4500174270</v>
      </c>
      <c r="L10" s="5" t="s">
        <v>6981</v>
      </c>
      <c r="M10" s="5">
        <v>15731</v>
      </c>
      <c r="N10" s="5" t="s">
        <v>6982</v>
      </c>
      <c r="O10" s="5">
        <v>675158273</v>
      </c>
      <c r="P10" s="5">
        <v>1056</v>
      </c>
      <c r="Q10" s="5">
        <v>352</v>
      </c>
      <c r="R10" s="5">
        <v>3</v>
      </c>
      <c r="S10" s="5">
        <v>264</v>
      </c>
      <c r="T10" s="5" t="s">
        <v>6983</v>
      </c>
      <c r="U10" s="5" t="s">
        <v>6969</v>
      </c>
      <c r="V10" s="5" t="s">
        <v>6988</v>
      </c>
      <c r="W10" s="5">
        <v>8980</v>
      </c>
      <c r="X10" s="6" t="s">
        <v>6989</v>
      </c>
      <c r="Y10" s="15">
        <v>45924</v>
      </c>
      <c r="Z10" s="16">
        <v>45930</v>
      </c>
    </row>
    <row r="11" ht="26.25" hidden="1" spans="1:26">
      <c r="A11" s="4" t="s">
        <v>6961</v>
      </c>
      <c r="B11" s="5" t="s">
        <v>6979</v>
      </c>
      <c r="C11" s="5" t="s">
        <v>721</v>
      </c>
      <c r="D11" s="5" t="s">
        <v>6963</v>
      </c>
      <c r="E11" s="5" t="s">
        <v>6980</v>
      </c>
      <c r="F11" s="5">
        <v>924387187</v>
      </c>
      <c r="G11" s="5" t="s">
        <v>6965</v>
      </c>
      <c r="H11" s="5">
        <v>1800101231</v>
      </c>
      <c r="I11" s="5">
        <v>430</v>
      </c>
      <c r="J11" s="5">
        <v>1900093772</v>
      </c>
      <c r="K11" s="5">
        <v>4500174270</v>
      </c>
      <c r="L11" s="5" t="s">
        <v>6981</v>
      </c>
      <c r="M11" s="5">
        <v>15731</v>
      </c>
      <c r="N11" s="5" t="s">
        <v>6982</v>
      </c>
      <c r="O11" s="5">
        <v>675158273</v>
      </c>
      <c r="P11" s="5">
        <v>1056</v>
      </c>
      <c r="Q11" s="5">
        <v>352</v>
      </c>
      <c r="R11" s="5">
        <v>3</v>
      </c>
      <c r="S11" s="5">
        <v>264</v>
      </c>
      <c r="T11" s="5" t="s">
        <v>6983</v>
      </c>
      <c r="U11" s="5" t="s">
        <v>6969</v>
      </c>
      <c r="V11" s="5" t="s">
        <v>6990</v>
      </c>
      <c r="W11" s="5">
        <v>6061</v>
      </c>
      <c r="X11" s="6" t="s">
        <v>6991</v>
      </c>
      <c r="Y11" s="15">
        <v>45926</v>
      </c>
      <c r="Z11" s="16">
        <v>45930</v>
      </c>
    </row>
    <row r="12" ht="26.25" hidden="1" spans="1:26">
      <c r="A12" s="4" t="s">
        <v>6961</v>
      </c>
      <c r="B12" s="5" t="s">
        <v>6979</v>
      </c>
      <c r="C12" s="5" t="s">
        <v>721</v>
      </c>
      <c r="D12" s="5" t="s">
        <v>6963</v>
      </c>
      <c r="E12" s="5" t="s">
        <v>6980</v>
      </c>
      <c r="F12" s="5">
        <v>925691604</v>
      </c>
      <c r="G12" s="5" t="s">
        <v>6965</v>
      </c>
      <c r="H12" s="5">
        <v>1800101410</v>
      </c>
      <c r="I12" s="5">
        <v>40</v>
      </c>
      <c r="J12" s="5">
        <v>1900093902</v>
      </c>
      <c r="K12" s="5">
        <v>4500174252</v>
      </c>
      <c r="L12" s="5" t="s">
        <v>6992</v>
      </c>
      <c r="M12" s="5">
        <v>15728</v>
      </c>
      <c r="N12" s="5" t="s">
        <v>6993</v>
      </c>
      <c r="O12" s="5">
        <v>676063776</v>
      </c>
      <c r="P12" s="5">
        <v>2112</v>
      </c>
      <c r="Q12" s="5">
        <v>352</v>
      </c>
      <c r="R12" s="5">
        <v>6</v>
      </c>
      <c r="S12" s="5">
        <v>528</v>
      </c>
      <c r="T12" s="5" t="s">
        <v>6994</v>
      </c>
      <c r="U12" s="5" t="s">
        <v>6969</v>
      </c>
      <c r="V12" s="5" t="s">
        <v>6975</v>
      </c>
      <c r="W12" s="5">
        <v>7042</v>
      </c>
      <c r="X12" s="6" t="s">
        <v>6976</v>
      </c>
      <c r="Y12" s="15">
        <v>45924</v>
      </c>
      <c r="Z12" s="16">
        <v>45930</v>
      </c>
    </row>
    <row r="13" ht="26.25" hidden="1" spans="1:26">
      <c r="A13" s="4" t="s">
        <v>6961</v>
      </c>
      <c r="B13" s="5" t="s">
        <v>6979</v>
      </c>
      <c r="C13" s="5" t="s">
        <v>721</v>
      </c>
      <c r="D13" s="5" t="s">
        <v>6963</v>
      </c>
      <c r="E13" s="5" t="s">
        <v>6980</v>
      </c>
      <c r="F13" s="5">
        <v>925691633</v>
      </c>
      <c r="G13" s="5" t="s">
        <v>6965</v>
      </c>
      <c r="H13" s="5">
        <v>1800101410</v>
      </c>
      <c r="I13" s="5">
        <v>220</v>
      </c>
      <c r="J13" s="5">
        <v>1900093902</v>
      </c>
      <c r="K13" s="5">
        <v>4500174252</v>
      </c>
      <c r="L13" s="5" t="s">
        <v>6992</v>
      </c>
      <c r="M13" s="5">
        <v>15728</v>
      </c>
      <c r="N13" s="5" t="s">
        <v>6993</v>
      </c>
      <c r="O13" s="5">
        <v>676063776</v>
      </c>
      <c r="P13" s="5">
        <v>704</v>
      </c>
      <c r="Q13" s="5">
        <v>352</v>
      </c>
      <c r="R13" s="5">
        <v>2</v>
      </c>
      <c r="S13" s="5">
        <v>176</v>
      </c>
      <c r="T13" s="5" t="s">
        <v>6994</v>
      </c>
      <c r="U13" s="5" t="s">
        <v>6969</v>
      </c>
      <c r="V13" s="5" t="s">
        <v>6986</v>
      </c>
      <c r="W13" s="5">
        <v>6088</v>
      </c>
      <c r="X13" s="6" t="s">
        <v>6987</v>
      </c>
      <c r="Y13" s="15">
        <v>45926</v>
      </c>
      <c r="Z13" s="16">
        <v>45930</v>
      </c>
    </row>
    <row r="14" ht="26.25" hidden="1" spans="1:26">
      <c r="A14" s="4" t="s">
        <v>6961</v>
      </c>
      <c r="B14" s="5" t="s">
        <v>6979</v>
      </c>
      <c r="C14" s="5" t="s">
        <v>721</v>
      </c>
      <c r="D14" s="5" t="s">
        <v>6963</v>
      </c>
      <c r="E14" s="5" t="s">
        <v>6980</v>
      </c>
      <c r="F14" s="5">
        <v>925691647</v>
      </c>
      <c r="G14" s="5" t="s">
        <v>6965</v>
      </c>
      <c r="H14" s="5">
        <v>1800101410</v>
      </c>
      <c r="I14" s="5">
        <v>310</v>
      </c>
      <c r="J14" s="5">
        <v>1900093902</v>
      </c>
      <c r="K14" s="5">
        <v>4500174252</v>
      </c>
      <c r="L14" s="5" t="s">
        <v>6992</v>
      </c>
      <c r="M14" s="5">
        <v>15728</v>
      </c>
      <c r="N14" s="5" t="s">
        <v>6993</v>
      </c>
      <c r="O14" s="5">
        <v>676063776</v>
      </c>
      <c r="P14" s="5">
        <v>1408</v>
      </c>
      <c r="Q14" s="5">
        <v>352</v>
      </c>
      <c r="R14" s="5">
        <v>4</v>
      </c>
      <c r="S14" s="5">
        <v>352</v>
      </c>
      <c r="T14" s="5" t="s">
        <v>6994</v>
      </c>
      <c r="U14" s="5" t="s">
        <v>6969</v>
      </c>
      <c r="V14" s="5" t="s">
        <v>6984</v>
      </c>
      <c r="W14" s="5">
        <v>6060</v>
      </c>
      <c r="X14" s="6" t="s">
        <v>6985</v>
      </c>
      <c r="Y14" s="15">
        <v>45926</v>
      </c>
      <c r="Z14" s="16">
        <v>45930</v>
      </c>
    </row>
    <row r="15" ht="26.25" hidden="1" spans="1:26">
      <c r="A15" s="4" t="s">
        <v>6961</v>
      </c>
      <c r="B15" s="5" t="s">
        <v>6979</v>
      </c>
      <c r="C15" s="5" t="s">
        <v>721</v>
      </c>
      <c r="D15" s="5" t="s">
        <v>6963</v>
      </c>
      <c r="E15" s="5" t="s">
        <v>6980</v>
      </c>
      <c r="F15" s="5">
        <v>925691648</v>
      </c>
      <c r="G15" s="5" t="s">
        <v>6965</v>
      </c>
      <c r="H15" s="5">
        <v>1800101410</v>
      </c>
      <c r="I15" s="5">
        <v>340</v>
      </c>
      <c r="J15" s="5">
        <v>1900093902</v>
      </c>
      <c r="K15" s="5">
        <v>4500174252</v>
      </c>
      <c r="L15" s="5" t="s">
        <v>6992</v>
      </c>
      <c r="M15" s="5">
        <v>15728</v>
      </c>
      <c r="N15" s="5" t="s">
        <v>6993</v>
      </c>
      <c r="O15" s="5">
        <v>676063776</v>
      </c>
      <c r="P15" s="5">
        <v>704</v>
      </c>
      <c r="Q15" s="5">
        <v>352</v>
      </c>
      <c r="R15" s="5">
        <v>2</v>
      </c>
      <c r="S15" s="5">
        <v>176</v>
      </c>
      <c r="T15" s="5" t="s">
        <v>6994</v>
      </c>
      <c r="U15" s="5" t="s">
        <v>6969</v>
      </c>
      <c r="V15" s="5" t="s">
        <v>6988</v>
      </c>
      <c r="W15" s="5">
        <v>8980</v>
      </c>
      <c r="X15" s="6" t="s">
        <v>6989</v>
      </c>
      <c r="Y15" s="15">
        <v>45924</v>
      </c>
      <c r="Z15" s="16">
        <v>45930</v>
      </c>
    </row>
    <row r="16" ht="26.25" hidden="1" spans="1:26">
      <c r="A16" s="4" t="s">
        <v>6961</v>
      </c>
      <c r="B16" s="5" t="s">
        <v>6979</v>
      </c>
      <c r="C16" s="5" t="s">
        <v>721</v>
      </c>
      <c r="D16" s="5" t="s">
        <v>6963</v>
      </c>
      <c r="E16" s="5" t="s">
        <v>6980</v>
      </c>
      <c r="F16" s="5">
        <v>925691657</v>
      </c>
      <c r="G16" s="5" t="s">
        <v>6965</v>
      </c>
      <c r="H16" s="5">
        <v>1800101410</v>
      </c>
      <c r="I16" s="5">
        <v>370</v>
      </c>
      <c r="J16" s="5">
        <v>1900093902</v>
      </c>
      <c r="K16" s="5">
        <v>4500174252</v>
      </c>
      <c r="L16" s="5" t="s">
        <v>6992</v>
      </c>
      <c r="M16" s="5">
        <v>15728</v>
      </c>
      <c r="N16" s="5" t="s">
        <v>6993</v>
      </c>
      <c r="O16" s="5">
        <v>676063776</v>
      </c>
      <c r="P16" s="5">
        <v>704</v>
      </c>
      <c r="Q16" s="5">
        <v>352</v>
      </c>
      <c r="R16" s="5">
        <v>2</v>
      </c>
      <c r="S16" s="5">
        <v>176</v>
      </c>
      <c r="T16" s="5" t="s">
        <v>6994</v>
      </c>
      <c r="U16" s="5" t="s">
        <v>6969</v>
      </c>
      <c r="V16" s="5" t="s">
        <v>6990</v>
      </c>
      <c r="W16" s="5">
        <v>6061</v>
      </c>
      <c r="X16" s="6" t="s">
        <v>6991</v>
      </c>
      <c r="Y16" s="15">
        <v>45926</v>
      </c>
      <c r="Z16" s="16">
        <v>45930</v>
      </c>
    </row>
    <row r="17" ht="39" hidden="1" spans="1:26">
      <c r="A17" s="4" t="s">
        <v>6961</v>
      </c>
      <c r="B17" s="5" t="s">
        <v>6979</v>
      </c>
      <c r="C17" s="5" t="s">
        <v>721</v>
      </c>
      <c r="D17" s="5" t="s">
        <v>6963</v>
      </c>
      <c r="E17" s="5" t="s">
        <v>6980</v>
      </c>
      <c r="F17" s="5">
        <v>925691569</v>
      </c>
      <c r="G17" s="5" t="s">
        <v>6965</v>
      </c>
      <c r="H17" s="5">
        <v>1800101403</v>
      </c>
      <c r="I17" s="5">
        <v>40</v>
      </c>
      <c r="J17" s="5">
        <v>1900093895</v>
      </c>
      <c r="K17" s="5">
        <v>4500174208</v>
      </c>
      <c r="L17" s="5" t="s">
        <v>6995</v>
      </c>
      <c r="M17" s="5">
        <v>15727</v>
      </c>
      <c r="N17" s="5" t="s">
        <v>6996</v>
      </c>
      <c r="O17" s="5">
        <v>675122186</v>
      </c>
      <c r="P17" s="5">
        <v>3872</v>
      </c>
      <c r="Q17" s="5">
        <v>352</v>
      </c>
      <c r="R17" s="5">
        <v>11</v>
      </c>
      <c r="S17" s="5">
        <v>968</v>
      </c>
      <c r="T17" s="5" t="s">
        <v>6997</v>
      </c>
      <c r="U17" s="5" t="s">
        <v>6969</v>
      </c>
      <c r="V17" s="5" t="s">
        <v>6984</v>
      </c>
      <c r="W17" s="5">
        <v>6060</v>
      </c>
      <c r="X17" s="6" t="s">
        <v>6985</v>
      </c>
      <c r="Y17" s="15">
        <v>45926</v>
      </c>
      <c r="Z17" s="16">
        <v>45930</v>
      </c>
    </row>
    <row r="18" ht="39" hidden="1" spans="1:26">
      <c r="A18" s="4" t="s">
        <v>6961</v>
      </c>
      <c r="B18" s="5" t="s">
        <v>6979</v>
      </c>
      <c r="C18" s="5" t="s">
        <v>721</v>
      </c>
      <c r="D18" s="5" t="s">
        <v>6963</v>
      </c>
      <c r="E18" s="5" t="s">
        <v>6980</v>
      </c>
      <c r="F18" s="5">
        <v>925691576</v>
      </c>
      <c r="G18" s="5" t="s">
        <v>6965</v>
      </c>
      <c r="H18" s="5">
        <v>1800101403</v>
      </c>
      <c r="I18" s="5">
        <v>100</v>
      </c>
      <c r="J18" s="5">
        <v>1900093895</v>
      </c>
      <c r="K18" s="5">
        <v>4500174208</v>
      </c>
      <c r="L18" s="5" t="s">
        <v>6995</v>
      </c>
      <c r="M18" s="5">
        <v>15727</v>
      </c>
      <c r="N18" s="5" t="s">
        <v>6996</v>
      </c>
      <c r="O18" s="5">
        <v>675122186</v>
      </c>
      <c r="P18" s="5">
        <v>1056</v>
      </c>
      <c r="Q18" s="5">
        <v>352</v>
      </c>
      <c r="R18" s="5">
        <v>3</v>
      </c>
      <c r="S18" s="5">
        <v>264</v>
      </c>
      <c r="T18" s="5" t="s">
        <v>6997</v>
      </c>
      <c r="U18" s="5" t="s">
        <v>6969</v>
      </c>
      <c r="V18" s="5" t="s">
        <v>6990</v>
      </c>
      <c r="W18" s="5">
        <v>6061</v>
      </c>
      <c r="X18" s="6" t="s">
        <v>6991</v>
      </c>
      <c r="Y18" s="15">
        <v>45926</v>
      </c>
      <c r="Z18" s="16">
        <v>45930</v>
      </c>
    </row>
    <row r="19" ht="39" hidden="1" spans="1:26">
      <c r="A19" s="4" t="s">
        <v>6961</v>
      </c>
      <c r="B19" s="5" t="s">
        <v>6979</v>
      </c>
      <c r="C19" s="5" t="s">
        <v>721</v>
      </c>
      <c r="D19" s="5" t="s">
        <v>6963</v>
      </c>
      <c r="E19" s="5" t="s">
        <v>6980</v>
      </c>
      <c r="F19" s="5">
        <v>925691580</v>
      </c>
      <c r="G19" s="5" t="s">
        <v>6965</v>
      </c>
      <c r="H19" s="5">
        <v>1800101403</v>
      </c>
      <c r="I19" s="5">
        <v>190</v>
      </c>
      <c r="J19" s="5">
        <v>1900093895</v>
      </c>
      <c r="K19" s="5">
        <v>4500174208</v>
      </c>
      <c r="L19" s="5" t="s">
        <v>6995</v>
      </c>
      <c r="M19" s="5">
        <v>15727</v>
      </c>
      <c r="N19" s="5" t="s">
        <v>6996</v>
      </c>
      <c r="O19" s="5">
        <v>675122186</v>
      </c>
      <c r="P19" s="5">
        <v>5632</v>
      </c>
      <c r="Q19" s="5">
        <v>352</v>
      </c>
      <c r="R19" s="5">
        <v>16</v>
      </c>
      <c r="S19" s="5">
        <v>1408</v>
      </c>
      <c r="T19" s="5" t="s">
        <v>6997</v>
      </c>
      <c r="U19" s="5" t="s">
        <v>6969</v>
      </c>
      <c r="V19" s="5" t="s">
        <v>6975</v>
      </c>
      <c r="W19" s="5">
        <v>7042</v>
      </c>
      <c r="X19" s="6" t="s">
        <v>6976</v>
      </c>
      <c r="Y19" s="15">
        <v>45924</v>
      </c>
      <c r="Z19" s="16">
        <v>45930</v>
      </c>
    </row>
    <row r="20" ht="39" hidden="1" spans="1:26">
      <c r="A20" s="4" t="s">
        <v>6961</v>
      </c>
      <c r="B20" s="5" t="s">
        <v>6979</v>
      </c>
      <c r="C20" s="5" t="s">
        <v>721</v>
      </c>
      <c r="D20" s="5" t="s">
        <v>6963</v>
      </c>
      <c r="E20" s="5" t="s">
        <v>6980</v>
      </c>
      <c r="F20" s="5">
        <v>925691611</v>
      </c>
      <c r="G20" s="5" t="s">
        <v>6965</v>
      </c>
      <c r="H20" s="5">
        <v>1800101403</v>
      </c>
      <c r="I20" s="5">
        <v>340</v>
      </c>
      <c r="J20" s="5">
        <v>1900093895</v>
      </c>
      <c r="K20" s="5">
        <v>4500174208</v>
      </c>
      <c r="L20" s="5" t="s">
        <v>6995</v>
      </c>
      <c r="M20" s="5">
        <v>15727</v>
      </c>
      <c r="N20" s="5" t="s">
        <v>6996</v>
      </c>
      <c r="O20" s="5">
        <v>675122186</v>
      </c>
      <c r="P20" s="5">
        <v>1056</v>
      </c>
      <c r="Q20" s="5">
        <v>352</v>
      </c>
      <c r="R20" s="5">
        <v>3</v>
      </c>
      <c r="S20" s="5">
        <v>264</v>
      </c>
      <c r="T20" s="5" t="s">
        <v>6997</v>
      </c>
      <c r="U20" s="5" t="s">
        <v>6969</v>
      </c>
      <c r="V20" s="5" t="s">
        <v>6986</v>
      </c>
      <c r="W20" s="5">
        <v>6088</v>
      </c>
      <c r="X20" s="6" t="s">
        <v>6987</v>
      </c>
      <c r="Y20" s="15">
        <v>45926</v>
      </c>
      <c r="Z20" s="16">
        <v>45930</v>
      </c>
    </row>
    <row r="21" ht="39" hidden="1" spans="1:26">
      <c r="A21" s="4" t="s">
        <v>6961</v>
      </c>
      <c r="B21" s="5" t="s">
        <v>6979</v>
      </c>
      <c r="C21" s="5" t="s">
        <v>721</v>
      </c>
      <c r="D21" s="5" t="s">
        <v>6963</v>
      </c>
      <c r="E21" s="5" t="s">
        <v>6980</v>
      </c>
      <c r="F21" s="5">
        <v>925691642</v>
      </c>
      <c r="G21" s="5" t="s">
        <v>6965</v>
      </c>
      <c r="H21" s="5">
        <v>1800101403</v>
      </c>
      <c r="I21" s="5">
        <v>460</v>
      </c>
      <c r="J21" s="5">
        <v>1900093895</v>
      </c>
      <c r="K21" s="5">
        <v>4500174208</v>
      </c>
      <c r="L21" s="5" t="s">
        <v>6995</v>
      </c>
      <c r="M21" s="5">
        <v>15727</v>
      </c>
      <c r="N21" s="5" t="s">
        <v>6996</v>
      </c>
      <c r="O21" s="5">
        <v>675122186</v>
      </c>
      <c r="P21" s="5">
        <v>1056</v>
      </c>
      <c r="Q21" s="5">
        <v>352</v>
      </c>
      <c r="R21" s="5">
        <v>3</v>
      </c>
      <c r="S21" s="5">
        <v>264</v>
      </c>
      <c r="T21" s="5" t="s">
        <v>6997</v>
      </c>
      <c r="U21" s="5" t="s">
        <v>6969</v>
      </c>
      <c r="V21" s="5" t="s">
        <v>6988</v>
      </c>
      <c r="W21" s="5">
        <v>8980</v>
      </c>
      <c r="X21" s="6" t="s">
        <v>6989</v>
      </c>
      <c r="Y21" s="15">
        <v>45924</v>
      </c>
      <c r="Z21" s="16">
        <v>45930</v>
      </c>
    </row>
    <row r="22" ht="26.25" hidden="1" spans="1:26">
      <c r="A22" s="4" t="s">
        <v>6961</v>
      </c>
      <c r="B22" s="5" t="s">
        <v>6979</v>
      </c>
      <c r="C22" s="6" t="s">
        <v>721</v>
      </c>
      <c r="D22" s="4" t="s">
        <v>6963</v>
      </c>
      <c r="E22" s="5" t="s">
        <v>6980</v>
      </c>
      <c r="F22" s="5">
        <v>928876903</v>
      </c>
      <c r="G22" s="5" t="s">
        <v>6965</v>
      </c>
      <c r="H22" s="5">
        <v>1800102965</v>
      </c>
      <c r="I22" s="5">
        <v>10</v>
      </c>
      <c r="J22" s="6">
        <v>1900095288</v>
      </c>
      <c r="K22" s="4">
        <v>4500174252</v>
      </c>
      <c r="L22" s="5" t="s">
        <v>6992</v>
      </c>
      <c r="M22" s="5">
        <v>15728</v>
      </c>
      <c r="N22" s="5" t="s">
        <v>6993</v>
      </c>
      <c r="O22" s="5">
        <v>676063776</v>
      </c>
      <c r="P22" s="13">
        <v>2464</v>
      </c>
      <c r="Q22" s="5">
        <v>352</v>
      </c>
      <c r="R22" s="5">
        <v>7</v>
      </c>
      <c r="S22" s="5">
        <v>616</v>
      </c>
      <c r="T22" s="5" t="s">
        <v>6994</v>
      </c>
      <c r="U22" s="6" t="s">
        <v>6969</v>
      </c>
      <c r="V22" s="4" t="s">
        <v>6988</v>
      </c>
      <c r="W22" s="5">
        <v>8980</v>
      </c>
      <c r="X22" s="6" t="s">
        <v>6989</v>
      </c>
      <c r="Y22" s="15">
        <v>45915</v>
      </c>
      <c r="Z22" s="17">
        <v>45930</v>
      </c>
    </row>
    <row r="23" ht="26.25" hidden="1" spans="1:26">
      <c r="A23" s="4" t="s">
        <v>6961</v>
      </c>
      <c r="B23" s="5" t="s">
        <v>6979</v>
      </c>
      <c r="C23" s="5" t="s">
        <v>721</v>
      </c>
      <c r="D23" s="5" t="s">
        <v>6963</v>
      </c>
      <c r="E23" s="5" t="s">
        <v>6980</v>
      </c>
      <c r="F23" s="5">
        <v>930442509</v>
      </c>
      <c r="G23" s="5" t="s">
        <v>6965</v>
      </c>
      <c r="H23" s="7">
        <v>1800103561</v>
      </c>
      <c r="I23" s="7">
        <v>10</v>
      </c>
      <c r="J23" s="7">
        <v>1900095979</v>
      </c>
      <c r="K23" s="5">
        <v>4500174181</v>
      </c>
      <c r="L23" s="5" t="s">
        <v>6998</v>
      </c>
      <c r="M23" s="5">
        <v>15704</v>
      </c>
      <c r="N23" s="5" t="s">
        <v>6999</v>
      </c>
      <c r="O23" s="5">
        <v>675143879</v>
      </c>
      <c r="P23" s="5">
        <v>16560</v>
      </c>
      <c r="Q23" s="5">
        <v>2760</v>
      </c>
      <c r="R23" s="5">
        <v>6</v>
      </c>
      <c r="S23" s="5">
        <v>690</v>
      </c>
      <c r="T23" s="5" t="s">
        <v>7000</v>
      </c>
      <c r="U23" s="5" t="s">
        <v>6969</v>
      </c>
      <c r="V23" s="5" t="s">
        <v>6988</v>
      </c>
      <c r="W23" s="5">
        <v>8980</v>
      </c>
      <c r="X23" s="6" t="s">
        <v>6989</v>
      </c>
      <c r="Y23" s="15">
        <v>45924</v>
      </c>
      <c r="Z23" s="16">
        <v>45930</v>
      </c>
    </row>
    <row r="24" ht="26.25" hidden="1" spans="1:26">
      <c r="A24" s="4" t="s">
        <v>6961</v>
      </c>
      <c r="B24" s="5" t="s">
        <v>6979</v>
      </c>
      <c r="C24" s="5" t="s">
        <v>721</v>
      </c>
      <c r="D24" s="5" t="s">
        <v>6963</v>
      </c>
      <c r="E24" s="5" t="s">
        <v>6980</v>
      </c>
      <c r="F24" s="5">
        <v>930442490</v>
      </c>
      <c r="G24" s="5" t="s">
        <v>6965</v>
      </c>
      <c r="H24" s="8">
        <v>1800103562</v>
      </c>
      <c r="I24" s="8">
        <v>10</v>
      </c>
      <c r="J24" s="8">
        <v>1900095980</v>
      </c>
      <c r="K24" s="5">
        <v>4500174181</v>
      </c>
      <c r="L24" s="5" t="s">
        <v>6998</v>
      </c>
      <c r="M24" s="5">
        <v>15704</v>
      </c>
      <c r="N24" s="5" t="s">
        <v>6999</v>
      </c>
      <c r="O24" s="5">
        <v>675143879</v>
      </c>
      <c r="P24" s="5">
        <v>22080</v>
      </c>
      <c r="Q24" s="5">
        <v>2760</v>
      </c>
      <c r="R24" s="5">
        <v>8</v>
      </c>
      <c r="S24" s="5">
        <v>920</v>
      </c>
      <c r="T24" s="5" t="s">
        <v>7000</v>
      </c>
      <c r="U24" s="5" t="s">
        <v>6969</v>
      </c>
      <c r="V24" s="5" t="s">
        <v>6977</v>
      </c>
      <c r="W24" s="5">
        <v>7067</v>
      </c>
      <c r="X24" s="6" t="s">
        <v>6978</v>
      </c>
      <c r="Y24" s="15">
        <v>45924</v>
      </c>
      <c r="Z24" s="16">
        <v>45930</v>
      </c>
    </row>
    <row r="25" ht="26.25" hidden="1" spans="1:26">
      <c r="A25" s="4" t="s">
        <v>6961</v>
      </c>
      <c r="B25" s="5" t="s">
        <v>6979</v>
      </c>
      <c r="C25" s="5" t="s">
        <v>721</v>
      </c>
      <c r="D25" s="5" t="s">
        <v>6963</v>
      </c>
      <c r="E25" s="5" t="s">
        <v>6980</v>
      </c>
      <c r="F25" s="5">
        <v>930442479</v>
      </c>
      <c r="G25" s="5" t="s">
        <v>6965</v>
      </c>
      <c r="H25" s="8">
        <v>1800103566</v>
      </c>
      <c r="I25" s="8">
        <v>10</v>
      </c>
      <c r="J25" s="8">
        <v>1900095984</v>
      </c>
      <c r="K25" s="5">
        <v>4500174181</v>
      </c>
      <c r="L25" s="5" t="s">
        <v>6998</v>
      </c>
      <c r="M25" s="5">
        <v>15704</v>
      </c>
      <c r="N25" s="5" t="s">
        <v>6999</v>
      </c>
      <c r="O25" s="5">
        <v>675143879</v>
      </c>
      <c r="P25" s="5">
        <v>24840</v>
      </c>
      <c r="Q25" s="5">
        <v>2760</v>
      </c>
      <c r="R25" s="5">
        <v>9</v>
      </c>
      <c r="S25" s="5">
        <v>1035</v>
      </c>
      <c r="T25" s="5" t="s">
        <v>7000</v>
      </c>
      <c r="U25" s="5" t="s">
        <v>6969</v>
      </c>
      <c r="V25" s="5" t="s">
        <v>6975</v>
      </c>
      <c r="W25" s="5">
        <v>7042</v>
      </c>
      <c r="X25" s="6" t="s">
        <v>6976</v>
      </c>
      <c r="Y25" s="15">
        <v>45924</v>
      </c>
      <c r="Z25" s="16">
        <v>45930</v>
      </c>
    </row>
    <row r="26" ht="26.25" hidden="1" spans="1:26">
      <c r="A26" s="4" t="s">
        <v>6961</v>
      </c>
      <c r="B26" s="5" t="s">
        <v>6979</v>
      </c>
      <c r="C26" s="5" t="s">
        <v>721</v>
      </c>
      <c r="D26" s="5" t="s">
        <v>6963</v>
      </c>
      <c r="E26" s="5" t="s">
        <v>6980</v>
      </c>
      <c r="F26" s="5">
        <v>930442498</v>
      </c>
      <c r="G26" s="5" t="s">
        <v>6965</v>
      </c>
      <c r="H26" s="8">
        <v>1800103569</v>
      </c>
      <c r="I26" s="8">
        <v>10</v>
      </c>
      <c r="J26" s="8">
        <v>1900095987</v>
      </c>
      <c r="K26" s="5">
        <v>4500174181</v>
      </c>
      <c r="L26" s="5" t="s">
        <v>6998</v>
      </c>
      <c r="M26" s="5">
        <v>15704</v>
      </c>
      <c r="N26" s="5" t="s">
        <v>6999</v>
      </c>
      <c r="O26" s="5">
        <v>675143879</v>
      </c>
      <c r="P26" s="5">
        <v>16560</v>
      </c>
      <c r="Q26" s="5">
        <v>2760</v>
      </c>
      <c r="R26" s="5">
        <v>6</v>
      </c>
      <c r="S26" s="5">
        <v>690</v>
      </c>
      <c r="T26" s="5" t="s">
        <v>7000</v>
      </c>
      <c r="U26" s="5" t="s">
        <v>6969</v>
      </c>
      <c r="V26" s="5" t="s">
        <v>6984</v>
      </c>
      <c r="W26" s="5">
        <v>6060</v>
      </c>
      <c r="X26" s="6" t="s">
        <v>6985</v>
      </c>
      <c r="Y26" s="15">
        <v>45924</v>
      </c>
      <c r="Z26" s="16">
        <v>45930</v>
      </c>
    </row>
    <row r="27" ht="26.25" hidden="1" spans="1:26">
      <c r="A27" s="4" t="s">
        <v>6961</v>
      </c>
      <c r="B27" s="5" t="s">
        <v>6979</v>
      </c>
      <c r="C27" s="5" t="s">
        <v>721</v>
      </c>
      <c r="D27" s="5" t="s">
        <v>6963</v>
      </c>
      <c r="E27" s="5" t="s">
        <v>6980</v>
      </c>
      <c r="F27" s="5">
        <v>930442516</v>
      </c>
      <c r="G27" s="5" t="s">
        <v>6965</v>
      </c>
      <c r="H27" s="8">
        <v>1800103607</v>
      </c>
      <c r="I27" s="8">
        <v>10</v>
      </c>
      <c r="J27" s="8">
        <v>1900096027</v>
      </c>
      <c r="K27" s="5">
        <v>4500174181</v>
      </c>
      <c r="L27" s="5" t="s">
        <v>6998</v>
      </c>
      <c r="M27" s="5">
        <v>15704</v>
      </c>
      <c r="N27" s="5" t="s">
        <v>6999</v>
      </c>
      <c r="O27" s="5">
        <v>675143879</v>
      </c>
      <c r="P27" s="5">
        <v>19320</v>
      </c>
      <c r="Q27" s="5">
        <v>2760</v>
      </c>
      <c r="R27" s="5">
        <v>7</v>
      </c>
      <c r="S27" s="5">
        <v>805</v>
      </c>
      <c r="T27" s="5" t="s">
        <v>7000</v>
      </c>
      <c r="U27" s="5" t="s">
        <v>6969</v>
      </c>
      <c r="V27" s="5" t="s">
        <v>6986</v>
      </c>
      <c r="W27" s="5">
        <v>6088</v>
      </c>
      <c r="X27" s="6" t="s">
        <v>6987</v>
      </c>
      <c r="Y27" s="15">
        <v>45924</v>
      </c>
      <c r="Z27" s="16">
        <v>45930</v>
      </c>
    </row>
    <row r="28" ht="26.25" hidden="1" spans="1:26">
      <c r="A28" s="4" t="s">
        <v>6961</v>
      </c>
      <c r="B28" s="5" t="s">
        <v>6979</v>
      </c>
      <c r="C28" s="5" t="s">
        <v>721</v>
      </c>
      <c r="D28" s="5" t="s">
        <v>6963</v>
      </c>
      <c r="E28" s="5" t="s">
        <v>6980</v>
      </c>
      <c r="F28" s="5">
        <v>930442494</v>
      </c>
      <c r="G28" s="5" t="s">
        <v>6965</v>
      </c>
      <c r="H28" s="8">
        <v>1800103634</v>
      </c>
      <c r="I28" s="8">
        <v>10</v>
      </c>
      <c r="J28" s="8">
        <v>1900096055</v>
      </c>
      <c r="K28" s="5">
        <v>4500174181</v>
      </c>
      <c r="L28" s="5" t="s">
        <v>6998</v>
      </c>
      <c r="M28" s="5">
        <v>15704</v>
      </c>
      <c r="N28" s="5" t="s">
        <v>6999</v>
      </c>
      <c r="O28" s="5">
        <v>675143879</v>
      </c>
      <c r="P28" s="5">
        <v>13800</v>
      </c>
      <c r="Q28" s="5">
        <v>2760</v>
      </c>
      <c r="R28" s="5">
        <v>5</v>
      </c>
      <c r="S28" s="5">
        <v>575</v>
      </c>
      <c r="T28" s="5" t="s">
        <v>7000</v>
      </c>
      <c r="U28" s="5" t="s">
        <v>6969</v>
      </c>
      <c r="V28" s="5" t="s">
        <v>6990</v>
      </c>
      <c r="W28" s="5">
        <v>6061</v>
      </c>
      <c r="X28" s="6" t="s">
        <v>6991</v>
      </c>
      <c r="Y28" s="15">
        <v>45924</v>
      </c>
      <c r="Z28" s="16">
        <v>45930</v>
      </c>
    </row>
    <row r="29" ht="39" hidden="1" spans="1:26">
      <c r="A29" s="4" t="s">
        <v>7001</v>
      </c>
      <c r="B29" s="5" t="s">
        <v>6979</v>
      </c>
      <c r="C29" s="5" t="s">
        <v>721</v>
      </c>
      <c r="D29" s="5" t="s">
        <v>6963</v>
      </c>
      <c r="E29" s="5" t="s">
        <v>6980</v>
      </c>
      <c r="F29" s="9">
        <v>931025831</v>
      </c>
      <c r="G29" s="5" t="s">
        <v>7002</v>
      </c>
      <c r="H29" s="5">
        <v>1800103809</v>
      </c>
      <c r="I29" s="5">
        <v>70</v>
      </c>
      <c r="J29" s="8">
        <v>1900096219</v>
      </c>
      <c r="K29" s="5">
        <v>4500174273</v>
      </c>
      <c r="L29" s="5" t="s">
        <v>7003</v>
      </c>
      <c r="M29" s="5" t="s">
        <v>7004</v>
      </c>
      <c r="N29" s="5" t="s">
        <v>7005</v>
      </c>
      <c r="O29" s="5">
        <v>676006115</v>
      </c>
      <c r="P29" s="5">
        <v>168</v>
      </c>
      <c r="Q29" s="5">
        <v>12</v>
      </c>
      <c r="R29" s="5">
        <v>14</v>
      </c>
      <c r="S29" s="14"/>
      <c r="T29" s="5" t="s">
        <v>7006</v>
      </c>
      <c r="U29" s="5" t="s">
        <v>6969</v>
      </c>
      <c r="V29" s="5" t="s">
        <v>6984</v>
      </c>
      <c r="W29" s="5">
        <v>7058</v>
      </c>
      <c r="X29" s="6" t="s">
        <v>6985</v>
      </c>
      <c r="Y29" s="15">
        <v>45926</v>
      </c>
      <c r="Z29" s="16">
        <v>45930</v>
      </c>
    </row>
    <row r="30" ht="26.25" hidden="1" spans="1:26">
      <c r="A30" s="4" t="s">
        <v>7001</v>
      </c>
      <c r="B30" s="5" t="s">
        <v>6979</v>
      </c>
      <c r="C30" s="5" t="s">
        <v>721</v>
      </c>
      <c r="D30" s="5" t="s">
        <v>6963</v>
      </c>
      <c r="E30" s="5" t="s">
        <v>6980</v>
      </c>
      <c r="F30" s="9">
        <v>931025831</v>
      </c>
      <c r="G30" s="5" t="s">
        <v>7002</v>
      </c>
      <c r="H30" s="5">
        <v>1800103809</v>
      </c>
      <c r="I30" s="5">
        <v>80</v>
      </c>
      <c r="J30" s="8">
        <v>1900096219</v>
      </c>
      <c r="K30" s="5">
        <v>4500174273</v>
      </c>
      <c r="L30" s="5" t="s">
        <v>7007</v>
      </c>
      <c r="M30" s="5" t="s">
        <v>7008</v>
      </c>
      <c r="N30" s="5" t="s">
        <v>7009</v>
      </c>
      <c r="O30" s="5">
        <v>676006116</v>
      </c>
      <c r="P30" s="5">
        <v>168</v>
      </c>
      <c r="Q30" s="5">
        <v>12</v>
      </c>
      <c r="R30" s="5">
        <v>14</v>
      </c>
      <c r="S30" s="14"/>
      <c r="T30" s="5" t="s">
        <v>7010</v>
      </c>
      <c r="U30" s="5" t="s">
        <v>6969</v>
      </c>
      <c r="V30" s="5" t="s">
        <v>6984</v>
      </c>
      <c r="W30" s="5">
        <v>7058</v>
      </c>
      <c r="X30" s="6" t="s">
        <v>6985</v>
      </c>
      <c r="Y30" s="15">
        <v>45926</v>
      </c>
      <c r="Z30" s="16">
        <v>45930</v>
      </c>
    </row>
    <row r="31" ht="26.25" hidden="1" spans="1:26">
      <c r="A31" s="4" t="s">
        <v>7001</v>
      </c>
      <c r="B31" s="5" t="s">
        <v>6979</v>
      </c>
      <c r="C31" s="5" t="s">
        <v>721</v>
      </c>
      <c r="D31" s="5" t="s">
        <v>6963</v>
      </c>
      <c r="E31" s="5" t="s">
        <v>6980</v>
      </c>
      <c r="F31" s="9">
        <v>931025831</v>
      </c>
      <c r="G31" s="5" t="s">
        <v>7002</v>
      </c>
      <c r="H31" s="5">
        <v>1800103809</v>
      </c>
      <c r="I31" s="5">
        <v>90</v>
      </c>
      <c r="J31" s="8">
        <v>1900096219</v>
      </c>
      <c r="K31" s="5">
        <v>4500174273</v>
      </c>
      <c r="L31" s="5" t="s">
        <v>7011</v>
      </c>
      <c r="M31" s="5" t="s">
        <v>7012</v>
      </c>
      <c r="N31" s="5" t="s">
        <v>7013</v>
      </c>
      <c r="O31" s="5">
        <v>676033350</v>
      </c>
      <c r="P31" s="5">
        <v>168</v>
      </c>
      <c r="Q31" s="5">
        <v>12</v>
      </c>
      <c r="R31" s="5">
        <v>14</v>
      </c>
      <c r="S31" s="14"/>
      <c r="T31" s="5" t="s">
        <v>7014</v>
      </c>
      <c r="U31" s="5" t="s">
        <v>6969</v>
      </c>
      <c r="V31" s="5" t="s">
        <v>6984</v>
      </c>
      <c r="W31" s="5">
        <v>7058</v>
      </c>
      <c r="X31" s="6" t="s">
        <v>6985</v>
      </c>
      <c r="Y31" s="15">
        <v>45926</v>
      </c>
      <c r="Z31" s="16">
        <v>45930</v>
      </c>
    </row>
    <row r="32" ht="39" hidden="1" spans="1:26">
      <c r="A32" s="4" t="s">
        <v>7001</v>
      </c>
      <c r="B32" s="5" t="s">
        <v>6979</v>
      </c>
      <c r="C32" s="5" t="s">
        <v>721</v>
      </c>
      <c r="D32" s="5" t="s">
        <v>6963</v>
      </c>
      <c r="E32" s="5" t="s">
        <v>6980</v>
      </c>
      <c r="F32" s="9">
        <v>931025836</v>
      </c>
      <c r="G32" s="5" t="s">
        <v>7002</v>
      </c>
      <c r="H32" s="5">
        <v>1800103809</v>
      </c>
      <c r="I32" s="5">
        <v>100</v>
      </c>
      <c r="J32" s="8">
        <v>1900096219</v>
      </c>
      <c r="K32" s="5">
        <v>4500174273</v>
      </c>
      <c r="L32" s="5" t="s">
        <v>7003</v>
      </c>
      <c r="M32" s="5" t="s">
        <v>7004</v>
      </c>
      <c r="N32" s="5" t="s">
        <v>7005</v>
      </c>
      <c r="O32" s="5">
        <v>676006115</v>
      </c>
      <c r="P32" s="5">
        <v>324</v>
      </c>
      <c r="Q32" s="5">
        <v>12</v>
      </c>
      <c r="R32" s="5">
        <v>27</v>
      </c>
      <c r="S32" s="14"/>
      <c r="T32" s="5" t="s">
        <v>7006</v>
      </c>
      <c r="U32" s="5" t="s">
        <v>6969</v>
      </c>
      <c r="V32" s="5" t="s">
        <v>6970</v>
      </c>
      <c r="W32" s="5">
        <v>7080</v>
      </c>
      <c r="X32" s="6" t="s">
        <v>6971</v>
      </c>
      <c r="Y32" s="15">
        <v>45926</v>
      </c>
      <c r="Z32" s="16">
        <v>45930</v>
      </c>
    </row>
    <row r="33" ht="26.25" hidden="1" spans="1:26">
      <c r="A33" s="4" t="s">
        <v>7001</v>
      </c>
      <c r="B33" s="5" t="s">
        <v>6979</v>
      </c>
      <c r="C33" s="5" t="s">
        <v>721</v>
      </c>
      <c r="D33" s="5" t="s">
        <v>6963</v>
      </c>
      <c r="E33" s="5" t="s">
        <v>6980</v>
      </c>
      <c r="F33" s="9">
        <v>931025836</v>
      </c>
      <c r="G33" s="5" t="s">
        <v>7002</v>
      </c>
      <c r="H33" s="5">
        <v>1800103809</v>
      </c>
      <c r="I33" s="5">
        <v>110</v>
      </c>
      <c r="J33" s="8">
        <v>1900096219</v>
      </c>
      <c r="K33" s="5">
        <v>4500174273</v>
      </c>
      <c r="L33" s="5" t="s">
        <v>7007</v>
      </c>
      <c r="M33" s="5" t="s">
        <v>7008</v>
      </c>
      <c r="N33" s="5" t="s">
        <v>7009</v>
      </c>
      <c r="O33" s="5">
        <v>676006116</v>
      </c>
      <c r="P33" s="5">
        <v>324</v>
      </c>
      <c r="Q33" s="5">
        <v>12</v>
      </c>
      <c r="R33" s="5">
        <v>27</v>
      </c>
      <c r="S33" s="14"/>
      <c r="T33" s="5" t="s">
        <v>7010</v>
      </c>
      <c r="U33" s="5" t="s">
        <v>6969</v>
      </c>
      <c r="V33" s="5" t="s">
        <v>6970</v>
      </c>
      <c r="W33" s="5">
        <v>7080</v>
      </c>
      <c r="X33" s="6" t="s">
        <v>6971</v>
      </c>
      <c r="Y33" s="15">
        <v>45926</v>
      </c>
      <c r="Z33" s="16">
        <v>45930</v>
      </c>
    </row>
    <row r="34" ht="26.25" hidden="1" spans="1:26">
      <c r="A34" s="4" t="s">
        <v>7001</v>
      </c>
      <c r="B34" s="5" t="s">
        <v>6979</v>
      </c>
      <c r="C34" s="5" t="s">
        <v>721</v>
      </c>
      <c r="D34" s="5" t="s">
        <v>6963</v>
      </c>
      <c r="E34" s="5" t="s">
        <v>6980</v>
      </c>
      <c r="F34" s="9">
        <v>931025836</v>
      </c>
      <c r="G34" s="5" t="s">
        <v>7002</v>
      </c>
      <c r="H34" s="5">
        <v>1800103809</v>
      </c>
      <c r="I34" s="5">
        <v>120</v>
      </c>
      <c r="J34" s="10">
        <v>1900096219</v>
      </c>
      <c r="K34" s="5">
        <v>4500174273</v>
      </c>
      <c r="L34" s="5" t="s">
        <v>7011</v>
      </c>
      <c r="M34" s="5" t="s">
        <v>7012</v>
      </c>
      <c r="N34" s="5" t="s">
        <v>7013</v>
      </c>
      <c r="O34" s="5">
        <v>676033350</v>
      </c>
      <c r="P34" s="5">
        <v>324</v>
      </c>
      <c r="Q34" s="5">
        <v>12</v>
      </c>
      <c r="R34" s="5">
        <v>27</v>
      </c>
      <c r="S34" s="14"/>
      <c r="T34" s="5" t="s">
        <v>7014</v>
      </c>
      <c r="U34" s="5" t="s">
        <v>6969</v>
      </c>
      <c r="V34" s="5" t="s">
        <v>6970</v>
      </c>
      <c r="W34" s="5">
        <v>7080</v>
      </c>
      <c r="X34" s="6" t="s">
        <v>6971</v>
      </c>
      <c r="Y34" s="15">
        <v>45926</v>
      </c>
      <c r="Z34" s="16">
        <v>45930</v>
      </c>
    </row>
    <row r="35" ht="26.25" spans="1:26">
      <c r="A35" s="5" t="s">
        <v>6961</v>
      </c>
      <c r="B35" s="5" t="s">
        <v>7015</v>
      </c>
      <c r="C35" s="5" t="s">
        <v>721</v>
      </c>
      <c r="D35" s="5" t="s">
        <v>6963</v>
      </c>
      <c r="E35" s="7" t="s">
        <v>7016</v>
      </c>
      <c r="F35" s="5">
        <v>939906435</v>
      </c>
      <c r="G35" s="5" t="s">
        <v>6965</v>
      </c>
      <c r="H35" s="5">
        <v>1800106279</v>
      </c>
      <c r="I35" s="5">
        <v>10</v>
      </c>
      <c r="J35" s="5">
        <v>1900098617</v>
      </c>
      <c r="K35" s="5">
        <v>4500177448</v>
      </c>
      <c r="L35" s="5" t="s">
        <v>93</v>
      </c>
      <c r="M35" s="5">
        <v>77673</v>
      </c>
      <c r="N35" s="5" t="s">
        <v>7017</v>
      </c>
      <c r="O35" s="5">
        <v>675100188</v>
      </c>
      <c r="P35" s="5">
        <v>1772</v>
      </c>
      <c r="Q35" s="5">
        <v>4</v>
      </c>
      <c r="R35" s="5">
        <v>443</v>
      </c>
      <c r="S35" s="14"/>
      <c r="T35" s="5" t="s">
        <v>7018</v>
      </c>
      <c r="U35" s="5" t="s">
        <v>6969</v>
      </c>
      <c r="V35" s="5" t="s">
        <v>6975</v>
      </c>
      <c r="W35" s="5">
        <v>7042</v>
      </c>
      <c r="X35" s="5" t="s">
        <v>6976</v>
      </c>
      <c r="Y35" s="16">
        <v>45925</v>
      </c>
      <c r="Z35" s="16">
        <v>45930</v>
      </c>
    </row>
    <row r="36" ht="26.25" spans="1:26">
      <c r="A36" s="5" t="s">
        <v>6961</v>
      </c>
      <c r="B36" s="5" t="s">
        <v>7015</v>
      </c>
      <c r="C36" s="5" t="s">
        <v>721</v>
      </c>
      <c r="D36" s="5" t="s">
        <v>6963</v>
      </c>
      <c r="E36" s="8" t="s">
        <v>7016</v>
      </c>
      <c r="F36" s="5">
        <v>939906429</v>
      </c>
      <c r="G36" s="5" t="s">
        <v>6965</v>
      </c>
      <c r="H36" s="5">
        <v>1800106279</v>
      </c>
      <c r="I36" s="5">
        <v>10</v>
      </c>
      <c r="J36" s="5">
        <v>1900098617</v>
      </c>
      <c r="K36" s="5">
        <v>4500177448</v>
      </c>
      <c r="L36" s="5" t="s">
        <v>93</v>
      </c>
      <c r="M36" s="5">
        <v>77673</v>
      </c>
      <c r="N36" s="5" t="s">
        <v>7017</v>
      </c>
      <c r="O36" s="5">
        <v>675100188</v>
      </c>
      <c r="P36" s="5">
        <v>1184</v>
      </c>
      <c r="Q36" s="5">
        <v>4</v>
      </c>
      <c r="R36" s="5">
        <v>296</v>
      </c>
      <c r="S36" s="14"/>
      <c r="T36" s="5" t="s">
        <v>7018</v>
      </c>
      <c r="U36" s="5" t="s">
        <v>6969</v>
      </c>
      <c r="V36" s="5" t="s">
        <v>6984</v>
      </c>
      <c r="W36" s="5">
        <v>6060</v>
      </c>
      <c r="X36" s="5" t="s">
        <v>6985</v>
      </c>
      <c r="Y36" s="16">
        <v>45925</v>
      </c>
      <c r="Z36" s="16">
        <v>45930</v>
      </c>
    </row>
    <row r="37" ht="26.25" hidden="1" spans="1:26">
      <c r="A37" s="5" t="s">
        <v>6961</v>
      </c>
      <c r="B37" s="5" t="s">
        <v>7015</v>
      </c>
      <c r="C37" s="5" t="s">
        <v>5130</v>
      </c>
      <c r="D37" s="5" t="s">
        <v>6963</v>
      </c>
      <c r="E37" s="10" t="s">
        <v>7016</v>
      </c>
      <c r="F37" s="5">
        <v>941292503</v>
      </c>
      <c r="G37" s="5" t="s">
        <v>6965</v>
      </c>
      <c r="H37" s="5">
        <v>1800107047</v>
      </c>
      <c r="I37" s="5">
        <v>10</v>
      </c>
      <c r="J37" s="5">
        <v>1900099080</v>
      </c>
      <c r="K37" s="5">
        <v>4500178234</v>
      </c>
      <c r="L37" s="5" t="s">
        <v>7019</v>
      </c>
      <c r="M37" s="5">
        <v>77685</v>
      </c>
      <c r="N37" s="5" t="s">
        <v>7020</v>
      </c>
      <c r="O37" s="5">
        <v>675214221</v>
      </c>
      <c r="P37" s="5">
        <v>13824</v>
      </c>
      <c r="Q37" s="5">
        <v>1152</v>
      </c>
      <c r="R37" s="5">
        <v>12</v>
      </c>
      <c r="S37" s="5">
        <v>1152</v>
      </c>
      <c r="T37" s="5" t="s">
        <v>7021</v>
      </c>
      <c r="U37" s="5" t="s">
        <v>6969</v>
      </c>
      <c r="V37" s="5" t="s">
        <v>6984</v>
      </c>
      <c r="W37" s="5">
        <v>6060</v>
      </c>
      <c r="X37" s="5" t="s">
        <v>6985</v>
      </c>
      <c r="Y37" s="16">
        <v>45929</v>
      </c>
      <c r="Z37" s="16">
        <v>45930</v>
      </c>
    </row>
    <row r="38" ht="26.25" spans="1:26">
      <c r="A38" s="5" t="s">
        <v>6961</v>
      </c>
      <c r="B38" s="5" t="s">
        <v>7015</v>
      </c>
      <c r="C38" s="5" t="s">
        <v>5130</v>
      </c>
      <c r="D38" s="5" t="s">
        <v>6963</v>
      </c>
      <c r="E38" s="5" t="s">
        <v>7016</v>
      </c>
      <c r="F38" s="5">
        <v>941292505</v>
      </c>
      <c r="G38" s="5" t="s">
        <v>6965</v>
      </c>
      <c r="H38" s="5">
        <v>1800106758</v>
      </c>
      <c r="I38" s="5">
        <v>10</v>
      </c>
      <c r="J38" s="5">
        <v>1900099030</v>
      </c>
      <c r="K38" s="5">
        <v>4500178136</v>
      </c>
      <c r="L38" s="5" t="s">
        <v>3180</v>
      </c>
      <c r="M38" s="5">
        <v>77711</v>
      </c>
      <c r="N38" s="5" t="s">
        <v>7022</v>
      </c>
      <c r="O38" s="5">
        <v>675087184</v>
      </c>
      <c r="P38" s="5">
        <v>34608</v>
      </c>
      <c r="Q38" s="5">
        <v>16</v>
      </c>
      <c r="R38" s="5">
        <v>2163</v>
      </c>
      <c r="S38" s="14"/>
      <c r="T38" s="5" t="s">
        <v>7023</v>
      </c>
      <c r="U38" s="5" t="s">
        <v>6969</v>
      </c>
      <c r="V38" s="5" t="s">
        <v>6975</v>
      </c>
      <c r="W38" s="5">
        <v>7042</v>
      </c>
      <c r="X38" s="5" t="s">
        <v>6976</v>
      </c>
      <c r="Y38" s="16">
        <v>45930</v>
      </c>
      <c r="Z38" s="16">
        <v>45930</v>
      </c>
    </row>
    <row r="39" ht="26.25" hidden="1" spans="1:26">
      <c r="A39" s="5" t="s">
        <v>6961</v>
      </c>
      <c r="B39" s="5" t="s">
        <v>7015</v>
      </c>
      <c r="C39" s="5" t="s">
        <v>5130</v>
      </c>
      <c r="D39" s="5" t="s">
        <v>6963</v>
      </c>
      <c r="E39" s="5" t="s">
        <v>7024</v>
      </c>
      <c r="F39" s="5">
        <v>941292509</v>
      </c>
      <c r="G39" s="5" t="s">
        <v>6965</v>
      </c>
      <c r="H39" s="5">
        <v>1800107127</v>
      </c>
      <c r="I39" s="14"/>
      <c r="J39" s="14"/>
      <c r="K39" s="5">
        <v>4500178276</v>
      </c>
      <c r="L39" s="5" t="s">
        <v>7025</v>
      </c>
      <c r="M39" s="5">
        <v>9296</v>
      </c>
      <c r="N39" s="5" t="s">
        <v>7026</v>
      </c>
      <c r="O39" s="5">
        <v>669500308</v>
      </c>
      <c r="P39" s="5">
        <v>1610</v>
      </c>
      <c r="Q39" s="5">
        <v>161</v>
      </c>
      <c r="R39" s="5">
        <v>10</v>
      </c>
      <c r="S39" s="5">
        <v>1610</v>
      </c>
      <c r="T39" s="5" t="s">
        <v>7027</v>
      </c>
      <c r="U39" s="5" t="s">
        <v>6969</v>
      </c>
      <c r="V39" s="5" t="s">
        <v>6984</v>
      </c>
      <c r="W39" s="5">
        <v>6060</v>
      </c>
      <c r="X39" s="5" t="s">
        <v>6985</v>
      </c>
      <c r="Y39" s="16">
        <v>45929</v>
      </c>
      <c r="Z39" s="16">
        <v>45930</v>
      </c>
    </row>
    <row r="40" ht="26.25" spans="1:26">
      <c r="A40" s="5" t="s">
        <v>6961</v>
      </c>
      <c r="B40" s="5" t="s">
        <v>7015</v>
      </c>
      <c r="C40" s="5" t="s">
        <v>5130</v>
      </c>
      <c r="D40" s="5" t="s">
        <v>6963</v>
      </c>
      <c r="E40" s="5" t="s">
        <v>7016</v>
      </c>
      <c r="F40" s="5">
        <v>941292510</v>
      </c>
      <c r="G40" s="5" t="s">
        <v>6965</v>
      </c>
      <c r="H40" s="5">
        <v>1800106758</v>
      </c>
      <c r="I40" s="5">
        <v>20</v>
      </c>
      <c r="J40" s="5">
        <v>1900099030</v>
      </c>
      <c r="K40" s="5">
        <v>4500178136</v>
      </c>
      <c r="L40" s="5" t="s">
        <v>3180</v>
      </c>
      <c r="M40" s="5">
        <v>77711</v>
      </c>
      <c r="N40" s="5" t="s">
        <v>7022</v>
      </c>
      <c r="O40" s="5">
        <v>675087184</v>
      </c>
      <c r="P40" s="5">
        <v>14992</v>
      </c>
      <c r="Q40" s="5">
        <v>16</v>
      </c>
      <c r="R40" s="5">
        <v>937</v>
      </c>
      <c r="S40" s="14"/>
      <c r="T40" s="5" t="s">
        <v>7023</v>
      </c>
      <c r="U40" s="5" t="s">
        <v>6969</v>
      </c>
      <c r="V40" s="5" t="s">
        <v>6990</v>
      </c>
      <c r="W40" s="5">
        <v>6061</v>
      </c>
      <c r="X40" s="5" t="s">
        <v>6991</v>
      </c>
      <c r="Y40" s="16">
        <v>45930</v>
      </c>
      <c r="Z40" s="16">
        <v>45930</v>
      </c>
    </row>
    <row r="41" ht="26.25" hidden="1" spans="1:26">
      <c r="A41" s="5" t="s">
        <v>6961</v>
      </c>
      <c r="B41" s="5" t="s">
        <v>7015</v>
      </c>
      <c r="C41" s="5" t="s">
        <v>5130</v>
      </c>
      <c r="D41" s="5" t="s">
        <v>6963</v>
      </c>
      <c r="E41" s="5" t="s">
        <v>7024</v>
      </c>
      <c r="F41" s="5">
        <v>941292511</v>
      </c>
      <c r="G41" s="5" t="s">
        <v>6965</v>
      </c>
      <c r="H41" s="5">
        <v>1800107128</v>
      </c>
      <c r="I41" s="14"/>
      <c r="J41" s="14"/>
      <c r="K41" s="5">
        <v>4500178282</v>
      </c>
      <c r="L41" s="7" t="s">
        <v>7028</v>
      </c>
      <c r="M41" s="5">
        <v>9298</v>
      </c>
      <c r="N41" s="5" t="s">
        <v>7029</v>
      </c>
      <c r="O41" s="5">
        <v>669577996</v>
      </c>
      <c r="P41" s="5">
        <v>1536</v>
      </c>
      <c r="Q41" s="5">
        <v>384</v>
      </c>
      <c r="R41" s="5">
        <v>4</v>
      </c>
      <c r="S41" s="5">
        <v>768</v>
      </c>
      <c r="T41" s="5" t="s">
        <v>7030</v>
      </c>
      <c r="U41" s="5" t="s">
        <v>6969</v>
      </c>
      <c r="V41" s="5" t="s">
        <v>6986</v>
      </c>
      <c r="W41" s="5">
        <v>6088</v>
      </c>
      <c r="X41" s="5" t="s">
        <v>6987</v>
      </c>
      <c r="Y41" s="16">
        <v>45929</v>
      </c>
      <c r="Z41" s="16">
        <v>45930</v>
      </c>
    </row>
    <row r="42" ht="26.25" spans="1:26">
      <c r="A42" s="5" t="s">
        <v>6961</v>
      </c>
      <c r="B42" s="5" t="s">
        <v>7015</v>
      </c>
      <c r="C42" s="5" t="s">
        <v>5130</v>
      </c>
      <c r="D42" s="5" t="s">
        <v>6963</v>
      </c>
      <c r="E42" s="5" t="s">
        <v>7016</v>
      </c>
      <c r="F42" s="5">
        <v>941292513</v>
      </c>
      <c r="G42" s="5" t="s">
        <v>6965</v>
      </c>
      <c r="H42" s="5">
        <v>1800106758</v>
      </c>
      <c r="I42" s="5">
        <v>30</v>
      </c>
      <c r="J42" s="5">
        <v>1900099030</v>
      </c>
      <c r="K42" s="5">
        <v>4500178136</v>
      </c>
      <c r="L42" s="5" t="s">
        <v>3180</v>
      </c>
      <c r="M42" s="5">
        <v>77711</v>
      </c>
      <c r="N42" s="5" t="s">
        <v>7022</v>
      </c>
      <c r="O42" s="5">
        <v>675087184</v>
      </c>
      <c r="P42" s="5">
        <v>15824</v>
      </c>
      <c r="Q42" s="5">
        <v>16</v>
      </c>
      <c r="R42" s="5">
        <v>989</v>
      </c>
      <c r="S42" s="14"/>
      <c r="T42" s="5" t="s">
        <v>7023</v>
      </c>
      <c r="U42" s="5" t="s">
        <v>6969</v>
      </c>
      <c r="V42" s="5" t="s">
        <v>6986</v>
      </c>
      <c r="W42" s="5">
        <v>6088</v>
      </c>
      <c r="X42" s="5" t="s">
        <v>6987</v>
      </c>
      <c r="Y42" s="16">
        <v>45930</v>
      </c>
      <c r="Z42" s="16">
        <v>45930</v>
      </c>
    </row>
    <row r="43" ht="26.25" hidden="1" spans="1:26">
      <c r="A43" s="5" t="s">
        <v>6961</v>
      </c>
      <c r="B43" s="5" t="s">
        <v>7015</v>
      </c>
      <c r="C43" s="5" t="s">
        <v>5130</v>
      </c>
      <c r="D43" s="5" t="s">
        <v>6963</v>
      </c>
      <c r="E43" s="5" t="s">
        <v>7024</v>
      </c>
      <c r="F43" s="5">
        <v>941292514</v>
      </c>
      <c r="G43" s="5" t="s">
        <v>6965</v>
      </c>
      <c r="H43" s="5">
        <v>1800107129</v>
      </c>
      <c r="I43" s="14"/>
      <c r="J43" s="14"/>
      <c r="K43" s="5">
        <v>4500178276</v>
      </c>
      <c r="L43" s="5" t="s">
        <v>7025</v>
      </c>
      <c r="M43" s="5">
        <v>9296</v>
      </c>
      <c r="N43" s="5" t="s">
        <v>7026</v>
      </c>
      <c r="O43" s="5">
        <v>669500308</v>
      </c>
      <c r="P43" s="5">
        <v>1610</v>
      </c>
      <c r="Q43" s="5">
        <v>161</v>
      </c>
      <c r="R43" s="5">
        <v>10</v>
      </c>
      <c r="S43" s="5">
        <v>1610</v>
      </c>
      <c r="T43" s="5" t="s">
        <v>7027</v>
      </c>
      <c r="U43" s="5" t="s">
        <v>6969</v>
      </c>
      <c r="V43" s="5" t="s">
        <v>6975</v>
      </c>
      <c r="W43" s="5">
        <v>7042</v>
      </c>
      <c r="X43" s="5" t="s">
        <v>6976</v>
      </c>
      <c r="Y43" s="16">
        <v>45929</v>
      </c>
      <c r="Z43" s="16">
        <v>45930</v>
      </c>
    </row>
    <row r="44" ht="26.25" hidden="1" spans="1:26">
      <c r="A44" s="5" t="s">
        <v>6961</v>
      </c>
      <c r="B44" s="5" t="s">
        <v>7015</v>
      </c>
      <c r="C44" s="5" t="s">
        <v>5130</v>
      </c>
      <c r="D44" s="5" t="s">
        <v>6963</v>
      </c>
      <c r="E44" s="5" t="s">
        <v>7024</v>
      </c>
      <c r="F44" s="5">
        <v>941292519</v>
      </c>
      <c r="G44" s="5" t="s">
        <v>6965</v>
      </c>
      <c r="H44" s="5">
        <v>1800107130</v>
      </c>
      <c r="I44" s="14"/>
      <c r="J44" s="14"/>
      <c r="K44" s="5">
        <v>4500178282</v>
      </c>
      <c r="L44" s="7" t="s">
        <v>7028</v>
      </c>
      <c r="M44" s="5">
        <v>9298</v>
      </c>
      <c r="N44" s="5" t="s">
        <v>7029</v>
      </c>
      <c r="O44" s="5">
        <v>669577996</v>
      </c>
      <c r="P44" s="5">
        <v>1920</v>
      </c>
      <c r="Q44" s="5">
        <v>384</v>
      </c>
      <c r="R44" s="5">
        <v>5</v>
      </c>
      <c r="S44" s="5">
        <v>960</v>
      </c>
      <c r="T44" s="5" t="s">
        <v>7030</v>
      </c>
      <c r="U44" s="5" t="s">
        <v>6969</v>
      </c>
      <c r="V44" s="5" t="s">
        <v>6970</v>
      </c>
      <c r="W44" s="5">
        <v>7078</v>
      </c>
      <c r="X44" s="5" t="s">
        <v>6971</v>
      </c>
      <c r="Y44" s="16">
        <v>45929</v>
      </c>
      <c r="Z44" s="16">
        <v>45930</v>
      </c>
    </row>
    <row r="45" ht="26.25" hidden="1" spans="1:26">
      <c r="A45" s="5" t="s">
        <v>6961</v>
      </c>
      <c r="B45" s="5" t="s">
        <v>7015</v>
      </c>
      <c r="C45" s="5" t="s">
        <v>5130</v>
      </c>
      <c r="D45" s="5" t="s">
        <v>6963</v>
      </c>
      <c r="E45" s="5" t="s">
        <v>7024</v>
      </c>
      <c r="F45" s="5">
        <v>941292520</v>
      </c>
      <c r="G45" s="5" t="s">
        <v>6965</v>
      </c>
      <c r="H45" s="5">
        <v>1800107131</v>
      </c>
      <c r="I45" s="14"/>
      <c r="J45" s="14"/>
      <c r="K45" s="5">
        <v>4500178282</v>
      </c>
      <c r="L45" s="7" t="s">
        <v>7028</v>
      </c>
      <c r="M45" s="5">
        <v>9298</v>
      </c>
      <c r="N45" s="5" t="s">
        <v>7029</v>
      </c>
      <c r="O45" s="5">
        <v>669577996</v>
      </c>
      <c r="P45" s="5">
        <v>3840</v>
      </c>
      <c r="Q45" s="5">
        <v>384</v>
      </c>
      <c r="R45" s="5">
        <v>10</v>
      </c>
      <c r="S45" s="5">
        <v>1920</v>
      </c>
      <c r="T45" s="5" t="s">
        <v>7030</v>
      </c>
      <c r="U45" s="5" t="s">
        <v>6969</v>
      </c>
      <c r="V45" s="5" t="s">
        <v>6984</v>
      </c>
      <c r="W45" s="5">
        <v>6060</v>
      </c>
      <c r="X45" s="5" t="s">
        <v>6985</v>
      </c>
      <c r="Y45" s="16">
        <v>45929</v>
      </c>
      <c r="Z45" s="16">
        <v>45930</v>
      </c>
    </row>
    <row r="46" ht="26.25" hidden="1" spans="1:26">
      <c r="A46" s="5" t="s">
        <v>6961</v>
      </c>
      <c r="B46" s="5" t="s">
        <v>7015</v>
      </c>
      <c r="C46" s="5" t="s">
        <v>5130</v>
      </c>
      <c r="D46" s="5" t="s">
        <v>6963</v>
      </c>
      <c r="E46" s="5" t="s">
        <v>7024</v>
      </c>
      <c r="F46" s="5">
        <v>941292527</v>
      </c>
      <c r="G46" s="5" t="s">
        <v>6965</v>
      </c>
      <c r="H46" s="5">
        <v>1800107133</v>
      </c>
      <c r="I46" s="14"/>
      <c r="J46" s="14"/>
      <c r="K46" s="5">
        <v>4500178282</v>
      </c>
      <c r="L46" s="7" t="s">
        <v>7028</v>
      </c>
      <c r="M46" s="5">
        <v>9298</v>
      </c>
      <c r="N46" s="5" t="s">
        <v>7029</v>
      </c>
      <c r="O46" s="5">
        <v>669577996</v>
      </c>
      <c r="P46" s="5">
        <v>1536</v>
      </c>
      <c r="Q46" s="5">
        <v>384</v>
      </c>
      <c r="R46" s="5">
        <v>4</v>
      </c>
      <c r="S46" s="5">
        <v>768</v>
      </c>
      <c r="T46" s="5" t="s">
        <v>7030</v>
      </c>
      <c r="U46" s="5" t="s">
        <v>6969</v>
      </c>
      <c r="V46" s="5" t="s">
        <v>6988</v>
      </c>
      <c r="W46" s="5">
        <v>8980</v>
      </c>
      <c r="X46" s="5" t="s">
        <v>6989</v>
      </c>
      <c r="Y46" s="16">
        <v>45929</v>
      </c>
      <c r="Z46" s="16">
        <v>45930</v>
      </c>
    </row>
    <row r="47" ht="26.25" hidden="1" spans="1:26">
      <c r="A47" s="5" t="s">
        <v>6961</v>
      </c>
      <c r="B47" s="5" t="s">
        <v>7015</v>
      </c>
      <c r="C47" s="5" t="s">
        <v>5130</v>
      </c>
      <c r="D47" s="5" t="s">
        <v>6963</v>
      </c>
      <c r="E47" s="5" t="s">
        <v>7016</v>
      </c>
      <c r="F47" s="5">
        <v>941292530</v>
      </c>
      <c r="G47" s="5" t="s">
        <v>6965</v>
      </c>
      <c r="H47" s="5">
        <v>1800107047</v>
      </c>
      <c r="I47" s="5">
        <v>70</v>
      </c>
      <c r="J47" s="5">
        <v>1900099080</v>
      </c>
      <c r="K47" s="5">
        <v>4500178234</v>
      </c>
      <c r="L47" s="5" t="s">
        <v>7019</v>
      </c>
      <c r="M47" s="5">
        <v>77685</v>
      </c>
      <c r="N47" s="5" t="s">
        <v>7020</v>
      </c>
      <c r="O47" s="5">
        <v>675214221</v>
      </c>
      <c r="P47" s="5">
        <v>10368</v>
      </c>
      <c r="Q47" s="5">
        <v>1152</v>
      </c>
      <c r="R47" s="5">
        <v>9</v>
      </c>
      <c r="S47" s="5">
        <v>864</v>
      </c>
      <c r="T47" s="5" t="s">
        <v>7021</v>
      </c>
      <c r="U47" s="5" t="s">
        <v>6969</v>
      </c>
      <c r="V47" s="5" t="s">
        <v>6988</v>
      </c>
      <c r="W47" s="5">
        <v>8980</v>
      </c>
      <c r="X47" s="5" t="s">
        <v>6989</v>
      </c>
      <c r="Y47" s="16">
        <v>45929</v>
      </c>
      <c r="Z47" s="16">
        <v>45930</v>
      </c>
    </row>
    <row r="48" ht="26.25" spans="1:26">
      <c r="A48" s="5" t="s">
        <v>6961</v>
      </c>
      <c r="B48" s="5" t="s">
        <v>7015</v>
      </c>
      <c r="C48" s="5" t="s">
        <v>5130</v>
      </c>
      <c r="D48" s="5" t="s">
        <v>6963</v>
      </c>
      <c r="E48" s="7" t="s">
        <v>7016</v>
      </c>
      <c r="F48" s="5">
        <v>941292532</v>
      </c>
      <c r="G48" s="5" t="s">
        <v>6965</v>
      </c>
      <c r="H48" s="5">
        <v>1800106758</v>
      </c>
      <c r="I48" s="5">
        <v>50</v>
      </c>
      <c r="J48" s="5">
        <v>1900099030</v>
      </c>
      <c r="K48" s="5">
        <v>4500178136</v>
      </c>
      <c r="L48" s="5" t="s">
        <v>93</v>
      </c>
      <c r="M48" s="5">
        <v>77673</v>
      </c>
      <c r="N48" s="5" t="s">
        <v>7017</v>
      </c>
      <c r="O48" s="5">
        <v>675100188</v>
      </c>
      <c r="P48" s="5">
        <v>8744</v>
      </c>
      <c r="Q48" s="5">
        <v>4</v>
      </c>
      <c r="R48" s="5">
        <v>2186</v>
      </c>
      <c r="S48" s="14"/>
      <c r="T48" s="5" t="s">
        <v>7018</v>
      </c>
      <c r="U48" s="5" t="s">
        <v>6969</v>
      </c>
      <c r="V48" s="5" t="s">
        <v>6977</v>
      </c>
      <c r="W48" s="5">
        <v>7067</v>
      </c>
      <c r="X48" s="5" t="s">
        <v>6978</v>
      </c>
      <c r="Y48" s="16">
        <v>45930</v>
      </c>
      <c r="Z48" s="16">
        <v>45930</v>
      </c>
    </row>
    <row r="49" ht="26.25" hidden="1" spans="1:26">
      <c r="A49" s="5" t="s">
        <v>6961</v>
      </c>
      <c r="B49" s="5" t="s">
        <v>7015</v>
      </c>
      <c r="C49" s="5" t="s">
        <v>5130</v>
      </c>
      <c r="D49" s="5" t="s">
        <v>6963</v>
      </c>
      <c r="E49" s="5" t="s">
        <v>7024</v>
      </c>
      <c r="F49" s="5">
        <v>941292536</v>
      </c>
      <c r="G49" s="5" t="s">
        <v>6965</v>
      </c>
      <c r="H49" s="5">
        <v>1800107135</v>
      </c>
      <c r="I49" s="14"/>
      <c r="J49" s="14"/>
      <c r="K49" s="5">
        <v>4500178276</v>
      </c>
      <c r="L49" s="5" t="s">
        <v>7025</v>
      </c>
      <c r="M49" s="5">
        <v>9296</v>
      </c>
      <c r="N49" s="5" t="s">
        <v>7026</v>
      </c>
      <c r="O49" s="5">
        <v>669500308</v>
      </c>
      <c r="P49" s="5">
        <v>2254</v>
      </c>
      <c r="Q49" s="5">
        <v>161</v>
      </c>
      <c r="R49" s="5">
        <v>14</v>
      </c>
      <c r="S49" s="5">
        <v>2254</v>
      </c>
      <c r="T49" s="5" t="s">
        <v>7027</v>
      </c>
      <c r="U49" s="5" t="s">
        <v>6969</v>
      </c>
      <c r="V49" s="5" t="s">
        <v>6977</v>
      </c>
      <c r="W49" s="5">
        <v>7067</v>
      </c>
      <c r="X49" s="5" t="s">
        <v>6978</v>
      </c>
      <c r="Y49" s="16">
        <v>45929</v>
      </c>
      <c r="Z49" s="16">
        <v>45930</v>
      </c>
    </row>
    <row r="50" ht="26.25" spans="1:26">
      <c r="A50" s="5" t="s">
        <v>6961</v>
      </c>
      <c r="B50" s="5" t="s">
        <v>7015</v>
      </c>
      <c r="C50" s="5" t="s">
        <v>5130</v>
      </c>
      <c r="D50" s="5" t="s">
        <v>6963</v>
      </c>
      <c r="E50" s="5" t="s">
        <v>7016</v>
      </c>
      <c r="F50" s="5">
        <v>941292537</v>
      </c>
      <c r="G50" s="5" t="s">
        <v>6965</v>
      </c>
      <c r="H50" s="5">
        <v>1800106758</v>
      </c>
      <c r="I50" s="5">
        <v>60</v>
      </c>
      <c r="J50" s="5">
        <v>1900099030</v>
      </c>
      <c r="K50" s="5">
        <v>4500178136</v>
      </c>
      <c r="L50" s="5" t="s">
        <v>3180</v>
      </c>
      <c r="M50" s="5">
        <v>77711</v>
      </c>
      <c r="N50" s="5" t="s">
        <v>7022</v>
      </c>
      <c r="O50" s="5">
        <v>675087184</v>
      </c>
      <c r="P50" s="5">
        <v>22144</v>
      </c>
      <c r="Q50" s="5">
        <v>16</v>
      </c>
      <c r="R50" s="5">
        <v>1384</v>
      </c>
      <c r="S50" s="14"/>
      <c r="T50" s="5" t="s">
        <v>7023</v>
      </c>
      <c r="U50" s="5" t="s">
        <v>6969</v>
      </c>
      <c r="V50" s="5" t="s">
        <v>6977</v>
      </c>
      <c r="W50" s="5">
        <v>7067</v>
      </c>
      <c r="X50" s="5" t="s">
        <v>6978</v>
      </c>
      <c r="Y50" s="16">
        <v>45930</v>
      </c>
      <c r="Z50" s="16">
        <v>45930</v>
      </c>
    </row>
    <row r="51" ht="26.25" hidden="1" spans="1:26">
      <c r="A51" s="5" t="s">
        <v>6961</v>
      </c>
      <c r="B51" s="5" t="s">
        <v>7015</v>
      </c>
      <c r="C51" s="5" t="s">
        <v>5130</v>
      </c>
      <c r="D51" s="5" t="s">
        <v>6963</v>
      </c>
      <c r="E51" s="5" t="s">
        <v>7024</v>
      </c>
      <c r="F51" s="5">
        <v>941292539</v>
      </c>
      <c r="G51" s="5" t="s">
        <v>6965</v>
      </c>
      <c r="H51" s="5">
        <v>1800107136</v>
      </c>
      <c r="I51" s="14"/>
      <c r="J51" s="14"/>
      <c r="K51" s="5">
        <v>4500178282</v>
      </c>
      <c r="L51" s="7" t="s">
        <v>7028</v>
      </c>
      <c r="M51" s="5">
        <v>9298</v>
      </c>
      <c r="N51" s="5" t="s">
        <v>7029</v>
      </c>
      <c r="O51" s="5">
        <v>669577996</v>
      </c>
      <c r="P51" s="5">
        <v>3456</v>
      </c>
      <c r="Q51" s="5">
        <v>384</v>
      </c>
      <c r="R51" s="5">
        <v>9</v>
      </c>
      <c r="S51" s="5">
        <v>1728</v>
      </c>
      <c r="T51" s="5" t="s">
        <v>7030</v>
      </c>
      <c r="U51" s="5" t="s">
        <v>6969</v>
      </c>
      <c r="V51" s="5" t="s">
        <v>6975</v>
      </c>
      <c r="W51" s="5">
        <v>7042</v>
      </c>
      <c r="X51" s="5" t="s">
        <v>6976</v>
      </c>
      <c r="Y51" s="16">
        <v>45929</v>
      </c>
      <c r="Z51" s="16">
        <v>45930</v>
      </c>
    </row>
    <row r="52" ht="26.25" spans="1:26">
      <c r="A52" s="5" t="s">
        <v>6961</v>
      </c>
      <c r="B52" s="5" t="s">
        <v>7015</v>
      </c>
      <c r="C52" s="5" t="s">
        <v>5130</v>
      </c>
      <c r="D52" s="5" t="s">
        <v>6963</v>
      </c>
      <c r="E52" s="5" t="s">
        <v>7016</v>
      </c>
      <c r="F52" s="5">
        <v>941292540</v>
      </c>
      <c r="G52" s="5" t="s">
        <v>6965</v>
      </c>
      <c r="H52" s="5">
        <v>1800106758</v>
      </c>
      <c r="I52" s="5">
        <v>70</v>
      </c>
      <c r="J52" s="5">
        <v>1900099030</v>
      </c>
      <c r="K52" s="5">
        <v>4500178136</v>
      </c>
      <c r="L52" s="10" t="s">
        <v>3180</v>
      </c>
      <c r="M52" s="5">
        <v>77711</v>
      </c>
      <c r="N52" s="5" t="s">
        <v>7022</v>
      </c>
      <c r="O52" s="5">
        <v>675087184</v>
      </c>
      <c r="P52" s="5">
        <v>31744</v>
      </c>
      <c r="Q52" s="5">
        <v>16</v>
      </c>
      <c r="R52" s="5">
        <v>1984</v>
      </c>
      <c r="S52" s="14"/>
      <c r="T52" s="5" t="s">
        <v>7023</v>
      </c>
      <c r="U52" s="5" t="s">
        <v>6969</v>
      </c>
      <c r="V52" s="5" t="s">
        <v>6970</v>
      </c>
      <c r="W52" s="5">
        <v>7078</v>
      </c>
      <c r="X52" s="5" t="s">
        <v>6971</v>
      </c>
      <c r="Y52" s="16">
        <v>45930</v>
      </c>
      <c r="Z52" s="16">
        <v>45930</v>
      </c>
    </row>
    <row r="53" ht="39" hidden="1" spans="1:26">
      <c r="A53" s="5" t="s">
        <v>6961</v>
      </c>
      <c r="B53" s="5" t="s">
        <v>7015</v>
      </c>
      <c r="C53" s="5" t="s">
        <v>5130</v>
      </c>
      <c r="D53" s="5" t="s">
        <v>6963</v>
      </c>
      <c r="E53" s="5" t="s">
        <v>7016</v>
      </c>
      <c r="F53" s="5">
        <v>941292542</v>
      </c>
      <c r="G53" s="5" t="s">
        <v>6965</v>
      </c>
      <c r="H53" s="5">
        <v>1800106750</v>
      </c>
      <c r="I53" s="5">
        <v>10</v>
      </c>
      <c r="J53" s="5">
        <v>1900099020</v>
      </c>
      <c r="K53" s="5">
        <v>4500178103</v>
      </c>
      <c r="L53" s="5" t="s">
        <v>7031</v>
      </c>
      <c r="M53" s="5">
        <v>77555</v>
      </c>
      <c r="N53" s="5" t="s">
        <v>7032</v>
      </c>
      <c r="O53" s="5">
        <v>669772507</v>
      </c>
      <c r="P53" s="5">
        <v>1152</v>
      </c>
      <c r="Q53" s="5">
        <v>1152</v>
      </c>
      <c r="R53" s="5">
        <v>1</v>
      </c>
      <c r="S53" s="5">
        <v>96</v>
      </c>
      <c r="T53" s="5" t="s">
        <v>7033</v>
      </c>
      <c r="U53" s="5" t="s">
        <v>6969</v>
      </c>
      <c r="V53" s="5" t="s">
        <v>6984</v>
      </c>
      <c r="W53" s="5">
        <v>6060</v>
      </c>
      <c r="X53" s="5" t="s">
        <v>6985</v>
      </c>
      <c r="Y53" s="16">
        <v>45925</v>
      </c>
      <c r="Z53" s="16">
        <v>45930</v>
      </c>
    </row>
    <row r="54" ht="26.25" hidden="1" spans="1:26">
      <c r="A54" s="5" t="s">
        <v>6961</v>
      </c>
      <c r="B54" s="5" t="s">
        <v>7015</v>
      </c>
      <c r="C54" s="5" t="s">
        <v>5130</v>
      </c>
      <c r="D54" s="5" t="s">
        <v>6963</v>
      </c>
      <c r="E54" s="5" t="s">
        <v>7016</v>
      </c>
      <c r="F54" s="5">
        <v>941292545</v>
      </c>
      <c r="G54" s="5" t="s">
        <v>6965</v>
      </c>
      <c r="H54" s="5">
        <v>1800107047</v>
      </c>
      <c r="I54" s="5">
        <v>100</v>
      </c>
      <c r="J54" s="5">
        <v>1900099080</v>
      </c>
      <c r="K54" s="5">
        <v>4500178234</v>
      </c>
      <c r="L54" s="5" t="s">
        <v>7019</v>
      </c>
      <c r="M54" s="5">
        <v>77685</v>
      </c>
      <c r="N54" s="5" t="s">
        <v>7020</v>
      </c>
      <c r="O54" s="5">
        <v>675214221</v>
      </c>
      <c r="P54" s="5">
        <v>18432</v>
      </c>
      <c r="Q54" s="5">
        <v>1152</v>
      </c>
      <c r="R54" s="5">
        <v>16</v>
      </c>
      <c r="S54" s="5">
        <v>1536</v>
      </c>
      <c r="T54" s="5" t="s">
        <v>7021</v>
      </c>
      <c r="U54" s="5" t="s">
        <v>6969</v>
      </c>
      <c r="V54" s="5" t="s">
        <v>6975</v>
      </c>
      <c r="W54" s="5">
        <v>7042</v>
      </c>
      <c r="X54" s="5" t="s">
        <v>6976</v>
      </c>
      <c r="Y54" s="16">
        <v>45929</v>
      </c>
      <c r="Z54" s="16">
        <v>45930</v>
      </c>
    </row>
    <row r="55" ht="26.25" spans="1:26">
      <c r="A55" s="5" t="s">
        <v>6961</v>
      </c>
      <c r="B55" s="5" t="s">
        <v>7015</v>
      </c>
      <c r="C55" s="5" t="s">
        <v>5130</v>
      </c>
      <c r="D55" s="5" t="s">
        <v>6963</v>
      </c>
      <c r="E55" s="5" t="s">
        <v>7016</v>
      </c>
      <c r="F55" s="5">
        <v>941292548</v>
      </c>
      <c r="G55" s="5" t="s">
        <v>6965</v>
      </c>
      <c r="H55" s="5">
        <v>1800106758</v>
      </c>
      <c r="I55" s="5">
        <v>80</v>
      </c>
      <c r="J55" s="5">
        <v>1900099030</v>
      </c>
      <c r="K55" s="5">
        <v>4500178130</v>
      </c>
      <c r="L55" s="5" t="s">
        <v>3180</v>
      </c>
      <c r="M55" s="5">
        <v>77711</v>
      </c>
      <c r="N55" s="5" t="s">
        <v>7022</v>
      </c>
      <c r="O55" s="5">
        <v>675087184</v>
      </c>
      <c r="P55" s="5">
        <v>10528</v>
      </c>
      <c r="Q55" s="5">
        <v>16</v>
      </c>
      <c r="R55" s="5">
        <v>658</v>
      </c>
      <c r="S55" s="14"/>
      <c r="T55" s="5" t="s">
        <v>7023</v>
      </c>
      <c r="U55" s="5" t="s">
        <v>6969</v>
      </c>
      <c r="V55" s="5" t="s">
        <v>6988</v>
      </c>
      <c r="W55" s="5">
        <v>8980</v>
      </c>
      <c r="X55" s="5" t="s">
        <v>6989</v>
      </c>
      <c r="Y55" s="16">
        <v>45923</v>
      </c>
      <c r="Z55" s="16">
        <v>45930</v>
      </c>
    </row>
    <row r="56" ht="26.25" hidden="1" spans="1:26">
      <c r="A56" s="5" t="s">
        <v>6961</v>
      </c>
      <c r="B56" s="5" t="s">
        <v>7015</v>
      </c>
      <c r="C56" s="5" t="s">
        <v>5130</v>
      </c>
      <c r="D56" s="5" t="s">
        <v>6963</v>
      </c>
      <c r="E56" s="5" t="s">
        <v>7016</v>
      </c>
      <c r="F56" s="5">
        <v>941292549</v>
      </c>
      <c r="G56" s="5" t="s">
        <v>6965</v>
      </c>
      <c r="H56" s="5">
        <v>1800107047</v>
      </c>
      <c r="I56" s="5">
        <v>130</v>
      </c>
      <c r="J56" s="5">
        <v>1900099080</v>
      </c>
      <c r="K56" s="5">
        <v>4500178234</v>
      </c>
      <c r="L56" s="5" t="s">
        <v>7019</v>
      </c>
      <c r="M56" s="5">
        <v>77685</v>
      </c>
      <c r="N56" s="5" t="s">
        <v>7020</v>
      </c>
      <c r="O56" s="5">
        <v>675214221</v>
      </c>
      <c r="P56" s="5">
        <v>12672</v>
      </c>
      <c r="Q56" s="5">
        <v>1152</v>
      </c>
      <c r="R56" s="5">
        <v>11</v>
      </c>
      <c r="S56" s="5">
        <v>1056</v>
      </c>
      <c r="T56" s="5" t="s">
        <v>7021</v>
      </c>
      <c r="U56" s="5" t="s">
        <v>6969</v>
      </c>
      <c r="V56" s="5" t="s">
        <v>6977</v>
      </c>
      <c r="W56" s="5">
        <v>7067</v>
      </c>
      <c r="X56" s="5" t="s">
        <v>6978</v>
      </c>
      <c r="Y56" s="16">
        <v>45929</v>
      </c>
      <c r="Z56" s="16">
        <v>45930</v>
      </c>
    </row>
    <row r="57" ht="26.25" hidden="1" spans="1:26">
      <c r="A57" s="5" t="s">
        <v>6961</v>
      </c>
      <c r="B57" s="5" t="s">
        <v>7015</v>
      </c>
      <c r="C57" s="5" t="s">
        <v>5130</v>
      </c>
      <c r="D57" s="5" t="s">
        <v>6963</v>
      </c>
      <c r="E57" s="5" t="s">
        <v>7016</v>
      </c>
      <c r="F57" s="5">
        <v>941292553</v>
      </c>
      <c r="G57" s="5" t="s">
        <v>6965</v>
      </c>
      <c r="H57" s="5">
        <v>1800107047</v>
      </c>
      <c r="I57" s="5">
        <v>160</v>
      </c>
      <c r="J57" s="5">
        <v>1900099080</v>
      </c>
      <c r="K57" s="5">
        <v>4500178234</v>
      </c>
      <c r="L57" s="5" t="s">
        <v>7019</v>
      </c>
      <c r="M57" s="5">
        <v>77685</v>
      </c>
      <c r="N57" s="5" t="s">
        <v>7020</v>
      </c>
      <c r="O57" s="5">
        <v>675214221</v>
      </c>
      <c r="P57" s="5">
        <v>9216</v>
      </c>
      <c r="Q57" s="5">
        <v>1152</v>
      </c>
      <c r="R57" s="5">
        <v>8</v>
      </c>
      <c r="S57" s="5">
        <v>768</v>
      </c>
      <c r="T57" s="5" t="s">
        <v>7021</v>
      </c>
      <c r="U57" s="5" t="s">
        <v>6969</v>
      </c>
      <c r="V57" s="5" t="s">
        <v>6990</v>
      </c>
      <c r="W57" s="5">
        <v>6061</v>
      </c>
      <c r="X57" s="5" t="s">
        <v>6991</v>
      </c>
      <c r="Y57" s="16">
        <v>45929</v>
      </c>
      <c r="Z57" s="16">
        <v>45930</v>
      </c>
    </row>
    <row r="58" ht="26.25" hidden="1" spans="1:26">
      <c r="A58" s="5" t="s">
        <v>6961</v>
      </c>
      <c r="B58" s="5" t="s">
        <v>7015</v>
      </c>
      <c r="C58" s="5" t="s">
        <v>5130</v>
      </c>
      <c r="D58" s="5" t="s">
        <v>6963</v>
      </c>
      <c r="E58" s="5" t="s">
        <v>7024</v>
      </c>
      <c r="F58" s="5">
        <v>941292554</v>
      </c>
      <c r="G58" s="5" t="s">
        <v>6965</v>
      </c>
      <c r="H58" s="5">
        <v>1800107141</v>
      </c>
      <c r="I58" s="14"/>
      <c r="J58" s="14"/>
      <c r="K58" s="5">
        <v>4500178282</v>
      </c>
      <c r="L58" s="7" t="s">
        <v>7028</v>
      </c>
      <c r="M58" s="5">
        <v>9298</v>
      </c>
      <c r="N58" s="5" t="s">
        <v>7029</v>
      </c>
      <c r="O58" s="5">
        <v>669577996</v>
      </c>
      <c r="P58" s="5">
        <v>2304</v>
      </c>
      <c r="Q58" s="5">
        <v>384</v>
      </c>
      <c r="R58" s="5">
        <v>6</v>
      </c>
      <c r="S58" s="5">
        <v>1152</v>
      </c>
      <c r="T58" s="5" t="s">
        <v>7030</v>
      </c>
      <c r="U58" s="5" t="s">
        <v>6969</v>
      </c>
      <c r="V58" s="5" t="s">
        <v>6977</v>
      </c>
      <c r="W58" s="5">
        <v>7067</v>
      </c>
      <c r="X58" s="5" t="s">
        <v>6978</v>
      </c>
      <c r="Y58" s="16">
        <v>45929</v>
      </c>
      <c r="Z58" s="16">
        <v>45930</v>
      </c>
    </row>
    <row r="59" ht="26.25" hidden="1" spans="1:26">
      <c r="A59" s="5" t="s">
        <v>6961</v>
      </c>
      <c r="B59" s="5" t="s">
        <v>7015</v>
      </c>
      <c r="C59" s="5" t="s">
        <v>5130</v>
      </c>
      <c r="D59" s="5" t="s">
        <v>6963</v>
      </c>
      <c r="E59" s="5" t="s">
        <v>7024</v>
      </c>
      <c r="F59" s="5">
        <v>941292558</v>
      </c>
      <c r="G59" s="5" t="s">
        <v>6965</v>
      </c>
      <c r="H59" s="5">
        <v>1800107145</v>
      </c>
      <c r="I59" s="14"/>
      <c r="J59" s="14"/>
      <c r="K59" s="5">
        <v>4500178282</v>
      </c>
      <c r="L59" s="7" t="s">
        <v>7028</v>
      </c>
      <c r="M59" s="5">
        <v>9298</v>
      </c>
      <c r="N59" s="5" t="s">
        <v>7029</v>
      </c>
      <c r="O59" s="5">
        <v>669577996</v>
      </c>
      <c r="P59" s="5">
        <v>1536</v>
      </c>
      <c r="Q59" s="5">
        <v>384</v>
      </c>
      <c r="R59" s="5">
        <v>4</v>
      </c>
      <c r="S59" s="5">
        <v>768</v>
      </c>
      <c r="T59" s="5" t="s">
        <v>7030</v>
      </c>
      <c r="U59" s="5" t="s">
        <v>6969</v>
      </c>
      <c r="V59" s="5" t="s">
        <v>6990</v>
      </c>
      <c r="W59" s="5">
        <v>6061</v>
      </c>
      <c r="X59" s="5" t="s">
        <v>6991</v>
      </c>
      <c r="Y59" s="16">
        <v>45929</v>
      </c>
      <c r="Z59" s="16">
        <v>45930</v>
      </c>
    </row>
    <row r="60" ht="26.25" spans="1:26">
      <c r="A60" s="5" t="s">
        <v>6961</v>
      </c>
      <c r="B60" s="5" t="s">
        <v>7015</v>
      </c>
      <c r="C60" s="5" t="s">
        <v>5130</v>
      </c>
      <c r="D60" s="5" t="s">
        <v>6963</v>
      </c>
      <c r="E60" s="7" t="s">
        <v>7016</v>
      </c>
      <c r="F60" s="5">
        <v>941292559</v>
      </c>
      <c r="G60" s="5" t="s">
        <v>6965</v>
      </c>
      <c r="H60" s="5">
        <v>1800106758</v>
      </c>
      <c r="I60" s="5">
        <v>90</v>
      </c>
      <c r="J60" s="5">
        <v>1900099030</v>
      </c>
      <c r="K60" s="5">
        <v>4500178132</v>
      </c>
      <c r="L60" s="10" t="s">
        <v>93</v>
      </c>
      <c r="M60" s="5">
        <v>77673</v>
      </c>
      <c r="N60" s="5" t="s">
        <v>7017</v>
      </c>
      <c r="O60" s="5">
        <v>675100188</v>
      </c>
      <c r="P60" s="5">
        <v>6512</v>
      </c>
      <c r="Q60" s="5">
        <v>4</v>
      </c>
      <c r="R60" s="5">
        <v>1628</v>
      </c>
      <c r="S60" s="14"/>
      <c r="T60" s="5" t="s">
        <v>7018</v>
      </c>
      <c r="U60" s="5" t="s">
        <v>6969</v>
      </c>
      <c r="V60" s="5" t="s">
        <v>6988</v>
      </c>
      <c r="W60" s="5">
        <v>8980</v>
      </c>
      <c r="X60" s="5" t="s">
        <v>6989</v>
      </c>
      <c r="Y60" s="16">
        <v>45925</v>
      </c>
      <c r="Z60" s="16">
        <v>45930</v>
      </c>
    </row>
    <row r="61" ht="26.25" hidden="1" spans="1:26">
      <c r="A61" s="5" t="s">
        <v>6961</v>
      </c>
      <c r="B61" s="5" t="s">
        <v>7015</v>
      </c>
      <c r="C61" s="5" t="s">
        <v>5130</v>
      </c>
      <c r="D61" s="5" t="s">
        <v>6963</v>
      </c>
      <c r="E61" s="5" t="s">
        <v>7016</v>
      </c>
      <c r="F61" s="5">
        <v>941292563</v>
      </c>
      <c r="G61" s="5" t="s">
        <v>6965</v>
      </c>
      <c r="H61" s="5">
        <v>1800107047</v>
      </c>
      <c r="I61" s="5">
        <v>190</v>
      </c>
      <c r="J61" s="5">
        <v>1900099080</v>
      </c>
      <c r="K61" s="5">
        <v>4500178234</v>
      </c>
      <c r="L61" s="5" t="s">
        <v>7019</v>
      </c>
      <c r="M61" s="5">
        <v>77685</v>
      </c>
      <c r="N61" s="5" t="s">
        <v>7020</v>
      </c>
      <c r="O61" s="5">
        <v>675214221</v>
      </c>
      <c r="P61" s="5">
        <v>12672</v>
      </c>
      <c r="Q61" s="5">
        <v>1152</v>
      </c>
      <c r="R61" s="5">
        <v>11</v>
      </c>
      <c r="S61" s="5">
        <v>1056</v>
      </c>
      <c r="T61" s="5" t="s">
        <v>7021</v>
      </c>
      <c r="U61" s="5" t="s">
        <v>6969</v>
      </c>
      <c r="V61" s="5" t="s">
        <v>6970</v>
      </c>
      <c r="W61" s="5">
        <v>7078</v>
      </c>
      <c r="X61" s="5" t="s">
        <v>6971</v>
      </c>
      <c r="Y61" s="16">
        <v>45929</v>
      </c>
      <c r="Z61" s="16">
        <v>45930</v>
      </c>
    </row>
  </sheetData>
  <autoFilter xmlns:etc="http://www.wps.cn/officeDocument/2017/etCustomData" ref="A1:Z61" etc:filterBottomFollowUsedRange="0">
    <filterColumn colId="12">
      <filters>
        <filter val="77711"/>
        <filter val="71152"/>
        <filter val="77673"/>
        <filter val="71137"/>
      </filters>
    </filterColumn>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77673</vt:lpstr>
      <vt:lpstr>77711</vt:lpstr>
      <vt:lpstr>77673包装MA</vt:lpstr>
      <vt:lpstr>77711包装MA</vt:lpstr>
      <vt:lpstr>77711半成品MA</vt:lpstr>
      <vt:lpstr>77673半成品MA</vt:lpstr>
      <vt:lpstr>取消单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2021-07-16T06:48:00Z</dcterms:created>
  <dcterms:modified xsi:type="dcterms:W3CDTF">2026-02-26T09:43:30Z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KSOReadingLayout">
    <vt:bool>true</vt:bool>
  </property>
  <property fmtid="{D5CDD505-2E9C-101B-9397-08002B2CF9AE}" pid="4" name="ICV">
    <vt:lpwstr>AD12EDC1688847428FBA455065C96EE9_13</vt:lpwstr>
  </property>
  <property fmtid="{D5CDD505-2E9C-101B-9397-08002B2CF9AE}" pid="5" name="CalculationRule">
    <vt:i4>0</vt:i4>
  </property>
</Properties>
</file>